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L:\internal_projects\active\Meltome\Meltome_analyzed_data\OmicScouts\lung-fibroblasts_lysate_NP40_R1\"/>
    </mc:Choice>
  </mc:AlternateContent>
  <bookViews>
    <workbookView xWindow="0" yWindow="0" windowWidth="25200" windowHeight="11970"/>
  </bookViews>
  <sheets>
    <sheet name="Sheet1" sheetId="1" r:id="rId1"/>
  </sheets>
  <calcPr calcId="152511"/>
</workbook>
</file>

<file path=xl/calcChain.xml><?xml version="1.0" encoding="utf-8"?>
<calcChain xmlns="http://schemas.openxmlformats.org/spreadsheetml/2006/main">
  <c r="AB5823" i="1" l="1"/>
  <c r="AB5822" i="1"/>
  <c r="AB5821" i="1"/>
  <c r="AB5820" i="1"/>
  <c r="AB5819" i="1"/>
  <c r="AB5818" i="1"/>
  <c r="AB5817" i="1"/>
  <c r="AB5816" i="1"/>
  <c r="AB5815" i="1"/>
  <c r="AB5814" i="1"/>
  <c r="AB5813" i="1"/>
  <c r="AB5812" i="1"/>
  <c r="AB5811" i="1"/>
  <c r="AB5810" i="1"/>
  <c r="AB5809" i="1"/>
  <c r="AB5808" i="1"/>
  <c r="AB5807" i="1"/>
  <c r="AB5806" i="1"/>
  <c r="AB5805" i="1"/>
  <c r="AB5804" i="1"/>
  <c r="AB5803" i="1"/>
  <c r="AB5802" i="1"/>
  <c r="AB5801" i="1"/>
  <c r="AB5800" i="1"/>
  <c r="AB5799" i="1"/>
  <c r="AB5798" i="1"/>
  <c r="AB5797" i="1"/>
  <c r="AB5796" i="1"/>
  <c r="AB5795" i="1"/>
  <c r="AB5794" i="1"/>
  <c r="AB5793" i="1"/>
  <c r="AB5792" i="1"/>
  <c r="AB5791" i="1"/>
  <c r="AB5790" i="1"/>
  <c r="AB5789" i="1"/>
  <c r="AB5788" i="1"/>
  <c r="AB5787" i="1"/>
  <c r="AB5786" i="1"/>
  <c r="AB5785" i="1"/>
  <c r="AB5784" i="1"/>
  <c r="AB5783" i="1"/>
  <c r="AB5782" i="1"/>
  <c r="AB5781" i="1"/>
  <c r="AB5780" i="1"/>
  <c r="AB5779" i="1"/>
  <c r="AB5778" i="1"/>
  <c r="AB5777" i="1"/>
  <c r="AB5776" i="1"/>
  <c r="AB5775" i="1"/>
  <c r="AB5774" i="1"/>
  <c r="AB5773" i="1"/>
  <c r="AB5772" i="1"/>
  <c r="AB5771" i="1"/>
  <c r="AB5770" i="1"/>
  <c r="AB5769" i="1"/>
  <c r="AB5768" i="1"/>
  <c r="AB5767" i="1"/>
  <c r="AB5766" i="1"/>
  <c r="AB5765" i="1"/>
  <c r="AB5764" i="1"/>
  <c r="AB5763" i="1"/>
  <c r="AB5762" i="1"/>
  <c r="AB5761" i="1"/>
  <c r="AB5760" i="1"/>
  <c r="AB5759" i="1"/>
  <c r="AB5758" i="1"/>
  <c r="AB5757" i="1"/>
  <c r="AB5756" i="1"/>
  <c r="AB5755" i="1"/>
  <c r="AB5754" i="1"/>
  <c r="AB5753" i="1"/>
  <c r="AB5752" i="1"/>
  <c r="AB5751" i="1"/>
  <c r="AB5750" i="1"/>
  <c r="AB5749" i="1"/>
  <c r="AB5748" i="1"/>
  <c r="AB5747" i="1"/>
  <c r="AB5746" i="1"/>
  <c r="AB5745" i="1"/>
  <c r="AB5744" i="1"/>
  <c r="AB5743" i="1"/>
  <c r="AB5742" i="1"/>
  <c r="AB5741" i="1"/>
  <c r="AB5740" i="1"/>
  <c r="AB5739" i="1"/>
  <c r="AB5738" i="1"/>
  <c r="AB5737" i="1"/>
  <c r="AB5736" i="1"/>
  <c r="AB5735" i="1"/>
  <c r="AB5734" i="1"/>
  <c r="AB5733" i="1"/>
  <c r="AB5732" i="1"/>
  <c r="AB5731" i="1"/>
  <c r="AB5730" i="1"/>
  <c r="AB5729" i="1"/>
  <c r="AB5728" i="1"/>
  <c r="AB5727" i="1"/>
  <c r="AB5726" i="1"/>
  <c r="AB5725" i="1"/>
  <c r="AB5724" i="1"/>
  <c r="AB5723" i="1"/>
  <c r="AB5722" i="1"/>
  <c r="AB5721" i="1"/>
  <c r="AB5720" i="1"/>
  <c r="AB5719" i="1"/>
  <c r="AB5718" i="1"/>
  <c r="AB5717" i="1"/>
  <c r="AB5716" i="1"/>
  <c r="AB5715" i="1"/>
  <c r="AB5714" i="1"/>
  <c r="AB5713" i="1"/>
  <c r="AB5712" i="1"/>
  <c r="AB5711" i="1"/>
  <c r="AB5710" i="1"/>
  <c r="AB5709" i="1"/>
  <c r="AB5708" i="1"/>
  <c r="AB5707" i="1"/>
  <c r="AB5706" i="1"/>
  <c r="AB5705" i="1"/>
  <c r="AB5704" i="1"/>
  <c r="AB5703" i="1"/>
  <c r="AB5702" i="1"/>
  <c r="AB5701" i="1"/>
  <c r="AB5700" i="1"/>
  <c r="AB5699" i="1"/>
  <c r="AB5698" i="1"/>
  <c r="AB5697" i="1"/>
  <c r="AB5696" i="1"/>
  <c r="AB5695" i="1"/>
  <c r="AB5694" i="1"/>
  <c r="AB5693" i="1"/>
  <c r="AB5692" i="1"/>
  <c r="AB5691" i="1"/>
  <c r="AB5690" i="1"/>
  <c r="AB5689" i="1"/>
  <c r="AB5688" i="1"/>
  <c r="AB5687" i="1"/>
  <c r="AB5686" i="1"/>
  <c r="AB5685" i="1"/>
  <c r="AB5684" i="1"/>
  <c r="AB5683" i="1"/>
  <c r="AB5682" i="1"/>
  <c r="AB5681" i="1"/>
  <c r="AB5680" i="1"/>
  <c r="AB5679" i="1"/>
  <c r="AB5678" i="1"/>
  <c r="AB5677" i="1"/>
  <c r="AB5676" i="1"/>
  <c r="AB5675" i="1"/>
  <c r="AB5674" i="1"/>
  <c r="AB5673" i="1"/>
  <c r="AB5672" i="1"/>
  <c r="AB5671" i="1"/>
  <c r="AB5670" i="1"/>
  <c r="AB5669" i="1"/>
  <c r="AB5668" i="1"/>
  <c r="AB5667" i="1"/>
  <c r="AB5666" i="1"/>
  <c r="AB5665" i="1"/>
  <c r="AB5664" i="1"/>
  <c r="AB5663" i="1"/>
  <c r="AB5662" i="1"/>
  <c r="AB5661" i="1"/>
  <c r="AB5660" i="1"/>
  <c r="AB5659" i="1"/>
  <c r="AB5658" i="1"/>
  <c r="AB5657" i="1"/>
  <c r="AB5656" i="1"/>
  <c r="AB5655" i="1"/>
  <c r="AB5654" i="1"/>
  <c r="AB5653" i="1"/>
  <c r="AB5652" i="1"/>
  <c r="AB5651" i="1"/>
  <c r="AB5650" i="1"/>
  <c r="AB5649" i="1"/>
  <c r="AB5648" i="1"/>
  <c r="AB5647" i="1"/>
  <c r="AB5646" i="1"/>
  <c r="AB5645" i="1"/>
  <c r="AB5644" i="1"/>
  <c r="AB5643" i="1"/>
  <c r="AB5642" i="1"/>
  <c r="AB5641" i="1"/>
  <c r="AB5640" i="1"/>
  <c r="AB5639" i="1"/>
  <c r="AB5638" i="1"/>
  <c r="AB5637" i="1"/>
  <c r="AB5636" i="1"/>
  <c r="AB5635" i="1"/>
  <c r="AB5634" i="1"/>
  <c r="AB5633" i="1"/>
  <c r="AB5632" i="1"/>
  <c r="AB5631" i="1"/>
  <c r="AB5630" i="1"/>
  <c r="AB5629" i="1"/>
  <c r="AB5628" i="1"/>
  <c r="AB5627" i="1"/>
  <c r="AB5626" i="1"/>
  <c r="AB5625" i="1"/>
  <c r="AB5624" i="1"/>
  <c r="AB5623" i="1"/>
  <c r="AB5622" i="1"/>
  <c r="AB5621" i="1"/>
  <c r="AB5620" i="1"/>
  <c r="AB5619" i="1"/>
  <c r="AB5618" i="1"/>
  <c r="AB5617" i="1"/>
  <c r="AB5616" i="1"/>
  <c r="AB5615" i="1"/>
  <c r="AB5614" i="1"/>
  <c r="AB5613" i="1"/>
  <c r="AB5612" i="1"/>
  <c r="AB5611" i="1"/>
  <c r="AB5610" i="1"/>
  <c r="AB5609" i="1"/>
  <c r="AB5608" i="1"/>
  <c r="AB5607" i="1"/>
  <c r="AB5606" i="1"/>
  <c r="AB5605" i="1"/>
  <c r="AB5604" i="1"/>
  <c r="AB5603" i="1"/>
  <c r="AB5602" i="1"/>
  <c r="AB5601" i="1"/>
  <c r="AB5600" i="1"/>
  <c r="AB5599" i="1"/>
  <c r="AB5598" i="1"/>
  <c r="AB5597" i="1"/>
  <c r="AB5596" i="1"/>
  <c r="AB5595" i="1"/>
  <c r="AB5594" i="1"/>
  <c r="AB5593" i="1"/>
  <c r="AB5592" i="1"/>
  <c r="AB5591" i="1"/>
  <c r="AB5590" i="1"/>
  <c r="AB5589" i="1"/>
  <c r="AB5588" i="1"/>
  <c r="AB5587" i="1"/>
  <c r="AB5586" i="1"/>
  <c r="AB5585" i="1"/>
  <c r="AB5584" i="1"/>
  <c r="AB5583" i="1"/>
  <c r="AB5582" i="1"/>
  <c r="AB5581" i="1"/>
  <c r="AB5580" i="1"/>
  <c r="AB5579" i="1"/>
  <c r="AB5578" i="1"/>
  <c r="AB5577" i="1"/>
  <c r="AB5576" i="1"/>
  <c r="AB5575" i="1"/>
  <c r="AB5574" i="1"/>
  <c r="AB5573" i="1"/>
  <c r="AB5572" i="1"/>
  <c r="AB5571" i="1"/>
  <c r="AB5570" i="1"/>
  <c r="AB5569" i="1"/>
  <c r="AB5568" i="1"/>
  <c r="AB5567" i="1"/>
  <c r="AB5566" i="1"/>
  <c r="AB5565" i="1"/>
  <c r="AB5564" i="1"/>
  <c r="AB5563" i="1"/>
  <c r="AB5562" i="1"/>
  <c r="AB5561" i="1"/>
  <c r="AB5560" i="1"/>
  <c r="AB5559" i="1"/>
  <c r="AB5558" i="1"/>
  <c r="AB5557" i="1"/>
  <c r="AB5556" i="1"/>
  <c r="AB5555" i="1"/>
  <c r="AB5554" i="1"/>
  <c r="AB5553" i="1"/>
  <c r="AB5552" i="1"/>
  <c r="AB5551" i="1"/>
  <c r="AB5550" i="1"/>
  <c r="AB5549" i="1"/>
  <c r="AB5548" i="1"/>
  <c r="AB5547" i="1"/>
  <c r="AB5546" i="1"/>
  <c r="AB5545" i="1"/>
  <c r="AB5544" i="1"/>
  <c r="AB5543" i="1"/>
  <c r="AB5542" i="1"/>
  <c r="AB5541" i="1"/>
  <c r="AB5540" i="1"/>
  <c r="AB5539" i="1"/>
  <c r="AB5538" i="1"/>
  <c r="AB5537" i="1"/>
  <c r="AB5536" i="1"/>
  <c r="AB5535" i="1"/>
  <c r="AB5534" i="1"/>
  <c r="AB5533" i="1"/>
  <c r="AB5532" i="1"/>
  <c r="AB5531" i="1"/>
  <c r="AB5530" i="1"/>
  <c r="AB5529" i="1"/>
  <c r="AB5528" i="1"/>
  <c r="AB5527" i="1"/>
  <c r="AB5526" i="1"/>
  <c r="AB5525" i="1"/>
  <c r="AB5524" i="1"/>
  <c r="AB5523" i="1"/>
  <c r="AB5522" i="1"/>
  <c r="AB5521" i="1"/>
  <c r="AB5520" i="1"/>
  <c r="AB5519" i="1"/>
  <c r="AB5518" i="1"/>
  <c r="AB5517" i="1"/>
  <c r="AB5516" i="1"/>
  <c r="AB5515" i="1"/>
  <c r="AB5514" i="1"/>
  <c r="AB5513" i="1"/>
  <c r="AB5512" i="1"/>
  <c r="AB5511" i="1"/>
  <c r="AB5510" i="1"/>
  <c r="AB5509" i="1"/>
  <c r="AB5508" i="1"/>
  <c r="AB5507" i="1"/>
  <c r="AB5506" i="1"/>
  <c r="AB5505" i="1"/>
  <c r="AB5504" i="1"/>
  <c r="AB5503" i="1"/>
  <c r="AB5502" i="1"/>
  <c r="AB5501" i="1"/>
  <c r="AB5500" i="1"/>
  <c r="AB5499" i="1"/>
  <c r="AB5498" i="1"/>
  <c r="AB5497" i="1"/>
  <c r="AB5496" i="1"/>
  <c r="AB5495" i="1"/>
  <c r="AB5494" i="1"/>
  <c r="AB5493" i="1"/>
  <c r="AB5492" i="1"/>
  <c r="AB5491" i="1"/>
  <c r="AB5490" i="1"/>
  <c r="AB5489" i="1"/>
  <c r="AB5488" i="1"/>
  <c r="AB5487" i="1"/>
  <c r="AB5486" i="1"/>
  <c r="AB5485" i="1"/>
  <c r="AB5484" i="1"/>
  <c r="AB5483" i="1"/>
  <c r="AB5482" i="1"/>
  <c r="AB5481" i="1"/>
  <c r="AB5480" i="1"/>
  <c r="AB5479" i="1"/>
  <c r="AB5478" i="1"/>
  <c r="AB5477" i="1"/>
  <c r="AB5476" i="1"/>
  <c r="AB5475" i="1"/>
  <c r="AB5474" i="1"/>
  <c r="AB5473" i="1"/>
  <c r="AB5472" i="1"/>
  <c r="AB5471" i="1"/>
  <c r="AB5470" i="1"/>
  <c r="AB5469" i="1"/>
  <c r="AB5468" i="1"/>
  <c r="AB5467" i="1"/>
  <c r="AB5466" i="1"/>
  <c r="AB5465" i="1"/>
  <c r="AB5464" i="1"/>
  <c r="AB5463" i="1"/>
  <c r="AB5462" i="1"/>
  <c r="AB5461" i="1"/>
  <c r="AB5460" i="1"/>
  <c r="AB5459" i="1"/>
  <c r="AB5458" i="1"/>
  <c r="AB5457" i="1"/>
  <c r="AB5456" i="1"/>
  <c r="AB5455" i="1"/>
  <c r="AB5454" i="1"/>
  <c r="AB5453" i="1"/>
  <c r="AB5452" i="1"/>
  <c r="AB5451" i="1"/>
  <c r="AB5450" i="1"/>
  <c r="AB5449" i="1"/>
  <c r="AB5448" i="1"/>
  <c r="AB5447" i="1"/>
  <c r="AB5446" i="1"/>
  <c r="AB5445" i="1"/>
  <c r="AB5444" i="1"/>
  <c r="AB5443" i="1"/>
  <c r="AB5442" i="1"/>
  <c r="AB5441" i="1"/>
  <c r="AB5440" i="1"/>
  <c r="AB5439" i="1"/>
  <c r="AB5438" i="1"/>
  <c r="AB5437" i="1"/>
  <c r="AB5436" i="1"/>
  <c r="AB5435" i="1"/>
  <c r="AB5434" i="1"/>
  <c r="AB5433" i="1"/>
  <c r="AB5432" i="1"/>
  <c r="AB5431" i="1"/>
  <c r="AB5430" i="1"/>
  <c r="AB5429" i="1"/>
  <c r="AB5428" i="1"/>
  <c r="AB5427" i="1"/>
  <c r="AB5426" i="1"/>
  <c r="AB5425" i="1"/>
  <c r="AB5424" i="1"/>
  <c r="AB5423" i="1"/>
  <c r="AB5422" i="1"/>
  <c r="AB5421" i="1"/>
  <c r="AB5420" i="1"/>
  <c r="AB5419" i="1"/>
  <c r="AB5418" i="1"/>
  <c r="AB5417" i="1"/>
  <c r="AB5416" i="1"/>
  <c r="AB5415" i="1"/>
  <c r="AB5414" i="1"/>
  <c r="AB5413" i="1"/>
  <c r="AB5412" i="1"/>
  <c r="AB5411" i="1"/>
  <c r="AB5410" i="1"/>
  <c r="AB5409" i="1"/>
  <c r="AB5408" i="1"/>
  <c r="AB5407" i="1"/>
  <c r="AB5406" i="1"/>
  <c r="AB5405" i="1"/>
  <c r="AB5404" i="1"/>
  <c r="AB5403" i="1"/>
  <c r="AB5402" i="1"/>
  <c r="AB5401" i="1"/>
  <c r="AB5400" i="1"/>
  <c r="AB5399" i="1"/>
  <c r="AB5398" i="1"/>
  <c r="AB5397" i="1"/>
  <c r="AB5396" i="1"/>
  <c r="AB5395" i="1"/>
  <c r="AB5394" i="1"/>
  <c r="AB5393" i="1"/>
  <c r="AB5392" i="1"/>
  <c r="AB5391" i="1"/>
  <c r="AB5390" i="1"/>
  <c r="AB5389" i="1"/>
  <c r="AB5388" i="1"/>
  <c r="AB5387" i="1"/>
  <c r="AB5386" i="1"/>
  <c r="AB5385" i="1"/>
  <c r="AB5384" i="1"/>
  <c r="AB5383" i="1"/>
  <c r="AB5382" i="1"/>
  <c r="AB5381" i="1"/>
  <c r="AB5380" i="1"/>
  <c r="AB5379" i="1"/>
  <c r="AB5378" i="1"/>
  <c r="AB5377" i="1"/>
  <c r="AB5376" i="1"/>
  <c r="AB5375" i="1"/>
  <c r="AB5374" i="1"/>
  <c r="AB5373" i="1"/>
  <c r="AB5372" i="1"/>
  <c r="AB5371" i="1"/>
  <c r="AB5370" i="1"/>
  <c r="AB5369" i="1"/>
  <c r="AB5368" i="1"/>
  <c r="AB5367" i="1"/>
  <c r="AB5366" i="1"/>
  <c r="AB5365" i="1"/>
  <c r="AB5364" i="1"/>
  <c r="AB5363" i="1"/>
  <c r="AB5362" i="1"/>
  <c r="AB5361" i="1"/>
  <c r="AB5360" i="1"/>
  <c r="AB5359" i="1"/>
  <c r="AB5358" i="1"/>
  <c r="AB5357" i="1"/>
  <c r="AB5356" i="1"/>
  <c r="AB5355" i="1"/>
  <c r="AB5354" i="1"/>
  <c r="AB5353" i="1"/>
  <c r="AB5352" i="1"/>
  <c r="AB5351" i="1"/>
  <c r="AB5350" i="1"/>
  <c r="AB5349" i="1"/>
  <c r="AB5348" i="1"/>
  <c r="AB5347" i="1"/>
  <c r="AB5346" i="1"/>
  <c r="AB5345" i="1"/>
  <c r="AB5344" i="1"/>
  <c r="AB5343" i="1"/>
  <c r="AB5342" i="1"/>
  <c r="AB5341" i="1"/>
  <c r="AB5340" i="1"/>
  <c r="AB5339" i="1"/>
  <c r="AB5338" i="1"/>
  <c r="AB5337" i="1"/>
  <c r="AB5336" i="1"/>
  <c r="AB5335" i="1"/>
  <c r="AB5334" i="1"/>
  <c r="AB5333" i="1"/>
  <c r="AB5332" i="1"/>
  <c r="AB5331" i="1"/>
  <c r="AB5330" i="1"/>
  <c r="AB5329" i="1"/>
  <c r="AB5328" i="1"/>
  <c r="AB5327" i="1"/>
  <c r="AB5326" i="1"/>
  <c r="AB5325" i="1"/>
  <c r="AB5324" i="1"/>
  <c r="AB5323" i="1"/>
  <c r="AB5322" i="1"/>
  <c r="AB5321" i="1"/>
  <c r="AB5320" i="1"/>
  <c r="AB5319" i="1"/>
  <c r="AB5318" i="1"/>
  <c r="AB5317" i="1"/>
  <c r="AB5316" i="1"/>
  <c r="AB5315" i="1"/>
  <c r="AB5314" i="1"/>
  <c r="AB5313" i="1"/>
  <c r="AB5312" i="1"/>
  <c r="AB5311" i="1"/>
  <c r="AB5310" i="1"/>
  <c r="AB5309" i="1"/>
  <c r="AB5308" i="1"/>
  <c r="AB5307" i="1"/>
  <c r="AB5306" i="1"/>
  <c r="AB5305" i="1"/>
  <c r="AB5304" i="1"/>
  <c r="AB5303" i="1"/>
  <c r="AB5302" i="1"/>
  <c r="AB5301" i="1"/>
  <c r="AB5300" i="1"/>
  <c r="AB5299" i="1"/>
  <c r="AB5298" i="1"/>
  <c r="AB5297" i="1"/>
  <c r="AB5296" i="1"/>
  <c r="AB5295" i="1"/>
  <c r="AB5294" i="1"/>
  <c r="AB5293" i="1"/>
  <c r="AB5292" i="1"/>
  <c r="AB5291" i="1"/>
  <c r="AB5290" i="1"/>
  <c r="AB5289" i="1"/>
  <c r="AB5288" i="1"/>
  <c r="AB5287" i="1"/>
  <c r="AB5286" i="1"/>
  <c r="AB5285" i="1"/>
  <c r="AB5284" i="1"/>
  <c r="AB5283" i="1"/>
  <c r="AB5282" i="1"/>
  <c r="AB5281" i="1"/>
  <c r="AB5280" i="1"/>
  <c r="AB5279" i="1"/>
  <c r="AB5278" i="1"/>
  <c r="AB5277" i="1"/>
  <c r="AB5276" i="1"/>
  <c r="AB5275" i="1"/>
  <c r="AB5274" i="1"/>
  <c r="AB5273" i="1"/>
  <c r="AB5272" i="1"/>
  <c r="AB5271" i="1"/>
  <c r="AB5270" i="1"/>
  <c r="AB5269" i="1"/>
  <c r="AB5268" i="1"/>
  <c r="AB5267" i="1"/>
  <c r="AB5266" i="1"/>
  <c r="AB5265" i="1"/>
  <c r="AB5264" i="1"/>
  <c r="AB5263" i="1"/>
  <c r="AB5262" i="1"/>
  <c r="AB5261" i="1"/>
  <c r="AB5260" i="1"/>
  <c r="AB5259" i="1"/>
  <c r="AB5258" i="1"/>
  <c r="AB5257" i="1"/>
  <c r="AB5256" i="1"/>
  <c r="AB5255" i="1"/>
  <c r="AB5254" i="1"/>
  <c r="AB5253" i="1"/>
  <c r="AB5252" i="1"/>
  <c r="AB5251" i="1"/>
  <c r="AB5250" i="1"/>
  <c r="AB5249" i="1"/>
  <c r="AB5248" i="1"/>
  <c r="AB5247" i="1"/>
  <c r="AB5246" i="1"/>
  <c r="AB5245" i="1"/>
  <c r="AB5244" i="1"/>
  <c r="AB5243" i="1"/>
  <c r="AB5242" i="1"/>
  <c r="AB5241" i="1"/>
  <c r="AB5240" i="1"/>
  <c r="AB5239" i="1"/>
  <c r="AB5238" i="1"/>
  <c r="AB5237" i="1"/>
  <c r="AB5236" i="1"/>
  <c r="AB5235" i="1"/>
  <c r="AB5234" i="1"/>
  <c r="AB5233" i="1"/>
  <c r="AB5232" i="1"/>
  <c r="AB5231" i="1"/>
  <c r="AB5230" i="1"/>
  <c r="AB5229" i="1"/>
  <c r="AB5228" i="1"/>
  <c r="AB5227" i="1"/>
  <c r="AB5226" i="1"/>
  <c r="AB5225" i="1"/>
  <c r="AB5224" i="1"/>
  <c r="AB5223" i="1"/>
  <c r="AB5222" i="1"/>
  <c r="AB5221" i="1"/>
  <c r="AB5220" i="1"/>
  <c r="AB5219" i="1"/>
  <c r="AB5218" i="1"/>
  <c r="AB5217" i="1"/>
  <c r="AB5216" i="1"/>
  <c r="AB5215" i="1"/>
  <c r="AB5214" i="1"/>
  <c r="AB5213" i="1"/>
  <c r="AB5212" i="1"/>
  <c r="AB5211" i="1"/>
  <c r="AB5210" i="1"/>
  <c r="AB5209" i="1"/>
  <c r="AB5208" i="1"/>
  <c r="AB5207" i="1"/>
  <c r="AB5206" i="1"/>
  <c r="AB5205" i="1"/>
  <c r="AB5204" i="1"/>
  <c r="AB5203" i="1"/>
  <c r="AB5202" i="1"/>
  <c r="AB5201" i="1"/>
  <c r="AB5200" i="1"/>
  <c r="AB5199" i="1"/>
  <c r="AB5198" i="1"/>
  <c r="AB5197" i="1"/>
  <c r="AB5196" i="1"/>
  <c r="AB5195" i="1"/>
  <c r="AB5194" i="1"/>
  <c r="AB5193" i="1"/>
  <c r="AB5192" i="1"/>
  <c r="AB5191" i="1"/>
  <c r="AB5190" i="1"/>
  <c r="AB5189" i="1"/>
  <c r="AB5188" i="1"/>
  <c r="AB5187" i="1"/>
  <c r="AB5186" i="1"/>
  <c r="AB5185" i="1"/>
  <c r="AB5184" i="1"/>
  <c r="AB5183" i="1"/>
  <c r="AB5182" i="1"/>
  <c r="AB5181" i="1"/>
  <c r="AB5180" i="1"/>
  <c r="AB5179" i="1"/>
  <c r="AB5178" i="1"/>
  <c r="AB5177" i="1"/>
  <c r="AB5176" i="1"/>
  <c r="AB5175" i="1"/>
  <c r="AB5174" i="1"/>
  <c r="AB5173" i="1"/>
  <c r="AB5172" i="1"/>
  <c r="AB5171" i="1"/>
  <c r="AB5170" i="1"/>
  <c r="AB5169" i="1"/>
  <c r="AB5168" i="1"/>
  <c r="AB5167" i="1"/>
  <c r="AB5166" i="1"/>
  <c r="AB5165" i="1"/>
  <c r="AB5164" i="1"/>
  <c r="AB5163" i="1"/>
  <c r="AB5162" i="1"/>
  <c r="AB5161" i="1"/>
  <c r="AB5160" i="1"/>
  <c r="AB5159" i="1"/>
  <c r="AB5158" i="1"/>
  <c r="AB5157" i="1"/>
  <c r="AB5156" i="1"/>
  <c r="AB5155" i="1"/>
  <c r="AB5154" i="1"/>
  <c r="AB5153" i="1"/>
  <c r="AB5152" i="1"/>
  <c r="AB5151" i="1"/>
  <c r="AB5150" i="1"/>
  <c r="AB5149" i="1"/>
  <c r="AB5148" i="1"/>
  <c r="AB5147" i="1"/>
  <c r="AB5146" i="1"/>
  <c r="AB5145" i="1"/>
  <c r="AB5144" i="1"/>
  <c r="AB5143" i="1"/>
  <c r="AB5142" i="1"/>
  <c r="AB5141" i="1"/>
  <c r="AB5140" i="1"/>
  <c r="AB5139" i="1"/>
  <c r="AB5138" i="1"/>
  <c r="AB5137" i="1"/>
  <c r="AB5136" i="1"/>
  <c r="AB5135" i="1"/>
  <c r="AB5134" i="1"/>
  <c r="AB5133" i="1"/>
  <c r="AB5132" i="1"/>
  <c r="AB5131" i="1"/>
  <c r="AB5130" i="1"/>
  <c r="AB5129" i="1"/>
  <c r="AB5128" i="1"/>
  <c r="AB5127" i="1"/>
  <c r="AB5126" i="1"/>
  <c r="AB5125" i="1"/>
  <c r="AB5124" i="1"/>
  <c r="AB5123" i="1"/>
  <c r="AB5122" i="1"/>
  <c r="AB5121" i="1"/>
  <c r="AB5120" i="1"/>
  <c r="AB5119" i="1"/>
  <c r="AB5118" i="1"/>
  <c r="AB5117" i="1"/>
  <c r="AB5116" i="1"/>
  <c r="AB5115" i="1"/>
  <c r="AB5114" i="1"/>
  <c r="AB5113" i="1"/>
  <c r="AB5112" i="1"/>
  <c r="AB5111" i="1"/>
  <c r="AB5110" i="1"/>
  <c r="AB5109" i="1"/>
  <c r="AB5108" i="1"/>
  <c r="AB5107" i="1"/>
  <c r="AB5106" i="1"/>
  <c r="AB5105" i="1"/>
  <c r="AB5104" i="1"/>
  <c r="AB5103" i="1"/>
  <c r="AB5102" i="1"/>
  <c r="AB5101" i="1"/>
  <c r="AB5100" i="1"/>
  <c r="AB5099" i="1"/>
  <c r="AB5098" i="1"/>
  <c r="AB5097" i="1"/>
  <c r="AB5096" i="1"/>
  <c r="AB5095" i="1"/>
  <c r="AB5094" i="1"/>
  <c r="AB5093" i="1"/>
  <c r="AB5092" i="1"/>
  <c r="AB5091" i="1"/>
  <c r="AB5090" i="1"/>
  <c r="AB5089" i="1"/>
  <c r="AB5088" i="1"/>
  <c r="AB5087" i="1"/>
  <c r="AB5086" i="1"/>
  <c r="AB5085" i="1"/>
  <c r="AB5084" i="1"/>
  <c r="AB5083" i="1"/>
  <c r="AB5082" i="1"/>
  <c r="AB5081" i="1"/>
  <c r="AB5080" i="1"/>
  <c r="AB5079" i="1"/>
  <c r="AB5078" i="1"/>
  <c r="AB5077" i="1"/>
  <c r="AB5076" i="1"/>
  <c r="AB5075" i="1"/>
  <c r="AB5074" i="1"/>
  <c r="AB5073" i="1"/>
  <c r="AB5072" i="1"/>
  <c r="AB5071" i="1"/>
  <c r="AB5070" i="1"/>
  <c r="AB5069" i="1"/>
  <c r="AB5068" i="1"/>
  <c r="AB5067" i="1"/>
  <c r="AB5066" i="1"/>
  <c r="AB5065" i="1"/>
  <c r="AB5064" i="1"/>
  <c r="AB5063" i="1"/>
  <c r="AB5062" i="1"/>
  <c r="AB5061" i="1"/>
  <c r="AB5060" i="1"/>
  <c r="AB5059" i="1"/>
  <c r="AB5058" i="1"/>
  <c r="AB5057" i="1"/>
  <c r="AB5056" i="1"/>
  <c r="AB5055" i="1"/>
  <c r="AB5054" i="1"/>
  <c r="AB5053" i="1"/>
  <c r="AB5052" i="1"/>
  <c r="AB5051" i="1"/>
  <c r="AB5050" i="1"/>
  <c r="AB5049" i="1"/>
  <c r="AB5048" i="1"/>
  <c r="AB5047" i="1"/>
  <c r="AB5046" i="1"/>
  <c r="AB5045" i="1"/>
  <c r="AB5044" i="1"/>
  <c r="AB5043" i="1"/>
  <c r="AB5042" i="1"/>
  <c r="AB5041" i="1"/>
  <c r="AB5040" i="1"/>
  <c r="AB5039" i="1"/>
  <c r="AB5038" i="1"/>
  <c r="AB5037" i="1"/>
  <c r="AB5036" i="1"/>
  <c r="AB5035" i="1"/>
  <c r="AB5034" i="1"/>
  <c r="AB5033" i="1"/>
  <c r="AB5032" i="1"/>
  <c r="AB5031" i="1"/>
  <c r="AB5030" i="1"/>
  <c r="AB5029" i="1"/>
  <c r="AB5028" i="1"/>
  <c r="AB5027" i="1"/>
  <c r="AB5026" i="1"/>
  <c r="AB5025" i="1"/>
  <c r="AB5024" i="1"/>
  <c r="AB5023" i="1"/>
  <c r="AB5022" i="1"/>
  <c r="AB5021" i="1"/>
  <c r="AB5020" i="1"/>
  <c r="AB5019" i="1"/>
  <c r="AB5018" i="1"/>
  <c r="AB5017" i="1"/>
  <c r="AB5016" i="1"/>
  <c r="AB5015" i="1"/>
  <c r="AB5014" i="1"/>
  <c r="AB5013" i="1"/>
  <c r="AB5012" i="1"/>
  <c r="AB5011" i="1"/>
  <c r="AB5010" i="1"/>
  <c r="AB5009" i="1"/>
  <c r="AB5008" i="1"/>
  <c r="AB5007" i="1"/>
  <c r="AB5006" i="1"/>
  <c r="AB5005" i="1"/>
  <c r="AB5004" i="1"/>
  <c r="AB5003" i="1"/>
  <c r="AB5002" i="1"/>
  <c r="AB5001" i="1"/>
  <c r="AB5000" i="1"/>
  <c r="AB4999" i="1"/>
  <c r="AB4998" i="1"/>
  <c r="AB4997" i="1"/>
  <c r="AB4996" i="1"/>
  <c r="AB4995" i="1"/>
  <c r="AB4994" i="1"/>
  <c r="AB4993" i="1"/>
  <c r="AB4992" i="1"/>
  <c r="AB4991" i="1"/>
  <c r="AB4990" i="1"/>
  <c r="AB4989" i="1"/>
  <c r="AB4988" i="1"/>
  <c r="AB4987" i="1"/>
  <c r="AB4986" i="1"/>
  <c r="AB4985" i="1"/>
  <c r="AB4984" i="1"/>
  <c r="AB4983" i="1"/>
  <c r="AB4982" i="1"/>
  <c r="AB4981" i="1"/>
  <c r="AB4980" i="1"/>
  <c r="AB4979" i="1"/>
  <c r="AB4978" i="1"/>
  <c r="AB4977" i="1"/>
  <c r="AB4976" i="1"/>
  <c r="AB4975" i="1"/>
  <c r="AB4974" i="1"/>
  <c r="AB4973" i="1"/>
  <c r="AB4972" i="1"/>
  <c r="AB4971" i="1"/>
  <c r="AB4970" i="1"/>
  <c r="AB4969" i="1"/>
  <c r="AB4968" i="1"/>
  <c r="AB4967" i="1"/>
  <c r="AB4966" i="1"/>
  <c r="AB4965" i="1"/>
  <c r="AB4964" i="1"/>
  <c r="AB4963" i="1"/>
  <c r="AB4962" i="1"/>
  <c r="AB4961" i="1"/>
  <c r="AB4960" i="1"/>
  <c r="AB4959" i="1"/>
  <c r="AB4958" i="1"/>
  <c r="AB4957" i="1"/>
  <c r="AB4956" i="1"/>
  <c r="AB4955" i="1"/>
  <c r="AB4954" i="1"/>
  <c r="AB4953" i="1"/>
  <c r="AB4952" i="1"/>
  <c r="AB4951" i="1"/>
  <c r="AB4950" i="1"/>
  <c r="AB4949" i="1"/>
  <c r="AB4948" i="1"/>
  <c r="AB4947" i="1"/>
  <c r="AB4946" i="1"/>
  <c r="AB4945" i="1"/>
  <c r="AB4944" i="1"/>
  <c r="AB4943" i="1"/>
  <c r="AB4942" i="1"/>
  <c r="AB4941" i="1"/>
  <c r="AB4940" i="1"/>
  <c r="AB4939" i="1"/>
  <c r="AB4938" i="1"/>
  <c r="AB4937" i="1"/>
  <c r="AB4936" i="1"/>
  <c r="AB4935" i="1"/>
  <c r="AB4934" i="1"/>
  <c r="AB4933" i="1"/>
  <c r="AB4932" i="1"/>
  <c r="AB4931" i="1"/>
  <c r="AB4930" i="1"/>
  <c r="AB4929" i="1"/>
  <c r="AB4928" i="1"/>
  <c r="AB4927" i="1"/>
  <c r="AB4926" i="1"/>
  <c r="AB4925" i="1"/>
  <c r="AB4924" i="1"/>
  <c r="AB4923" i="1"/>
  <c r="AB4922" i="1"/>
  <c r="AB4921" i="1"/>
  <c r="AB4920" i="1"/>
  <c r="AB4919" i="1"/>
  <c r="AB4918" i="1"/>
  <c r="AB4917" i="1"/>
  <c r="AB4916" i="1"/>
  <c r="AB4915" i="1"/>
  <c r="AB4914" i="1"/>
  <c r="AB4913" i="1"/>
  <c r="AB4912" i="1"/>
  <c r="AB4911" i="1"/>
  <c r="AB4910" i="1"/>
  <c r="AB4909" i="1"/>
  <c r="AB4908" i="1"/>
  <c r="AB4907" i="1"/>
  <c r="AB4906" i="1"/>
  <c r="AB4905" i="1"/>
  <c r="AB4904" i="1"/>
  <c r="AB4903" i="1"/>
  <c r="AB4902" i="1"/>
  <c r="AB4901" i="1"/>
  <c r="AB4900" i="1"/>
  <c r="AB4899" i="1"/>
  <c r="AB4898" i="1"/>
  <c r="AB4897" i="1"/>
  <c r="AB4896" i="1"/>
  <c r="AB4895" i="1"/>
  <c r="AB4894" i="1"/>
  <c r="AB4893" i="1"/>
  <c r="AB4892" i="1"/>
  <c r="AB4891" i="1"/>
  <c r="AB4890" i="1"/>
  <c r="AB4889" i="1"/>
  <c r="AB4888" i="1"/>
  <c r="AB4887" i="1"/>
  <c r="AB4886" i="1"/>
  <c r="AB4885" i="1"/>
  <c r="AB4884" i="1"/>
  <c r="AB4883" i="1"/>
  <c r="AB4882" i="1"/>
  <c r="AB4881" i="1"/>
  <c r="AB4880" i="1"/>
  <c r="AB4879" i="1"/>
  <c r="AB4878" i="1"/>
  <c r="AB4877" i="1"/>
  <c r="AB4876" i="1"/>
  <c r="AB4875" i="1"/>
  <c r="AB4874" i="1"/>
  <c r="AB4873" i="1"/>
  <c r="AB4872" i="1"/>
  <c r="AB4871" i="1"/>
  <c r="AB4870" i="1"/>
  <c r="AB4869" i="1"/>
  <c r="AB4868" i="1"/>
  <c r="AB4867" i="1"/>
  <c r="AB4866" i="1"/>
  <c r="AB4865" i="1"/>
  <c r="AB4864" i="1"/>
  <c r="AB4863" i="1"/>
  <c r="AB4862" i="1"/>
  <c r="AB4861" i="1"/>
  <c r="AB4860" i="1"/>
  <c r="AB4859" i="1"/>
  <c r="AB4858" i="1"/>
  <c r="AB4857" i="1"/>
  <c r="AB4856" i="1"/>
  <c r="AB4855" i="1"/>
  <c r="AB4854" i="1"/>
  <c r="AB4853" i="1"/>
  <c r="AB4852" i="1"/>
  <c r="AB4851" i="1"/>
  <c r="AB4850" i="1"/>
  <c r="AB4849" i="1"/>
  <c r="AB4848" i="1"/>
  <c r="AB4847" i="1"/>
  <c r="AB4846" i="1"/>
  <c r="AB4845" i="1"/>
  <c r="AB4844" i="1"/>
  <c r="AB4843" i="1"/>
  <c r="AB4842" i="1"/>
  <c r="AB4841" i="1"/>
  <c r="AB4840" i="1"/>
  <c r="AB4839" i="1"/>
  <c r="AB4838" i="1"/>
  <c r="AB4837" i="1"/>
  <c r="AB4836" i="1"/>
  <c r="AB4835" i="1"/>
  <c r="AB4834" i="1"/>
  <c r="AB4833" i="1"/>
  <c r="AB4832" i="1"/>
  <c r="AB4831" i="1"/>
  <c r="AB4830" i="1"/>
  <c r="AB4829" i="1"/>
  <c r="AB4828" i="1"/>
  <c r="AB4827" i="1"/>
  <c r="AB4826" i="1"/>
  <c r="AB4825" i="1"/>
  <c r="AB4824" i="1"/>
  <c r="AB4823" i="1"/>
  <c r="AB4822" i="1"/>
  <c r="AB4821" i="1"/>
  <c r="AB4820" i="1"/>
  <c r="AB4819" i="1"/>
  <c r="AB4818" i="1"/>
  <c r="AB4817" i="1"/>
  <c r="AB4816" i="1"/>
  <c r="AB4815" i="1"/>
  <c r="AB4814" i="1"/>
  <c r="AB4813" i="1"/>
  <c r="AB4812" i="1"/>
  <c r="AB4811" i="1"/>
  <c r="AB4810" i="1"/>
  <c r="AB4809" i="1"/>
  <c r="AB4808" i="1"/>
  <c r="AB4807" i="1"/>
  <c r="AB4806" i="1"/>
  <c r="AB4805" i="1"/>
  <c r="AB4804" i="1"/>
  <c r="AB4803" i="1"/>
  <c r="AB4802" i="1"/>
  <c r="AB4801" i="1"/>
  <c r="AB4800" i="1"/>
  <c r="AB4799" i="1"/>
  <c r="AB4798" i="1"/>
  <c r="AB4797" i="1"/>
  <c r="AB4796" i="1"/>
  <c r="AB4795" i="1"/>
  <c r="AB4794" i="1"/>
  <c r="AB4793" i="1"/>
  <c r="AB4792" i="1"/>
  <c r="AB4791" i="1"/>
  <c r="AB4790" i="1"/>
  <c r="AB4789" i="1"/>
  <c r="AB4788" i="1"/>
  <c r="AB4787" i="1"/>
  <c r="AB4786" i="1"/>
  <c r="AB4785" i="1"/>
  <c r="AB4784" i="1"/>
  <c r="AB4783" i="1"/>
  <c r="AB4782" i="1"/>
  <c r="AB4781" i="1"/>
  <c r="AB4780" i="1"/>
  <c r="AB4779" i="1"/>
  <c r="AB4778" i="1"/>
  <c r="AB4777" i="1"/>
  <c r="AB4776" i="1"/>
  <c r="AB4775" i="1"/>
  <c r="AB4774" i="1"/>
  <c r="AB4773" i="1"/>
  <c r="AB4772" i="1"/>
  <c r="AB4771" i="1"/>
  <c r="AB4770" i="1"/>
  <c r="AB4769" i="1"/>
  <c r="AB4768" i="1"/>
  <c r="AB4767" i="1"/>
  <c r="AB4766" i="1"/>
  <c r="AB4765" i="1"/>
  <c r="AB4764" i="1"/>
  <c r="AB4763" i="1"/>
  <c r="AB4762" i="1"/>
  <c r="AB4761" i="1"/>
  <c r="AB4760" i="1"/>
  <c r="AB4759" i="1"/>
  <c r="AB4758" i="1"/>
  <c r="AB4757" i="1"/>
  <c r="AB4756" i="1"/>
  <c r="AB4755" i="1"/>
  <c r="AB4754" i="1"/>
  <c r="AB4753" i="1"/>
  <c r="AB4752" i="1"/>
  <c r="AB4751" i="1"/>
  <c r="AB4750" i="1"/>
  <c r="AB4749" i="1"/>
  <c r="AB4748" i="1"/>
  <c r="AB4747" i="1"/>
  <c r="AB4746" i="1"/>
  <c r="AB4745" i="1"/>
  <c r="AB4744" i="1"/>
  <c r="AB4743" i="1"/>
  <c r="AB4742" i="1"/>
  <c r="AB4741" i="1"/>
  <c r="AB4740" i="1"/>
  <c r="AB4739" i="1"/>
  <c r="AB4738" i="1"/>
  <c r="AB4737" i="1"/>
  <c r="AB4736" i="1"/>
  <c r="AB4735" i="1"/>
  <c r="AB4734" i="1"/>
  <c r="AB4733" i="1"/>
  <c r="AB4732" i="1"/>
  <c r="AB4731" i="1"/>
  <c r="AB4730" i="1"/>
  <c r="AB4729" i="1"/>
  <c r="AB4728" i="1"/>
  <c r="AB4727" i="1"/>
  <c r="AB4726" i="1"/>
  <c r="AB4725" i="1"/>
  <c r="AB4724" i="1"/>
  <c r="AB4723" i="1"/>
  <c r="AB4722" i="1"/>
  <c r="AB4721" i="1"/>
  <c r="AB4720" i="1"/>
  <c r="AB4719" i="1"/>
  <c r="AB4718" i="1"/>
  <c r="AB4717" i="1"/>
  <c r="AB4716" i="1"/>
  <c r="AB4715" i="1"/>
  <c r="AB4714" i="1"/>
  <c r="AB4713" i="1"/>
  <c r="AB4712" i="1"/>
  <c r="AB4711" i="1"/>
  <c r="AB4710" i="1"/>
  <c r="AB4709" i="1"/>
  <c r="AB4708" i="1"/>
  <c r="AB4707" i="1"/>
  <c r="AB4706" i="1"/>
  <c r="AB4705" i="1"/>
  <c r="AB4704" i="1"/>
  <c r="AB4703" i="1"/>
  <c r="AB4702" i="1"/>
  <c r="AB4701" i="1"/>
  <c r="AB4700" i="1"/>
  <c r="AB4699" i="1"/>
  <c r="AB4698" i="1"/>
  <c r="AB4697" i="1"/>
  <c r="AB4696" i="1"/>
  <c r="AB4695" i="1"/>
  <c r="AB4694" i="1"/>
  <c r="AB4693" i="1"/>
  <c r="AB4692" i="1"/>
  <c r="AB4691" i="1"/>
  <c r="AB4690" i="1"/>
  <c r="AB4689" i="1"/>
  <c r="AB4688" i="1"/>
  <c r="AB4687" i="1"/>
  <c r="AB4686" i="1"/>
  <c r="AB4685" i="1"/>
  <c r="AB4684" i="1"/>
  <c r="AB4683" i="1"/>
  <c r="AB4682" i="1"/>
  <c r="AB4681" i="1"/>
  <c r="AB4680" i="1"/>
  <c r="AB4679" i="1"/>
  <c r="AB4678" i="1"/>
  <c r="AB4677" i="1"/>
  <c r="AB4676" i="1"/>
  <c r="AB4675" i="1"/>
  <c r="AB4674" i="1"/>
  <c r="AB4673" i="1"/>
  <c r="AB4672" i="1"/>
  <c r="AB4671" i="1"/>
  <c r="AB4670" i="1"/>
  <c r="AB4669" i="1"/>
  <c r="AB4668" i="1"/>
  <c r="AB4667" i="1"/>
  <c r="AB4666" i="1"/>
  <c r="AB4665" i="1"/>
  <c r="AB4664" i="1"/>
  <c r="AB4663" i="1"/>
  <c r="AB4662" i="1"/>
  <c r="AB4661" i="1"/>
  <c r="AB4660" i="1"/>
  <c r="AB4659" i="1"/>
  <c r="AB4658" i="1"/>
  <c r="AB4657" i="1"/>
  <c r="AB4656" i="1"/>
  <c r="AB4655" i="1"/>
  <c r="AB4654" i="1"/>
  <c r="AB4653" i="1"/>
  <c r="AB4652" i="1"/>
  <c r="AB4651" i="1"/>
  <c r="AB4650" i="1"/>
  <c r="AB4649" i="1"/>
  <c r="AB4648" i="1"/>
  <c r="AB4647" i="1"/>
  <c r="AB4646" i="1"/>
  <c r="AB4645" i="1"/>
  <c r="AB4644" i="1"/>
  <c r="AB4643" i="1"/>
  <c r="AB4642" i="1"/>
  <c r="AB4641" i="1"/>
  <c r="AB4640" i="1"/>
  <c r="AB4639" i="1"/>
  <c r="AB4638" i="1"/>
  <c r="AB4637" i="1"/>
  <c r="AB4636" i="1"/>
  <c r="AB4635" i="1"/>
  <c r="AB4634" i="1"/>
  <c r="AB4633" i="1"/>
  <c r="AB4632" i="1"/>
  <c r="AB4631" i="1"/>
  <c r="AB4630" i="1"/>
  <c r="AB4629" i="1"/>
  <c r="AB4628" i="1"/>
  <c r="AB4627" i="1"/>
  <c r="AB4626" i="1"/>
  <c r="AB4625" i="1"/>
  <c r="AB4624" i="1"/>
  <c r="AB4623" i="1"/>
  <c r="AB4622" i="1"/>
  <c r="AB4621" i="1"/>
  <c r="AB4620" i="1"/>
  <c r="AB4619" i="1"/>
  <c r="AB4618" i="1"/>
  <c r="AB4617" i="1"/>
  <c r="AB4616" i="1"/>
  <c r="AB4615" i="1"/>
  <c r="AB4614" i="1"/>
  <c r="AB4613" i="1"/>
  <c r="AB4612" i="1"/>
  <c r="AB4611" i="1"/>
  <c r="AB4610" i="1"/>
  <c r="AB4609" i="1"/>
  <c r="AB4608" i="1"/>
  <c r="AB4607" i="1"/>
  <c r="AB4606" i="1"/>
  <c r="AB4605" i="1"/>
  <c r="AB4604" i="1"/>
  <c r="AB4603" i="1"/>
  <c r="AB4602" i="1"/>
  <c r="AB4601" i="1"/>
  <c r="AB4600" i="1"/>
  <c r="AB4599" i="1"/>
  <c r="AB4598" i="1"/>
  <c r="AB4597" i="1"/>
  <c r="AB4596" i="1"/>
  <c r="AB4595" i="1"/>
  <c r="AB4594" i="1"/>
  <c r="AB4593" i="1"/>
  <c r="AB4592" i="1"/>
  <c r="AB4591" i="1"/>
  <c r="AB4590" i="1"/>
  <c r="AB4589" i="1"/>
  <c r="AB4588" i="1"/>
  <c r="AB4587" i="1"/>
  <c r="AB4586" i="1"/>
  <c r="AB4585" i="1"/>
  <c r="AB4584" i="1"/>
  <c r="AB4583" i="1"/>
  <c r="AB4582" i="1"/>
  <c r="AB4581" i="1"/>
  <c r="AB4580" i="1"/>
  <c r="AB4579" i="1"/>
  <c r="AB4578" i="1"/>
  <c r="AB4577" i="1"/>
  <c r="AB4576" i="1"/>
  <c r="AB4575" i="1"/>
  <c r="AB4574" i="1"/>
  <c r="AB4573" i="1"/>
  <c r="AB4572" i="1"/>
  <c r="AB4571" i="1"/>
  <c r="AB4570" i="1"/>
  <c r="AB4569" i="1"/>
  <c r="AB4568" i="1"/>
  <c r="AB4567" i="1"/>
  <c r="AB4566" i="1"/>
  <c r="AB4565" i="1"/>
  <c r="AB4564" i="1"/>
  <c r="AB4563" i="1"/>
  <c r="AB4562" i="1"/>
  <c r="AB4561" i="1"/>
  <c r="AB4560" i="1"/>
  <c r="AB4559" i="1"/>
  <c r="AB4558" i="1"/>
  <c r="AB4557" i="1"/>
  <c r="AB4556" i="1"/>
  <c r="AB4555" i="1"/>
  <c r="AB4554" i="1"/>
  <c r="AB4553" i="1"/>
  <c r="AB4552" i="1"/>
  <c r="AB4551" i="1"/>
  <c r="AB4550" i="1"/>
  <c r="AB4549" i="1"/>
  <c r="AB4548" i="1"/>
  <c r="AB4547" i="1"/>
  <c r="AB4546" i="1"/>
  <c r="AB4545" i="1"/>
  <c r="AB4544" i="1"/>
  <c r="AB4543" i="1"/>
  <c r="AB4542" i="1"/>
  <c r="AB4541" i="1"/>
  <c r="AB4540" i="1"/>
  <c r="AB4539" i="1"/>
  <c r="AB4538" i="1"/>
  <c r="AB4537" i="1"/>
  <c r="AB4536" i="1"/>
  <c r="AB4535" i="1"/>
  <c r="AB4534" i="1"/>
  <c r="AB4533" i="1"/>
  <c r="AB4532" i="1"/>
  <c r="AB4531" i="1"/>
  <c r="AB4530" i="1"/>
  <c r="AB4529" i="1"/>
  <c r="AB4528" i="1"/>
  <c r="AB4527" i="1"/>
  <c r="AB4526" i="1"/>
  <c r="AB4525" i="1"/>
  <c r="AB4524" i="1"/>
  <c r="AB4523" i="1"/>
  <c r="AB4522" i="1"/>
  <c r="AB4521" i="1"/>
  <c r="AB4520" i="1"/>
  <c r="AB4519" i="1"/>
  <c r="AB4518" i="1"/>
  <c r="AB4517" i="1"/>
  <c r="AB4516" i="1"/>
  <c r="AB4515" i="1"/>
  <c r="AB4514" i="1"/>
  <c r="AB4513" i="1"/>
  <c r="AB4512" i="1"/>
  <c r="AB4511" i="1"/>
  <c r="AB4510" i="1"/>
  <c r="AB4509" i="1"/>
  <c r="AB4508" i="1"/>
  <c r="AB4507" i="1"/>
  <c r="AB4506" i="1"/>
  <c r="AB4505" i="1"/>
  <c r="AB4504" i="1"/>
  <c r="AB4503" i="1"/>
  <c r="AB4502" i="1"/>
  <c r="AB4501" i="1"/>
  <c r="AB4500" i="1"/>
  <c r="AB4499" i="1"/>
  <c r="AB4498" i="1"/>
  <c r="AB4497" i="1"/>
  <c r="AB4496" i="1"/>
  <c r="AB4495" i="1"/>
  <c r="AB4494" i="1"/>
  <c r="AB4493" i="1"/>
  <c r="AB4492" i="1"/>
  <c r="AB4491" i="1"/>
  <c r="AB4490" i="1"/>
  <c r="AB4489" i="1"/>
  <c r="AB4488" i="1"/>
  <c r="AB4487" i="1"/>
  <c r="AB4486" i="1"/>
  <c r="AB4485" i="1"/>
  <c r="AB4484" i="1"/>
  <c r="AB4483" i="1"/>
  <c r="AB4482" i="1"/>
  <c r="AB4481" i="1"/>
  <c r="AB4480" i="1"/>
  <c r="AB4479" i="1"/>
  <c r="AB4478" i="1"/>
  <c r="AB4477" i="1"/>
  <c r="AB4476" i="1"/>
  <c r="AB4475" i="1"/>
  <c r="AB4474" i="1"/>
  <c r="AB4473" i="1"/>
  <c r="AB4472" i="1"/>
  <c r="AB4471" i="1"/>
  <c r="AB4470" i="1"/>
  <c r="AB4469" i="1"/>
  <c r="AB4468" i="1"/>
  <c r="AB4467" i="1"/>
  <c r="AB4466" i="1"/>
  <c r="AB4465" i="1"/>
  <c r="AB4464" i="1"/>
  <c r="AB4463" i="1"/>
  <c r="AB4462" i="1"/>
  <c r="AB4461" i="1"/>
  <c r="AB4460" i="1"/>
  <c r="AB4459" i="1"/>
  <c r="AB4458" i="1"/>
  <c r="AB4457" i="1"/>
  <c r="AB4456" i="1"/>
  <c r="AB4455" i="1"/>
  <c r="AB4454" i="1"/>
  <c r="AB4453" i="1"/>
  <c r="AB4452" i="1"/>
  <c r="AB4451" i="1"/>
  <c r="AB4450" i="1"/>
  <c r="AB4449" i="1"/>
  <c r="AB4448" i="1"/>
  <c r="AB4447" i="1"/>
  <c r="AB4446" i="1"/>
  <c r="AB4445" i="1"/>
  <c r="AB4444" i="1"/>
  <c r="AB4443" i="1"/>
  <c r="AB4442" i="1"/>
  <c r="AB4441" i="1"/>
  <c r="AB4440" i="1"/>
  <c r="AB4439" i="1"/>
  <c r="AB4438" i="1"/>
  <c r="AB4437" i="1"/>
  <c r="AB4436" i="1"/>
  <c r="AB4435" i="1"/>
  <c r="AB4434" i="1"/>
  <c r="AB4433" i="1"/>
  <c r="AB4432" i="1"/>
  <c r="AB4431" i="1"/>
  <c r="AB4430" i="1"/>
  <c r="AB4429" i="1"/>
  <c r="AB4428" i="1"/>
  <c r="AB4427" i="1"/>
  <c r="AB4426" i="1"/>
  <c r="AB4425" i="1"/>
  <c r="AB4424" i="1"/>
  <c r="AB4423" i="1"/>
  <c r="AB4422" i="1"/>
  <c r="AB4421" i="1"/>
  <c r="AB4420" i="1"/>
  <c r="AB4419" i="1"/>
  <c r="AB4418" i="1"/>
  <c r="AB4417" i="1"/>
  <c r="AB4416" i="1"/>
  <c r="AB4415" i="1"/>
  <c r="AB4414" i="1"/>
  <c r="AB4413" i="1"/>
  <c r="AB4412" i="1"/>
  <c r="AB4411" i="1"/>
  <c r="AB4410" i="1"/>
  <c r="AB4409" i="1"/>
  <c r="AB4408" i="1"/>
  <c r="AB4407" i="1"/>
  <c r="AB4406" i="1"/>
  <c r="AB4405" i="1"/>
  <c r="AB4404" i="1"/>
  <c r="AB4403" i="1"/>
  <c r="AB4402" i="1"/>
  <c r="AB4401" i="1"/>
  <c r="AB4400" i="1"/>
  <c r="AB4399" i="1"/>
  <c r="AB4398" i="1"/>
  <c r="AB4397" i="1"/>
  <c r="AB4396" i="1"/>
  <c r="AB4395" i="1"/>
  <c r="AB4394" i="1"/>
  <c r="AB4393" i="1"/>
  <c r="AB4392" i="1"/>
  <c r="AB4391" i="1"/>
  <c r="AB4390" i="1"/>
  <c r="AB4389" i="1"/>
  <c r="AB4388" i="1"/>
  <c r="AB4387" i="1"/>
  <c r="AB4386" i="1"/>
  <c r="AB4385" i="1"/>
  <c r="AB4384" i="1"/>
  <c r="AB4383" i="1"/>
  <c r="AB4382" i="1"/>
  <c r="AB4381" i="1"/>
  <c r="AB4380" i="1"/>
  <c r="AB4379" i="1"/>
  <c r="AB4378" i="1"/>
  <c r="AB4377" i="1"/>
  <c r="AB4376" i="1"/>
  <c r="AB4375" i="1"/>
  <c r="AB4374" i="1"/>
  <c r="AB4373" i="1"/>
  <c r="AB4372" i="1"/>
  <c r="AB4371" i="1"/>
  <c r="AB4370" i="1"/>
  <c r="AB4369" i="1"/>
  <c r="AB4368" i="1"/>
  <c r="AB4367" i="1"/>
  <c r="AB4366" i="1"/>
  <c r="AB4365" i="1"/>
  <c r="AB4364" i="1"/>
  <c r="AB4363" i="1"/>
  <c r="AB4362" i="1"/>
  <c r="AB4361" i="1"/>
  <c r="AB4360" i="1"/>
  <c r="AB4359" i="1"/>
  <c r="AB4358" i="1"/>
  <c r="AB4357" i="1"/>
  <c r="AB4356" i="1"/>
  <c r="AB4355" i="1"/>
  <c r="AB4354" i="1"/>
  <c r="AB4353" i="1"/>
  <c r="AB4352" i="1"/>
  <c r="AB4351" i="1"/>
  <c r="AB4350" i="1"/>
  <c r="AB4349" i="1"/>
  <c r="AB4348" i="1"/>
  <c r="AB4347" i="1"/>
  <c r="AB4346" i="1"/>
  <c r="AB4345" i="1"/>
  <c r="AB4344" i="1"/>
  <c r="AB4343" i="1"/>
  <c r="AB4342" i="1"/>
  <c r="AB4341" i="1"/>
  <c r="AB4340" i="1"/>
  <c r="AB4339" i="1"/>
  <c r="AB4338" i="1"/>
  <c r="AB4337" i="1"/>
  <c r="AB4336" i="1"/>
  <c r="AB4335" i="1"/>
  <c r="AB4334" i="1"/>
  <c r="AB4333" i="1"/>
  <c r="AB4332" i="1"/>
  <c r="AB4331" i="1"/>
  <c r="AB4330" i="1"/>
  <c r="AB4329" i="1"/>
  <c r="AB4328" i="1"/>
  <c r="AB4327" i="1"/>
  <c r="AB4326" i="1"/>
  <c r="AB4325" i="1"/>
  <c r="AB4324" i="1"/>
  <c r="AB4323" i="1"/>
  <c r="AB4322" i="1"/>
  <c r="AB4321" i="1"/>
  <c r="AB4320" i="1"/>
  <c r="AB4319" i="1"/>
  <c r="AB4318" i="1"/>
  <c r="AB4317" i="1"/>
  <c r="AB4316" i="1"/>
  <c r="AB4315" i="1"/>
  <c r="AB4314" i="1"/>
  <c r="AB4313" i="1"/>
  <c r="AB4312" i="1"/>
  <c r="AB4311" i="1"/>
  <c r="AB4310" i="1"/>
  <c r="AB4309" i="1"/>
  <c r="AB4308" i="1"/>
  <c r="AB4307" i="1"/>
  <c r="AB4306" i="1"/>
  <c r="AB4305" i="1"/>
  <c r="AB4304" i="1"/>
  <c r="AB4303" i="1"/>
  <c r="AB4302" i="1"/>
  <c r="AB4301" i="1"/>
  <c r="AB4300" i="1"/>
  <c r="AB4299" i="1"/>
  <c r="AB4298" i="1"/>
  <c r="AB4297" i="1"/>
  <c r="AB4296" i="1"/>
  <c r="AB4295" i="1"/>
  <c r="AB4294" i="1"/>
  <c r="AB4293" i="1"/>
  <c r="AB4292" i="1"/>
  <c r="AB4291" i="1"/>
  <c r="AB4290" i="1"/>
  <c r="AB4289" i="1"/>
  <c r="AB4288" i="1"/>
  <c r="AB4287" i="1"/>
  <c r="AB4286" i="1"/>
  <c r="AB4285" i="1"/>
  <c r="AB4284" i="1"/>
  <c r="AB4283" i="1"/>
  <c r="AB4282" i="1"/>
  <c r="AB4281" i="1"/>
  <c r="AB4280" i="1"/>
  <c r="AB4279" i="1"/>
  <c r="AB4278" i="1"/>
  <c r="AB4277" i="1"/>
  <c r="AB4276" i="1"/>
  <c r="AB4275" i="1"/>
  <c r="AB4274" i="1"/>
  <c r="AB4273" i="1"/>
  <c r="AB4272" i="1"/>
  <c r="AB4271" i="1"/>
  <c r="AB4270" i="1"/>
  <c r="AB4269" i="1"/>
  <c r="AB4268" i="1"/>
  <c r="AB4267" i="1"/>
  <c r="AB4266" i="1"/>
  <c r="AB4265" i="1"/>
  <c r="AB4264" i="1"/>
  <c r="AB4263" i="1"/>
  <c r="AB4262" i="1"/>
  <c r="AB4261" i="1"/>
  <c r="AB4260" i="1"/>
  <c r="AB4259" i="1"/>
  <c r="AB4258" i="1"/>
  <c r="AB4257" i="1"/>
  <c r="AB4256" i="1"/>
  <c r="AB4255" i="1"/>
  <c r="AB4254" i="1"/>
  <c r="AB4253" i="1"/>
  <c r="AB4252" i="1"/>
  <c r="AB4251" i="1"/>
  <c r="AB4250" i="1"/>
  <c r="AB4249" i="1"/>
  <c r="AB4248" i="1"/>
  <c r="AB4247" i="1"/>
  <c r="AB4246" i="1"/>
  <c r="AB4245" i="1"/>
  <c r="AB4244" i="1"/>
  <c r="AB4243" i="1"/>
  <c r="AB4242" i="1"/>
  <c r="AB4241" i="1"/>
  <c r="AB4240" i="1"/>
  <c r="AB4239" i="1"/>
  <c r="AB4238" i="1"/>
  <c r="AB4237" i="1"/>
  <c r="AB4236" i="1"/>
  <c r="AB4235" i="1"/>
  <c r="AB4234" i="1"/>
  <c r="AB4233" i="1"/>
  <c r="AB4232" i="1"/>
  <c r="AB4231" i="1"/>
  <c r="AB4230" i="1"/>
  <c r="AB4229" i="1"/>
  <c r="AB4228" i="1"/>
  <c r="AB4227" i="1"/>
  <c r="AB4226" i="1"/>
  <c r="AB4225" i="1"/>
  <c r="AB4224" i="1"/>
  <c r="AB4223" i="1"/>
  <c r="AB4222" i="1"/>
  <c r="AB4221" i="1"/>
  <c r="AB4220" i="1"/>
  <c r="AB4219" i="1"/>
  <c r="AB4218" i="1"/>
  <c r="AB4217" i="1"/>
  <c r="AB4216" i="1"/>
  <c r="AB4215" i="1"/>
  <c r="AB4214" i="1"/>
  <c r="AB4213" i="1"/>
  <c r="AB4212" i="1"/>
  <c r="AB4211" i="1"/>
  <c r="AB4210" i="1"/>
  <c r="AB4209" i="1"/>
  <c r="AB4208" i="1"/>
  <c r="AB4207" i="1"/>
  <c r="AB4206" i="1"/>
  <c r="AB4205" i="1"/>
  <c r="AB4204" i="1"/>
  <c r="AB4203" i="1"/>
  <c r="AB4202" i="1"/>
  <c r="AB4201" i="1"/>
  <c r="AB4200" i="1"/>
  <c r="AB4199" i="1"/>
  <c r="AB4198" i="1"/>
  <c r="AB4197" i="1"/>
  <c r="AB4196" i="1"/>
  <c r="AB4195" i="1"/>
  <c r="AB4194" i="1"/>
  <c r="AB4193" i="1"/>
  <c r="AB4192" i="1"/>
  <c r="AB4191" i="1"/>
  <c r="AB4190" i="1"/>
  <c r="AB4189" i="1"/>
  <c r="AB4188" i="1"/>
  <c r="AB4187" i="1"/>
  <c r="AB4186" i="1"/>
  <c r="AB4185" i="1"/>
  <c r="AB4184" i="1"/>
  <c r="AB4183" i="1"/>
  <c r="AB4182" i="1"/>
  <c r="AB4181" i="1"/>
  <c r="AB4180" i="1"/>
  <c r="AB4179" i="1"/>
  <c r="AB4178" i="1"/>
  <c r="AB4177" i="1"/>
  <c r="AB4176" i="1"/>
  <c r="AB4175" i="1"/>
  <c r="AB4174" i="1"/>
  <c r="AB4173" i="1"/>
  <c r="AB4172" i="1"/>
  <c r="AB4171" i="1"/>
  <c r="AB4170" i="1"/>
  <c r="AB4169" i="1"/>
  <c r="AB4168" i="1"/>
  <c r="AB4167" i="1"/>
  <c r="AB4166" i="1"/>
  <c r="AB4165" i="1"/>
  <c r="AB4164" i="1"/>
  <c r="AB4163" i="1"/>
  <c r="AB4162" i="1"/>
  <c r="AB4161" i="1"/>
  <c r="AB4160" i="1"/>
  <c r="AB4159" i="1"/>
  <c r="AB4158" i="1"/>
  <c r="AB4157" i="1"/>
  <c r="AB4156" i="1"/>
  <c r="AB4155" i="1"/>
  <c r="AB4154" i="1"/>
  <c r="AB4153" i="1"/>
  <c r="AB4152" i="1"/>
  <c r="AB4151" i="1"/>
  <c r="AB4150" i="1"/>
  <c r="AB4149" i="1"/>
  <c r="AB4148" i="1"/>
  <c r="AB4147" i="1"/>
  <c r="AB4146" i="1"/>
  <c r="AB4145" i="1"/>
  <c r="AB4144" i="1"/>
  <c r="AB4143" i="1"/>
  <c r="AB4142" i="1"/>
  <c r="AB4141" i="1"/>
  <c r="AB4140" i="1"/>
  <c r="AB4139" i="1"/>
  <c r="AB4138" i="1"/>
  <c r="AB4137" i="1"/>
  <c r="AB4136" i="1"/>
  <c r="AB4135" i="1"/>
  <c r="AB4134" i="1"/>
  <c r="AB4133" i="1"/>
  <c r="AB4132" i="1"/>
  <c r="AB4131" i="1"/>
  <c r="AB4130" i="1"/>
  <c r="AB4129" i="1"/>
  <c r="AB4128" i="1"/>
  <c r="AB4127" i="1"/>
  <c r="AB4126" i="1"/>
  <c r="AB4125" i="1"/>
  <c r="AB4124" i="1"/>
  <c r="AB4123" i="1"/>
  <c r="AB4122" i="1"/>
  <c r="AB4121" i="1"/>
  <c r="AB4120" i="1"/>
  <c r="AB4119" i="1"/>
  <c r="AB4118" i="1"/>
  <c r="AB4117" i="1"/>
  <c r="AB4116" i="1"/>
  <c r="AB4115" i="1"/>
  <c r="AB4114" i="1"/>
  <c r="AB4113" i="1"/>
  <c r="AB4112" i="1"/>
  <c r="AB4111" i="1"/>
  <c r="AB4110" i="1"/>
  <c r="AB4109" i="1"/>
  <c r="AB4108" i="1"/>
  <c r="AB4107" i="1"/>
  <c r="AB4106" i="1"/>
  <c r="AB4105" i="1"/>
  <c r="AB4104" i="1"/>
  <c r="AB4103" i="1"/>
  <c r="AB4102" i="1"/>
  <c r="AB4101" i="1"/>
  <c r="AB4100" i="1"/>
  <c r="AB4099" i="1"/>
  <c r="AB4098" i="1"/>
  <c r="AB4097" i="1"/>
  <c r="AB4096" i="1"/>
  <c r="AB4095" i="1"/>
  <c r="AB4094" i="1"/>
  <c r="AB4093" i="1"/>
  <c r="AB4092" i="1"/>
  <c r="AB4091" i="1"/>
  <c r="AB4090" i="1"/>
  <c r="AB4089" i="1"/>
  <c r="AB4088" i="1"/>
  <c r="AB4087" i="1"/>
  <c r="AB4086" i="1"/>
  <c r="AB4085" i="1"/>
  <c r="AB4084" i="1"/>
  <c r="AB4083" i="1"/>
  <c r="AB4082" i="1"/>
  <c r="AB4081" i="1"/>
  <c r="AB4080" i="1"/>
  <c r="AB4079" i="1"/>
  <c r="AB4078" i="1"/>
  <c r="AB4077" i="1"/>
  <c r="AB4076" i="1"/>
  <c r="AB4075" i="1"/>
  <c r="AB4074" i="1"/>
  <c r="AB4073" i="1"/>
  <c r="AB4072" i="1"/>
  <c r="AB4071" i="1"/>
  <c r="AB4070" i="1"/>
  <c r="AB4069" i="1"/>
  <c r="AB4068" i="1"/>
  <c r="AB4067" i="1"/>
  <c r="AB4066" i="1"/>
  <c r="AB4065" i="1"/>
  <c r="AB4064" i="1"/>
  <c r="AB4063" i="1"/>
  <c r="AB4062" i="1"/>
  <c r="AB4061" i="1"/>
  <c r="AB4060" i="1"/>
  <c r="AB4059" i="1"/>
  <c r="AB4058" i="1"/>
  <c r="AB4057" i="1"/>
  <c r="AB4056" i="1"/>
  <c r="AB4055" i="1"/>
  <c r="AB4054" i="1"/>
  <c r="AB4053" i="1"/>
  <c r="AB4052" i="1"/>
  <c r="AB4051" i="1"/>
  <c r="AB4050" i="1"/>
  <c r="AB4049" i="1"/>
  <c r="AB4048" i="1"/>
  <c r="AB4047" i="1"/>
  <c r="AB4046" i="1"/>
  <c r="AB4045" i="1"/>
  <c r="AB4044" i="1"/>
  <c r="AB4043" i="1"/>
  <c r="AB4042" i="1"/>
  <c r="AB4041" i="1"/>
  <c r="AB4040" i="1"/>
  <c r="AB4039" i="1"/>
  <c r="AB4038" i="1"/>
  <c r="AB4037" i="1"/>
  <c r="AB4036" i="1"/>
  <c r="AB4035" i="1"/>
  <c r="AB4034" i="1"/>
  <c r="AB4033" i="1"/>
  <c r="AB4032" i="1"/>
  <c r="AB4031" i="1"/>
  <c r="AB4030" i="1"/>
  <c r="AB4029" i="1"/>
  <c r="AB4028" i="1"/>
  <c r="AB4027" i="1"/>
  <c r="AB4026" i="1"/>
  <c r="AB4025" i="1"/>
  <c r="AB4024" i="1"/>
  <c r="AB4023" i="1"/>
  <c r="AB4022" i="1"/>
  <c r="AB4021" i="1"/>
  <c r="AB4020" i="1"/>
  <c r="AB4019" i="1"/>
  <c r="AB4018" i="1"/>
  <c r="AB4017" i="1"/>
  <c r="AB4016" i="1"/>
  <c r="AB4015" i="1"/>
  <c r="AB4014" i="1"/>
  <c r="AB4013" i="1"/>
  <c r="AB4012" i="1"/>
  <c r="AB4011" i="1"/>
  <c r="AB4010" i="1"/>
  <c r="AB4009" i="1"/>
  <c r="AB4008" i="1"/>
  <c r="AB4007" i="1"/>
  <c r="AB4006" i="1"/>
  <c r="AB4005" i="1"/>
  <c r="AB4004" i="1"/>
  <c r="AB4003" i="1"/>
  <c r="AB4002" i="1"/>
  <c r="AB4001" i="1"/>
  <c r="AB4000" i="1"/>
  <c r="AB3999" i="1"/>
  <c r="AB3998" i="1"/>
  <c r="AB3997" i="1"/>
  <c r="AB3996" i="1"/>
  <c r="AB3995" i="1"/>
  <c r="AB3994" i="1"/>
  <c r="AB3993" i="1"/>
  <c r="AB3992" i="1"/>
  <c r="AB3991" i="1"/>
  <c r="AB3990" i="1"/>
  <c r="AB3989" i="1"/>
  <c r="AB3988" i="1"/>
  <c r="AB3987" i="1"/>
  <c r="AB3986" i="1"/>
  <c r="AB3985" i="1"/>
  <c r="AB3984" i="1"/>
  <c r="AB3983" i="1"/>
  <c r="AB3982" i="1"/>
  <c r="AB3981" i="1"/>
  <c r="AB3980" i="1"/>
  <c r="AB3979" i="1"/>
  <c r="AB3978" i="1"/>
  <c r="AB3977" i="1"/>
  <c r="AB3976" i="1"/>
  <c r="AB3975" i="1"/>
  <c r="AB3974" i="1"/>
  <c r="AB3973" i="1"/>
  <c r="AB3972" i="1"/>
  <c r="AB3971" i="1"/>
  <c r="AB3970" i="1"/>
  <c r="AB3969" i="1"/>
  <c r="AB3968" i="1"/>
  <c r="AB3967" i="1"/>
  <c r="AB3966" i="1"/>
  <c r="AB3965" i="1"/>
  <c r="AB3964" i="1"/>
  <c r="AB3963" i="1"/>
  <c r="AB3962" i="1"/>
  <c r="AB3961" i="1"/>
  <c r="AB3960" i="1"/>
  <c r="AB3959" i="1"/>
  <c r="AB3958" i="1"/>
  <c r="AB3957" i="1"/>
  <c r="AB3956" i="1"/>
  <c r="AB3955" i="1"/>
  <c r="AB3954" i="1"/>
  <c r="AB3953" i="1"/>
  <c r="AB3952" i="1"/>
  <c r="AB3951" i="1"/>
  <c r="AB3950" i="1"/>
  <c r="AB3949" i="1"/>
  <c r="AB3948" i="1"/>
  <c r="AB3947" i="1"/>
  <c r="AB3946" i="1"/>
  <c r="AB3945" i="1"/>
  <c r="AB3944" i="1"/>
  <c r="AB3943" i="1"/>
  <c r="AB3942" i="1"/>
  <c r="AB3941" i="1"/>
  <c r="AB3940" i="1"/>
  <c r="AB3939" i="1"/>
  <c r="AB3938" i="1"/>
  <c r="AB3937" i="1"/>
  <c r="AB3936" i="1"/>
  <c r="AB3935" i="1"/>
  <c r="AB3934" i="1"/>
  <c r="AB3933" i="1"/>
  <c r="AB3932" i="1"/>
  <c r="AB3931" i="1"/>
  <c r="AB3930" i="1"/>
  <c r="AB3929" i="1"/>
  <c r="AB3928" i="1"/>
  <c r="AB3927" i="1"/>
  <c r="AB3926" i="1"/>
  <c r="AB3925" i="1"/>
  <c r="AB3924" i="1"/>
  <c r="AB3923" i="1"/>
  <c r="AB3922" i="1"/>
  <c r="AB3921" i="1"/>
  <c r="AB3920" i="1"/>
  <c r="AB3919" i="1"/>
  <c r="AB3918" i="1"/>
  <c r="AB3917" i="1"/>
  <c r="AB3916" i="1"/>
  <c r="AB3915" i="1"/>
  <c r="AB3914" i="1"/>
  <c r="AB3913" i="1"/>
  <c r="AB3912" i="1"/>
  <c r="AB3911" i="1"/>
  <c r="AB3910" i="1"/>
  <c r="AB3909" i="1"/>
  <c r="AB3908" i="1"/>
  <c r="AB3907" i="1"/>
  <c r="AB3906" i="1"/>
  <c r="AB3905" i="1"/>
  <c r="AB3904" i="1"/>
  <c r="AB3903" i="1"/>
  <c r="AB3902" i="1"/>
  <c r="AB3901" i="1"/>
  <c r="AB3900" i="1"/>
  <c r="AB3899" i="1"/>
  <c r="AB3898" i="1"/>
  <c r="AB3897" i="1"/>
  <c r="AB3896" i="1"/>
  <c r="AB3895" i="1"/>
  <c r="AB3894" i="1"/>
  <c r="AB3893" i="1"/>
  <c r="AB3892" i="1"/>
  <c r="AB3891" i="1"/>
  <c r="AB3890" i="1"/>
  <c r="AB3889" i="1"/>
  <c r="AB3888" i="1"/>
  <c r="AB3887" i="1"/>
  <c r="AB3886" i="1"/>
  <c r="AB3885" i="1"/>
  <c r="AB3884" i="1"/>
  <c r="AB3883" i="1"/>
  <c r="AB3882" i="1"/>
  <c r="AB3881" i="1"/>
  <c r="AB3880" i="1"/>
  <c r="AB3879" i="1"/>
  <c r="AB3878" i="1"/>
  <c r="AB3877" i="1"/>
  <c r="AB3876" i="1"/>
  <c r="AB3875" i="1"/>
  <c r="AB3874" i="1"/>
  <c r="AB3873" i="1"/>
  <c r="AB3872" i="1"/>
  <c r="AB3871" i="1"/>
  <c r="AB3870" i="1"/>
  <c r="AB3869" i="1"/>
  <c r="AB3868" i="1"/>
  <c r="AB3867" i="1"/>
  <c r="AB3866" i="1"/>
  <c r="AB3865" i="1"/>
  <c r="AB3864" i="1"/>
  <c r="AB3863" i="1"/>
  <c r="AB3862" i="1"/>
  <c r="AB3861" i="1"/>
  <c r="AB3860" i="1"/>
  <c r="AB3859" i="1"/>
  <c r="AB3858" i="1"/>
  <c r="AB3857" i="1"/>
  <c r="AB3856" i="1"/>
  <c r="AB3855" i="1"/>
  <c r="AB3854" i="1"/>
  <c r="AB3853" i="1"/>
  <c r="AB3852" i="1"/>
  <c r="AB3851" i="1"/>
  <c r="AB3850" i="1"/>
  <c r="AB3849" i="1"/>
  <c r="AB3848" i="1"/>
  <c r="AB3847" i="1"/>
  <c r="AB3846" i="1"/>
  <c r="AB3845" i="1"/>
  <c r="AB3844" i="1"/>
  <c r="AB3843" i="1"/>
  <c r="AB3842" i="1"/>
  <c r="AB3841" i="1"/>
  <c r="AB3840" i="1"/>
  <c r="AB3839" i="1"/>
  <c r="AB3838" i="1"/>
  <c r="AB3837" i="1"/>
  <c r="AB3836" i="1"/>
  <c r="AB3835" i="1"/>
  <c r="AB3834" i="1"/>
  <c r="AB3833" i="1"/>
  <c r="AB3832" i="1"/>
  <c r="AB3831" i="1"/>
  <c r="AB3830" i="1"/>
  <c r="AB3829" i="1"/>
  <c r="AB3828" i="1"/>
  <c r="AB3827" i="1"/>
  <c r="AB3826" i="1"/>
  <c r="AB3825" i="1"/>
  <c r="AB3824" i="1"/>
  <c r="AB3823" i="1"/>
  <c r="AB3822" i="1"/>
  <c r="AB3821" i="1"/>
  <c r="AB3820" i="1"/>
  <c r="AB3819" i="1"/>
  <c r="AB3818" i="1"/>
  <c r="AB3817" i="1"/>
  <c r="AB3816" i="1"/>
  <c r="AB3815" i="1"/>
  <c r="AB3814" i="1"/>
  <c r="AB3813" i="1"/>
  <c r="AB3812" i="1"/>
  <c r="AB3811" i="1"/>
  <c r="AB3810" i="1"/>
  <c r="AB3809" i="1"/>
  <c r="AB3808" i="1"/>
  <c r="AB3807" i="1"/>
  <c r="AB3806" i="1"/>
  <c r="AB3805" i="1"/>
  <c r="AB3804" i="1"/>
  <c r="AB3803" i="1"/>
  <c r="AB3802" i="1"/>
  <c r="AB3801" i="1"/>
  <c r="AB3800" i="1"/>
  <c r="AB3799" i="1"/>
  <c r="AB3798" i="1"/>
  <c r="AB3797" i="1"/>
  <c r="AB3796" i="1"/>
  <c r="AB3795" i="1"/>
  <c r="AB3794" i="1"/>
  <c r="AB3793" i="1"/>
  <c r="AB3792" i="1"/>
  <c r="AB3791" i="1"/>
  <c r="AB3790" i="1"/>
  <c r="AB3789" i="1"/>
  <c r="AB3788" i="1"/>
  <c r="AB3787" i="1"/>
  <c r="AB3786" i="1"/>
  <c r="AB3785" i="1"/>
  <c r="AB3784" i="1"/>
  <c r="AB3783" i="1"/>
  <c r="AB3782" i="1"/>
  <c r="AB3781" i="1"/>
  <c r="AB3780" i="1"/>
  <c r="AB3779" i="1"/>
  <c r="AB3778" i="1"/>
  <c r="AB3777" i="1"/>
  <c r="AB3776" i="1"/>
  <c r="AB3775" i="1"/>
  <c r="AB3774" i="1"/>
  <c r="AB3773" i="1"/>
  <c r="AB3772" i="1"/>
  <c r="AB3771" i="1"/>
  <c r="AB3770" i="1"/>
  <c r="AB3769" i="1"/>
  <c r="AB3768" i="1"/>
  <c r="AB3767" i="1"/>
  <c r="AB3766" i="1"/>
  <c r="AB3765" i="1"/>
  <c r="AB3764" i="1"/>
  <c r="AB3763" i="1"/>
  <c r="AB3762" i="1"/>
  <c r="AB3761" i="1"/>
  <c r="AB3760" i="1"/>
  <c r="AB3759" i="1"/>
  <c r="AB3758" i="1"/>
  <c r="AB3757" i="1"/>
  <c r="AB3756" i="1"/>
  <c r="AB3755" i="1"/>
  <c r="AB3754" i="1"/>
  <c r="AB3753" i="1"/>
  <c r="AB3752" i="1"/>
  <c r="AB3751" i="1"/>
  <c r="AB3750" i="1"/>
  <c r="AB3749" i="1"/>
  <c r="AB3748" i="1"/>
  <c r="AB3747" i="1"/>
  <c r="AB3746" i="1"/>
  <c r="AB3745" i="1"/>
  <c r="AB3744" i="1"/>
  <c r="AB3743" i="1"/>
  <c r="AB3742" i="1"/>
  <c r="AB3741" i="1"/>
  <c r="AB3740" i="1"/>
  <c r="AB3739" i="1"/>
  <c r="AB3738" i="1"/>
  <c r="AB3737" i="1"/>
  <c r="AB3736" i="1"/>
  <c r="AB3735" i="1"/>
  <c r="AB3734" i="1"/>
  <c r="AB3733" i="1"/>
  <c r="AB3732" i="1"/>
  <c r="AB3731" i="1"/>
  <c r="AB3730" i="1"/>
  <c r="AB3729" i="1"/>
  <c r="AB3728" i="1"/>
  <c r="AB3727" i="1"/>
  <c r="AB3726" i="1"/>
  <c r="AB3725" i="1"/>
  <c r="AB3724" i="1"/>
  <c r="AB3723" i="1"/>
  <c r="AB3722" i="1"/>
  <c r="AB3721" i="1"/>
  <c r="AB3720" i="1"/>
  <c r="AB3719" i="1"/>
  <c r="AB3718" i="1"/>
  <c r="AB3717" i="1"/>
  <c r="AB3716" i="1"/>
  <c r="AB3715" i="1"/>
  <c r="AB3714" i="1"/>
  <c r="AB3713" i="1"/>
  <c r="AB3712" i="1"/>
  <c r="AB3711" i="1"/>
  <c r="AB3710" i="1"/>
  <c r="AB3709" i="1"/>
  <c r="AB3708" i="1"/>
  <c r="AB3707" i="1"/>
  <c r="AB3706" i="1"/>
  <c r="AB3705" i="1"/>
  <c r="AB3704" i="1"/>
  <c r="AB3703" i="1"/>
  <c r="AB3702" i="1"/>
  <c r="AB3701" i="1"/>
  <c r="AB3700" i="1"/>
  <c r="AB3699" i="1"/>
  <c r="AB3698" i="1"/>
  <c r="AB3697" i="1"/>
  <c r="AB3696" i="1"/>
  <c r="AB3695" i="1"/>
  <c r="AB3694" i="1"/>
  <c r="AB3693" i="1"/>
  <c r="AB3692" i="1"/>
  <c r="AB3691" i="1"/>
  <c r="AB3690" i="1"/>
  <c r="AB3689" i="1"/>
  <c r="AB3688" i="1"/>
  <c r="AB3687" i="1"/>
  <c r="AB3686" i="1"/>
  <c r="AB3685" i="1"/>
  <c r="AB3684" i="1"/>
  <c r="AB3683" i="1"/>
  <c r="AB3682" i="1"/>
  <c r="AB3681" i="1"/>
  <c r="AB3680" i="1"/>
  <c r="AB3679" i="1"/>
  <c r="AB3678" i="1"/>
  <c r="AB3677" i="1"/>
  <c r="AB3676" i="1"/>
  <c r="AB3675" i="1"/>
  <c r="AB3674" i="1"/>
  <c r="AB3673" i="1"/>
  <c r="AB3672" i="1"/>
  <c r="AB3671" i="1"/>
  <c r="AB3670" i="1"/>
  <c r="AB3669" i="1"/>
  <c r="AB3668" i="1"/>
  <c r="AB3667" i="1"/>
  <c r="AB3666" i="1"/>
  <c r="AB3665" i="1"/>
  <c r="AB3664" i="1"/>
  <c r="AB3663" i="1"/>
  <c r="AB3662" i="1"/>
  <c r="AB3661" i="1"/>
  <c r="AB3660" i="1"/>
  <c r="AB3659" i="1"/>
  <c r="AB3658" i="1"/>
  <c r="AB3657" i="1"/>
  <c r="AB3656" i="1"/>
  <c r="AB3655" i="1"/>
  <c r="AB3654" i="1"/>
  <c r="AB3653" i="1"/>
  <c r="AB3652" i="1"/>
  <c r="AB3651" i="1"/>
  <c r="AB3650" i="1"/>
  <c r="AB3649" i="1"/>
  <c r="AB3648" i="1"/>
  <c r="AB3647" i="1"/>
  <c r="AB3646" i="1"/>
  <c r="AB3645" i="1"/>
  <c r="AB3644" i="1"/>
  <c r="AB3643" i="1"/>
  <c r="AB3642" i="1"/>
  <c r="AB3641" i="1"/>
  <c r="AB3640" i="1"/>
  <c r="AB3639" i="1"/>
  <c r="AB3638" i="1"/>
  <c r="AB3637" i="1"/>
  <c r="AB3636" i="1"/>
  <c r="AB3635" i="1"/>
  <c r="AB3634" i="1"/>
  <c r="AB3633" i="1"/>
  <c r="AB3632" i="1"/>
  <c r="AB3631" i="1"/>
  <c r="AB3630" i="1"/>
  <c r="AB3629" i="1"/>
  <c r="AB3628" i="1"/>
  <c r="AB3627" i="1"/>
  <c r="AB3626" i="1"/>
  <c r="AB3625" i="1"/>
  <c r="AB3624" i="1"/>
  <c r="AB3623" i="1"/>
  <c r="AB3622" i="1"/>
  <c r="AB3621" i="1"/>
  <c r="AB3620" i="1"/>
  <c r="AB3619" i="1"/>
  <c r="AB3618" i="1"/>
  <c r="AB3617" i="1"/>
  <c r="AB3616" i="1"/>
  <c r="AB3615" i="1"/>
  <c r="AB3614" i="1"/>
  <c r="AB3613" i="1"/>
  <c r="AB3612" i="1"/>
  <c r="AB3611" i="1"/>
  <c r="AB3610" i="1"/>
  <c r="AB3609" i="1"/>
  <c r="AB3608" i="1"/>
  <c r="AB3607" i="1"/>
  <c r="AB3606" i="1"/>
  <c r="AB3605" i="1"/>
  <c r="AB3604" i="1"/>
  <c r="AB3603" i="1"/>
  <c r="AB3602" i="1"/>
  <c r="AB3601" i="1"/>
  <c r="AB3600" i="1"/>
  <c r="AB3599" i="1"/>
  <c r="AB3598" i="1"/>
  <c r="AB3597" i="1"/>
  <c r="AB3596" i="1"/>
  <c r="AB3595" i="1"/>
  <c r="AB3594" i="1"/>
  <c r="AB3593" i="1"/>
  <c r="AB3592" i="1"/>
  <c r="AB3591" i="1"/>
  <c r="AB3590" i="1"/>
  <c r="AB3589" i="1"/>
  <c r="AB3588" i="1"/>
  <c r="AB3587" i="1"/>
  <c r="AB3586" i="1"/>
  <c r="AB3585" i="1"/>
  <c r="AB3584" i="1"/>
  <c r="AB3583" i="1"/>
  <c r="AB3582" i="1"/>
  <c r="AB3581" i="1"/>
  <c r="AB3580" i="1"/>
  <c r="AB3579" i="1"/>
  <c r="AB3578" i="1"/>
  <c r="AB3577" i="1"/>
  <c r="AB3576" i="1"/>
  <c r="AB3575" i="1"/>
  <c r="AB3574" i="1"/>
  <c r="AB3573" i="1"/>
  <c r="AB3572" i="1"/>
  <c r="AB3571" i="1"/>
  <c r="AB3570" i="1"/>
  <c r="AB3569" i="1"/>
  <c r="AB3568" i="1"/>
  <c r="AB3567" i="1"/>
  <c r="AB3566" i="1"/>
  <c r="AB3565" i="1"/>
  <c r="AB3564" i="1"/>
  <c r="AB3563" i="1"/>
  <c r="AB3562" i="1"/>
  <c r="AB3561" i="1"/>
  <c r="AB3560" i="1"/>
  <c r="AB3559" i="1"/>
  <c r="AB3558" i="1"/>
  <c r="AB3557" i="1"/>
  <c r="AB3556" i="1"/>
  <c r="AB3555" i="1"/>
  <c r="AB3554" i="1"/>
  <c r="AB3553" i="1"/>
  <c r="AB3552" i="1"/>
  <c r="AB3551" i="1"/>
  <c r="AB3550" i="1"/>
  <c r="AB3549" i="1"/>
  <c r="AB3548" i="1"/>
  <c r="AB3547" i="1"/>
  <c r="AB3546" i="1"/>
  <c r="AB3545" i="1"/>
  <c r="AB3544" i="1"/>
  <c r="AB3543" i="1"/>
  <c r="AB3542" i="1"/>
  <c r="AB3541" i="1"/>
  <c r="AB3540" i="1"/>
  <c r="AB3539" i="1"/>
  <c r="AB3538" i="1"/>
  <c r="AB3537" i="1"/>
  <c r="AB3536" i="1"/>
  <c r="AB3535" i="1"/>
  <c r="AB3534" i="1"/>
  <c r="AB3533" i="1"/>
  <c r="AB3532" i="1"/>
  <c r="AB3531" i="1"/>
  <c r="AB3530" i="1"/>
  <c r="AB3529" i="1"/>
  <c r="AB3528" i="1"/>
  <c r="AB3527" i="1"/>
  <c r="AB3526" i="1"/>
  <c r="AB3525" i="1"/>
  <c r="AB3524" i="1"/>
  <c r="AB3523" i="1"/>
  <c r="AB3522" i="1"/>
  <c r="AB3521" i="1"/>
  <c r="AB3520" i="1"/>
  <c r="AB3519" i="1"/>
  <c r="AB3518" i="1"/>
  <c r="AB3517" i="1"/>
  <c r="AB3516" i="1"/>
  <c r="AB3515" i="1"/>
  <c r="AB3514" i="1"/>
  <c r="AB3513" i="1"/>
  <c r="AB3512" i="1"/>
  <c r="AB3511" i="1"/>
  <c r="AB3510" i="1"/>
  <c r="AB3509" i="1"/>
  <c r="AB3508" i="1"/>
  <c r="AB3507" i="1"/>
  <c r="AB3506" i="1"/>
  <c r="AB3505" i="1"/>
  <c r="AB3504" i="1"/>
  <c r="AB3503" i="1"/>
  <c r="AB3502" i="1"/>
  <c r="AB3501" i="1"/>
  <c r="AB3500" i="1"/>
  <c r="AB3499" i="1"/>
  <c r="AB3498" i="1"/>
  <c r="AB3497" i="1"/>
  <c r="AB3496" i="1"/>
  <c r="AB3495" i="1"/>
  <c r="AB3494" i="1"/>
  <c r="AB3493" i="1"/>
  <c r="AB3492" i="1"/>
  <c r="AB3491" i="1"/>
  <c r="AB3490" i="1"/>
  <c r="AB3489" i="1"/>
  <c r="AB3488" i="1"/>
  <c r="AB3487" i="1"/>
  <c r="AB3486" i="1"/>
  <c r="AB3485" i="1"/>
  <c r="AB3484" i="1"/>
  <c r="AB3483" i="1"/>
  <c r="AB3482" i="1"/>
  <c r="AB3481" i="1"/>
  <c r="AB3480" i="1"/>
  <c r="AB3479" i="1"/>
  <c r="AB3478" i="1"/>
  <c r="AB3477" i="1"/>
  <c r="AB3476" i="1"/>
  <c r="AB3475" i="1"/>
  <c r="AB3474" i="1"/>
  <c r="AB3473" i="1"/>
  <c r="AB3472" i="1"/>
  <c r="AB3471" i="1"/>
  <c r="AB3470" i="1"/>
  <c r="AB3469" i="1"/>
  <c r="AB3468" i="1"/>
  <c r="AB3467" i="1"/>
  <c r="AB3466" i="1"/>
  <c r="AB3465" i="1"/>
  <c r="AB3464" i="1"/>
  <c r="AB3463" i="1"/>
  <c r="AB3462" i="1"/>
  <c r="AB3461" i="1"/>
  <c r="AB3460" i="1"/>
  <c r="AB3459" i="1"/>
  <c r="AB3458" i="1"/>
  <c r="AB3457" i="1"/>
  <c r="AB3456" i="1"/>
  <c r="AB3455" i="1"/>
  <c r="AB3454" i="1"/>
  <c r="AB3453" i="1"/>
  <c r="AB3452" i="1"/>
  <c r="AB3451" i="1"/>
  <c r="AB3450" i="1"/>
  <c r="AB3449" i="1"/>
  <c r="AB3448" i="1"/>
  <c r="AB3447" i="1"/>
  <c r="AB3446" i="1"/>
  <c r="AB3445" i="1"/>
  <c r="AB3444" i="1"/>
  <c r="AB3443" i="1"/>
  <c r="AB3442" i="1"/>
  <c r="AB3441" i="1"/>
  <c r="AB3440" i="1"/>
  <c r="AB3439" i="1"/>
  <c r="AB3438" i="1"/>
  <c r="AB3437" i="1"/>
  <c r="AB3436" i="1"/>
  <c r="AB3435" i="1"/>
  <c r="AB3434" i="1"/>
  <c r="AB3433" i="1"/>
  <c r="AB3432" i="1"/>
  <c r="AB3431" i="1"/>
  <c r="AB3430" i="1"/>
  <c r="AB3429" i="1"/>
  <c r="AB3428" i="1"/>
  <c r="AB3427" i="1"/>
  <c r="AB3426" i="1"/>
  <c r="AB3425" i="1"/>
  <c r="AB3424" i="1"/>
  <c r="AB3423" i="1"/>
  <c r="AB3422" i="1"/>
  <c r="AB3421" i="1"/>
  <c r="AB3420" i="1"/>
  <c r="AB3419" i="1"/>
  <c r="AB3418" i="1"/>
  <c r="AB3417" i="1"/>
  <c r="AB3416" i="1"/>
  <c r="AB3415" i="1"/>
  <c r="AB3414" i="1"/>
  <c r="AB3413" i="1"/>
  <c r="AB3412" i="1"/>
  <c r="AB3411" i="1"/>
  <c r="AB3410" i="1"/>
  <c r="AB3409" i="1"/>
  <c r="AB3408" i="1"/>
  <c r="AB3407" i="1"/>
  <c r="AB3406" i="1"/>
  <c r="AB3405" i="1"/>
  <c r="AB3404" i="1"/>
  <c r="AB3403" i="1"/>
  <c r="AB3402" i="1"/>
  <c r="AB3401" i="1"/>
  <c r="AB3400" i="1"/>
  <c r="AB3399" i="1"/>
  <c r="AB3398" i="1"/>
  <c r="AB3397" i="1"/>
  <c r="AB3396" i="1"/>
  <c r="AB3395" i="1"/>
  <c r="AB3394" i="1"/>
  <c r="AB3393" i="1"/>
  <c r="AB3392" i="1"/>
  <c r="AB3391" i="1"/>
  <c r="AB3390" i="1"/>
  <c r="AB3389" i="1"/>
  <c r="AB3388" i="1"/>
  <c r="AB3387" i="1"/>
  <c r="AB3386" i="1"/>
  <c r="AB3385" i="1"/>
  <c r="AB3384" i="1"/>
  <c r="AB3383" i="1"/>
  <c r="AB3382" i="1"/>
  <c r="AB3381" i="1"/>
  <c r="AB3380" i="1"/>
  <c r="AB3379" i="1"/>
  <c r="AB3378" i="1"/>
  <c r="AB3377" i="1"/>
  <c r="AB3376" i="1"/>
  <c r="AB3375" i="1"/>
  <c r="AB3374" i="1"/>
  <c r="AB3373" i="1"/>
  <c r="AB3372" i="1"/>
  <c r="AB3371" i="1"/>
  <c r="AB3370" i="1"/>
  <c r="AB3369" i="1"/>
  <c r="AB3368" i="1"/>
  <c r="AB3367" i="1"/>
  <c r="AB3366" i="1"/>
  <c r="AB3365" i="1"/>
  <c r="AB3364" i="1"/>
  <c r="AB3363" i="1"/>
  <c r="AB3362" i="1"/>
  <c r="AB3361" i="1"/>
  <c r="AB3360" i="1"/>
  <c r="AB3359" i="1"/>
  <c r="AB3358" i="1"/>
  <c r="AB3357" i="1"/>
  <c r="AB3356" i="1"/>
  <c r="AB3355" i="1"/>
  <c r="AB3354" i="1"/>
  <c r="AB3353" i="1"/>
  <c r="AB3352" i="1"/>
  <c r="AB3351" i="1"/>
  <c r="AB3350" i="1"/>
  <c r="AB3349" i="1"/>
  <c r="AB3348" i="1"/>
  <c r="AB3347" i="1"/>
  <c r="AB3346" i="1"/>
  <c r="AB3345" i="1"/>
  <c r="AB3344" i="1"/>
  <c r="AB3343" i="1"/>
  <c r="AB3342" i="1"/>
  <c r="AB3341" i="1"/>
  <c r="AB3340" i="1"/>
  <c r="AB3339" i="1"/>
  <c r="AB3338" i="1"/>
  <c r="AB3337" i="1"/>
  <c r="AB3336" i="1"/>
  <c r="AB3335" i="1"/>
  <c r="AB3334" i="1"/>
  <c r="AB3333" i="1"/>
  <c r="AB3332" i="1"/>
  <c r="AB3331" i="1"/>
  <c r="AB3330" i="1"/>
  <c r="AB3329" i="1"/>
  <c r="AB3328" i="1"/>
  <c r="AB3327" i="1"/>
  <c r="AB3326" i="1"/>
  <c r="AB3325" i="1"/>
  <c r="AB3324" i="1"/>
  <c r="AB3323" i="1"/>
  <c r="AB3322" i="1"/>
  <c r="AB3321" i="1"/>
  <c r="AB3320" i="1"/>
  <c r="AB3319" i="1"/>
  <c r="AB3318" i="1"/>
  <c r="AB3317" i="1"/>
  <c r="AB3316" i="1"/>
  <c r="AB3315" i="1"/>
  <c r="AB3314" i="1"/>
  <c r="AB3313" i="1"/>
  <c r="AB3312" i="1"/>
  <c r="AB3311" i="1"/>
  <c r="AB3310" i="1"/>
  <c r="AB3309" i="1"/>
  <c r="AB3308" i="1"/>
  <c r="AB3307" i="1"/>
  <c r="AB3306" i="1"/>
  <c r="AB3305" i="1"/>
  <c r="AB3304" i="1"/>
  <c r="AB3303" i="1"/>
  <c r="AB3302" i="1"/>
  <c r="AB3301" i="1"/>
  <c r="AB3300" i="1"/>
  <c r="AB3299" i="1"/>
  <c r="AB3298" i="1"/>
  <c r="AB3297" i="1"/>
  <c r="AB3296" i="1"/>
  <c r="AB3295" i="1"/>
  <c r="AB3294" i="1"/>
  <c r="AB3293" i="1"/>
  <c r="AB3292" i="1"/>
  <c r="AB3291" i="1"/>
  <c r="AB3290" i="1"/>
  <c r="AB3289" i="1"/>
  <c r="AB3288" i="1"/>
  <c r="AB3287" i="1"/>
  <c r="AB3286" i="1"/>
  <c r="AB3285" i="1"/>
  <c r="AB3284" i="1"/>
  <c r="AB3283" i="1"/>
  <c r="AB3282" i="1"/>
  <c r="AB3281" i="1"/>
  <c r="AB3280" i="1"/>
  <c r="AB3279" i="1"/>
  <c r="AB3278" i="1"/>
  <c r="AB3277" i="1"/>
  <c r="AB3276" i="1"/>
  <c r="AB3275" i="1"/>
  <c r="AB3274" i="1"/>
  <c r="AB3273" i="1"/>
  <c r="AB3272" i="1"/>
  <c r="AB3271" i="1"/>
  <c r="AB3270" i="1"/>
  <c r="AB3269" i="1"/>
  <c r="AB3268" i="1"/>
  <c r="AB3267" i="1"/>
  <c r="AB3266" i="1"/>
  <c r="AB3265" i="1"/>
  <c r="AB3264" i="1"/>
  <c r="AB3263" i="1"/>
  <c r="AB3262" i="1"/>
  <c r="AB3261" i="1"/>
  <c r="AB3260" i="1"/>
  <c r="AB3259" i="1"/>
  <c r="AB3258" i="1"/>
  <c r="AB3257" i="1"/>
  <c r="AB3256" i="1"/>
  <c r="AB3255" i="1"/>
  <c r="AB3254" i="1"/>
  <c r="AB3253" i="1"/>
  <c r="AB3252" i="1"/>
  <c r="AB3251" i="1"/>
  <c r="AB3250" i="1"/>
  <c r="AB3249" i="1"/>
  <c r="AB3248" i="1"/>
  <c r="AB3247" i="1"/>
  <c r="AB3246" i="1"/>
  <c r="AB3245" i="1"/>
  <c r="AB3244" i="1"/>
  <c r="AB3243" i="1"/>
  <c r="AB3242" i="1"/>
  <c r="AB3241" i="1"/>
  <c r="AB3240" i="1"/>
  <c r="AB3239" i="1"/>
  <c r="AB3238" i="1"/>
  <c r="AB3237" i="1"/>
  <c r="AB3236" i="1"/>
  <c r="AB3235" i="1"/>
  <c r="AB3234" i="1"/>
  <c r="AB3233" i="1"/>
  <c r="AB3232" i="1"/>
  <c r="AB3231" i="1"/>
  <c r="AB3230" i="1"/>
  <c r="AB3229" i="1"/>
  <c r="AB3228" i="1"/>
  <c r="AB3227" i="1"/>
  <c r="AB3226" i="1"/>
  <c r="AB3225" i="1"/>
  <c r="AB3224" i="1"/>
  <c r="AB3223" i="1"/>
  <c r="AB3222" i="1"/>
  <c r="AB3221" i="1"/>
  <c r="AB3220" i="1"/>
  <c r="AB3219" i="1"/>
  <c r="AB3218" i="1"/>
  <c r="AB3217" i="1"/>
  <c r="AB3216" i="1"/>
  <c r="AB3215" i="1"/>
  <c r="AB3214" i="1"/>
  <c r="AB3213" i="1"/>
  <c r="AB3212" i="1"/>
  <c r="AB3211" i="1"/>
  <c r="AB3210" i="1"/>
  <c r="AB3209" i="1"/>
  <c r="AB3208" i="1"/>
  <c r="AB3207" i="1"/>
  <c r="AB3206" i="1"/>
  <c r="AB3205" i="1"/>
  <c r="AB3204" i="1"/>
  <c r="AB3203" i="1"/>
  <c r="AB3202" i="1"/>
  <c r="AB3201" i="1"/>
  <c r="AB3200" i="1"/>
  <c r="AB3199" i="1"/>
  <c r="AB3198" i="1"/>
  <c r="AB3197" i="1"/>
  <c r="AB3196" i="1"/>
  <c r="AB3195" i="1"/>
  <c r="AB3194" i="1"/>
  <c r="AB3193" i="1"/>
  <c r="AB3192" i="1"/>
  <c r="AB3191" i="1"/>
  <c r="AB3190" i="1"/>
  <c r="AB3189" i="1"/>
  <c r="AB3188" i="1"/>
  <c r="AB3187" i="1"/>
  <c r="AB3186" i="1"/>
  <c r="AB3185" i="1"/>
  <c r="AB3184" i="1"/>
  <c r="AB3183" i="1"/>
  <c r="AB3182" i="1"/>
  <c r="AB3181" i="1"/>
  <c r="AB3180" i="1"/>
  <c r="AB3179" i="1"/>
  <c r="AB3178" i="1"/>
  <c r="AB3177" i="1"/>
  <c r="AB3176" i="1"/>
  <c r="AB3175" i="1"/>
  <c r="AB3174" i="1"/>
  <c r="AB3173" i="1"/>
  <c r="AB3172" i="1"/>
  <c r="AB3171" i="1"/>
  <c r="AB3170" i="1"/>
  <c r="AB3169" i="1"/>
  <c r="AB3168" i="1"/>
  <c r="AB3167" i="1"/>
  <c r="AB3166" i="1"/>
  <c r="AB3165" i="1"/>
  <c r="AB3164" i="1"/>
  <c r="AB3163" i="1"/>
  <c r="AB3162" i="1"/>
  <c r="AB3161" i="1"/>
  <c r="AB3160" i="1"/>
  <c r="AB3159" i="1"/>
  <c r="AB3158" i="1"/>
  <c r="AB3157" i="1"/>
  <c r="AB3156" i="1"/>
  <c r="AB3155" i="1"/>
  <c r="AB3154" i="1"/>
  <c r="AB3153" i="1"/>
  <c r="AB3152" i="1"/>
  <c r="AB3151" i="1"/>
  <c r="AB3150" i="1"/>
  <c r="AB3149" i="1"/>
  <c r="AB3148" i="1"/>
  <c r="AB3147" i="1"/>
  <c r="AB3146" i="1"/>
  <c r="AB3145" i="1"/>
  <c r="AB3144" i="1"/>
  <c r="AB3143" i="1"/>
  <c r="AB3142" i="1"/>
  <c r="AB3141" i="1"/>
  <c r="AB3140" i="1"/>
  <c r="AB3139" i="1"/>
  <c r="AB3138" i="1"/>
  <c r="AB3137" i="1"/>
  <c r="AB3136" i="1"/>
  <c r="AB3135" i="1"/>
  <c r="AB3134" i="1"/>
  <c r="AB3133" i="1"/>
  <c r="AB3132" i="1"/>
  <c r="AB3131" i="1"/>
  <c r="AB3130" i="1"/>
  <c r="AB3129" i="1"/>
  <c r="AB3128" i="1"/>
  <c r="AB3127" i="1"/>
  <c r="AB3126" i="1"/>
  <c r="AB3125" i="1"/>
  <c r="AB3124" i="1"/>
  <c r="AB3123" i="1"/>
  <c r="AB3122" i="1"/>
  <c r="AB3121" i="1"/>
  <c r="AB3120" i="1"/>
  <c r="AB3119" i="1"/>
  <c r="AB3118" i="1"/>
  <c r="AB3117" i="1"/>
  <c r="AB3116" i="1"/>
  <c r="AB3115" i="1"/>
  <c r="AB3114" i="1"/>
  <c r="AB3113" i="1"/>
  <c r="AB3112" i="1"/>
  <c r="AB3111" i="1"/>
  <c r="AB3110" i="1"/>
  <c r="AB3109" i="1"/>
  <c r="AB3108" i="1"/>
  <c r="AB3107" i="1"/>
  <c r="AB3106" i="1"/>
  <c r="AB3105" i="1"/>
  <c r="AB3104" i="1"/>
  <c r="AB3103" i="1"/>
  <c r="AB3102" i="1"/>
  <c r="AB3101" i="1"/>
  <c r="AB3100" i="1"/>
  <c r="AB3099" i="1"/>
  <c r="AB3098" i="1"/>
  <c r="AB3097" i="1"/>
  <c r="AB3096" i="1"/>
  <c r="AB3095" i="1"/>
  <c r="AB3094" i="1"/>
  <c r="AB3093" i="1"/>
  <c r="AB3092" i="1"/>
  <c r="AB3091" i="1"/>
  <c r="AB3090" i="1"/>
  <c r="AB3089" i="1"/>
  <c r="AB3088" i="1"/>
  <c r="AB3087" i="1"/>
  <c r="AB3086" i="1"/>
  <c r="AB3085" i="1"/>
  <c r="AB3084" i="1"/>
  <c r="AB3083" i="1"/>
  <c r="AB3082" i="1"/>
  <c r="AB3081" i="1"/>
  <c r="AB3080" i="1"/>
  <c r="AB3079" i="1"/>
  <c r="AB3078" i="1"/>
  <c r="AB3077" i="1"/>
  <c r="AB3076" i="1"/>
  <c r="AB3075" i="1"/>
  <c r="AB3074" i="1"/>
  <c r="AB3073" i="1"/>
  <c r="AB3072" i="1"/>
  <c r="AB3071" i="1"/>
  <c r="AB3070" i="1"/>
  <c r="AB3069" i="1"/>
  <c r="AB3068" i="1"/>
  <c r="AB3067" i="1"/>
  <c r="AB3066" i="1"/>
  <c r="AB3065" i="1"/>
  <c r="AB3064" i="1"/>
  <c r="AB3063" i="1"/>
  <c r="AB3062" i="1"/>
  <c r="AB3061" i="1"/>
  <c r="AB3060" i="1"/>
  <c r="AB3059" i="1"/>
  <c r="AB3058" i="1"/>
  <c r="AB3057" i="1"/>
  <c r="AB3056" i="1"/>
  <c r="AB3055" i="1"/>
  <c r="AB3054" i="1"/>
  <c r="AB3053" i="1"/>
  <c r="AB3052" i="1"/>
  <c r="AB3051" i="1"/>
  <c r="AB3050" i="1"/>
  <c r="AB3049" i="1"/>
  <c r="AB3048" i="1"/>
  <c r="AB3047" i="1"/>
  <c r="AB3046" i="1"/>
  <c r="AB3045" i="1"/>
  <c r="AB3044" i="1"/>
  <c r="AB3043" i="1"/>
  <c r="AB3042" i="1"/>
  <c r="AB3041" i="1"/>
  <c r="AB3040" i="1"/>
  <c r="AB3039" i="1"/>
  <c r="AB3038" i="1"/>
  <c r="AB3037" i="1"/>
  <c r="AB3036" i="1"/>
  <c r="AB3035" i="1"/>
  <c r="AB3034" i="1"/>
  <c r="AB3033" i="1"/>
  <c r="AB3032" i="1"/>
  <c r="AB3031" i="1"/>
  <c r="AB3030" i="1"/>
  <c r="AB3029" i="1"/>
  <c r="AB3028" i="1"/>
  <c r="AB3027" i="1"/>
  <c r="AB3026" i="1"/>
  <c r="AB3025" i="1"/>
  <c r="AB3024" i="1"/>
  <c r="AB3023" i="1"/>
  <c r="AB3022" i="1"/>
  <c r="AB3021" i="1"/>
  <c r="AB3020" i="1"/>
  <c r="AB3019" i="1"/>
  <c r="AB3018" i="1"/>
  <c r="AB3017" i="1"/>
  <c r="AB3016" i="1"/>
  <c r="AB3015" i="1"/>
  <c r="AB3014" i="1"/>
  <c r="AB3013" i="1"/>
  <c r="AB3012" i="1"/>
  <c r="AB3011" i="1"/>
  <c r="AB3010" i="1"/>
  <c r="AB3009" i="1"/>
  <c r="AB3008" i="1"/>
  <c r="AB3007" i="1"/>
  <c r="AB3006" i="1"/>
  <c r="AB3005" i="1"/>
  <c r="AB3004" i="1"/>
  <c r="AB3003" i="1"/>
  <c r="AB3002" i="1"/>
  <c r="AB3001" i="1"/>
  <c r="AB3000" i="1"/>
  <c r="AB2999" i="1"/>
  <c r="AB2998" i="1"/>
  <c r="AB2997" i="1"/>
  <c r="AB2996" i="1"/>
  <c r="AB2995" i="1"/>
  <c r="AB2994" i="1"/>
  <c r="AB2993" i="1"/>
  <c r="AB2992" i="1"/>
  <c r="AB2991" i="1"/>
  <c r="AB2990" i="1"/>
  <c r="AB2989" i="1"/>
  <c r="AB2988" i="1"/>
  <c r="AB2987" i="1"/>
  <c r="AB2986" i="1"/>
  <c r="AB2985" i="1"/>
  <c r="AB2984" i="1"/>
  <c r="AB2983" i="1"/>
  <c r="AB2982" i="1"/>
  <c r="AB2981" i="1"/>
  <c r="AB2980" i="1"/>
  <c r="AB2979" i="1"/>
  <c r="AB2978" i="1"/>
  <c r="AB2977" i="1"/>
  <c r="AB2976" i="1"/>
  <c r="AB2975" i="1"/>
  <c r="AB2974" i="1"/>
  <c r="AB2973" i="1"/>
  <c r="AB2972" i="1"/>
  <c r="AB2971" i="1"/>
  <c r="AB2970" i="1"/>
  <c r="AB2969" i="1"/>
  <c r="AB2968" i="1"/>
  <c r="AB2967" i="1"/>
  <c r="AB2966" i="1"/>
  <c r="AB2965" i="1"/>
  <c r="AB2964" i="1"/>
  <c r="AB2963" i="1"/>
  <c r="AB2962" i="1"/>
  <c r="AB2961" i="1"/>
  <c r="AB2960" i="1"/>
  <c r="AB2959" i="1"/>
  <c r="AB2958" i="1"/>
  <c r="AB2957" i="1"/>
  <c r="AB2956" i="1"/>
  <c r="AB2955" i="1"/>
  <c r="AB2954" i="1"/>
  <c r="AB2953" i="1"/>
  <c r="AB2952" i="1"/>
  <c r="AB2951" i="1"/>
  <c r="AB2950" i="1"/>
  <c r="AB2949" i="1"/>
  <c r="AB2948" i="1"/>
  <c r="AB2947" i="1"/>
  <c r="AB2946" i="1"/>
  <c r="AB2945" i="1"/>
  <c r="AB2944" i="1"/>
  <c r="AB2943" i="1"/>
  <c r="AB2942" i="1"/>
  <c r="AB2941" i="1"/>
  <c r="AB2940" i="1"/>
  <c r="AB2939" i="1"/>
  <c r="AB2938" i="1"/>
  <c r="AB2937" i="1"/>
  <c r="AB2936" i="1"/>
  <c r="AB2935" i="1"/>
  <c r="AB2934" i="1"/>
  <c r="AB2933" i="1"/>
  <c r="AB2932" i="1"/>
  <c r="AB2931" i="1"/>
  <c r="AB2930" i="1"/>
  <c r="AB2929" i="1"/>
  <c r="AB2928" i="1"/>
  <c r="AB2927" i="1"/>
  <c r="AB2926" i="1"/>
  <c r="AB2925" i="1"/>
  <c r="AB2924" i="1"/>
  <c r="AB2923" i="1"/>
  <c r="AB2922" i="1"/>
  <c r="AB2921" i="1"/>
  <c r="AB2920" i="1"/>
  <c r="AB2919" i="1"/>
  <c r="AB2918" i="1"/>
  <c r="AB2917" i="1"/>
  <c r="AB2916" i="1"/>
  <c r="AB2915" i="1"/>
  <c r="AB2914" i="1"/>
  <c r="AB2913" i="1"/>
  <c r="AB2912" i="1"/>
  <c r="AB2911" i="1"/>
  <c r="AB2910" i="1"/>
  <c r="AB2909" i="1"/>
  <c r="AB2908" i="1"/>
  <c r="AB2907" i="1"/>
  <c r="AB2906" i="1"/>
  <c r="AB2905" i="1"/>
  <c r="AB2904" i="1"/>
  <c r="AB2903" i="1"/>
  <c r="AB2902" i="1"/>
  <c r="AB2901" i="1"/>
  <c r="AB2900" i="1"/>
  <c r="AB2899" i="1"/>
  <c r="AB2898" i="1"/>
  <c r="AB2897" i="1"/>
  <c r="AB2896" i="1"/>
  <c r="AB2895" i="1"/>
  <c r="AB2894" i="1"/>
  <c r="AB2893" i="1"/>
  <c r="AB2892" i="1"/>
  <c r="AB2891" i="1"/>
  <c r="AB2890" i="1"/>
  <c r="AB2889" i="1"/>
  <c r="AB2888" i="1"/>
  <c r="AB2887" i="1"/>
  <c r="AB2886" i="1"/>
  <c r="AB2885" i="1"/>
  <c r="AB2884" i="1"/>
  <c r="AB2883" i="1"/>
  <c r="AB2882" i="1"/>
  <c r="AB2881" i="1"/>
  <c r="AB2880" i="1"/>
  <c r="AB2879" i="1"/>
  <c r="AB2878" i="1"/>
  <c r="AB2877" i="1"/>
  <c r="AB2876" i="1"/>
  <c r="AB2875" i="1"/>
  <c r="AB2874" i="1"/>
  <c r="AB2873" i="1"/>
  <c r="AB2872" i="1"/>
  <c r="AB2871" i="1"/>
  <c r="AB2870" i="1"/>
  <c r="AB2869" i="1"/>
  <c r="AB2868" i="1"/>
  <c r="AB2867" i="1"/>
  <c r="AB2866" i="1"/>
  <c r="AB2865" i="1"/>
  <c r="AB2864" i="1"/>
  <c r="AB2863" i="1"/>
  <c r="AB2862" i="1"/>
  <c r="AB2861" i="1"/>
  <c r="AB2860" i="1"/>
  <c r="AB2859" i="1"/>
  <c r="AB2858" i="1"/>
  <c r="AB2857" i="1"/>
  <c r="AB2856" i="1"/>
  <c r="AB2855" i="1"/>
  <c r="AB2854" i="1"/>
  <c r="AB2853" i="1"/>
  <c r="AB2852" i="1"/>
  <c r="AB2851" i="1"/>
  <c r="AB2850" i="1"/>
  <c r="AB2849" i="1"/>
  <c r="AB2848" i="1"/>
  <c r="AB2847" i="1"/>
  <c r="AB2846" i="1"/>
  <c r="AB2845" i="1"/>
  <c r="AB2844" i="1"/>
  <c r="AB2843" i="1"/>
  <c r="AB2842" i="1"/>
  <c r="AB2841" i="1"/>
  <c r="AB2840" i="1"/>
  <c r="AB2839" i="1"/>
  <c r="AB2838" i="1"/>
  <c r="AB2837" i="1"/>
  <c r="AB2836" i="1"/>
  <c r="AB2835" i="1"/>
  <c r="AB2834" i="1"/>
  <c r="AB2833" i="1"/>
  <c r="AB2832" i="1"/>
  <c r="AB2831" i="1"/>
  <c r="AB2830" i="1"/>
  <c r="AB2829" i="1"/>
  <c r="AB2828" i="1"/>
  <c r="AB2827" i="1"/>
  <c r="AB2826" i="1"/>
  <c r="AB2825" i="1"/>
  <c r="AB2824" i="1"/>
  <c r="AB2823" i="1"/>
  <c r="AB2822" i="1"/>
  <c r="AB2821" i="1"/>
  <c r="AB2820" i="1"/>
  <c r="AB2819" i="1"/>
  <c r="AB2818" i="1"/>
  <c r="AB2817" i="1"/>
  <c r="AB2816" i="1"/>
  <c r="AB2815" i="1"/>
  <c r="AB2814" i="1"/>
  <c r="AB2813" i="1"/>
  <c r="AB2812" i="1"/>
  <c r="AB2811" i="1"/>
  <c r="AB2810" i="1"/>
  <c r="AB2809" i="1"/>
  <c r="AB2808" i="1"/>
  <c r="AB2807" i="1"/>
  <c r="AB2806" i="1"/>
  <c r="AB2805" i="1"/>
  <c r="AB2804" i="1"/>
  <c r="AB2803" i="1"/>
  <c r="AB2802" i="1"/>
  <c r="AB2801" i="1"/>
  <c r="AB2800" i="1"/>
  <c r="AB2799" i="1"/>
  <c r="AB2798" i="1"/>
  <c r="AB2797" i="1"/>
  <c r="AB2796" i="1"/>
  <c r="AB2795" i="1"/>
  <c r="AB2794" i="1"/>
  <c r="AB2793" i="1"/>
  <c r="AB2792" i="1"/>
  <c r="AB2791" i="1"/>
  <c r="AB2790" i="1"/>
  <c r="AB2789" i="1"/>
  <c r="AB2788" i="1"/>
  <c r="AB2787" i="1"/>
  <c r="AB2786" i="1"/>
  <c r="AB2785" i="1"/>
  <c r="AB2784" i="1"/>
  <c r="AB2783" i="1"/>
  <c r="AB2782" i="1"/>
  <c r="AB2781" i="1"/>
  <c r="AB2780" i="1"/>
  <c r="AB2779" i="1"/>
  <c r="AB2778" i="1"/>
  <c r="AB2777" i="1"/>
  <c r="AB2776" i="1"/>
  <c r="AB2775" i="1"/>
  <c r="AB2774" i="1"/>
  <c r="AB2773" i="1"/>
  <c r="AB2772" i="1"/>
  <c r="AB2771" i="1"/>
  <c r="AB2770" i="1"/>
  <c r="AB2769" i="1"/>
  <c r="AB2768" i="1"/>
  <c r="AB2767" i="1"/>
  <c r="AB2766" i="1"/>
  <c r="AB2765" i="1"/>
  <c r="AB2764" i="1"/>
  <c r="AB2763" i="1"/>
  <c r="AB2762" i="1"/>
  <c r="AB2761" i="1"/>
  <c r="AB2760" i="1"/>
  <c r="AB2759" i="1"/>
  <c r="AB2758" i="1"/>
  <c r="AB2757" i="1"/>
  <c r="AB2756" i="1"/>
  <c r="AB2755" i="1"/>
  <c r="AB2754" i="1"/>
  <c r="AB2753" i="1"/>
  <c r="AB2752" i="1"/>
  <c r="AB2751" i="1"/>
  <c r="AB2750" i="1"/>
  <c r="AB2749" i="1"/>
  <c r="AB2748" i="1"/>
  <c r="AB2747" i="1"/>
  <c r="AB2746" i="1"/>
  <c r="AB2745" i="1"/>
  <c r="AB2744" i="1"/>
  <c r="AB2743" i="1"/>
  <c r="AB2742" i="1"/>
  <c r="AB2741" i="1"/>
  <c r="AB2740" i="1"/>
  <c r="AB2739" i="1"/>
  <c r="AB2738" i="1"/>
  <c r="AB2737" i="1"/>
  <c r="AB2736" i="1"/>
  <c r="AB2735" i="1"/>
  <c r="AB2734" i="1"/>
  <c r="AB2733" i="1"/>
  <c r="AB2732" i="1"/>
  <c r="AB2731" i="1"/>
  <c r="AB2730" i="1"/>
  <c r="AB2729" i="1"/>
  <c r="AB2728" i="1"/>
  <c r="AB2727" i="1"/>
  <c r="AB2726" i="1"/>
  <c r="AB2725" i="1"/>
  <c r="AB2724" i="1"/>
  <c r="AB2723" i="1"/>
  <c r="AB2722" i="1"/>
  <c r="AB2721" i="1"/>
  <c r="AB2720" i="1"/>
  <c r="AB2719" i="1"/>
  <c r="AB2718" i="1"/>
  <c r="AB2717" i="1"/>
  <c r="AB2716" i="1"/>
  <c r="AB2715" i="1"/>
  <c r="AB2714" i="1"/>
  <c r="AB2713" i="1"/>
  <c r="AB2712" i="1"/>
  <c r="AB2711" i="1"/>
  <c r="AB2710" i="1"/>
  <c r="AB2709" i="1"/>
  <c r="AB2708" i="1"/>
  <c r="AB2707" i="1"/>
  <c r="AB2706" i="1"/>
  <c r="AB2705" i="1"/>
  <c r="AB2704" i="1"/>
  <c r="AB2703" i="1"/>
  <c r="AB2702" i="1"/>
  <c r="AB2701" i="1"/>
  <c r="AB2700" i="1"/>
  <c r="AB2699" i="1"/>
  <c r="AB2698" i="1"/>
  <c r="AB2697" i="1"/>
  <c r="AB2696" i="1"/>
  <c r="AB2695" i="1"/>
  <c r="AB2694" i="1"/>
  <c r="AB2693" i="1"/>
  <c r="AB2692" i="1"/>
  <c r="AB2691" i="1"/>
  <c r="AB2690" i="1"/>
  <c r="AB2689" i="1"/>
  <c r="AB2688" i="1"/>
  <c r="AB2687" i="1"/>
  <c r="AB2686" i="1"/>
  <c r="AB2685" i="1"/>
  <c r="AB2684" i="1"/>
  <c r="AB2683" i="1"/>
  <c r="AB2682" i="1"/>
  <c r="AB2681" i="1"/>
  <c r="AB2680" i="1"/>
  <c r="AB2679" i="1"/>
  <c r="AB2678" i="1"/>
  <c r="AB2677" i="1"/>
  <c r="AB2676" i="1"/>
  <c r="AB2675" i="1"/>
  <c r="AB2674" i="1"/>
  <c r="AB2673" i="1"/>
  <c r="AB2672" i="1"/>
  <c r="AB2671" i="1"/>
  <c r="AB2670" i="1"/>
  <c r="AB2669" i="1"/>
  <c r="AB2668" i="1"/>
  <c r="AB2667" i="1"/>
  <c r="AB2666" i="1"/>
  <c r="AB2665" i="1"/>
  <c r="AB2664" i="1"/>
  <c r="AB2663" i="1"/>
  <c r="AB2662" i="1"/>
  <c r="AB2661" i="1"/>
  <c r="AB2660" i="1"/>
  <c r="AB2659" i="1"/>
  <c r="AB2658" i="1"/>
  <c r="AB2657" i="1"/>
  <c r="AB2656" i="1"/>
  <c r="AB2655" i="1"/>
  <c r="AB2654" i="1"/>
  <c r="AB2653" i="1"/>
  <c r="AB2652" i="1"/>
  <c r="AB2651" i="1"/>
  <c r="AB2650" i="1"/>
  <c r="AB2649" i="1"/>
  <c r="AB2648" i="1"/>
  <c r="AB2647" i="1"/>
  <c r="AB2646" i="1"/>
  <c r="AB2645" i="1"/>
  <c r="AB2644" i="1"/>
  <c r="AB2643" i="1"/>
  <c r="AB2642" i="1"/>
  <c r="AB2641" i="1"/>
  <c r="AB2640" i="1"/>
  <c r="AB2639" i="1"/>
  <c r="AB2638" i="1"/>
  <c r="AB2637" i="1"/>
  <c r="AB2636" i="1"/>
  <c r="AB2635" i="1"/>
  <c r="AB2634" i="1"/>
  <c r="AB2633" i="1"/>
  <c r="AB2632" i="1"/>
  <c r="AB2631" i="1"/>
  <c r="AB2630" i="1"/>
  <c r="AB2629" i="1"/>
  <c r="AB2628" i="1"/>
  <c r="AB2627" i="1"/>
  <c r="AB2626" i="1"/>
  <c r="AB2625" i="1"/>
  <c r="AB2624" i="1"/>
  <c r="AB2623" i="1"/>
  <c r="AB2622" i="1"/>
  <c r="AB2621" i="1"/>
  <c r="AB2620" i="1"/>
  <c r="AB2619" i="1"/>
  <c r="AB2618" i="1"/>
  <c r="AB2617" i="1"/>
  <c r="AB2616" i="1"/>
  <c r="AB2615" i="1"/>
  <c r="AB2614" i="1"/>
  <c r="AB2613" i="1"/>
  <c r="AB2612" i="1"/>
  <c r="AB2611" i="1"/>
  <c r="AB2610" i="1"/>
  <c r="AB2609" i="1"/>
  <c r="AB2608" i="1"/>
  <c r="AB2607" i="1"/>
  <c r="AB2606" i="1"/>
  <c r="AB2605" i="1"/>
  <c r="AB2604" i="1"/>
  <c r="AB2603" i="1"/>
  <c r="AB2602" i="1"/>
  <c r="AB2601" i="1"/>
  <c r="AB2600" i="1"/>
  <c r="AB2599" i="1"/>
  <c r="AB2598" i="1"/>
  <c r="AB2597" i="1"/>
  <c r="AB2596" i="1"/>
  <c r="AB2595" i="1"/>
  <c r="AB2594" i="1"/>
  <c r="AB2593" i="1"/>
  <c r="AB2592" i="1"/>
  <c r="AB2591" i="1"/>
  <c r="AB2590" i="1"/>
  <c r="AB2589" i="1"/>
  <c r="AB2588" i="1"/>
  <c r="AB2587" i="1"/>
  <c r="AB2586" i="1"/>
  <c r="AB2585" i="1"/>
  <c r="AB2584" i="1"/>
  <c r="AB2583" i="1"/>
  <c r="AB2582" i="1"/>
  <c r="AB2581" i="1"/>
  <c r="AB2580" i="1"/>
  <c r="AB2579" i="1"/>
  <c r="AB2578" i="1"/>
  <c r="AB2577" i="1"/>
  <c r="AB2576" i="1"/>
  <c r="AB2575" i="1"/>
  <c r="AB2574" i="1"/>
  <c r="AB2573" i="1"/>
  <c r="AB2572" i="1"/>
  <c r="AB2571" i="1"/>
  <c r="AB2570" i="1"/>
  <c r="AB2569" i="1"/>
  <c r="AB2568" i="1"/>
  <c r="AB2567" i="1"/>
  <c r="AB2566" i="1"/>
  <c r="AB2565" i="1"/>
  <c r="AB2564" i="1"/>
  <c r="AB2563" i="1"/>
  <c r="AB2562" i="1"/>
  <c r="AB2561" i="1"/>
  <c r="AB2560" i="1"/>
  <c r="AB2559" i="1"/>
  <c r="AB2558" i="1"/>
  <c r="AB2557" i="1"/>
  <c r="AB2556" i="1"/>
  <c r="AB2555" i="1"/>
  <c r="AB2554" i="1"/>
  <c r="AB2553" i="1"/>
  <c r="AB2552" i="1"/>
  <c r="AB2551" i="1"/>
  <c r="AB2550" i="1"/>
  <c r="AB2549" i="1"/>
  <c r="AB2548" i="1"/>
  <c r="AB2547" i="1"/>
  <c r="AB2546" i="1"/>
  <c r="AB2545" i="1"/>
  <c r="AB2544" i="1"/>
  <c r="AB2543" i="1"/>
  <c r="AB2542" i="1"/>
  <c r="AB2541" i="1"/>
  <c r="AB2540" i="1"/>
  <c r="AB2539" i="1"/>
  <c r="AB2538" i="1"/>
  <c r="AB2537" i="1"/>
  <c r="AB2536" i="1"/>
  <c r="AB2535" i="1"/>
  <c r="AB2534" i="1"/>
  <c r="AB2533" i="1"/>
  <c r="AB2532" i="1"/>
  <c r="AB2531" i="1"/>
  <c r="AB2530" i="1"/>
  <c r="AB2529" i="1"/>
  <c r="AB2528" i="1"/>
  <c r="AB2527" i="1"/>
  <c r="AB2526" i="1"/>
  <c r="AB2525" i="1"/>
  <c r="AB2524" i="1"/>
  <c r="AB2523" i="1"/>
  <c r="AB2522" i="1"/>
  <c r="AB2521" i="1"/>
  <c r="AB2520" i="1"/>
  <c r="AB2519" i="1"/>
  <c r="AB2518" i="1"/>
  <c r="AB2517" i="1"/>
  <c r="AB2516" i="1"/>
  <c r="AB2515" i="1"/>
  <c r="AB2514" i="1"/>
  <c r="AB2513" i="1"/>
  <c r="AB2512" i="1"/>
  <c r="AB2511" i="1"/>
  <c r="AB2510" i="1"/>
  <c r="AB2509" i="1"/>
  <c r="AB2508" i="1"/>
  <c r="AB2507" i="1"/>
  <c r="AB2506" i="1"/>
  <c r="AB2505" i="1"/>
  <c r="AB2504" i="1"/>
  <c r="AB2503" i="1"/>
  <c r="AB2502" i="1"/>
  <c r="AB2501" i="1"/>
  <c r="AB2500" i="1"/>
  <c r="AB2499" i="1"/>
  <c r="AB2498" i="1"/>
  <c r="AB2497" i="1"/>
  <c r="AB2496" i="1"/>
  <c r="AB2495" i="1"/>
  <c r="AB2494" i="1"/>
  <c r="AB2493" i="1"/>
  <c r="AB2492" i="1"/>
  <c r="AB2491" i="1"/>
  <c r="AB2490" i="1"/>
  <c r="AB2489" i="1"/>
  <c r="AB2488" i="1"/>
  <c r="AB2487" i="1"/>
  <c r="AB2486" i="1"/>
  <c r="AB2485" i="1"/>
  <c r="AB2484" i="1"/>
  <c r="AB2483" i="1"/>
  <c r="AB2482" i="1"/>
  <c r="AB2481" i="1"/>
  <c r="AB2480" i="1"/>
  <c r="AB2479" i="1"/>
  <c r="AB2478" i="1"/>
  <c r="AB2477" i="1"/>
  <c r="AB2476" i="1"/>
  <c r="AB2475" i="1"/>
  <c r="AB2474" i="1"/>
  <c r="AB2473" i="1"/>
  <c r="AB2472" i="1"/>
  <c r="AB2471" i="1"/>
  <c r="AB2470" i="1"/>
  <c r="AB2469" i="1"/>
  <c r="AB2468" i="1"/>
  <c r="AB2467" i="1"/>
  <c r="AB2466" i="1"/>
  <c r="AB2465" i="1"/>
  <c r="AB2464" i="1"/>
  <c r="AB2463" i="1"/>
  <c r="AB2462" i="1"/>
  <c r="AB2461" i="1"/>
  <c r="AB2460" i="1"/>
  <c r="AB2459" i="1"/>
  <c r="AB2458" i="1"/>
  <c r="AB2457" i="1"/>
  <c r="AB2456" i="1"/>
  <c r="AB2455" i="1"/>
  <c r="AB2454" i="1"/>
  <c r="AB2453" i="1"/>
  <c r="AB2452" i="1"/>
  <c r="AB2451" i="1"/>
  <c r="AB2450" i="1"/>
  <c r="AB2449" i="1"/>
  <c r="AB2448" i="1"/>
  <c r="AB2447" i="1"/>
  <c r="AB2446" i="1"/>
  <c r="AB2445" i="1"/>
  <c r="AB2444" i="1"/>
  <c r="AB2443" i="1"/>
  <c r="AB2442" i="1"/>
  <c r="AB2441" i="1"/>
  <c r="AB2440" i="1"/>
  <c r="AB2439" i="1"/>
  <c r="AB2438" i="1"/>
  <c r="AB2437" i="1"/>
  <c r="AB2436" i="1"/>
  <c r="AB2435" i="1"/>
  <c r="AB2434" i="1"/>
  <c r="AB2433" i="1"/>
  <c r="AB2432" i="1"/>
  <c r="AB2431" i="1"/>
  <c r="AB2430" i="1"/>
  <c r="AB2429" i="1"/>
  <c r="AB2428" i="1"/>
  <c r="AB2427" i="1"/>
  <c r="AB2426" i="1"/>
  <c r="AB2425" i="1"/>
  <c r="AB2424" i="1"/>
  <c r="AB2423" i="1"/>
  <c r="AB2422" i="1"/>
  <c r="AB2421" i="1"/>
  <c r="AB2420" i="1"/>
  <c r="AB2419" i="1"/>
  <c r="AB2418" i="1"/>
  <c r="AB2417" i="1"/>
  <c r="AB2416" i="1"/>
  <c r="AB2415" i="1"/>
  <c r="AB2414" i="1"/>
  <c r="AB2413" i="1"/>
  <c r="AB2412" i="1"/>
  <c r="AB2411" i="1"/>
  <c r="AB2410" i="1"/>
  <c r="AB2409" i="1"/>
  <c r="AB2408" i="1"/>
  <c r="AB2407" i="1"/>
  <c r="AB2406" i="1"/>
  <c r="AB2405" i="1"/>
  <c r="AB2404" i="1"/>
  <c r="AB2403" i="1"/>
  <c r="AB2402" i="1"/>
  <c r="AB2401" i="1"/>
  <c r="AB2400" i="1"/>
  <c r="AB2399" i="1"/>
  <c r="AB2398" i="1"/>
  <c r="AB2397" i="1"/>
  <c r="AB2396" i="1"/>
  <c r="AB2395" i="1"/>
  <c r="AB2394" i="1"/>
  <c r="AB2393" i="1"/>
  <c r="AB2392" i="1"/>
  <c r="AB2391" i="1"/>
  <c r="AB2390" i="1"/>
  <c r="AB2389" i="1"/>
  <c r="AB2388" i="1"/>
  <c r="AB2387" i="1"/>
  <c r="AB2386" i="1"/>
  <c r="AB2385" i="1"/>
  <c r="AB2384" i="1"/>
  <c r="AB2383" i="1"/>
  <c r="AB2382" i="1"/>
  <c r="AB2381" i="1"/>
  <c r="AB2380" i="1"/>
  <c r="AB2379" i="1"/>
  <c r="AB2378" i="1"/>
  <c r="AB2377" i="1"/>
  <c r="AB2376" i="1"/>
  <c r="AB2375" i="1"/>
  <c r="AB2374" i="1"/>
  <c r="AB2373" i="1"/>
  <c r="AB2372" i="1"/>
  <c r="AB2371" i="1"/>
  <c r="AB2370" i="1"/>
  <c r="AB2369" i="1"/>
  <c r="AB2368" i="1"/>
  <c r="AB2367" i="1"/>
  <c r="AB2366" i="1"/>
  <c r="AB2365" i="1"/>
  <c r="AB2364" i="1"/>
  <c r="AB2363" i="1"/>
  <c r="AB2362" i="1"/>
  <c r="AB2361" i="1"/>
  <c r="AB2360" i="1"/>
  <c r="AB2359" i="1"/>
  <c r="AB2358" i="1"/>
  <c r="AB2357" i="1"/>
  <c r="AB2356" i="1"/>
  <c r="AB2355" i="1"/>
  <c r="AB2354" i="1"/>
  <c r="AB2353" i="1"/>
  <c r="AB2352" i="1"/>
  <c r="AB2351" i="1"/>
  <c r="AB2350" i="1"/>
  <c r="AB2349" i="1"/>
  <c r="AB2348" i="1"/>
  <c r="AB2347" i="1"/>
  <c r="AB2346" i="1"/>
  <c r="AB2345" i="1"/>
  <c r="AB2344" i="1"/>
  <c r="AB2343" i="1"/>
  <c r="AB2342" i="1"/>
  <c r="AB2341" i="1"/>
  <c r="AB2340" i="1"/>
  <c r="AB2339" i="1"/>
  <c r="AB2338" i="1"/>
  <c r="AB2337" i="1"/>
  <c r="AB2336" i="1"/>
  <c r="AB2335" i="1"/>
  <c r="AB2334" i="1"/>
  <c r="AB2333" i="1"/>
  <c r="AB2332" i="1"/>
  <c r="AB2331" i="1"/>
  <c r="AB2330" i="1"/>
  <c r="AB2329" i="1"/>
  <c r="AB2328" i="1"/>
  <c r="AB2327" i="1"/>
  <c r="AB2326" i="1"/>
  <c r="AB2325" i="1"/>
  <c r="AB2324" i="1"/>
  <c r="AB2323" i="1"/>
  <c r="AB2322" i="1"/>
  <c r="AB2321" i="1"/>
  <c r="AB2320" i="1"/>
  <c r="AB2319" i="1"/>
  <c r="AB2318" i="1"/>
  <c r="AB2317" i="1"/>
  <c r="AB2316" i="1"/>
  <c r="AB2315" i="1"/>
  <c r="AB2314" i="1"/>
  <c r="AB2313" i="1"/>
  <c r="AB2312" i="1"/>
  <c r="AB2311" i="1"/>
  <c r="AB2310" i="1"/>
  <c r="AB2309" i="1"/>
  <c r="AB2308" i="1"/>
  <c r="AB2307" i="1"/>
  <c r="AB2306" i="1"/>
  <c r="AB2305" i="1"/>
  <c r="AB2304" i="1"/>
  <c r="AB2303" i="1"/>
  <c r="AB2302" i="1"/>
  <c r="AB2301" i="1"/>
  <c r="AB2300" i="1"/>
  <c r="AB2299" i="1"/>
  <c r="AB2298" i="1"/>
  <c r="AB2297" i="1"/>
  <c r="AB2296" i="1"/>
  <c r="AB2295" i="1"/>
  <c r="AB2294" i="1"/>
  <c r="AB2293" i="1"/>
  <c r="AB2292" i="1"/>
  <c r="AB2291" i="1"/>
  <c r="AB2290" i="1"/>
  <c r="AB2289" i="1"/>
  <c r="AB2288" i="1"/>
  <c r="AB2287" i="1"/>
  <c r="AB2286" i="1"/>
  <c r="AB2285" i="1"/>
  <c r="AB2284" i="1"/>
  <c r="AB2283" i="1"/>
  <c r="AB2282" i="1"/>
  <c r="AB2281" i="1"/>
  <c r="AB2280" i="1"/>
  <c r="AB2279" i="1"/>
  <c r="AB2278" i="1"/>
  <c r="AB2277" i="1"/>
  <c r="AB2276" i="1"/>
  <c r="AB2275" i="1"/>
  <c r="AB2274" i="1"/>
  <c r="AB2273" i="1"/>
  <c r="AB2272" i="1"/>
  <c r="AB2271" i="1"/>
  <c r="AB2270" i="1"/>
  <c r="AB2269" i="1"/>
  <c r="AB2268" i="1"/>
  <c r="AB2267" i="1"/>
  <c r="AB2266" i="1"/>
  <c r="AB2265" i="1"/>
  <c r="AB2264" i="1"/>
  <c r="AB2263" i="1"/>
  <c r="AB2262" i="1"/>
  <c r="AB2261" i="1"/>
  <c r="AB2260" i="1"/>
  <c r="AB2259" i="1"/>
  <c r="AB2258" i="1"/>
  <c r="AB2257" i="1"/>
  <c r="AB2256" i="1"/>
  <c r="AB2255" i="1"/>
  <c r="AB2254" i="1"/>
  <c r="AB2253" i="1"/>
  <c r="AB2252" i="1"/>
  <c r="AB2251" i="1"/>
  <c r="AB2250" i="1"/>
  <c r="AB2249" i="1"/>
  <c r="AB2248" i="1"/>
  <c r="AB2247" i="1"/>
  <c r="AB2246" i="1"/>
  <c r="AB2245" i="1"/>
  <c r="AB2244" i="1"/>
  <c r="AB2243" i="1"/>
  <c r="AB2242" i="1"/>
  <c r="AB2241" i="1"/>
  <c r="AB2240" i="1"/>
  <c r="AB2239" i="1"/>
  <c r="AB2238" i="1"/>
  <c r="AB2237" i="1"/>
  <c r="AB2236" i="1"/>
  <c r="AB2235" i="1"/>
  <c r="AB2234" i="1"/>
  <c r="AB2233" i="1"/>
  <c r="AB2232" i="1"/>
  <c r="AB2231" i="1"/>
  <c r="AB2230" i="1"/>
  <c r="AB2229" i="1"/>
  <c r="AB2228" i="1"/>
  <c r="AB2227" i="1"/>
  <c r="AB2226" i="1"/>
  <c r="AB2225" i="1"/>
  <c r="AB2224" i="1"/>
  <c r="AB2223" i="1"/>
  <c r="AB2222" i="1"/>
  <c r="AB2221" i="1"/>
  <c r="AB2220" i="1"/>
  <c r="AB2219" i="1"/>
  <c r="AB2218" i="1"/>
  <c r="AB2217" i="1"/>
  <c r="AB2216" i="1"/>
  <c r="AB2215" i="1"/>
  <c r="AB2214" i="1"/>
  <c r="AB2213" i="1"/>
  <c r="AB2212" i="1"/>
  <c r="AB2211" i="1"/>
  <c r="AB2210" i="1"/>
  <c r="AB2209" i="1"/>
  <c r="AB2208" i="1"/>
  <c r="AB2207" i="1"/>
  <c r="AB2206" i="1"/>
  <c r="AB2205" i="1"/>
  <c r="AB2204" i="1"/>
  <c r="AB2203" i="1"/>
  <c r="AB2202" i="1"/>
  <c r="AB2201" i="1"/>
  <c r="AB2200" i="1"/>
  <c r="AB2199" i="1"/>
  <c r="AB2198" i="1"/>
  <c r="AB2197" i="1"/>
  <c r="AB2196" i="1"/>
  <c r="AB2195" i="1"/>
  <c r="AB2194" i="1"/>
  <c r="AB2193" i="1"/>
  <c r="AB2192" i="1"/>
  <c r="AB2191" i="1"/>
  <c r="AB2190" i="1"/>
  <c r="AB2189" i="1"/>
  <c r="AB2188" i="1"/>
  <c r="AB2187" i="1"/>
  <c r="AB2186" i="1"/>
  <c r="AB2185" i="1"/>
  <c r="AB2184" i="1"/>
  <c r="AB2183" i="1"/>
  <c r="AB2182" i="1"/>
  <c r="AB2181" i="1"/>
  <c r="AB2180" i="1"/>
  <c r="AB2179" i="1"/>
  <c r="AB2178" i="1"/>
  <c r="AB2177" i="1"/>
  <c r="AB2176" i="1"/>
  <c r="AB2175" i="1"/>
  <c r="AB2174" i="1"/>
  <c r="AB2173" i="1"/>
  <c r="AB2172" i="1"/>
  <c r="AB2171" i="1"/>
  <c r="AB2170" i="1"/>
  <c r="AB2169" i="1"/>
  <c r="AB2168" i="1"/>
  <c r="AB2167" i="1"/>
  <c r="AB2166" i="1"/>
  <c r="AB2165" i="1"/>
  <c r="AB2164" i="1"/>
  <c r="AB2163" i="1"/>
  <c r="AB2162" i="1"/>
  <c r="AB2161" i="1"/>
  <c r="AB2160" i="1"/>
  <c r="AB2159" i="1"/>
  <c r="AB2158" i="1"/>
  <c r="AB2157" i="1"/>
  <c r="AB2156" i="1"/>
  <c r="AB2155" i="1"/>
  <c r="AB2154" i="1"/>
  <c r="AB2153" i="1"/>
  <c r="AB2152" i="1"/>
  <c r="AB2151" i="1"/>
  <c r="AB2150" i="1"/>
  <c r="AB2149" i="1"/>
  <c r="AB2148" i="1"/>
  <c r="AB2147" i="1"/>
  <c r="AB2146" i="1"/>
  <c r="AB2145" i="1"/>
  <c r="AB2144" i="1"/>
  <c r="AB2143" i="1"/>
  <c r="AB2142" i="1"/>
  <c r="AB2141" i="1"/>
  <c r="AB2140" i="1"/>
  <c r="AB2139" i="1"/>
  <c r="AB2138" i="1"/>
  <c r="AB2137" i="1"/>
  <c r="AB2136" i="1"/>
  <c r="AB2135" i="1"/>
  <c r="AB2134" i="1"/>
  <c r="AB2133" i="1"/>
  <c r="AB2132" i="1"/>
  <c r="AB2131" i="1"/>
  <c r="AB2130" i="1"/>
  <c r="AB2129" i="1"/>
  <c r="AB2128" i="1"/>
  <c r="AB2127" i="1"/>
  <c r="AB2126" i="1"/>
  <c r="AB2125" i="1"/>
  <c r="AB2124" i="1"/>
  <c r="AB2123" i="1"/>
  <c r="AB2122" i="1"/>
  <c r="AB2121" i="1"/>
  <c r="AB2120" i="1"/>
  <c r="AB2119" i="1"/>
  <c r="AB2118" i="1"/>
  <c r="AB2117" i="1"/>
  <c r="AB2116" i="1"/>
  <c r="AB2115" i="1"/>
  <c r="AB2114" i="1"/>
  <c r="AB2113" i="1"/>
  <c r="AB2112" i="1"/>
  <c r="AB2111" i="1"/>
  <c r="AB2110" i="1"/>
  <c r="AB2109" i="1"/>
  <c r="AB2108" i="1"/>
  <c r="AB2107" i="1"/>
  <c r="AB2106" i="1"/>
  <c r="AB2105" i="1"/>
  <c r="AB2104" i="1"/>
  <c r="AB2103" i="1"/>
  <c r="AB2102" i="1"/>
  <c r="AB2101" i="1"/>
  <c r="AB2100" i="1"/>
  <c r="AB2099" i="1"/>
  <c r="AB2098" i="1"/>
  <c r="AB2097" i="1"/>
  <c r="AB2096" i="1"/>
  <c r="AB2095" i="1"/>
  <c r="AB2094" i="1"/>
  <c r="AB2093" i="1"/>
  <c r="AB2092" i="1"/>
  <c r="AB2091" i="1"/>
  <c r="AB2090" i="1"/>
  <c r="AB2089" i="1"/>
  <c r="AB2088" i="1"/>
  <c r="AB2087" i="1"/>
  <c r="AB2086" i="1"/>
  <c r="AB2085" i="1"/>
  <c r="AB2084" i="1"/>
  <c r="AB2083" i="1"/>
  <c r="AB2082" i="1"/>
  <c r="AB2081" i="1"/>
  <c r="AB2080" i="1"/>
  <c r="AB2079" i="1"/>
  <c r="AB2078" i="1"/>
  <c r="AB2077" i="1"/>
  <c r="AB2076" i="1"/>
  <c r="AB2075" i="1"/>
  <c r="AB2074" i="1"/>
  <c r="AB2073" i="1"/>
  <c r="AB2072" i="1"/>
  <c r="AB2071" i="1"/>
  <c r="AB2070" i="1"/>
  <c r="AB2069" i="1"/>
  <c r="AB2068" i="1"/>
  <c r="AB2067" i="1"/>
  <c r="AB2066" i="1"/>
  <c r="AB2065" i="1"/>
  <c r="AB2064" i="1"/>
  <c r="AB2063" i="1"/>
  <c r="AB2062" i="1"/>
  <c r="AB2061" i="1"/>
  <c r="AB2060" i="1"/>
  <c r="AB2059" i="1"/>
  <c r="AB2058" i="1"/>
  <c r="AB2057" i="1"/>
  <c r="AB2056" i="1"/>
  <c r="AB2055" i="1"/>
  <c r="AB2054" i="1"/>
  <c r="AB2053" i="1"/>
  <c r="AB2052" i="1"/>
  <c r="AB2051" i="1"/>
  <c r="AB2050" i="1"/>
  <c r="AB2049" i="1"/>
  <c r="AB2048" i="1"/>
  <c r="AB2047" i="1"/>
  <c r="AB2046" i="1"/>
  <c r="AB2045" i="1"/>
  <c r="AB2044" i="1"/>
  <c r="AB2043" i="1"/>
  <c r="AB2042" i="1"/>
  <c r="AB2041" i="1"/>
  <c r="AB2040" i="1"/>
  <c r="AB2039" i="1"/>
  <c r="AB2038" i="1"/>
  <c r="AB2037" i="1"/>
  <c r="AB2036" i="1"/>
  <c r="AB2035" i="1"/>
  <c r="AB2034" i="1"/>
  <c r="AB2033" i="1"/>
  <c r="AB2032" i="1"/>
  <c r="AB2031" i="1"/>
  <c r="AB2030" i="1"/>
  <c r="AB2029" i="1"/>
  <c r="AB2028" i="1"/>
  <c r="AB2027" i="1"/>
  <c r="AB2026" i="1"/>
  <c r="AB2025" i="1"/>
  <c r="AB2024" i="1"/>
  <c r="AB2023" i="1"/>
  <c r="AB2022" i="1"/>
  <c r="AB2021" i="1"/>
  <c r="AB2020" i="1"/>
  <c r="AB2019" i="1"/>
  <c r="AB2018" i="1"/>
  <c r="AB2017" i="1"/>
  <c r="AB2016" i="1"/>
  <c r="AB2015" i="1"/>
  <c r="AB2014" i="1"/>
  <c r="AB2013" i="1"/>
  <c r="AB2012" i="1"/>
  <c r="AB2011" i="1"/>
  <c r="AB2010" i="1"/>
  <c r="AB2009" i="1"/>
  <c r="AB2008" i="1"/>
  <c r="AB2007" i="1"/>
  <c r="AB2006" i="1"/>
  <c r="AB2005" i="1"/>
  <c r="AB2004" i="1"/>
  <c r="AB2003" i="1"/>
  <c r="AB2002" i="1"/>
  <c r="AB2001" i="1"/>
  <c r="AB2000" i="1"/>
  <c r="AB1999" i="1"/>
  <c r="AB1998" i="1"/>
  <c r="AB1997" i="1"/>
  <c r="AB1996" i="1"/>
  <c r="AB1995" i="1"/>
  <c r="AB1994" i="1"/>
  <c r="AB1993" i="1"/>
  <c r="AB1992" i="1"/>
  <c r="AB1991" i="1"/>
  <c r="AB1990" i="1"/>
  <c r="AB1989" i="1"/>
  <c r="AB1988" i="1"/>
  <c r="AB1987" i="1"/>
  <c r="AB1986" i="1"/>
  <c r="AB1985" i="1"/>
  <c r="AB1984" i="1"/>
  <c r="AB1983" i="1"/>
  <c r="AB1982" i="1"/>
  <c r="AB1981" i="1"/>
  <c r="AB1980" i="1"/>
  <c r="AB1979" i="1"/>
  <c r="AB1978" i="1"/>
  <c r="AB1977" i="1"/>
  <c r="AB1976" i="1"/>
  <c r="AB1975" i="1"/>
  <c r="AB1974" i="1"/>
  <c r="AB1973" i="1"/>
  <c r="AB1972" i="1"/>
  <c r="AB1971" i="1"/>
  <c r="AB1970" i="1"/>
  <c r="AB1969" i="1"/>
  <c r="AB1968" i="1"/>
  <c r="AB1967" i="1"/>
  <c r="AB1966" i="1"/>
  <c r="AB1965" i="1"/>
  <c r="AB1964" i="1"/>
  <c r="AB1963" i="1"/>
  <c r="AB1962" i="1"/>
  <c r="AB1961" i="1"/>
  <c r="AB1960" i="1"/>
  <c r="AB1959" i="1"/>
  <c r="AB1958" i="1"/>
  <c r="AB1957" i="1"/>
  <c r="AB1956" i="1"/>
  <c r="AB1955" i="1"/>
  <c r="AB1954" i="1"/>
  <c r="AB1953" i="1"/>
  <c r="AB1952" i="1"/>
  <c r="AB1951" i="1"/>
  <c r="AB1950" i="1"/>
  <c r="AB1949" i="1"/>
  <c r="AB1948" i="1"/>
  <c r="AB1947" i="1"/>
  <c r="AB1946" i="1"/>
  <c r="AB1945" i="1"/>
  <c r="AB1944" i="1"/>
  <c r="AB1943" i="1"/>
  <c r="AB1942" i="1"/>
  <c r="AB1941" i="1"/>
  <c r="AB1940" i="1"/>
  <c r="AB1939" i="1"/>
  <c r="AB1938" i="1"/>
  <c r="AB1937" i="1"/>
  <c r="AB1936" i="1"/>
  <c r="AB1935" i="1"/>
  <c r="AB1934" i="1"/>
  <c r="AB1933" i="1"/>
  <c r="AB1932" i="1"/>
  <c r="AB1931" i="1"/>
  <c r="AB1930" i="1"/>
  <c r="AB1929" i="1"/>
  <c r="AB1928" i="1"/>
  <c r="AB1927" i="1"/>
  <c r="AB1926" i="1"/>
  <c r="AB1925" i="1"/>
  <c r="AB1924" i="1"/>
  <c r="AB1923" i="1"/>
  <c r="AB1922" i="1"/>
  <c r="AB1921" i="1"/>
  <c r="AB1920" i="1"/>
  <c r="AB1919" i="1"/>
  <c r="AB1918" i="1"/>
  <c r="AB1917" i="1"/>
  <c r="AB1916" i="1"/>
  <c r="AB1915" i="1"/>
  <c r="AB1914" i="1"/>
  <c r="AB1913" i="1"/>
  <c r="AB1912" i="1"/>
  <c r="AB1911" i="1"/>
  <c r="AB1910" i="1"/>
  <c r="AB1909" i="1"/>
  <c r="AB1908" i="1"/>
  <c r="AB1907" i="1"/>
  <c r="AB1906" i="1"/>
  <c r="AB1905" i="1"/>
  <c r="AB1904" i="1"/>
  <c r="AB1903" i="1"/>
  <c r="AB1902" i="1"/>
  <c r="AB1901" i="1"/>
  <c r="AB1900" i="1"/>
  <c r="AB1899" i="1"/>
  <c r="AB1898" i="1"/>
  <c r="AB1897" i="1"/>
  <c r="AB1896" i="1"/>
  <c r="AB1895" i="1"/>
  <c r="AB1894" i="1"/>
  <c r="AB1893" i="1"/>
  <c r="AB1892" i="1"/>
  <c r="AB1891" i="1"/>
  <c r="AB1890" i="1"/>
  <c r="AB1889" i="1"/>
  <c r="AB1888" i="1"/>
  <c r="AB1887" i="1"/>
  <c r="AB1886" i="1"/>
  <c r="AB1885" i="1"/>
  <c r="AB1884" i="1"/>
  <c r="AB1883" i="1"/>
  <c r="AB1882" i="1"/>
  <c r="AB1881" i="1"/>
  <c r="AB1880" i="1"/>
  <c r="AB1879" i="1"/>
  <c r="AB1878" i="1"/>
  <c r="AB1877" i="1"/>
  <c r="AB1876" i="1"/>
  <c r="AB1875" i="1"/>
  <c r="AB1874" i="1"/>
  <c r="AB1873" i="1"/>
  <c r="AB1872" i="1"/>
  <c r="AB1871" i="1"/>
  <c r="AB1870" i="1"/>
  <c r="AB1869" i="1"/>
  <c r="AB1868" i="1"/>
  <c r="AB1867" i="1"/>
  <c r="AB1866" i="1"/>
  <c r="AB1865" i="1"/>
  <c r="AB1864" i="1"/>
  <c r="AB1863" i="1"/>
  <c r="AB1862" i="1"/>
  <c r="AB1861" i="1"/>
  <c r="AB1860" i="1"/>
  <c r="AB1859" i="1"/>
  <c r="AB1858" i="1"/>
  <c r="AB1857" i="1"/>
  <c r="AB1856" i="1"/>
  <c r="AB1855" i="1"/>
  <c r="AB1854" i="1"/>
  <c r="AB1853" i="1"/>
  <c r="AB1852" i="1"/>
  <c r="AB1851" i="1"/>
  <c r="AB1850" i="1"/>
  <c r="AB1849" i="1"/>
  <c r="AB1848" i="1"/>
  <c r="AB1847" i="1"/>
  <c r="AB1846" i="1"/>
  <c r="AB1845" i="1"/>
  <c r="AB1844" i="1"/>
  <c r="AB1843" i="1"/>
  <c r="AB1842" i="1"/>
  <c r="AB1841" i="1"/>
  <c r="AB1840" i="1"/>
  <c r="AB1839" i="1"/>
  <c r="AB1838" i="1"/>
  <c r="AB1837" i="1"/>
  <c r="AB1836" i="1"/>
  <c r="AB1835" i="1"/>
  <c r="AB1834" i="1"/>
  <c r="AB1833" i="1"/>
  <c r="AB1832" i="1"/>
  <c r="AB1831" i="1"/>
  <c r="AB1830" i="1"/>
  <c r="AB1829" i="1"/>
  <c r="AB1828" i="1"/>
  <c r="AB1827" i="1"/>
  <c r="AB1826" i="1"/>
  <c r="AB1825" i="1"/>
  <c r="AB1824" i="1"/>
  <c r="AB1823" i="1"/>
  <c r="AB1822" i="1"/>
  <c r="AB1821" i="1"/>
  <c r="AB1820" i="1"/>
  <c r="AB1819" i="1"/>
  <c r="AB1818" i="1"/>
  <c r="AB1817" i="1"/>
  <c r="AB1816" i="1"/>
  <c r="AB1815" i="1"/>
  <c r="AB1814" i="1"/>
  <c r="AB1813" i="1"/>
  <c r="AB1812" i="1"/>
  <c r="AB1811" i="1"/>
  <c r="AB1810" i="1"/>
  <c r="AB1809" i="1"/>
  <c r="AB1808" i="1"/>
  <c r="AB1807" i="1"/>
  <c r="AB1806" i="1"/>
  <c r="AB1805" i="1"/>
  <c r="AB1804" i="1"/>
  <c r="AB1803" i="1"/>
  <c r="AB1802" i="1"/>
  <c r="AB1801" i="1"/>
  <c r="AB1800" i="1"/>
  <c r="AB1799" i="1"/>
  <c r="AB1798" i="1"/>
  <c r="AB1797" i="1"/>
  <c r="AB1796" i="1"/>
  <c r="AB1795" i="1"/>
  <c r="AB1794" i="1"/>
  <c r="AB1793" i="1"/>
  <c r="AB1792" i="1"/>
  <c r="AB1791" i="1"/>
  <c r="AB1790" i="1"/>
  <c r="AB1789" i="1"/>
  <c r="AB1788" i="1"/>
  <c r="AB1787" i="1"/>
  <c r="AB1786" i="1"/>
  <c r="AB1785" i="1"/>
  <c r="AB1784" i="1"/>
  <c r="AB1783" i="1"/>
  <c r="AB1782" i="1"/>
  <c r="AB1781" i="1"/>
  <c r="AB1780" i="1"/>
  <c r="AB1779" i="1"/>
  <c r="AB1778" i="1"/>
  <c r="AB1777" i="1"/>
  <c r="AB1776" i="1"/>
  <c r="AB1775" i="1"/>
  <c r="AB1774" i="1"/>
  <c r="AB1773" i="1"/>
  <c r="AB1772" i="1"/>
  <c r="AB1771" i="1"/>
  <c r="AB1770" i="1"/>
  <c r="AB1769" i="1"/>
  <c r="AB1768" i="1"/>
  <c r="AB1767" i="1"/>
  <c r="AB1766" i="1"/>
  <c r="AB1765" i="1"/>
  <c r="AB1764" i="1"/>
  <c r="AB1763" i="1"/>
  <c r="AB1762" i="1"/>
  <c r="AB1761" i="1"/>
  <c r="AB1760" i="1"/>
  <c r="AB1759" i="1"/>
  <c r="AB1758" i="1"/>
  <c r="AB1757" i="1"/>
  <c r="AB1756" i="1"/>
  <c r="AB1755" i="1"/>
  <c r="AB1754" i="1"/>
  <c r="AB1753" i="1"/>
  <c r="AB1752" i="1"/>
  <c r="AB1751" i="1"/>
  <c r="AB1750" i="1"/>
  <c r="AB1749" i="1"/>
  <c r="AB1748" i="1"/>
  <c r="AB1747" i="1"/>
  <c r="AB1746" i="1"/>
  <c r="AB1745" i="1"/>
  <c r="AB1744" i="1"/>
  <c r="AB1743" i="1"/>
  <c r="AB1742" i="1"/>
  <c r="AB1741" i="1"/>
  <c r="AB1740" i="1"/>
  <c r="AB1739" i="1"/>
  <c r="AB1738" i="1"/>
  <c r="AB1737" i="1"/>
  <c r="AB1736" i="1"/>
  <c r="AB1735" i="1"/>
  <c r="AB1734" i="1"/>
  <c r="AB1733" i="1"/>
  <c r="AB1732" i="1"/>
  <c r="AB1731" i="1"/>
  <c r="AB1730" i="1"/>
  <c r="AB1729" i="1"/>
  <c r="AB1728" i="1"/>
  <c r="AB1727" i="1"/>
  <c r="AB1726" i="1"/>
  <c r="AB1725" i="1"/>
  <c r="AB1724" i="1"/>
  <c r="AB1723" i="1"/>
  <c r="AB1722" i="1"/>
  <c r="AB1721" i="1"/>
  <c r="AB1720" i="1"/>
  <c r="AB1719" i="1"/>
  <c r="AB1718" i="1"/>
  <c r="AB1717" i="1"/>
  <c r="AB1716" i="1"/>
  <c r="AB1715" i="1"/>
  <c r="AB1714" i="1"/>
  <c r="AB1713" i="1"/>
  <c r="AB1712" i="1"/>
  <c r="AB1711" i="1"/>
  <c r="AB1710" i="1"/>
  <c r="AB1709" i="1"/>
  <c r="AB1708" i="1"/>
  <c r="AB1707" i="1"/>
  <c r="AB1706" i="1"/>
  <c r="AB1705" i="1"/>
  <c r="AB1704" i="1"/>
  <c r="AB1703" i="1"/>
  <c r="AB1702" i="1"/>
  <c r="AB1701" i="1"/>
  <c r="AB1700" i="1"/>
  <c r="AB1699" i="1"/>
  <c r="AB1698" i="1"/>
  <c r="AB1697" i="1"/>
  <c r="AB1696" i="1"/>
  <c r="AB1695" i="1"/>
  <c r="AB1694" i="1"/>
  <c r="AB1693" i="1"/>
  <c r="AB1692" i="1"/>
  <c r="AB1691" i="1"/>
  <c r="AB1690" i="1"/>
  <c r="AB1689" i="1"/>
  <c r="AB1688" i="1"/>
  <c r="AB1687" i="1"/>
  <c r="AB1686" i="1"/>
  <c r="AB1685" i="1"/>
  <c r="AB1684" i="1"/>
  <c r="AB1683" i="1"/>
  <c r="AB1682" i="1"/>
  <c r="AB1681" i="1"/>
  <c r="AB1680" i="1"/>
  <c r="AB1679" i="1"/>
  <c r="AB1678" i="1"/>
  <c r="AB1677" i="1"/>
  <c r="AB1676" i="1"/>
  <c r="AB1675" i="1"/>
  <c r="AB1674" i="1"/>
  <c r="AB1673" i="1"/>
  <c r="AB1672" i="1"/>
  <c r="AB1671" i="1"/>
  <c r="AB1670" i="1"/>
  <c r="AB1669" i="1"/>
  <c r="AB1668" i="1"/>
  <c r="AB1667" i="1"/>
  <c r="AB1666" i="1"/>
  <c r="AB1665" i="1"/>
  <c r="AB1664" i="1"/>
  <c r="AB1663" i="1"/>
  <c r="AB1662" i="1"/>
  <c r="AB1661" i="1"/>
  <c r="AB1660" i="1"/>
  <c r="AB1659" i="1"/>
  <c r="AB1658" i="1"/>
  <c r="AB1657" i="1"/>
  <c r="AB1656" i="1"/>
  <c r="AB1655" i="1"/>
  <c r="AB1654" i="1"/>
  <c r="AB1653" i="1"/>
  <c r="AB1652" i="1"/>
  <c r="AB1651" i="1"/>
  <c r="AB1650" i="1"/>
  <c r="AB1649" i="1"/>
  <c r="AB1648" i="1"/>
  <c r="AB1647" i="1"/>
  <c r="AB1646" i="1"/>
  <c r="AB1645" i="1"/>
  <c r="AB1644" i="1"/>
  <c r="AB1643" i="1"/>
  <c r="AB1642" i="1"/>
  <c r="AB1641" i="1"/>
  <c r="AB1640" i="1"/>
  <c r="AB1639" i="1"/>
  <c r="AB1638" i="1"/>
  <c r="AB1637" i="1"/>
  <c r="AB1636" i="1"/>
  <c r="AB1635" i="1"/>
  <c r="AB1634" i="1"/>
  <c r="AB1633" i="1"/>
  <c r="AB1632" i="1"/>
  <c r="AB1631" i="1"/>
  <c r="AB1630" i="1"/>
  <c r="AB1629" i="1"/>
  <c r="AB1628" i="1"/>
  <c r="AB1627" i="1"/>
  <c r="AB1626" i="1"/>
  <c r="AB1625" i="1"/>
  <c r="AB1624" i="1"/>
  <c r="AB1623" i="1"/>
  <c r="AB1622" i="1"/>
  <c r="AB1621" i="1"/>
  <c r="AB1620" i="1"/>
  <c r="AB1619" i="1"/>
  <c r="AB1618" i="1"/>
  <c r="AB1617" i="1"/>
  <c r="AB1616" i="1"/>
  <c r="AB1615" i="1"/>
  <c r="AB1614" i="1"/>
  <c r="AB1613" i="1"/>
  <c r="AB1612" i="1"/>
  <c r="AB1611" i="1"/>
  <c r="AB1610" i="1"/>
  <c r="AB1609" i="1"/>
  <c r="AB1608" i="1"/>
  <c r="AB1607" i="1"/>
  <c r="AB1606" i="1"/>
  <c r="AB1605" i="1"/>
  <c r="AB1604" i="1"/>
  <c r="AB1603" i="1"/>
  <c r="AB1602" i="1"/>
  <c r="AB1601" i="1"/>
  <c r="AB1600" i="1"/>
  <c r="AB1599" i="1"/>
  <c r="AB1598" i="1"/>
  <c r="AB1597" i="1"/>
  <c r="AB1596" i="1"/>
  <c r="AB1595" i="1"/>
  <c r="AB1594" i="1"/>
  <c r="AB1593" i="1"/>
  <c r="AB1592" i="1"/>
  <c r="AB1591" i="1"/>
  <c r="AB1590" i="1"/>
  <c r="AB1589" i="1"/>
  <c r="AB1588" i="1"/>
  <c r="AB1587" i="1"/>
  <c r="AB1586" i="1"/>
  <c r="AB1585" i="1"/>
  <c r="AB1584" i="1"/>
  <c r="AB1583" i="1"/>
  <c r="AB1582" i="1"/>
  <c r="AB1581" i="1"/>
  <c r="AB1580" i="1"/>
  <c r="AB1579" i="1"/>
  <c r="AB1578" i="1"/>
  <c r="AB1577" i="1"/>
  <c r="AB1576" i="1"/>
  <c r="AB1575" i="1"/>
  <c r="AB1574" i="1"/>
  <c r="AB1573" i="1"/>
  <c r="AB1572" i="1"/>
  <c r="AB1571" i="1"/>
  <c r="AB1570" i="1"/>
  <c r="AB1569" i="1"/>
  <c r="AB1568" i="1"/>
  <c r="AB1567" i="1"/>
  <c r="AB1566" i="1"/>
  <c r="AB1565" i="1"/>
  <c r="AB1564" i="1"/>
  <c r="AB1563" i="1"/>
  <c r="AB1562" i="1"/>
  <c r="AB1561" i="1"/>
  <c r="AB1560" i="1"/>
  <c r="AB1559" i="1"/>
  <c r="AB1558" i="1"/>
  <c r="AB1557" i="1"/>
  <c r="AB1556" i="1"/>
  <c r="AB1555" i="1"/>
  <c r="AB1554" i="1"/>
  <c r="AB1553" i="1"/>
  <c r="AB1552" i="1"/>
  <c r="AB1551" i="1"/>
  <c r="AB1550" i="1"/>
  <c r="AB1549" i="1"/>
  <c r="AB1548" i="1"/>
  <c r="AB1547" i="1"/>
  <c r="AB1546" i="1"/>
  <c r="AB1545" i="1"/>
  <c r="AB1544" i="1"/>
  <c r="AB1543" i="1"/>
  <c r="AB1542" i="1"/>
  <c r="AB1541" i="1"/>
  <c r="AB1540" i="1"/>
  <c r="AB1539" i="1"/>
  <c r="AB1538" i="1"/>
  <c r="AB1537" i="1"/>
  <c r="AB1536" i="1"/>
  <c r="AB1535" i="1"/>
  <c r="AB1534" i="1"/>
  <c r="AB1533" i="1"/>
  <c r="AB1532" i="1"/>
  <c r="AB1531" i="1"/>
  <c r="AB1530" i="1"/>
  <c r="AB1529" i="1"/>
  <c r="AB1528" i="1"/>
  <c r="AB1527" i="1"/>
  <c r="AB1526" i="1"/>
  <c r="AB1525" i="1"/>
  <c r="AB1524" i="1"/>
  <c r="AB1523" i="1"/>
  <c r="AB1522" i="1"/>
  <c r="AB1521" i="1"/>
  <c r="AB1520" i="1"/>
  <c r="AB1519" i="1"/>
  <c r="AB1518" i="1"/>
  <c r="AB1517" i="1"/>
  <c r="AB1516" i="1"/>
  <c r="AB1515" i="1"/>
  <c r="AB1514" i="1"/>
  <c r="AB1513" i="1"/>
  <c r="AB1512" i="1"/>
  <c r="AB1511" i="1"/>
  <c r="AB1510" i="1"/>
  <c r="AB1509" i="1"/>
  <c r="AB1508" i="1"/>
  <c r="AB1507" i="1"/>
  <c r="AB1506" i="1"/>
  <c r="AB1505" i="1"/>
  <c r="AB1504" i="1"/>
  <c r="AB1503" i="1"/>
  <c r="AB1502" i="1"/>
  <c r="AB1501" i="1"/>
  <c r="AB1500" i="1"/>
  <c r="AB1499" i="1"/>
  <c r="AB1498" i="1"/>
  <c r="AB1497" i="1"/>
  <c r="AB1496" i="1"/>
  <c r="AB1495" i="1"/>
  <c r="AB1494" i="1"/>
  <c r="AB1493" i="1"/>
  <c r="AB1492" i="1"/>
  <c r="AB1491" i="1"/>
  <c r="AB1490" i="1"/>
  <c r="AB1489" i="1"/>
  <c r="AB1488" i="1"/>
  <c r="AB1487" i="1"/>
  <c r="AB1486" i="1"/>
  <c r="AB1485" i="1"/>
  <c r="AB1484" i="1"/>
  <c r="AB1483" i="1"/>
  <c r="AB1482" i="1"/>
  <c r="AB1481" i="1"/>
  <c r="AB1480" i="1"/>
  <c r="AB1479" i="1"/>
  <c r="AB1478" i="1"/>
  <c r="AB1477" i="1"/>
  <c r="AB1476" i="1"/>
  <c r="AB1475" i="1"/>
  <c r="AB1474" i="1"/>
  <c r="AB1473" i="1"/>
  <c r="AB1472" i="1"/>
  <c r="AB1471" i="1"/>
  <c r="AB1470" i="1"/>
  <c r="AB1469" i="1"/>
  <c r="AB1468" i="1"/>
  <c r="AB1467" i="1"/>
  <c r="AB1466" i="1"/>
  <c r="AB1465" i="1"/>
  <c r="AB1464" i="1"/>
  <c r="AB1463" i="1"/>
  <c r="AB1462" i="1"/>
  <c r="AB1461" i="1"/>
  <c r="AB1460" i="1"/>
  <c r="AB1459" i="1"/>
  <c r="AB1458" i="1"/>
  <c r="AB1457" i="1"/>
  <c r="AB1456" i="1"/>
  <c r="AB1455" i="1"/>
  <c r="AB1454" i="1"/>
  <c r="AB1453" i="1"/>
  <c r="AB1452" i="1"/>
  <c r="AB1451" i="1"/>
  <c r="AB1450" i="1"/>
  <c r="AB1449" i="1"/>
  <c r="AB1448" i="1"/>
  <c r="AB1447" i="1"/>
  <c r="AB1446" i="1"/>
  <c r="AB1445" i="1"/>
  <c r="AB1444" i="1"/>
  <c r="AB1443" i="1"/>
  <c r="AB1442" i="1"/>
  <c r="AB1441" i="1"/>
  <c r="AB1440" i="1"/>
  <c r="AB1439" i="1"/>
  <c r="AB1438" i="1"/>
  <c r="AB1437" i="1"/>
  <c r="AB1436" i="1"/>
  <c r="AB1435" i="1"/>
  <c r="AB1434" i="1"/>
  <c r="AB1433" i="1"/>
  <c r="AB1432" i="1"/>
  <c r="AB1431" i="1"/>
  <c r="AB1430" i="1"/>
  <c r="AB1429" i="1"/>
  <c r="AB1428" i="1"/>
  <c r="AB1427" i="1"/>
  <c r="AB1426" i="1"/>
  <c r="AB1425" i="1"/>
  <c r="AB1424" i="1"/>
  <c r="AB1423" i="1"/>
  <c r="AB1422" i="1"/>
  <c r="AB1421" i="1"/>
  <c r="AB1420" i="1"/>
  <c r="AB1419" i="1"/>
  <c r="AB1418" i="1"/>
  <c r="AB1417" i="1"/>
  <c r="AB1416" i="1"/>
  <c r="AB1415" i="1"/>
  <c r="AB1414" i="1"/>
  <c r="AB1413" i="1"/>
  <c r="AB1412" i="1"/>
  <c r="AB1411" i="1"/>
  <c r="AB1410" i="1"/>
  <c r="AB1409" i="1"/>
  <c r="AB1408" i="1"/>
  <c r="AB1407" i="1"/>
  <c r="AB1406" i="1"/>
  <c r="AB1405" i="1"/>
  <c r="AB1404" i="1"/>
  <c r="AB1403" i="1"/>
  <c r="AB1402" i="1"/>
  <c r="AB1401" i="1"/>
  <c r="AB1400" i="1"/>
  <c r="AB1399" i="1"/>
  <c r="AB1398" i="1"/>
  <c r="AB1397" i="1"/>
  <c r="AB1396" i="1"/>
  <c r="AB1395" i="1"/>
  <c r="AB1394" i="1"/>
  <c r="AB1393" i="1"/>
  <c r="AB1392" i="1"/>
  <c r="AB1391" i="1"/>
  <c r="AB1390" i="1"/>
  <c r="AB1389" i="1"/>
  <c r="AB1388" i="1"/>
  <c r="AB1387" i="1"/>
  <c r="AB1386" i="1"/>
  <c r="AB1385" i="1"/>
  <c r="AB1384" i="1"/>
  <c r="AB1383" i="1"/>
  <c r="AB1382" i="1"/>
  <c r="AB1381" i="1"/>
  <c r="AB1380" i="1"/>
  <c r="AB1379" i="1"/>
  <c r="AB1378" i="1"/>
  <c r="AB1377" i="1"/>
  <c r="AB1376" i="1"/>
  <c r="AB1375" i="1"/>
  <c r="AB1374" i="1"/>
  <c r="AB1373" i="1"/>
  <c r="AB1372" i="1"/>
  <c r="AB1371" i="1"/>
  <c r="AB1370" i="1"/>
  <c r="AB1369" i="1"/>
  <c r="AB1368" i="1"/>
  <c r="AB1367" i="1"/>
  <c r="AB1366" i="1"/>
  <c r="AB1365" i="1"/>
  <c r="AB1364" i="1"/>
  <c r="AB1363" i="1"/>
  <c r="AB1362" i="1"/>
  <c r="AB1361" i="1"/>
  <c r="AB1360" i="1"/>
  <c r="AB1359" i="1"/>
  <c r="AB1358" i="1"/>
  <c r="AB1357" i="1"/>
  <c r="AB1356" i="1"/>
  <c r="AB1355" i="1"/>
  <c r="AB1354" i="1"/>
  <c r="AB1353" i="1"/>
  <c r="AB1352" i="1"/>
  <c r="AB1351" i="1"/>
  <c r="AB1350" i="1"/>
  <c r="AB1349" i="1"/>
  <c r="AB1348" i="1"/>
  <c r="AB1347" i="1"/>
  <c r="AB1346" i="1"/>
  <c r="AB1345" i="1"/>
  <c r="AB1344" i="1"/>
  <c r="AB1343" i="1"/>
  <c r="AB1342" i="1"/>
  <c r="AB1341" i="1"/>
  <c r="AB1340" i="1"/>
  <c r="AB1339" i="1"/>
  <c r="AB1338" i="1"/>
  <c r="AB1337" i="1"/>
  <c r="AB1336" i="1"/>
  <c r="AB1335" i="1"/>
  <c r="AB1334" i="1"/>
  <c r="AB1333" i="1"/>
  <c r="AB1332" i="1"/>
  <c r="AB1331" i="1"/>
  <c r="AB1330" i="1"/>
  <c r="AB1329" i="1"/>
  <c r="AB1328" i="1"/>
  <c r="AB1327" i="1"/>
  <c r="AB1326" i="1"/>
  <c r="AB1325" i="1"/>
  <c r="AB1324" i="1"/>
  <c r="AB1323" i="1"/>
  <c r="AB1322" i="1"/>
  <c r="AB1321" i="1"/>
  <c r="AB1320" i="1"/>
  <c r="AB1319" i="1"/>
  <c r="AB1318" i="1"/>
  <c r="AB1317" i="1"/>
  <c r="AB1316" i="1"/>
  <c r="AB1315" i="1"/>
  <c r="AB1314" i="1"/>
  <c r="AB1313" i="1"/>
  <c r="AB1312" i="1"/>
  <c r="AB1311" i="1"/>
  <c r="AB1310" i="1"/>
  <c r="AB1309" i="1"/>
  <c r="AB1308" i="1"/>
  <c r="AB1307" i="1"/>
  <c r="AB1306" i="1"/>
  <c r="AB1305" i="1"/>
  <c r="AB1304" i="1"/>
  <c r="AB1303" i="1"/>
  <c r="AB1302" i="1"/>
  <c r="AB1301" i="1"/>
  <c r="AB1300" i="1"/>
  <c r="AB1299" i="1"/>
  <c r="AB1298" i="1"/>
  <c r="AB1297" i="1"/>
  <c r="AB1296" i="1"/>
  <c r="AB1295" i="1"/>
  <c r="AB1294" i="1"/>
  <c r="AB1293" i="1"/>
  <c r="AB1292" i="1"/>
  <c r="AB1291" i="1"/>
  <c r="AB1290" i="1"/>
  <c r="AB1289" i="1"/>
  <c r="AB1288" i="1"/>
  <c r="AB1287" i="1"/>
  <c r="AB1286" i="1"/>
  <c r="AB1285" i="1"/>
  <c r="AB1284" i="1"/>
  <c r="AB1283" i="1"/>
  <c r="AB1282" i="1"/>
  <c r="AB1281" i="1"/>
  <c r="AB1280" i="1"/>
  <c r="AB1279" i="1"/>
  <c r="AB1278" i="1"/>
  <c r="AB1277" i="1"/>
  <c r="AB1276" i="1"/>
  <c r="AB1275" i="1"/>
  <c r="AB1274" i="1"/>
  <c r="AB1273" i="1"/>
  <c r="AB1272" i="1"/>
  <c r="AB1271" i="1"/>
  <c r="AB1270" i="1"/>
  <c r="AB1269" i="1"/>
  <c r="AB1268" i="1"/>
  <c r="AB1267" i="1"/>
  <c r="AB1266" i="1"/>
  <c r="AB1265" i="1"/>
  <c r="AB1264" i="1"/>
  <c r="AB1263" i="1"/>
  <c r="AB1262" i="1"/>
  <c r="AB1261" i="1"/>
  <c r="AB1260" i="1"/>
  <c r="AB1259" i="1"/>
  <c r="AB1258" i="1"/>
  <c r="AB1257" i="1"/>
  <c r="AB1256" i="1"/>
  <c r="AB1255" i="1"/>
  <c r="AB1254" i="1"/>
  <c r="AB1253" i="1"/>
  <c r="AB1252" i="1"/>
  <c r="AB1251" i="1"/>
  <c r="AB1250" i="1"/>
  <c r="AB1249" i="1"/>
  <c r="AB1248" i="1"/>
  <c r="AB1247" i="1"/>
  <c r="AB1246" i="1"/>
  <c r="AB1245" i="1"/>
  <c r="AB1244" i="1"/>
  <c r="AB1243" i="1"/>
  <c r="AB1242" i="1"/>
  <c r="AB1241" i="1"/>
  <c r="AB1240" i="1"/>
  <c r="AB1239" i="1"/>
  <c r="AB1238" i="1"/>
  <c r="AB1237" i="1"/>
  <c r="AB1236" i="1"/>
  <c r="AB1235" i="1"/>
  <c r="AB1234" i="1"/>
  <c r="AB1233" i="1"/>
  <c r="AB1232" i="1"/>
  <c r="AB1231" i="1"/>
  <c r="AB1230" i="1"/>
  <c r="AB1229" i="1"/>
  <c r="AB1228" i="1"/>
  <c r="AB1227" i="1"/>
  <c r="AB1226" i="1"/>
  <c r="AB1225" i="1"/>
  <c r="AB1224" i="1"/>
  <c r="AB1223" i="1"/>
  <c r="AB1222" i="1"/>
  <c r="AB1221" i="1"/>
  <c r="AB1220" i="1"/>
  <c r="AB1219" i="1"/>
  <c r="AB1218" i="1"/>
  <c r="AB1217" i="1"/>
  <c r="AB1216" i="1"/>
  <c r="AB1215" i="1"/>
  <c r="AB1214" i="1"/>
  <c r="AB1213" i="1"/>
  <c r="AB1212" i="1"/>
  <c r="AB1211" i="1"/>
  <c r="AB1210" i="1"/>
  <c r="AB1209" i="1"/>
  <c r="AB1208" i="1"/>
  <c r="AB1207" i="1"/>
  <c r="AB1206" i="1"/>
  <c r="AB1205" i="1"/>
  <c r="AB1204" i="1"/>
  <c r="AB1203" i="1"/>
  <c r="AB1202" i="1"/>
  <c r="AB1201" i="1"/>
  <c r="AB1200" i="1"/>
  <c r="AB1199" i="1"/>
  <c r="AB1198" i="1"/>
  <c r="AB1197" i="1"/>
  <c r="AB1196" i="1"/>
  <c r="AB1195" i="1"/>
  <c r="AB1194" i="1"/>
  <c r="AB1193" i="1"/>
  <c r="AB1192" i="1"/>
  <c r="AB1191" i="1"/>
  <c r="AB1190" i="1"/>
  <c r="AB1189" i="1"/>
  <c r="AB1188" i="1"/>
  <c r="AB1187" i="1"/>
  <c r="AB1186" i="1"/>
  <c r="AB1185" i="1"/>
  <c r="AB1184" i="1"/>
  <c r="AB1183" i="1"/>
  <c r="AB1182" i="1"/>
  <c r="AB1181" i="1"/>
  <c r="AB1180" i="1"/>
  <c r="AB1179" i="1"/>
  <c r="AB1178" i="1"/>
  <c r="AB1177" i="1"/>
  <c r="AB1176" i="1"/>
  <c r="AB1175" i="1"/>
  <c r="AB1174" i="1"/>
  <c r="AB1173" i="1"/>
  <c r="AB1172" i="1"/>
  <c r="AB1171" i="1"/>
  <c r="AB1170" i="1"/>
  <c r="AB1169" i="1"/>
  <c r="AB1168" i="1"/>
  <c r="AB1167" i="1"/>
  <c r="AB1166" i="1"/>
  <c r="AB1165" i="1"/>
  <c r="AB1164" i="1"/>
  <c r="AB1163" i="1"/>
  <c r="AB1162" i="1"/>
  <c r="AB1161" i="1"/>
  <c r="AB1160" i="1"/>
  <c r="AB1159" i="1"/>
  <c r="AB1158" i="1"/>
  <c r="AB1157" i="1"/>
  <c r="AB1156" i="1"/>
  <c r="AB1155" i="1"/>
  <c r="AB1154" i="1"/>
  <c r="AB1153" i="1"/>
  <c r="AB1152" i="1"/>
  <c r="AB1151" i="1"/>
  <c r="AB1150" i="1"/>
  <c r="AB1149" i="1"/>
  <c r="AB1148" i="1"/>
  <c r="AB1147" i="1"/>
  <c r="AB1146" i="1"/>
  <c r="AB1145" i="1"/>
  <c r="AB1144" i="1"/>
  <c r="AB1143" i="1"/>
  <c r="AB1142" i="1"/>
  <c r="AB1141" i="1"/>
  <c r="AB1140" i="1"/>
  <c r="AB1139" i="1"/>
  <c r="AB1138" i="1"/>
  <c r="AB1137" i="1"/>
  <c r="AB1136" i="1"/>
  <c r="AB1135" i="1"/>
  <c r="AB1134" i="1"/>
  <c r="AB1133" i="1"/>
  <c r="AB1132" i="1"/>
  <c r="AB1131" i="1"/>
  <c r="AB1130" i="1"/>
  <c r="AB1129" i="1"/>
  <c r="AB1128" i="1"/>
  <c r="AB1127" i="1"/>
  <c r="AB1126" i="1"/>
  <c r="AB1125" i="1"/>
  <c r="AB1124" i="1"/>
  <c r="AB1123" i="1"/>
  <c r="AB1122" i="1"/>
  <c r="AB1121" i="1"/>
  <c r="AB1120" i="1"/>
  <c r="AB1119" i="1"/>
  <c r="AB1118" i="1"/>
  <c r="AB1117" i="1"/>
  <c r="AB1116" i="1"/>
  <c r="AB1115" i="1"/>
  <c r="AB1114" i="1"/>
  <c r="AB1113" i="1"/>
  <c r="AB1112" i="1"/>
  <c r="AB1111" i="1"/>
  <c r="AB1110" i="1"/>
  <c r="AB1109" i="1"/>
  <c r="AB1108" i="1"/>
  <c r="AB1107" i="1"/>
  <c r="AB1106" i="1"/>
  <c r="AB1105" i="1"/>
  <c r="AB1104" i="1"/>
  <c r="AB1103" i="1"/>
  <c r="AB1102" i="1"/>
  <c r="AB1101" i="1"/>
  <c r="AB1100" i="1"/>
  <c r="AB1099" i="1"/>
  <c r="AB1098" i="1"/>
  <c r="AB1097" i="1"/>
  <c r="AB1096" i="1"/>
  <c r="AB1095" i="1"/>
  <c r="AB1094" i="1"/>
  <c r="AB1093" i="1"/>
  <c r="AB1092" i="1"/>
  <c r="AB1091" i="1"/>
  <c r="AB1090" i="1"/>
  <c r="AB1089" i="1"/>
  <c r="AB1088" i="1"/>
  <c r="AB1087" i="1"/>
  <c r="AB1086" i="1"/>
  <c r="AB1085" i="1"/>
  <c r="AB1084" i="1"/>
  <c r="AB1083" i="1"/>
  <c r="AB1082" i="1"/>
  <c r="AB1081" i="1"/>
  <c r="AB1080" i="1"/>
  <c r="AB1079" i="1"/>
  <c r="AB1078" i="1"/>
  <c r="AB1077" i="1"/>
  <c r="AB1076" i="1"/>
  <c r="AB1075" i="1"/>
  <c r="AB1074" i="1"/>
  <c r="AB1073" i="1"/>
  <c r="AB1072" i="1"/>
  <c r="AB1071" i="1"/>
  <c r="AB1070" i="1"/>
  <c r="AB1069" i="1"/>
  <c r="AB1068" i="1"/>
  <c r="AB1067" i="1"/>
  <c r="AB1066" i="1"/>
  <c r="AB1065" i="1"/>
  <c r="AB1064" i="1"/>
  <c r="AB1063" i="1"/>
  <c r="AB1062" i="1"/>
  <c r="AB1061" i="1"/>
  <c r="AB1060" i="1"/>
  <c r="AB1059" i="1"/>
  <c r="AB1058" i="1"/>
  <c r="AB1057" i="1"/>
  <c r="AB1056" i="1"/>
  <c r="AB1055" i="1"/>
  <c r="AB1054" i="1"/>
  <c r="AB1053" i="1"/>
  <c r="AB1052" i="1"/>
  <c r="AB1051" i="1"/>
  <c r="AB1050" i="1"/>
  <c r="AB1049" i="1"/>
  <c r="AB1048" i="1"/>
  <c r="AB1047" i="1"/>
  <c r="AB1046" i="1"/>
  <c r="AB1045" i="1"/>
  <c r="AB1044" i="1"/>
  <c r="AB1043" i="1"/>
  <c r="AB1042" i="1"/>
  <c r="AB1041" i="1"/>
  <c r="AB1040" i="1"/>
  <c r="AB1039" i="1"/>
  <c r="AB1038" i="1"/>
  <c r="AB1037" i="1"/>
  <c r="AB1036" i="1"/>
  <c r="AB1035" i="1"/>
  <c r="AB1034" i="1"/>
  <c r="AB1033" i="1"/>
  <c r="AB1032" i="1"/>
  <c r="AB1031" i="1"/>
  <c r="AB1030" i="1"/>
  <c r="AB1029" i="1"/>
  <c r="AB1028" i="1"/>
  <c r="AB1027" i="1"/>
  <c r="AB1026" i="1"/>
  <c r="AB1025" i="1"/>
  <c r="AB1024" i="1"/>
  <c r="AB1023" i="1"/>
  <c r="AB1022" i="1"/>
  <c r="AB1021" i="1"/>
  <c r="AB1020" i="1"/>
  <c r="AB1019" i="1"/>
  <c r="AB1018" i="1"/>
  <c r="AB1017" i="1"/>
  <c r="AB1016" i="1"/>
  <c r="AB1015" i="1"/>
  <c r="AB1014" i="1"/>
  <c r="AB1013" i="1"/>
  <c r="AB1012" i="1"/>
  <c r="AB1011" i="1"/>
  <c r="AB1010" i="1"/>
  <c r="AB1009" i="1"/>
  <c r="AB1008" i="1"/>
  <c r="AB1007" i="1"/>
  <c r="AB1006" i="1"/>
  <c r="AB1005" i="1"/>
  <c r="AB1004" i="1"/>
  <c r="AB1003" i="1"/>
  <c r="AB1002" i="1"/>
  <c r="AB1001" i="1"/>
  <c r="AB1000" i="1"/>
  <c r="AB999" i="1"/>
  <c r="AB998" i="1"/>
  <c r="AB997" i="1"/>
  <c r="AB996" i="1"/>
  <c r="AB995" i="1"/>
  <c r="AB994" i="1"/>
  <c r="AB993" i="1"/>
  <c r="AB992" i="1"/>
  <c r="AB991" i="1"/>
  <c r="AB990" i="1"/>
  <c r="AB989" i="1"/>
  <c r="AB988" i="1"/>
  <c r="AB987" i="1"/>
  <c r="AB986" i="1"/>
  <c r="AB985" i="1"/>
  <c r="AB984" i="1"/>
  <c r="AB983" i="1"/>
  <c r="AB982" i="1"/>
  <c r="AB981" i="1"/>
  <c r="AB980" i="1"/>
  <c r="AB979" i="1"/>
  <c r="AB978" i="1"/>
  <c r="AB977" i="1"/>
  <c r="AB976" i="1"/>
  <c r="AB975" i="1"/>
  <c r="AB974" i="1"/>
  <c r="AB973" i="1"/>
  <c r="AB972" i="1"/>
  <c r="AB971" i="1"/>
  <c r="AB970" i="1"/>
  <c r="AB969" i="1"/>
  <c r="AB968" i="1"/>
  <c r="AB967" i="1"/>
  <c r="AB966" i="1"/>
  <c r="AB965" i="1"/>
  <c r="AB964" i="1"/>
  <c r="AB963" i="1"/>
  <c r="AB962" i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8" i="1"/>
  <c r="AB937" i="1"/>
  <c r="AB936" i="1"/>
  <c r="AB935" i="1"/>
  <c r="AB934" i="1"/>
  <c r="AB933" i="1"/>
  <c r="AB932" i="1"/>
  <c r="AB931" i="1"/>
  <c r="AB930" i="1"/>
  <c r="AB929" i="1"/>
  <c r="AB928" i="1"/>
  <c r="AB927" i="1"/>
  <c r="AB926" i="1"/>
  <c r="AB925" i="1"/>
  <c r="AB924" i="1"/>
  <c r="AB923" i="1"/>
  <c r="AB922" i="1"/>
  <c r="AB921" i="1"/>
  <c r="AB920" i="1"/>
  <c r="AB919" i="1"/>
  <c r="AB918" i="1"/>
  <c r="AB917" i="1"/>
  <c r="AB916" i="1"/>
  <c r="AB915" i="1"/>
  <c r="AB914" i="1"/>
  <c r="AB913" i="1"/>
  <c r="AB912" i="1"/>
  <c r="AB911" i="1"/>
  <c r="AB910" i="1"/>
  <c r="AB909" i="1"/>
  <c r="AB908" i="1"/>
  <c r="AB907" i="1"/>
  <c r="AB906" i="1"/>
  <c r="AB905" i="1"/>
  <c r="AB904" i="1"/>
  <c r="AB903" i="1"/>
  <c r="AB902" i="1"/>
  <c r="AB901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876" i="1"/>
  <c r="AB875" i="1"/>
  <c r="AB874" i="1"/>
  <c r="AB873" i="1"/>
  <c r="AB872" i="1"/>
  <c r="AB871" i="1"/>
  <c r="AB870" i="1"/>
  <c r="AB869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45" i="1"/>
  <c r="AB844" i="1"/>
  <c r="AB843" i="1"/>
  <c r="AB842" i="1"/>
  <c r="AB841" i="1"/>
  <c r="AB840" i="1"/>
  <c r="AB839" i="1"/>
  <c r="AB838" i="1"/>
  <c r="AB837" i="1"/>
  <c r="AB836" i="1"/>
  <c r="AB835" i="1"/>
  <c r="AB834" i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815" i="1"/>
  <c r="AB814" i="1"/>
  <c r="AB813" i="1"/>
  <c r="AB812" i="1"/>
  <c r="AB811" i="1"/>
  <c r="AB810" i="1"/>
  <c r="AB809" i="1"/>
  <c r="AB808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83" i="1"/>
  <c r="AB782" i="1"/>
  <c r="AB781" i="1"/>
  <c r="AB780" i="1"/>
  <c r="AB779" i="1"/>
  <c r="AB778" i="1"/>
  <c r="AB777" i="1"/>
  <c r="AB776" i="1"/>
  <c r="AB775" i="1"/>
  <c r="AB774" i="1"/>
  <c r="AB773" i="1"/>
  <c r="AB772" i="1"/>
  <c r="AB771" i="1"/>
  <c r="AB770" i="1"/>
  <c r="AB769" i="1"/>
  <c r="AB768" i="1"/>
  <c r="AB767" i="1"/>
  <c r="AB766" i="1"/>
  <c r="AB765" i="1"/>
  <c r="AB764" i="1"/>
  <c r="AB763" i="1"/>
  <c r="AB762" i="1"/>
  <c r="AB761" i="1"/>
  <c r="AB760" i="1"/>
  <c r="AB759" i="1"/>
  <c r="AB758" i="1"/>
  <c r="AB757" i="1"/>
  <c r="AB756" i="1"/>
  <c r="AB755" i="1"/>
  <c r="AB754" i="1"/>
  <c r="AB753" i="1"/>
  <c r="AB752" i="1"/>
  <c r="AB751" i="1"/>
  <c r="AB750" i="1"/>
  <c r="AB749" i="1"/>
  <c r="AB748" i="1"/>
  <c r="AB747" i="1"/>
  <c r="AB746" i="1"/>
  <c r="AB745" i="1"/>
  <c r="AB744" i="1"/>
  <c r="AB743" i="1"/>
  <c r="AB742" i="1"/>
  <c r="AB741" i="1"/>
  <c r="AB740" i="1"/>
  <c r="AB739" i="1"/>
  <c r="AB738" i="1"/>
  <c r="AB737" i="1"/>
  <c r="AB736" i="1"/>
  <c r="AB735" i="1"/>
  <c r="AB734" i="1"/>
  <c r="AB733" i="1"/>
  <c r="AB732" i="1"/>
  <c r="AB731" i="1"/>
  <c r="AB730" i="1"/>
  <c r="AB729" i="1"/>
  <c r="AB728" i="1"/>
  <c r="AB727" i="1"/>
  <c r="AB726" i="1"/>
  <c r="AB725" i="1"/>
  <c r="AB724" i="1"/>
  <c r="AB723" i="1"/>
  <c r="AB722" i="1"/>
  <c r="AB721" i="1"/>
  <c r="AB720" i="1"/>
  <c r="AB719" i="1"/>
  <c r="AB718" i="1"/>
  <c r="AB717" i="1"/>
  <c r="AB716" i="1"/>
  <c r="AB715" i="1"/>
  <c r="AB714" i="1"/>
  <c r="AB713" i="1"/>
  <c r="AB712" i="1"/>
  <c r="AB711" i="1"/>
  <c r="AB710" i="1"/>
  <c r="AB709" i="1"/>
  <c r="AB708" i="1"/>
  <c r="AB707" i="1"/>
  <c r="AB706" i="1"/>
  <c r="AB705" i="1"/>
  <c r="AB704" i="1"/>
  <c r="AB703" i="1"/>
  <c r="AB702" i="1"/>
  <c r="AB701" i="1"/>
  <c r="AB700" i="1"/>
  <c r="AB699" i="1"/>
  <c r="AB698" i="1"/>
  <c r="AB697" i="1"/>
  <c r="AB696" i="1"/>
  <c r="AB695" i="1"/>
  <c r="AB694" i="1"/>
  <c r="AB693" i="1"/>
  <c r="AB692" i="1"/>
  <c r="AB691" i="1"/>
  <c r="AB690" i="1"/>
  <c r="AB689" i="1"/>
  <c r="AB688" i="1"/>
  <c r="AB687" i="1"/>
  <c r="AB686" i="1"/>
  <c r="AB685" i="1"/>
  <c r="AB684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59" i="1"/>
  <c r="AB658" i="1"/>
  <c r="AB657" i="1"/>
  <c r="AB656" i="1"/>
  <c r="AB655" i="1"/>
  <c r="AB654" i="1"/>
  <c r="AB653" i="1"/>
  <c r="AB652" i="1"/>
  <c r="AB651" i="1"/>
  <c r="AB650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628" i="1"/>
  <c r="AB627" i="1"/>
  <c r="AB626" i="1"/>
  <c r="AB625" i="1"/>
  <c r="AB624" i="1"/>
  <c r="AB623" i="1"/>
  <c r="AB622" i="1"/>
  <c r="AB621" i="1"/>
  <c r="AB620" i="1"/>
  <c r="AB619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AB599" i="1"/>
  <c r="AB598" i="1"/>
  <c r="AB597" i="1"/>
  <c r="AB596" i="1"/>
  <c r="AB595" i="1"/>
  <c r="AB594" i="1"/>
  <c r="AB593" i="1"/>
  <c r="AB592" i="1"/>
  <c r="AB591" i="1"/>
  <c r="AB590" i="1"/>
  <c r="AB589" i="1"/>
  <c r="AB588" i="1"/>
  <c r="AB587" i="1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567" i="1"/>
  <c r="AB566" i="1"/>
  <c r="AB565" i="1"/>
  <c r="AB564" i="1"/>
  <c r="AB563" i="1"/>
  <c r="AB562" i="1"/>
  <c r="AB561" i="1"/>
  <c r="AB560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35" i="1"/>
  <c r="AB534" i="1"/>
  <c r="AB533" i="1"/>
  <c r="AB532" i="1"/>
  <c r="AB531" i="1"/>
  <c r="AB530" i="1"/>
  <c r="AB529" i="1"/>
  <c r="AB528" i="1"/>
  <c r="AB527" i="1"/>
  <c r="AB526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504" i="1"/>
  <c r="AB503" i="1"/>
  <c r="AB502" i="1"/>
  <c r="AB501" i="1"/>
  <c r="AB500" i="1"/>
  <c r="AB499" i="1"/>
  <c r="AB498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73" i="1"/>
  <c r="AB472" i="1"/>
  <c r="AB471" i="1"/>
  <c r="AB470" i="1"/>
  <c r="AB469" i="1"/>
  <c r="AB468" i="1"/>
  <c r="AB467" i="1"/>
  <c r="AB466" i="1"/>
  <c r="AB465" i="1"/>
  <c r="AB464" i="1"/>
  <c r="AB463" i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AB442" i="1"/>
  <c r="AB441" i="1"/>
  <c r="AB440" i="1"/>
  <c r="AB439" i="1"/>
  <c r="AB438" i="1"/>
  <c r="AB437" i="1"/>
  <c r="AB436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11" i="1"/>
  <c r="AB410" i="1"/>
  <c r="AB409" i="1"/>
  <c r="AB408" i="1"/>
  <c r="AB407" i="1"/>
  <c r="AB406" i="1"/>
  <c r="AB405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B380" i="1"/>
  <c r="AB379" i="1"/>
  <c r="AB378" i="1"/>
  <c r="AB377" i="1"/>
  <c r="AB376" i="1"/>
  <c r="AB375" i="1"/>
  <c r="AB374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9" i="1"/>
  <c r="AB348" i="1"/>
  <c r="AB347" i="1"/>
  <c r="AB346" i="1"/>
  <c r="AB345" i="1"/>
  <c r="AB344" i="1"/>
  <c r="AB343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8" i="1"/>
  <c r="AB317" i="1"/>
  <c r="AB316" i="1"/>
  <c r="AB315" i="1"/>
  <c r="AB314" i="1"/>
  <c r="AB313" i="1"/>
  <c r="AB312" i="1"/>
  <c r="AB311" i="1"/>
  <c r="AB310" i="1"/>
  <c r="AB309" i="1"/>
  <c r="AB308" i="1"/>
  <c r="AB307" i="1"/>
  <c r="AB306" i="1"/>
  <c r="AB305" i="1"/>
  <c r="AB304" i="1"/>
  <c r="AB303" i="1"/>
  <c r="AB302" i="1"/>
  <c r="AB301" i="1"/>
  <c r="AB300" i="1"/>
  <c r="AB299" i="1"/>
  <c r="AB298" i="1"/>
  <c r="AB297" i="1"/>
  <c r="AB296" i="1"/>
  <c r="AB295" i="1"/>
  <c r="AB294" i="1"/>
  <c r="AB293" i="1"/>
  <c r="AB292" i="1"/>
  <c r="AB291" i="1"/>
  <c r="AB290" i="1"/>
  <c r="AB289" i="1"/>
  <c r="AB288" i="1"/>
  <c r="AB287" i="1"/>
  <c r="AB286" i="1"/>
  <c r="AB285" i="1"/>
  <c r="AB284" i="1"/>
  <c r="AB283" i="1"/>
  <c r="AB282" i="1"/>
  <c r="AB281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56" i="1"/>
  <c r="AB255" i="1"/>
  <c r="AB254" i="1"/>
  <c r="AB253" i="1"/>
  <c r="AB252" i="1"/>
  <c r="AB251" i="1"/>
  <c r="AB250" i="1"/>
  <c r="AB249" i="1"/>
  <c r="AB248" i="1"/>
  <c r="AB247" i="1"/>
  <c r="AB246" i="1"/>
  <c r="AB245" i="1"/>
  <c r="AB244" i="1"/>
  <c r="AB243" i="1"/>
  <c r="AB242" i="1"/>
  <c r="AB241" i="1"/>
  <c r="AB240" i="1"/>
  <c r="AB239" i="1"/>
  <c r="AB238" i="1"/>
  <c r="AB237" i="1"/>
  <c r="AB236" i="1"/>
  <c r="AB235" i="1"/>
  <c r="AB234" i="1"/>
  <c r="AB233" i="1"/>
  <c r="AB232" i="1"/>
  <c r="AB231" i="1"/>
  <c r="AB230" i="1"/>
  <c r="AB229" i="1"/>
  <c r="AB228" i="1"/>
  <c r="AB227" i="1"/>
  <c r="AB226" i="1"/>
  <c r="AB225" i="1"/>
  <c r="AB224" i="1"/>
  <c r="AB223" i="1"/>
  <c r="AB222" i="1"/>
  <c r="AB221" i="1"/>
  <c r="AB220" i="1"/>
  <c r="AB219" i="1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94" i="1"/>
  <c r="AB193" i="1"/>
  <c r="AB192" i="1"/>
  <c r="AB191" i="1"/>
  <c r="AB190" i="1"/>
  <c r="AB189" i="1"/>
  <c r="AB188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163" i="1"/>
  <c r="AB162" i="1"/>
  <c r="AB161" i="1"/>
  <c r="AB160" i="1"/>
  <c r="AB159" i="1"/>
  <c r="AB158" i="1"/>
  <c r="AB157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32" i="1"/>
  <c r="AB131" i="1"/>
  <c r="AB130" i="1"/>
  <c r="AB129" i="1"/>
  <c r="AB128" i="1"/>
  <c r="AB127" i="1"/>
  <c r="AB126" i="1"/>
  <c r="AB125" i="1"/>
  <c r="AB124" i="1"/>
  <c r="AB12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102" i="1"/>
  <c r="AB101" i="1"/>
  <c r="AB100" i="1"/>
  <c r="AB99" i="1"/>
  <c r="AB98" i="1"/>
  <c r="AB97" i="1"/>
  <c r="AB96" i="1"/>
  <c r="AB95" i="1"/>
  <c r="AB94" i="1"/>
  <c r="AB93" i="1"/>
  <c r="AB92" i="1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71" i="1"/>
  <c r="AB70" i="1"/>
  <c r="AB69" i="1"/>
  <c r="AB68" i="1"/>
  <c r="AB67" i="1"/>
  <c r="AB66" i="1"/>
  <c r="AB65" i="1"/>
  <c r="AB64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B39" i="1"/>
  <c r="AB38" i="1"/>
  <c r="AB37" i="1"/>
  <c r="AB36" i="1"/>
  <c r="AB35" i="1"/>
  <c r="AB34" i="1"/>
  <c r="AB33" i="1"/>
  <c r="AB32" i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8" i="1"/>
  <c r="AB7" i="1"/>
  <c r="AB6" i="1"/>
  <c r="AB5" i="1"/>
  <c r="AB4" i="1"/>
  <c r="AB3" i="1"/>
  <c r="AB2" i="1"/>
</calcChain>
</file>

<file path=xl/sharedStrings.xml><?xml version="1.0" encoding="utf-8"?>
<sst xmlns="http://schemas.openxmlformats.org/spreadsheetml/2006/main" count="46594" uniqueCount="28908">
  <si>
    <t>Protein_ID</t>
  </si>
  <si>
    <t>plot</t>
  </si>
  <si>
    <t>gene_name</t>
  </si>
  <si>
    <t>uniprot_ac</t>
  </si>
  <si>
    <t>auc</t>
  </si>
  <si>
    <t>plot_link</t>
  </si>
  <si>
    <t>A0AVI4_TMEM129</t>
  </si>
  <si>
    <t>A0AVT1_UBA6</t>
  </si>
  <si>
    <t>A0JNW5_UHRF1BP1L</t>
  </si>
  <si>
    <t>A1A4S6_ARHGAP10</t>
  </si>
  <si>
    <t>A1BQX2_MARVELD2</t>
  </si>
  <si>
    <t>A1L0T0_ILVBL</t>
  </si>
  <si>
    <t>A1L188_C17orf89</t>
  </si>
  <si>
    <t>A1X283_SH3PXD2B</t>
  </si>
  <si>
    <t>A2A274_ACO2</t>
  </si>
  <si>
    <t>A2A2Q9_AAR2</t>
  </si>
  <si>
    <t>A2A2V1_PRNP</t>
  </si>
  <si>
    <t>A2BF36_HLA-DQB1</t>
  </si>
  <si>
    <t>A2RRP1_NBAS</t>
  </si>
  <si>
    <t>A2RU48_C12orf69</t>
  </si>
  <si>
    <t>A2RU67_KIAA1467</t>
  </si>
  <si>
    <t>A2VDF0_FUOM</t>
  </si>
  <si>
    <t>A3KN83-3_SBNO1</t>
  </si>
  <si>
    <t>A4D126_ISPD</t>
  </si>
  <si>
    <t>A4D1W8_UCC1</t>
  </si>
  <si>
    <t>A4D2B0_MBLAC1</t>
  </si>
  <si>
    <t>A4UGR9-2_XIRP2</t>
  </si>
  <si>
    <t>A5YKK6-2_CNOT1</t>
  </si>
  <si>
    <t>A6H8Z3_RAB3GAP1</t>
  </si>
  <si>
    <t>A6NDG6_PGP</t>
  </si>
  <si>
    <t>A6NDU8_C5orf51</t>
  </si>
  <si>
    <t>A6NED2_RCCD1</t>
  </si>
  <si>
    <t>A6NEM2_HCFC1</t>
  </si>
  <si>
    <t>A6NEP9_TSPAN14</t>
  </si>
  <si>
    <t>A6NFQ2-2_FAM115C</t>
  </si>
  <si>
    <t>A6NG32_CHMP1A</t>
  </si>
  <si>
    <t>A6NG79_PRCC</t>
  </si>
  <si>
    <t>A6NGJ0_DYNLT3</t>
  </si>
  <si>
    <t>A6NGP5_HN1L</t>
  </si>
  <si>
    <t>A6NGW1_YIF1A</t>
  </si>
  <si>
    <t>A6NHL2-2_TUBAL3</t>
  </si>
  <si>
    <t>A6NHX0_GATSL2</t>
  </si>
  <si>
    <t>A6NIH7_UNC119B</t>
  </si>
  <si>
    <t>A6NIT2_PHKA1</t>
  </si>
  <si>
    <t>A6NIZ0_NDEL1</t>
  </si>
  <si>
    <t>A6NKF9_GPR89C</t>
  </si>
  <si>
    <t>A6NL54_ZMYM3</t>
  </si>
  <si>
    <t>A6NLG9_BGN</t>
  </si>
  <si>
    <t>A6NLH6_CNIH4</t>
  </si>
  <si>
    <t>A6NMH6_SEPT8</t>
  </si>
  <si>
    <t>A6NML8_DIAPH2</t>
  </si>
  <si>
    <t>A6NN80_ANXA6</t>
  </si>
  <si>
    <t>A6NNI4_CD9</t>
  </si>
  <si>
    <t>A6PW57_PIP5K1A</t>
  </si>
  <si>
    <t>A6PW79_MB21D1</t>
  </si>
  <si>
    <t>A6QRJ0_DNASE1L1</t>
  </si>
  <si>
    <t>A6ZKI3_FAM127A</t>
  </si>
  <si>
    <t>A8K0B5_ZBTB8OS</t>
  </si>
  <si>
    <t>A8K0M9_SELK</t>
  </si>
  <si>
    <t>A8K7Q2_HSPA8</t>
  </si>
  <si>
    <t>A8MQ02_MLLT4</t>
  </si>
  <si>
    <t>A8MSH5_RTFDC1</t>
  </si>
  <si>
    <t>A8MSI8_LYRM9</t>
  </si>
  <si>
    <t>A8MT02_SNRPB</t>
  </si>
  <si>
    <t>A8MTG8_ARMC8</t>
  </si>
  <si>
    <t>A8MTT3_hCG_1988162</t>
  </si>
  <si>
    <t>A8MTY9_DSCR3</t>
  </si>
  <si>
    <t>A8MU21_TMEM147</t>
  </si>
  <si>
    <t>A8MUA9_SUMO3</t>
  </si>
  <si>
    <t>A8MUB1_TUBA4A</t>
  </si>
  <si>
    <t>A8MUM1_TSSC1</t>
  </si>
  <si>
    <t>A8MVW0_FAM171A2</t>
  </si>
  <si>
    <t>A8MWH4_MT1F</t>
  </si>
  <si>
    <t>A8MWK3_CDH2</t>
  </si>
  <si>
    <t>A8MXV4_NUDT19</t>
  </si>
  <si>
    <t>A8MYQ9_RAB34</t>
  </si>
  <si>
    <t>A8MYT4_PIK3C3</t>
  </si>
  <si>
    <t>A8MZ54_STX1A</t>
  </si>
  <si>
    <t>A9Z1X7_SRRM1</t>
  </si>
  <si>
    <t>B0FLL2_PFKFB2</t>
  </si>
  <si>
    <t>B0QXZ5_DNAL4</t>
  </si>
  <si>
    <t>B0QY89_EIF3L</t>
  </si>
  <si>
    <t>B0QY95_SMCR7L</t>
  </si>
  <si>
    <t>B0QYI3_TBC1D22A</t>
  </si>
  <si>
    <t>B0QYK0_EWSR1</t>
  </si>
  <si>
    <t>B0QZ18_CPNE1</t>
  </si>
  <si>
    <t>B0QZK9_HP1BP3</t>
  </si>
  <si>
    <t>B0UX83_BAG6</t>
  </si>
  <si>
    <t>B0UXB6_ABHD16A</t>
  </si>
  <si>
    <t>B0V043_VARS</t>
  </si>
  <si>
    <t>B0V1E9_MICA</t>
  </si>
  <si>
    <t>B0YIW2_APOC3</t>
  </si>
  <si>
    <t>B1AH87_TSPO</t>
  </si>
  <si>
    <t>B1AHD1_NHP2L1</t>
  </si>
  <si>
    <t>B1AJQ5_FAM76A</t>
  </si>
  <si>
    <t>B1AK13_HMGCL</t>
  </si>
  <si>
    <t>B1AKJ5_NRD1</t>
  </si>
  <si>
    <t>B1AKJ6_OSBPL9</t>
  </si>
  <si>
    <t>B1AKL4_EIF4ENIF1</t>
  </si>
  <si>
    <t>B1AKN3_RERE</t>
  </si>
  <si>
    <t>B1AKP2_TSPAN2</t>
  </si>
  <si>
    <t>B1AKR6_DYNLRB1</t>
  </si>
  <si>
    <t>B1AKT3_TMED5</t>
  </si>
  <si>
    <t>B1AL69_CDC37L1</t>
  </si>
  <si>
    <t>B1AL88_FAM155A</t>
  </si>
  <si>
    <t>B1ALH6_PHYH</t>
  </si>
  <si>
    <t>B1ALK7_ARHGEF7</t>
  </si>
  <si>
    <t>B1ALM5_TMEM9</t>
  </si>
  <si>
    <t>B1ALY0_PALM2-AKAP2</t>
  </si>
  <si>
    <t>B1AMW1_CD58</t>
  </si>
  <si>
    <t>B1AN89_EIF4G3</t>
  </si>
  <si>
    <t>B1AN99_PRSS3</t>
  </si>
  <si>
    <t>B1ANH0_GUK1</t>
  </si>
  <si>
    <t>B1APM4_SOAT1</t>
  </si>
  <si>
    <t>B1AVU8_PSAP</t>
  </si>
  <si>
    <t>B1AZV3_TAP1</t>
  </si>
  <si>
    <t>B2WTI3_JMJD6</t>
  </si>
  <si>
    <t>B3FL70_DOCK10.2</t>
  </si>
  <si>
    <t>B3KS98_EIF3S3</t>
  </si>
  <si>
    <t>B3KSH1_EIF3F</t>
  </si>
  <si>
    <t>B3KSI9_LZTFL1</t>
  </si>
  <si>
    <t>B3KSP0_WHSC2</t>
  </si>
  <si>
    <t>B3KSW4_RGS20</t>
  </si>
  <si>
    <t>B3KTR6_MXRA8</t>
  </si>
  <si>
    <t>B3KUE5_PLTP</t>
  </si>
  <si>
    <t>B3KUK2_SOD2</t>
  </si>
  <si>
    <t>B3KV95_FBXO18</t>
  </si>
  <si>
    <t>B3KXW5_AP1G1</t>
  </si>
  <si>
    <t>B3KY94_CDIPT</t>
  </si>
  <si>
    <t>B4DDF4_CNN2</t>
  </si>
  <si>
    <t>B4DDF9_ANXA4</t>
  </si>
  <si>
    <t>B4DE11_SLC35A2</t>
  </si>
  <si>
    <t>B4DE40_SMS</t>
  </si>
  <si>
    <t>B4DEK4_SNX2</t>
  </si>
  <si>
    <t>B4DEX5_PRNPIP</t>
  </si>
  <si>
    <t>B4DEZ3_NDUFA13</t>
  </si>
  <si>
    <t>B4DFG0_DEK</t>
  </si>
  <si>
    <t>B4DGU4_CTNNB1</t>
  </si>
  <si>
    <t>B4DGV4_RYR2</t>
  </si>
  <si>
    <t>B4DGX2_PIP4K2A</t>
  </si>
  <si>
    <t>B4DH53_MAP1S</t>
  </si>
  <si>
    <t>B4DHE1_RPS6KC1</t>
  </si>
  <si>
    <t>B4DHJ7_BNIP3</t>
  </si>
  <si>
    <t>B4DHN6_DNALI1</t>
  </si>
  <si>
    <t>B4DHW1_TMEM165</t>
  </si>
  <si>
    <t>B4DJA5_RAB5A</t>
  </si>
  <si>
    <t>B4DJP7_SNRPD3</t>
  </si>
  <si>
    <t>B4DJV2_CS</t>
  </si>
  <si>
    <t>B4DJZ1_SLC23A2</t>
  </si>
  <si>
    <t>B4DK95_ZYG11B</t>
  </si>
  <si>
    <t>B4DL14_ATP5C1</t>
  </si>
  <si>
    <t>B4DL54_CHURC1-FNTB</t>
  </si>
  <si>
    <t>B4DLE8_CRYBG3</t>
  </si>
  <si>
    <t>B4DLR8_NQO1</t>
  </si>
  <si>
    <t>B4DLT4_RPS6KB1</t>
  </si>
  <si>
    <t>B4DLU3_PGS1</t>
  </si>
  <si>
    <t>B4DMK0_RAB11B</t>
  </si>
  <si>
    <t>B4DP21_PTGES3</t>
  </si>
  <si>
    <t>B4DP38_WDR77</t>
  </si>
  <si>
    <t>B4DPY5_SNX11</t>
  </si>
  <si>
    <t>B4DPY8_TOX4</t>
  </si>
  <si>
    <t>B4DQ14_EIF2A</t>
  </si>
  <si>
    <t>B4DQ18_LPAR1</t>
  </si>
  <si>
    <t>B4DQ84_ZDHHC18</t>
  </si>
  <si>
    <t>B4DQJ8_PGD</t>
  </si>
  <si>
    <t>B4DR52_HIST2H2BF</t>
  </si>
  <si>
    <t>B4DR61_SEC61A1</t>
  </si>
  <si>
    <t>B4DRC4_ASB6</t>
  </si>
  <si>
    <t>B4DRL9_CHM</t>
  </si>
  <si>
    <t>B4DRN8_ZDHHC20</t>
  </si>
  <si>
    <t>B4DS52_TXNDC15</t>
  </si>
  <si>
    <t>B4DSD4_C9orf41</t>
  </si>
  <si>
    <t>B4DSJ8_RNGTT</t>
  </si>
  <si>
    <t>B4DSS5_KIAA0513</t>
  </si>
  <si>
    <t>B4DT77_ANXA7</t>
  </si>
  <si>
    <t>B4DTC3_HNRNPD</t>
  </si>
  <si>
    <t>B4DTZ6_SLC9A1</t>
  </si>
  <si>
    <t>B4DUE9_SERINC3</t>
  </si>
  <si>
    <t>B4DUS9_BPNT1</t>
  </si>
  <si>
    <t>B4DUV4_POFUT1</t>
  </si>
  <si>
    <t>B4DV96_RBKS</t>
  </si>
  <si>
    <t>B4DVE7_ANXA11</t>
  </si>
  <si>
    <t>B4DVY1_EIF3D</t>
  </si>
  <si>
    <t>B4DW75_EFEMP1</t>
  </si>
  <si>
    <t>B4DWI1_HACL1</t>
  </si>
  <si>
    <t>B4DWJ2_QARS</t>
  </si>
  <si>
    <t>B4DXZ6_FXR1</t>
  </si>
  <si>
    <t>B4DYB4_NUP35</t>
  </si>
  <si>
    <t>B4DZ23_GPR176</t>
  </si>
  <si>
    <t>B4DZH6_HDAC6</t>
  </si>
  <si>
    <t>B4E072_ACAA1</t>
  </si>
  <si>
    <t>B4E0T2_PEX5</t>
  </si>
  <si>
    <t>B4E1F4_EDEM2</t>
  </si>
  <si>
    <t>B4E1M0_MSANTD2</t>
  </si>
  <si>
    <t>B4E1N1_ARMC6</t>
  </si>
  <si>
    <t>B4E1Q4_RIOK3</t>
  </si>
  <si>
    <t>B4E1Q6_SLC35B3</t>
  </si>
  <si>
    <t>B4E1S6_SDC4</t>
  </si>
  <si>
    <t>B4E241_SFRS3</t>
  </si>
  <si>
    <t>B4E2S7_LAMP2</t>
  </si>
  <si>
    <t>B4E2V5_STOM</t>
  </si>
  <si>
    <t>B4E2W0_HADHB</t>
  </si>
  <si>
    <t>B4E2X3_METTL13</t>
  </si>
  <si>
    <t>B4E358_CTTN</t>
  </si>
  <si>
    <t>B4E3E5_DVL3</t>
  </si>
  <si>
    <t>B4E3Q1_CLSTN1</t>
  </si>
  <si>
    <t>B5MC53_MPV17</t>
  </si>
  <si>
    <t>B5MCD7_SYNGR1</t>
  </si>
  <si>
    <t>B5MD23_TSPAN9</t>
  </si>
  <si>
    <t>B5MDE0_RFT1</t>
  </si>
  <si>
    <t>B5MDU6_C2orf43</t>
  </si>
  <si>
    <t>B7WPE2_EML3</t>
  </si>
  <si>
    <t>B7WPG3_HNRPLL</t>
  </si>
  <si>
    <t>B7Z1I4_NTM</t>
  </si>
  <si>
    <t>B7Z254_PDIA6</t>
  </si>
  <si>
    <t>B7Z2B2_MFSD8</t>
  </si>
  <si>
    <t>B7Z2C3_PPM1F</t>
  </si>
  <si>
    <t>B7Z2L7_TOM1L2</t>
  </si>
  <si>
    <t>B7Z2Y2_COG2</t>
  </si>
  <si>
    <t>B7Z317_TSPAN5</t>
  </si>
  <si>
    <t>B7Z3I9_ALAD</t>
  </si>
  <si>
    <t>B7Z463_NPEPPS</t>
  </si>
  <si>
    <t>B7Z493_FGD4</t>
  </si>
  <si>
    <t>B7Z4K6_DNASE2</t>
  </si>
  <si>
    <t>B7Z4M2_WBP4</t>
  </si>
  <si>
    <t>B7Z4W5_CCBL1</t>
  </si>
  <si>
    <t>B7Z5G4_STMN3</t>
  </si>
  <si>
    <t>B7Z5W1_F11R</t>
  </si>
  <si>
    <t>B7Z5X7_WARS2</t>
  </si>
  <si>
    <t>B7Z662_SLC27A1</t>
  </si>
  <si>
    <t>B7Z6B8_DECR1</t>
  </si>
  <si>
    <t>B7Z729_SMPDL3A</t>
  </si>
  <si>
    <t>B7Z765_DSE</t>
  </si>
  <si>
    <t>B7Z779_TMEM106A</t>
  </si>
  <si>
    <t>B7Z817_DHCR24</t>
  </si>
  <si>
    <t>B7Z831_GPRC5B</t>
  </si>
  <si>
    <t>B7Z9I3_ATP6AP2</t>
  </si>
  <si>
    <t>B7Z9S8_ATP1B1</t>
  </si>
  <si>
    <t>B7ZBB8_PPP1R3G</t>
  </si>
  <si>
    <t>B7ZC38_SH3GLB2</t>
  </si>
  <si>
    <t>B7ZKK9_PPP2R5E</t>
  </si>
  <si>
    <t>B7ZKM0_SART3</t>
  </si>
  <si>
    <t>B7ZKQ9_SCARB1</t>
  </si>
  <si>
    <t>B7ZL88_COX18</t>
  </si>
  <si>
    <t>B7ZLZ2_EDEM3</t>
  </si>
  <si>
    <t>B7ZMI4_MPDZ</t>
  </si>
  <si>
    <t>B8ZZD4_TAX1BP1</t>
  </si>
  <si>
    <t>B8ZZF5_EVA1A</t>
  </si>
  <si>
    <t>B8ZZJ1_FAM126A</t>
  </si>
  <si>
    <t>B8ZZK4_RPL31</t>
  </si>
  <si>
    <t>B8ZZN3_STK16</t>
  </si>
  <si>
    <t>B8ZZN6_SUMO1</t>
  </si>
  <si>
    <t>B8ZZQ6_PTMA</t>
  </si>
  <si>
    <t>B8ZZY2_AGFG1</t>
  </si>
  <si>
    <t>B9A018_USP39</t>
  </si>
  <si>
    <t>B9A054_RHBDD1</t>
  </si>
  <si>
    <t>B9A057_COA5</t>
  </si>
  <si>
    <t>B9A067_IMMT</t>
  </si>
  <si>
    <t>B9EGH5_PLCB2</t>
  </si>
  <si>
    <t>C0H5Y7_BAK1</t>
  </si>
  <si>
    <t>C4AMC7_WASH3P</t>
  </si>
  <si>
    <t>C9IYC4_C3orf18</t>
  </si>
  <si>
    <t>C9J0I9_ZC3HC1</t>
  </si>
  <si>
    <t>C9J0J0_CCDC126</t>
  </si>
  <si>
    <t>C9J0J7_PFN2</t>
  </si>
  <si>
    <t>C9J0K6_SRI</t>
  </si>
  <si>
    <t>C9J1D9_IL1RAP</t>
  </si>
  <si>
    <t>C9J1K8_MEGF9</t>
  </si>
  <si>
    <t>C9J1R1_IKBKG</t>
  </si>
  <si>
    <t>C9J212_UBE2F</t>
  </si>
  <si>
    <t>C9J2P0_UBE2E1</t>
  </si>
  <si>
    <t>C9J2U4_TAMM41</t>
  </si>
  <si>
    <t>C9J366_IQCJ-SCHIP1</t>
  </si>
  <si>
    <t>C9J5C3_PDCD10</t>
  </si>
  <si>
    <t>C9J6A7_RPE</t>
  </si>
  <si>
    <t>C9J6N9_UFD1L</t>
  </si>
  <si>
    <t>C9J6Q8_TMEM98</t>
  </si>
  <si>
    <t>C9J712_PFN2</t>
  </si>
  <si>
    <t>C9J719_EBP</t>
  </si>
  <si>
    <t>C9J7I2_C16orf62</t>
  </si>
  <si>
    <t>C9J7K9_PLSCR1</t>
  </si>
  <si>
    <t>C9J8B8_HDAC10</t>
  </si>
  <si>
    <t>C9J9K3_RPSA</t>
  </si>
  <si>
    <t>C9JA08_NMD3</t>
  </si>
  <si>
    <t>C9JA28_SSR3</t>
  </si>
  <si>
    <t>C9JAB2_SRSF7</t>
  </si>
  <si>
    <t>C9JB13_BSDC1</t>
  </si>
  <si>
    <t>C9JBB3_TFPI</t>
  </si>
  <si>
    <t>C9JBG5_SIDT2</t>
  </si>
  <si>
    <t>C9JBL1_SPCS1</t>
  </si>
  <si>
    <t>C9JCC6_DRAP1</t>
  </si>
  <si>
    <t>C9JCN8_FOSL2</t>
  </si>
  <si>
    <t>C9JDS9_TUBA4A</t>
  </si>
  <si>
    <t>C9JE12_TMUB1</t>
  </si>
  <si>
    <t>C9JE98_NCOR2</t>
  </si>
  <si>
    <t>C9JEL3_EIF4E2</t>
  </si>
  <si>
    <t>C9JEX3_MTMR2</t>
  </si>
  <si>
    <t>C9JEZ4_CDC42EP3</t>
  </si>
  <si>
    <t>C9JF58_OSCP1</t>
  </si>
  <si>
    <t>C9JFB2_YIPF1</t>
  </si>
  <si>
    <t>C9JFE4_GPS1</t>
  </si>
  <si>
    <t>C9JFK9_BAG3</t>
  </si>
  <si>
    <t>C9JFR7_CYCS</t>
  </si>
  <si>
    <t>C9JG41_ITM2C</t>
  </si>
  <si>
    <t>C9JG97_AAMP</t>
  </si>
  <si>
    <t>C9JGY1_CBWD1</t>
  </si>
  <si>
    <t>C9JIF9_APEH</t>
  </si>
  <si>
    <t>C9JJV6_MYADM</t>
  </si>
  <si>
    <t>C9JLU1_POLR2H</t>
  </si>
  <si>
    <t>C9JLV4_APAF1</t>
  </si>
  <si>
    <t>C9JM82_SEPT5</t>
  </si>
  <si>
    <t>C9JN15_PPIG</t>
  </si>
  <si>
    <t>C9JNA8_IP6K1</t>
  </si>
  <si>
    <t>C9JNE2_OARD1</t>
  </si>
  <si>
    <t>C9JP85_NRF1</t>
  </si>
  <si>
    <t>C9JPX5_STARD3NL</t>
  </si>
  <si>
    <t>C9JQ41_CCDC58</t>
  </si>
  <si>
    <t>C9JQB1_NME6</t>
  </si>
  <si>
    <t>C9JQD4_PPIH</t>
  </si>
  <si>
    <t>C9JQV3_STK11IP</t>
  </si>
  <si>
    <t>C9JRY4_SEC22A</t>
  </si>
  <si>
    <t>C9JRZ6_CHCHD3</t>
  </si>
  <si>
    <t>C9JSZ2_SLC46A1</t>
  </si>
  <si>
    <t>C9JUF0_EIF4A2</t>
  </si>
  <si>
    <t>C9JV49_HARS2</t>
  </si>
  <si>
    <t>C9JVH1_VOPP1</t>
  </si>
  <si>
    <t>C9JVN9_L2HGDH</t>
  </si>
  <si>
    <t>C9JX83_MPHOSPH10</t>
  </si>
  <si>
    <t>C9JXB8_RPL24</t>
  </si>
  <si>
    <t>C9JXK9_LPP</t>
  </si>
  <si>
    <t>C9JYM0_POP7</t>
  </si>
  <si>
    <t>C9JYN0_SYPL1</t>
  </si>
  <si>
    <t>C9JYY6_NRCAM</t>
  </si>
  <si>
    <t>C9JZB0_INPP5K</t>
  </si>
  <si>
    <t>C9JZI1_RFC4</t>
  </si>
  <si>
    <t>C9JZY3_PCBP4</t>
  </si>
  <si>
    <t>C9JZY6_UBE2H</t>
  </si>
  <si>
    <t>C9K0J5_RAPH1</t>
  </si>
  <si>
    <t>C9K0X5_SNUPN</t>
  </si>
  <si>
    <t>D0FY33_BTN3A3</t>
  </si>
  <si>
    <t>D3DPN2_SDC3</t>
  </si>
  <si>
    <t>D3DQV9_EIF4G2</t>
  </si>
  <si>
    <t>D3DR31_IFIT1</t>
  </si>
  <si>
    <t>D3YTB1_RPL32</t>
  </si>
  <si>
    <t>D3YTG6_NDOR1</t>
  </si>
  <si>
    <t>D3YTI9_TAPBP</t>
  </si>
  <si>
    <t>D6R938_CAMK2D</t>
  </si>
  <si>
    <t>D6R991_MATR3</t>
  </si>
  <si>
    <t>D6R9X7_ERCC6</t>
  </si>
  <si>
    <t>D6R9Z7_COX7C</t>
  </si>
  <si>
    <t>D6RA26_PLRG1</t>
  </si>
  <si>
    <t>D6RB81_AMACR</t>
  </si>
  <si>
    <t>D6RBW1_EIF4E</t>
  </si>
  <si>
    <t>D6RCD0_HSD17B11</t>
  </si>
  <si>
    <t>D6RCM8_TNFAIP8</t>
  </si>
  <si>
    <t>D6RCP5_ARHGAP24</t>
  </si>
  <si>
    <t>D6RD47_RPS23</t>
  </si>
  <si>
    <t>D6RDX3_ATG10</t>
  </si>
  <si>
    <t>D6RDX7_EMB</t>
  </si>
  <si>
    <t>D6RE84_ALG13</t>
  </si>
  <si>
    <t>D6REB5_IDUA</t>
  </si>
  <si>
    <t>D6REL0_CDC42SE2</t>
  </si>
  <si>
    <t>D6REP5_GRAMD3</t>
  </si>
  <si>
    <t>D6RER8_SLC38A9</t>
  </si>
  <si>
    <t>D6REX3_SEC31A</t>
  </si>
  <si>
    <t>D6REX7_SPRY1</t>
  </si>
  <si>
    <t>D6RF48_STX18</t>
  </si>
  <si>
    <t>D6RF92_CXCL6</t>
  </si>
  <si>
    <t>D6RFG8_DCK</t>
  </si>
  <si>
    <t>D6RGG3_COL12A1</t>
  </si>
  <si>
    <t>D6RH20_MRPS27</t>
  </si>
  <si>
    <t>D6RHG7_SERINC5</t>
  </si>
  <si>
    <t>D6RHI7_CCNH</t>
  </si>
  <si>
    <t>D6RHI9_RNASET2</t>
  </si>
  <si>
    <t>D6RIE3_COX7A2</t>
  </si>
  <si>
    <t>D6RIF6_SLAIN2</t>
  </si>
  <si>
    <t>D6RIU2_CLDND1</t>
  </si>
  <si>
    <t>D6RIZ4_MFSD10</t>
  </si>
  <si>
    <t>D6RJ98_PIK3R4</t>
  </si>
  <si>
    <t>E2QRD0_VWA8</t>
  </si>
  <si>
    <t>E2QRG8_REEP5</t>
  </si>
  <si>
    <t>E5RFS7_FAM92A1</t>
  </si>
  <si>
    <t>E5RFU2_EPHX2</t>
  </si>
  <si>
    <t>E5RG17_TATDN1</t>
  </si>
  <si>
    <t>E5RG44_TRIQK</t>
  </si>
  <si>
    <t>E5RGX5_STMN2</t>
  </si>
  <si>
    <t>E5RGY0_DERL1</t>
  </si>
  <si>
    <t>E5RHG5_SLC36A1</t>
  </si>
  <si>
    <t>E5RHG8_TCEB1</t>
  </si>
  <si>
    <t>E5RHG9_UQCRB</t>
  </si>
  <si>
    <t>E5RHW0_TMEM66</t>
  </si>
  <si>
    <t>E5RIH5_TTI2</t>
  </si>
  <si>
    <t>E5RIP7_IMPA1</t>
  </si>
  <si>
    <t>E5RJ08_CHCHD7</t>
  </si>
  <si>
    <t>E5RJ26_PSEN2</t>
  </si>
  <si>
    <t>E5RJ29_PSD3</t>
  </si>
  <si>
    <t>E5RJ52_AP3M2</t>
  </si>
  <si>
    <t>E5RJ99_ZFAND1</t>
  </si>
  <si>
    <t>E5RJD2_DECR1</t>
  </si>
  <si>
    <t>E5RJR5_SKP1</t>
  </si>
  <si>
    <t>E5RJW2_LYNX1</t>
  </si>
  <si>
    <t>E5RK28_SGK3</t>
  </si>
  <si>
    <t>E5RK82_CETN3</t>
  </si>
  <si>
    <t>E7EM50_PIGG</t>
  </si>
  <si>
    <t>E7EM64_COPS6</t>
  </si>
  <si>
    <t>E7EMA9_ATHL1</t>
  </si>
  <si>
    <t>E7EMB6_DNPEP</t>
  </si>
  <si>
    <t>E7EMM4_ASAH1</t>
  </si>
  <si>
    <t>E7EN73_KIAA0319L</t>
  </si>
  <si>
    <t>E7ENA9_NCSTN</t>
  </si>
  <si>
    <t>E7ENC2_RIMS1</t>
  </si>
  <si>
    <t>E7ENF1_C12orf43</t>
  </si>
  <si>
    <t>E7ENK0_CALCOCO2</t>
  </si>
  <si>
    <t>E7EP72_C19orf25</t>
  </si>
  <si>
    <t>E7EPC6_CD44</t>
  </si>
  <si>
    <t>E7EPD0_TOM1</t>
  </si>
  <si>
    <t>E7EPL4_PDXDC1</t>
  </si>
  <si>
    <t>E7EPN9_PRRC2C</t>
  </si>
  <si>
    <t>E7EPP7_STXBP4</t>
  </si>
  <si>
    <t>E7EPR3_IFI16</t>
  </si>
  <si>
    <t>E7EPS8_PTPRM</t>
  </si>
  <si>
    <t>E7EPT4_NDUFV2</t>
  </si>
  <si>
    <t>E7EPV7_SNCA</t>
  </si>
  <si>
    <t>E7EPY1_TNIP1</t>
  </si>
  <si>
    <t>E7EQ45_AP5M1</t>
  </si>
  <si>
    <t>E7EQ69_NAA50</t>
  </si>
  <si>
    <t>E7EQB3_TSEN34</t>
  </si>
  <si>
    <t>E7EQL8_TUBGCP6</t>
  </si>
  <si>
    <t>E7EQR8_YIPF3</t>
  </si>
  <si>
    <t>E7EQT4_ACIN1</t>
  </si>
  <si>
    <t>E7ER32_MKL1</t>
  </si>
  <si>
    <t>E7ER60_SYNJ2</t>
  </si>
  <si>
    <t>E7ER77_ERMP1</t>
  </si>
  <si>
    <t>E7ER89_PAPSS2</t>
  </si>
  <si>
    <t>E7ERB7_GMIP</t>
  </si>
  <si>
    <t>E7ERC6_ATP2C1</t>
  </si>
  <si>
    <t>E7ERH1_TNS1</t>
  </si>
  <si>
    <t>E7ERJ0_ITSN1</t>
  </si>
  <si>
    <t>E7ERL6_MAST2</t>
  </si>
  <si>
    <t>E7ERS3_ZC3H18</t>
  </si>
  <si>
    <t>E7ES21_HEPH</t>
  </si>
  <si>
    <t>E7ES35_TTC38</t>
  </si>
  <si>
    <t>E7ES43_HSPA4L</t>
  </si>
  <si>
    <t>E7ES96_PSEN1</t>
  </si>
  <si>
    <t>E7ESK6_SDC2</t>
  </si>
  <si>
    <t>E7ESP4_ITGA2</t>
  </si>
  <si>
    <t>E7ESZ7_NDUFA10</t>
  </si>
  <si>
    <t>E7ET40_PLAU</t>
  </si>
  <si>
    <t>E7ETA6_PCM1</t>
  </si>
  <si>
    <t>E7ETC6_PDPN</t>
  </si>
  <si>
    <t>E7ETK0_RPS24</t>
  </si>
  <si>
    <t>E7ETU5_RBMS1</t>
  </si>
  <si>
    <t>E7ETW5_RCHY1</t>
  </si>
  <si>
    <t>E7ETZ4_BZW2</t>
  </si>
  <si>
    <t>E7EU05_CD36</t>
  </si>
  <si>
    <t>E7EU23_GDI2</t>
  </si>
  <si>
    <t>E7EU35_PITPNC1</t>
  </si>
  <si>
    <t>E7EU96_CSNK2A1</t>
  </si>
  <si>
    <t>E7EUC6_NAV3</t>
  </si>
  <si>
    <t>E7EUD0_DKK3</t>
  </si>
  <si>
    <t>E7EUM5_NUP54</t>
  </si>
  <si>
    <t>E7EUY0_PRKDC</t>
  </si>
  <si>
    <t>E7EUY3_PCCB</t>
  </si>
  <si>
    <t>E7EV01_CAPN5</t>
  </si>
  <si>
    <t>E7EV05_ZFAND2B</t>
  </si>
  <si>
    <t>E7EV71_LTBP1</t>
  </si>
  <si>
    <t>E7EVA0_MAP4</t>
  </si>
  <si>
    <t>E7EVC7_ATG16L1</t>
  </si>
  <si>
    <t>E7EVH9_HDHD1</t>
  </si>
  <si>
    <t>E7EVZ2_YWHAZ</t>
  </si>
  <si>
    <t>E7EW20_MYO6</t>
  </si>
  <si>
    <t>E7EW32_MON1B</t>
  </si>
  <si>
    <t>E7EW69_SEPT10</t>
  </si>
  <si>
    <t>E7EWC2_IQGAP2</t>
  </si>
  <si>
    <t>E7EWM3_ZMIZ2</t>
  </si>
  <si>
    <t>E7EWP0_NDUFB5</t>
  </si>
  <si>
    <t>E7EX01_MPP2</t>
  </si>
  <si>
    <t>E7EX17_EIF4B</t>
  </si>
  <si>
    <t>E7EX53_RPL15</t>
  </si>
  <si>
    <t>E7EX90_DCTN1</t>
  </si>
  <si>
    <t>E9PAR5_NCBP2</t>
  </si>
  <si>
    <t>E9PAU2_RAVER1</t>
  </si>
  <si>
    <t>E9PB09_HEATR5A</t>
  </si>
  <si>
    <t>E9PB61_ALYREF</t>
  </si>
  <si>
    <t>E9PBJ5_SDHA</t>
  </si>
  <si>
    <t>E9PBL8_COG1</t>
  </si>
  <si>
    <t>E9PBS1_PAICS</t>
  </si>
  <si>
    <t>E9PC15_AGK</t>
  </si>
  <si>
    <t>E9PC47_LIMK1</t>
  </si>
  <si>
    <t>E9PC74_EIF2B5</t>
  </si>
  <si>
    <t>E9PCJ7_UBR7</t>
  </si>
  <si>
    <t>E9PCN5_CNOT10</t>
  </si>
  <si>
    <t>E9PCV6_COL6A3</t>
  </si>
  <si>
    <t>E9PCW1_GOSR1</t>
  </si>
  <si>
    <t>E9PCY7_HNRNPH1</t>
  </si>
  <si>
    <t>E9PDF6_MYO1B</t>
  </si>
  <si>
    <t>E9PDJ1_CACNA1C</t>
  </si>
  <si>
    <t>E9PDN5_DMD</t>
  </si>
  <si>
    <t>E9PDX3_KIF13A</t>
  </si>
  <si>
    <t>E9PEE8_ITGB6</t>
  </si>
  <si>
    <t>E9PEH6_SGCE</t>
  </si>
  <si>
    <t>E9PEL9_SYNE1</t>
  </si>
  <si>
    <t>E9PEN8_XPO7</t>
  </si>
  <si>
    <t>E9PEP6_NRP1</t>
  </si>
  <si>
    <t>E9PER1_DIP2A</t>
  </si>
  <si>
    <t>E9PER6_PDPK1</t>
  </si>
  <si>
    <t>E9PEZ3_DIAPH1</t>
  </si>
  <si>
    <t>E9PF10_NUP155</t>
  </si>
  <si>
    <t>E9PF16_ACSF2</t>
  </si>
  <si>
    <t>E9PF18_HADH</t>
  </si>
  <si>
    <t>E9PF19_TBL2</t>
  </si>
  <si>
    <t>E9PFH7_MAPK8IP3</t>
  </si>
  <si>
    <t>E9PFK9_RABGEF1</t>
  </si>
  <si>
    <t>E9PFR3_PPP2R5D</t>
  </si>
  <si>
    <t>E9PG22_CEP97</t>
  </si>
  <si>
    <t>E9PG71_EPHA4</t>
  </si>
  <si>
    <t>E9PGC0_RASA1</t>
  </si>
  <si>
    <t>E9PGF5_TNS1</t>
  </si>
  <si>
    <t>E9PGN7_SERPING1</t>
  </si>
  <si>
    <t>E9PGQ0_SLC25A44</t>
  </si>
  <si>
    <t>E9PGT1_TSN</t>
  </si>
  <si>
    <t>E9PGT6_COPS8</t>
  </si>
  <si>
    <t>E9PH29_PRDX3</t>
  </si>
  <si>
    <t>E9PHA6_MSH2</t>
  </si>
  <si>
    <t>E9PHG5_CYP20A1</t>
  </si>
  <si>
    <t>E9PHH9_POLR3C</t>
  </si>
  <si>
    <t>E9PHK9_TCOF1</t>
  </si>
  <si>
    <t>E9PHV5_SSFA2</t>
  </si>
  <si>
    <t>E9PHY8_MROH1</t>
  </si>
  <si>
    <t>E9PI62_</t>
  </si>
  <si>
    <t>E9PIE3_PRKCDBP</t>
  </si>
  <si>
    <t>E9PIM6_THY1</t>
  </si>
  <si>
    <t>E9PJ64_PDE4DIP</t>
  </si>
  <si>
    <t>E9PJ67_CTSB</t>
  </si>
  <si>
    <t>E9PJ81_UBXN1</t>
  </si>
  <si>
    <t>E9PJA2_CSF1</t>
  </si>
  <si>
    <t>E9PJD7_CYHR1</t>
  </si>
  <si>
    <t>E9PJK1_CD81</t>
  </si>
  <si>
    <t>E9PK01_EEF1D</t>
  </si>
  <si>
    <t>E9PK67_PARP10</t>
  </si>
  <si>
    <t>E9PK91_BCLAF1</t>
  </si>
  <si>
    <t>E9PKF8_EIF4G2</t>
  </si>
  <si>
    <t>E9PKG1_PRMT1</t>
  </si>
  <si>
    <t>E9PKH2_SERPINH1</t>
  </si>
  <si>
    <t>E9PKN9_TP53I11</t>
  </si>
  <si>
    <t>E9PKT4_TMEM123</t>
  </si>
  <si>
    <t>E9PKV8_TTC9C</t>
  </si>
  <si>
    <t>E9PKZ0_RPL8</t>
  </si>
  <si>
    <t>E9PL01_SPCS2</t>
  </si>
  <si>
    <t>E9PL10_BTF3L4</t>
  </si>
  <si>
    <t>E9PL22_HYOU1</t>
  </si>
  <si>
    <t>E9PL33_EI24</t>
  </si>
  <si>
    <t>E9PL83_ADM</t>
  </si>
  <si>
    <t>E9PLG8_GPAA1</t>
  </si>
  <si>
    <t>E9PLK3_NPEPPS</t>
  </si>
  <si>
    <t>E9PLL6_RPL27A</t>
  </si>
  <si>
    <t>E9PM46_USP47</t>
  </si>
  <si>
    <t>E9PM92_C11orf58</t>
  </si>
  <si>
    <t>E9PME6_USF1</t>
  </si>
  <si>
    <t>E9PMH5_BIRC2</t>
  </si>
  <si>
    <t>E9PMI6_CLNS1A</t>
  </si>
  <si>
    <t>E9PMJ2_FAM118B</t>
  </si>
  <si>
    <t>E9PMM3_PEX16</t>
  </si>
  <si>
    <t>E9PMP7_LMO7</t>
  </si>
  <si>
    <t>E9PMQ6_HSF1</t>
  </si>
  <si>
    <t>E9PN58_SIRT3</t>
  </si>
  <si>
    <t>E9PNK6_TPD52L1</t>
  </si>
  <si>
    <t>E9PNV3_RDX</t>
  </si>
  <si>
    <t>E9PNX1_SERPINH1</t>
  </si>
  <si>
    <t>E9PPW7_NDUFS8</t>
  </si>
  <si>
    <t>E9PQ14_DPP3</t>
  </si>
  <si>
    <t>E9PQ61_ZC3H11A</t>
  </si>
  <si>
    <t>E9PQ91_SC5D</t>
  </si>
  <si>
    <t>E9PQW1_CARD16</t>
  </si>
  <si>
    <t>E9PQY2_PFDN4</t>
  </si>
  <si>
    <t>E9PR17_CD59</t>
  </si>
  <si>
    <t>E9PR30_FAU</t>
  </si>
  <si>
    <t>E9PR44_CRYAB</t>
  </si>
  <si>
    <t>E9PR54_CTSB</t>
  </si>
  <si>
    <t>E9PR76_MAF1</t>
  </si>
  <si>
    <t>E9PRF4_SETDB1</t>
  </si>
  <si>
    <t>E9PRM7_SLC22A18</t>
  </si>
  <si>
    <t>E9PRR8_EIF1AD</t>
  </si>
  <si>
    <t>E9PRU1_EFEMP2</t>
  </si>
  <si>
    <t>E9PS00_FADS3</t>
  </si>
  <si>
    <t>E9PS17_SCYL1</t>
  </si>
  <si>
    <t>E9PS38_NEDD8-MDP1</t>
  </si>
  <si>
    <t>E9PSI1_TM9SF1</t>
  </si>
  <si>
    <t>F2Z2B9_TUBGCP2</t>
  </si>
  <si>
    <t>F2Z2I2_PFKFB3</t>
  </si>
  <si>
    <t>F2Z2U8_MYH14</t>
  </si>
  <si>
    <t>F2Z2X4_XPO4</t>
  </si>
  <si>
    <t>F5GWF3_C1RL</t>
  </si>
  <si>
    <t>F5GWT4_WNK1</t>
  </si>
  <si>
    <t>F5GWU7_SMAD5</t>
  </si>
  <si>
    <t>F5GWY5_PODXL</t>
  </si>
  <si>
    <t>F5GXC8_SUCLA2</t>
  </si>
  <si>
    <t>F5GXE4_ATE1</t>
  </si>
  <si>
    <t>F5GXE7_LTBR</t>
  </si>
  <si>
    <t>F5GXI4_PTPRK</t>
  </si>
  <si>
    <t>F5GXK8_DNAJB11</t>
  </si>
  <si>
    <t>F5GXX5_DAD1</t>
  </si>
  <si>
    <t>F5GXZ7_CCDC53</t>
  </si>
  <si>
    <t>F5GY20_GPNMB</t>
  </si>
  <si>
    <t>F5GY98_HN1</t>
  </si>
  <si>
    <t>F5GY99_GALNT1</t>
  </si>
  <si>
    <t>F5GYG5_REXO2</t>
  </si>
  <si>
    <t>F5GYJ5_</t>
  </si>
  <si>
    <t>F5GYK2_STRN4</t>
  </si>
  <si>
    <t>F5GYN4_OTUB1</t>
  </si>
  <si>
    <t>F5GYQ1_ATP6V0D1</t>
  </si>
  <si>
    <t>F5GZ78_PXN</t>
  </si>
  <si>
    <t>F5GZ84_FARP2</t>
  </si>
  <si>
    <t>F5GZP3_TRIM59</t>
  </si>
  <si>
    <t>F5GZS0_DHX36</t>
  </si>
  <si>
    <t>F5GZS6_SLC3A2</t>
  </si>
  <si>
    <t>F5GZX9_FAM120B</t>
  </si>
  <si>
    <t>F5GZY7_GABARAPL1</t>
  </si>
  <si>
    <t>F5H012_TRIM21</t>
  </si>
  <si>
    <t>F5H061_TNFRSF1A</t>
  </si>
  <si>
    <t>F5H0K8_KSR1</t>
  </si>
  <si>
    <t>F5H0L8_SEC23IP</t>
  </si>
  <si>
    <t>F5H148_RRN3</t>
  </si>
  <si>
    <t>F5H1C6_FERMT3</t>
  </si>
  <si>
    <t>F5H1F3_FBLN2</t>
  </si>
  <si>
    <t>F5H1G9_ABI1</t>
  </si>
  <si>
    <t>F5H1H0_L1CAM</t>
  </si>
  <si>
    <t>F5H1M8_PCMTD1</t>
  </si>
  <si>
    <t>F5H1X8_LRBA</t>
  </si>
  <si>
    <t>F5H1Y4_GOPC</t>
  </si>
  <si>
    <t>F5H280_WSB2</t>
  </si>
  <si>
    <t>F5H2H5_ANKLE2</t>
  </si>
  <si>
    <t>F5H2J3_VMP1</t>
  </si>
  <si>
    <t>F5H2Q7_KIAA1715</t>
  </si>
  <si>
    <t>F5H2S7_DCTN2</t>
  </si>
  <si>
    <t>F5H2U8_HMGA2</t>
  </si>
  <si>
    <t>F5H2X3_NRP2</t>
  </si>
  <si>
    <t>F5H357_RBPMS</t>
  </si>
  <si>
    <t>F5H365_SEC23A</t>
  </si>
  <si>
    <t>F5H3B6_SHROOM2</t>
  </si>
  <si>
    <t>F5H3M3_MANSC1</t>
  </si>
  <si>
    <t>F5H442_TSG101</t>
  </si>
  <si>
    <t>F5H456_RRP12</t>
  </si>
  <si>
    <t>F5H4G7_KPNA6</t>
  </si>
  <si>
    <t>F5H4K0_WLS</t>
  </si>
  <si>
    <t>F5H4N4_PXMP2</t>
  </si>
  <si>
    <t>F5H4Q5_VPS37C</t>
  </si>
  <si>
    <t>F5H4R0_EVI5</t>
  </si>
  <si>
    <t>F5H4S8_NFATC1</t>
  </si>
  <si>
    <t>F5H523_KLHL42</t>
  </si>
  <si>
    <t>F5H533_AMPH</t>
  </si>
  <si>
    <t>F5H569_ATP6V0A1</t>
  </si>
  <si>
    <t>F5H577_BRK1</t>
  </si>
  <si>
    <t>F5H5D3_TUBA1C</t>
  </si>
  <si>
    <t>F5H5M7_IFNGR1</t>
  </si>
  <si>
    <t>F5H5N0_CDC42BPA</t>
  </si>
  <si>
    <t>F5H5P2_BCKDHA</t>
  </si>
  <si>
    <t>F5H5R8_NAT1</t>
  </si>
  <si>
    <t>F5H604_CLASP2</t>
  </si>
  <si>
    <t>F5H607_TUFT1</t>
  </si>
  <si>
    <t>F5H620_OXNAD1</t>
  </si>
  <si>
    <t>F5H6Z0_CDK17</t>
  </si>
  <si>
    <t>F5H721_WBP11</t>
  </si>
  <si>
    <t>F5H740_VDAC3</t>
  </si>
  <si>
    <t>F5H780_TXNRD1</t>
  </si>
  <si>
    <t>F5H7C4_MSRB3</t>
  </si>
  <si>
    <t>F5H7N9_MFGE8</t>
  </si>
  <si>
    <t>F5H801_OGDH</t>
  </si>
  <si>
    <t>F5H827_POMGNT1</t>
  </si>
  <si>
    <t>F5H843_SLC16A7</t>
  </si>
  <si>
    <t>F5H860_INPP4A</t>
  </si>
  <si>
    <t>F5H897_TRAP1</t>
  </si>
  <si>
    <t>F5H8H2_MVK</t>
  </si>
  <si>
    <t>F5H8J3_CLPTM1</t>
  </si>
  <si>
    <t>F6PQP6_EPN2</t>
  </si>
  <si>
    <t>F6T1Q0_PDE12</t>
  </si>
  <si>
    <t>F6TQG2_SMARCA1</t>
  </si>
  <si>
    <t>F6U1T9_PPP3R1</t>
  </si>
  <si>
    <t>F6WCX7_MAP2K7</t>
  </si>
  <si>
    <t>F6XY72_NME2</t>
  </si>
  <si>
    <t>F8VP89_EIF4B</t>
  </si>
  <si>
    <t>F8VPD4_CAD</t>
  </si>
  <si>
    <t>F8VQD4_C12orf75</t>
  </si>
  <si>
    <t>F8VQZ7_METAP2</t>
  </si>
  <si>
    <t>F8VSI3_DCN</t>
  </si>
  <si>
    <t>F8VSL3_NFYB</t>
  </si>
  <si>
    <t>F8VSZ4_PLXNA1</t>
  </si>
  <si>
    <t>F8VU90_FKBP11</t>
  </si>
  <si>
    <t>F8VUJ3_POC1B-GALNT4</t>
  </si>
  <si>
    <t>F8VV56_CD63</t>
  </si>
  <si>
    <t>F8VV59_NAP1L1</t>
  </si>
  <si>
    <t>F8VV64_TENC1</t>
  </si>
  <si>
    <t>F8VVA2_DDX23</t>
  </si>
  <si>
    <t>F8VVA7_COPZ1</t>
  </si>
  <si>
    <t>F8VW41_PACS2</t>
  </si>
  <si>
    <t>F8VW96_CSRP2</t>
  </si>
  <si>
    <t>F8VWA6_MON2</t>
  </si>
  <si>
    <t>F8VWE0_TSPAN31</t>
  </si>
  <si>
    <t>F8VXC8_SMARCC2</t>
  </si>
  <si>
    <t>F8VXG7_SCAF11</t>
  </si>
  <si>
    <t>F8VY35_NAP1L1</t>
  </si>
  <si>
    <t>F8VYN9_ARL1</t>
  </si>
  <si>
    <t>F8VYY5_DNAJC14</t>
  </si>
  <si>
    <t>F8VZ44_AAAS</t>
  </si>
  <si>
    <t>F8VZJ2_NACA</t>
  </si>
  <si>
    <t>F8W038_C17orf49</t>
  </si>
  <si>
    <t>F8W0Q9_PPHLN1</t>
  </si>
  <si>
    <t>F8W1P7_SLC11A2</t>
  </si>
  <si>
    <t>F8W1T6_RBMS2</t>
  </si>
  <si>
    <t>F8W689_RFX5</t>
  </si>
  <si>
    <t>F8W6D9_SENP6</t>
  </si>
  <si>
    <t>F8W6I7_HNRNPA1</t>
  </si>
  <si>
    <t>F8W6N8_TRIM5</t>
  </si>
  <si>
    <t>F8W717_EML1</t>
  </si>
  <si>
    <t>F8W726_UBAP2L</t>
  </si>
  <si>
    <t>F8W7D6_GPHN</t>
  </si>
  <si>
    <t>F8W7Q4_FAM162A</t>
  </si>
  <si>
    <t>F8W7S1_FAM73A</t>
  </si>
  <si>
    <t>F8W840_YTHDF1</t>
  </si>
  <si>
    <t>F8W8C2_VEZT</t>
  </si>
  <si>
    <t>F8W8I6_TIA1</t>
  </si>
  <si>
    <t>F8W8M9_UNC13B</t>
  </si>
  <si>
    <t>F8W8R3_POLD2</t>
  </si>
  <si>
    <t>F8W921_SCAP</t>
  </si>
  <si>
    <t>F8W930_IGF2BP2</t>
  </si>
  <si>
    <t>F8W9B4_RFC5</t>
  </si>
  <si>
    <t>F8W9E3_NRG1</t>
  </si>
  <si>
    <t>F8W9W2_GRK6</t>
  </si>
  <si>
    <t>F8WA11_CLASP1</t>
  </si>
  <si>
    <t>F8WA39_MTMR1</t>
  </si>
  <si>
    <t>F8WB74_SEPW1</t>
  </si>
  <si>
    <t>F8WBS5_RPL35A</t>
  </si>
  <si>
    <t>F8WC68_DOM3Z</t>
  </si>
  <si>
    <t>F8WD04_ATL1</t>
  </si>
  <si>
    <t>F8WDA4_PHC3</t>
  </si>
  <si>
    <t>F8WE91_DNMT3A</t>
  </si>
  <si>
    <t>F8WEC0_MMADHC</t>
  </si>
  <si>
    <t>F8WF48_SEC62</t>
  </si>
  <si>
    <t>F8WJN3_CPSF6</t>
  </si>
  <si>
    <t>G3V0I5_NDUFV1</t>
  </si>
  <si>
    <t>G3V169_CASP1</t>
  </si>
  <si>
    <t>G3V1A6_GSDMD</t>
  </si>
  <si>
    <t>G3V1B5_DSCAML1</t>
  </si>
  <si>
    <t>G3V1B8_SSSCA1</t>
  </si>
  <si>
    <t>G3V1K3_PON2</t>
  </si>
  <si>
    <t>G3V1L9_TJP1</t>
  </si>
  <si>
    <t>G3V1N2_HBA2</t>
  </si>
  <si>
    <t>G3V1P3_LOH12CR1</t>
  </si>
  <si>
    <t>G3V1R3_ZEB1</t>
  </si>
  <si>
    <t>G3V1R9_ISYNA1</t>
  </si>
  <si>
    <t>G3V1T4_NUP107</t>
  </si>
  <si>
    <t>G3V1U0_ATF7IP</t>
  </si>
  <si>
    <t>G3V1V0_MYL6</t>
  </si>
  <si>
    <t>G3V1Y1_ACTR6</t>
  </si>
  <si>
    <t>G3V203_RPL18</t>
  </si>
  <si>
    <t>G3V2F4_TDP1</t>
  </si>
  <si>
    <t>G3V2F7_TMEM189</t>
  </si>
  <si>
    <t>G3V2N3_PRRX1</t>
  </si>
  <si>
    <t>G3V2U7_ACYP1</t>
  </si>
  <si>
    <t>G3V3D2_SPATA7</t>
  </si>
  <si>
    <t>G3V3G9_DCAF8</t>
  </si>
  <si>
    <t>G3V3R7_ATXN3</t>
  </si>
  <si>
    <t>G3V4K3_VIPAS39</t>
  </si>
  <si>
    <t>G3V4P7_AP4S1</t>
  </si>
  <si>
    <t>G3V4T7_FRMD6</t>
  </si>
  <si>
    <t>G3V4U0_FBLN5</t>
  </si>
  <si>
    <t>G3V4W0_HNRNPC</t>
  </si>
  <si>
    <t>G3V511_LTBP2</t>
  </si>
  <si>
    <t>G3V560_NDUFA4L2</t>
  </si>
  <si>
    <t>G3V583_FAM177A1</t>
  </si>
  <si>
    <t>G3V599_CTAGE5</t>
  </si>
  <si>
    <t>G3V5I3_SERPINA3</t>
  </si>
  <si>
    <t>G3V5N8_ZFYVE1</t>
  </si>
  <si>
    <t>G3V5T0_GSTZ1</t>
  </si>
  <si>
    <t>G3V5T9_CDK2</t>
  </si>
  <si>
    <t>G3V5Z7_PSMA6</t>
  </si>
  <si>
    <t>G3XA81_TMEM48</t>
  </si>
  <si>
    <t>G3XAA0_ARID1B</t>
  </si>
  <si>
    <t>G3XAH6_PAPOLA</t>
  </si>
  <si>
    <t>G3XAI2_LAMB1</t>
  </si>
  <si>
    <t>G3XAJ1_RNASEH2B</t>
  </si>
  <si>
    <t>G3XAN4_TRAM1</t>
  </si>
  <si>
    <t>G3XAN8_TIMM8B</t>
  </si>
  <si>
    <t>G3XAP3_ABCB8</t>
  </si>
  <si>
    <t>G3XAP6_COMP</t>
  </si>
  <si>
    <t>G5E972_TMPO</t>
  </si>
  <si>
    <t>G5E994_GPR107</t>
  </si>
  <si>
    <t>G5E9A6_USP11</t>
  </si>
  <si>
    <t>G5E9C8_SOS1</t>
  </si>
  <si>
    <t>G5E9D4_ELP4</t>
  </si>
  <si>
    <t>G5EA30_CELF1</t>
  </si>
  <si>
    <t>G5EA42_TMOD2</t>
  </si>
  <si>
    <t>G5EA52_PDIA3</t>
  </si>
  <si>
    <t>G8JL86_COBLL1</t>
  </si>
  <si>
    <t>G8JL88_APOL1</t>
  </si>
  <si>
    <t>G8JLA2_MYL6</t>
  </si>
  <si>
    <t>G8JLB3_PUS1</t>
  </si>
  <si>
    <t>G8JLH5_SLC43A2</t>
  </si>
  <si>
    <t>G8JLI5_WDR45</t>
  </si>
  <si>
    <t>G8JLI6_LEPREL2</t>
  </si>
  <si>
    <t>G8JLK4_TACC1</t>
  </si>
  <si>
    <t>G8JLL2_PPT2</t>
  </si>
  <si>
    <t>G8JLL7_MVB12B</t>
  </si>
  <si>
    <t>G8JLM0_PRKAG2</t>
  </si>
  <si>
    <t>H0Y2M6_CLCN7</t>
  </si>
  <si>
    <t>H0Y327_MTHFD1L</t>
  </si>
  <si>
    <t>H0Y360_AMPD2</t>
  </si>
  <si>
    <t>H0Y4G9_MYD88</t>
  </si>
  <si>
    <t>H0Y4M8_ZNF185</t>
  </si>
  <si>
    <t>H0Y507_SH3PXD2A</t>
  </si>
  <si>
    <t>H0Y547_ATP11A</t>
  </si>
  <si>
    <t>H0Y5A1_PTGDS</t>
  </si>
  <si>
    <t>H0Y5B0_EPB41L2</t>
  </si>
  <si>
    <t>H0Y614_UFM1</t>
  </si>
  <si>
    <t>H0Y6A0_ARFGAP3</t>
  </si>
  <si>
    <t>H0Y6B2_SUSD1</t>
  </si>
  <si>
    <t>H0Y6C3_PYCRL</t>
  </si>
  <si>
    <t>H0Y7A7_CALM2</t>
  </si>
  <si>
    <t>H0Y7L2_DOCK7</t>
  </si>
  <si>
    <t>H0Y870_TMEM222</t>
  </si>
  <si>
    <t>H0Y8E6_MCM2</t>
  </si>
  <si>
    <t>H0Y8H1_CHIC2</t>
  </si>
  <si>
    <t>H0Y931_ANK2</t>
  </si>
  <si>
    <t>H0Y9B8_</t>
  </si>
  <si>
    <t>H0Y9Q7_CANX</t>
  </si>
  <si>
    <t>H0YA20_DGKQ</t>
  </si>
  <si>
    <t>H0YA52_PCBD2</t>
  </si>
  <si>
    <t>H0YAC1_KLKB1</t>
  </si>
  <si>
    <t>H0YAE0_C5orf24</t>
  </si>
  <si>
    <t>H0YAJ5_APBB2</t>
  </si>
  <si>
    <t>H0YAN8_ARHGEF10</t>
  </si>
  <si>
    <t>H0YAX0_ZDHHC14</t>
  </si>
  <si>
    <t>H0YBI6_TXNRD3</t>
  </si>
  <si>
    <t>H0YBP1_PTK2</t>
  </si>
  <si>
    <t>H0YBZ4_MTFR1</t>
  </si>
  <si>
    <t>H0YCI3_YAP1</t>
  </si>
  <si>
    <t>H0YCK3_ADAR</t>
  </si>
  <si>
    <t>H0YCQ5_NPEPPS</t>
  </si>
  <si>
    <t>H0YD93_RUFY2</t>
  </si>
  <si>
    <t>H0YDE5_KIAA1549L</t>
  </si>
  <si>
    <t>H0YDR5_SIGIRR</t>
  </si>
  <si>
    <t>H0YDT0_REPS1</t>
  </si>
  <si>
    <t>H0YDU8_PPP5C</t>
  </si>
  <si>
    <t>H0YEB6_SSSCA1</t>
  </si>
  <si>
    <t>H0YEL0_GEMIN2</t>
  </si>
  <si>
    <t>H0YEN5_RPS2</t>
  </si>
  <si>
    <t>H0YGA7_CADM1</t>
  </si>
  <si>
    <t>H0YGX7_ARHGDIB</t>
  </si>
  <si>
    <t>H0YHQ9_ARHGAP23</t>
  </si>
  <si>
    <t>H0YI08_MRVI1</t>
  </si>
  <si>
    <t>H0YI09_METTL7A</t>
  </si>
  <si>
    <t>H0YIE9_FBXO21</t>
  </si>
  <si>
    <t>H0YIV9_</t>
  </si>
  <si>
    <t>H0YJ34_FERMT2</t>
  </si>
  <si>
    <t>H0YJE0_CCDC85C</t>
  </si>
  <si>
    <t>H0YJL9_AJUBA</t>
  </si>
  <si>
    <t>H0YKW5_C15orf48</t>
  </si>
  <si>
    <t>H0YL33_ANXA2</t>
  </si>
  <si>
    <t>H0YLD8_SHF</t>
  </si>
  <si>
    <t>H0YLH9_IL16</t>
  </si>
  <si>
    <t>H0YMB3_GMPR2</t>
  </si>
  <si>
    <t>H0YMF4_RPL28</t>
  </si>
  <si>
    <t>H0YMG7_ALDH1A2</t>
  </si>
  <si>
    <t>H0YN78_C15orf57</t>
  </si>
  <si>
    <t>H0YNG3_SEC11A</t>
  </si>
  <si>
    <t>H0YNH5_DPH6</t>
  </si>
  <si>
    <t>H0YNH8_UACA</t>
  </si>
  <si>
    <t>H3BLU2_LSAMP</t>
  </si>
  <si>
    <t>H3BLV0_CD55</t>
  </si>
  <si>
    <t>H3BLZ2_DBNDD1</t>
  </si>
  <si>
    <t>H3BLZ8_DDX17</t>
  </si>
  <si>
    <t>H3BM14_NUB1</t>
  </si>
  <si>
    <t>H3BM67_NOL3</t>
  </si>
  <si>
    <t>H3BM91_COMMD4</t>
  </si>
  <si>
    <t>H3BMF2_JMJD8</t>
  </si>
  <si>
    <t>H3BMF4_SPNS1</t>
  </si>
  <si>
    <t>H3BMQ0_TSC2</t>
  </si>
  <si>
    <t>H3BNE3_BLOC1S6</t>
  </si>
  <si>
    <t>H3BP20_HEXA</t>
  </si>
  <si>
    <t>H3BP28_COQ7</t>
  </si>
  <si>
    <t>H3BP77_TK2</t>
  </si>
  <si>
    <t>H3BPC4_UBE2I</t>
  </si>
  <si>
    <t>H3BPE7_FUS</t>
  </si>
  <si>
    <t>H3BPG5_RNPS1</t>
  </si>
  <si>
    <t>H3BPS8_ALDOA</t>
  </si>
  <si>
    <t>H3BQ37_EDC3</t>
  </si>
  <si>
    <t>H3BQ52_ARPP19</t>
  </si>
  <si>
    <t>H3BQA0_SNAPC5</t>
  </si>
  <si>
    <t>H3BQF6_</t>
  </si>
  <si>
    <t>H3BQX6_MT3</t>
  </si>
  <si>
    <t>H3BQZ7_hCG_2044799</t>
  </si>
  <si>
    <t>H3BR94_DCTN5</t>
  </si>
  <si>
    <t>H3BRD1_UBE2I</t>
  </si>
  <si>
    <t>H3BRF9_ZFYVE19</t>
  </si>
  <si>
    <t>H3BRG4_UQCRC2</t>
  </si>
  <si>
    <t>H3BRL3_UBFD1</t>
  </si>
  <si>
    <t>H3BRN4_ABAT</t>
  </si>
  <si>
    <t>H3BRU1_FAM219B</t>
  </si>
  <si>
    <t>H3BRV0_EIF3C</t>
  </si>
  <si>
    <t>H3BRY6_VWA9</t>
  </si>
  <si>
    <t>H3BSM7_C16orf58</t>
  </si>
  <si>
    <t>H3BSS5_KCTD5</t>
  </si>
  <si>
    <t>H3BSW6_CTU2</t>
  </si>
  <si>
    <t>H3BTF5_METTL22</t>
  </si>
  <si>
    <t>H3BTL1_MAP1LC3B</t>
  </si>
  <si>
    <t>H3BTN5_PKM</t>
  </si>
  <si>
    <t>H3BTQ3_SLC19A1</t>
  </si>
  <si>
    <t>H3BTX0_</t>
  </si>
  <si>
    <t>H3BU49_ARL2BP</t>
  </si>
  <si>
    <t>H3BUQ2_OGFOD1</t>
  </si>
  <si>
    <t>H3BUR4_NOB1</t>
  </si>
  <si>
    <t>H3BUU9_CDH11</t>
  </si>
  <si>
    <t>H3BUY6_C16orf45</t>
  </si>
  <si>
    <t>H7BXD8_LGALS8</t>
  </si>
  <si>
    <t>H7BXH2_PPP6R3</t>
  </si>
  <si>
    <t>H7BXH9_METTL21A</t>
  </si>
  <si>
    <t>H7BXI1_ESYT2</t>
  </si>
  <si>
    <t>H7BXI5_ERGIC3</t>
  </si>
  <si>
    <t>H7BXP5_TPRN</t>
  </si>
  <si>
    <t>H7BXW7_MPC1</t>
  </si>
  <si>
    <t>H7BY58_PCMT1</t>
  </si>
  <si>
    <t>H7BY84_GTF3C5</t>
  </si>
  <si>
    <t>H7BYE5_WRB</t>
  </si>
  <si>
    <t>H7BYP4_SP140L</t>
  </si>
  <si>
    <t>H7BZ11_</t>
  </si>
  <si>
    <t>H7BZ94_P4HB</t>
  </si>
  <si>
    <t>H7BZH7_GTF3A</t>
  </si>
  <si>
    <t>H7BZJ3_PDIA3</t>
  </si>
  <si>
    <t>H7BZQ3_OTUD5</t>
  </si>
  <si>
    <t>H7BZQ8_AMY2A</t>
  </si>
  <si>
    <t>H7BZT4_</t>
  </si>
  <si>
    <t>H7C019_SUN1</t>
  </si>
  <si>
    <t>H7C0A2_BCL3</t>
  </si>
  <si>
    <t>H7C0G7_NHEJ1</t>
  </si>
  <si>
    <t>H7C0U0_PARL</t>
  </si>
  <si>
    <t>H7C0Z5_IL10RB</t>
  </si>
  <si>
    <t>H7C107_IQSEC1</t>
  </si>
  <si>
    <t>H7C137_RANBP1</t>
  </si>
  <si>
    <t>H7C1E4_AP1S1</t>
  </si>
  <si>
    <t>H7C1G1_TMEM87B</t>
  </si>
  <si>
    <t>H7C1I0_SLC35E1</t>
  </si>
  <si>
    <t>H7C1U3_CC2D1B</t>
  </si>
  <si>
    <t>H7C1U8_APOO</t>
  </si>
  <si>
    <t>H7C3D8_CMC1</t>
  </si>
  <si>
    <t>H7C4B9_MDFIC</t>
  </si>
  <si>
    <t>H7C4T5_MBNL1</t>
  </si>
  <si>
    <t>H7C585_FXN</t>
  </si>
  <si>
    <t>H7C5E4_XRN1</t>
  </si>
  <si>
    <t>H7C5F7_NDFIP2</t>
  </si>
  <si>
    <t>H7C5G1_IAH1</t>
  </si>
  <si>
    <t>H7C5H4_GPM6B</t>
  </si>
  <si>
    <t>H9KV44_EFR3A</t>
  </si>
  <si>
    <t>H9KV50_SEPN1</t>
  </si>
  <si>
    <t>H9KV65_SGIP1</t>
  </si>
  <si>
    <t>H9KVB8_MICU1</t>
  </si>
  <si>
    <t>I3L097_</t>
  </si>
  <si>
    <t>I3L0A4_WASH6P</t>
  </si>
  <si>
    <t>I3L0K1_GOSR2</t>
  </si>
  <si>
    <t>I3L0L6_RNF167</t>
  </si>
  <si>
    <t>I3L0N3_NSF</t>
  </si>
  <si>
    <t>I3L172_FAM195A</t>
  </si>
  <si>
    <t>I3L1B5_RPGRIP1L</t>
  </si>
  <si>
    <t>I3L1D5_ALOX15B</t>
  </si>
  <si>
    <t>I3L1D9_CTDNEP1</t>
  </si>
  <si>
    <t>I3L1H5_DPH1</t>
  </si>
  <si>
    <t>I3L1K6_MYL4</t>
  </si>
  <si>
    <t>I3L1P8_SLC25A11</t>
  </si>
  <si>
    <t>I3L1Q3_ELP5</t>
  </si>
  <si>
    <t>I3L2B0_CLUH</t>
  </si>
  <si>
    <t>I3L2J0_CIC</t>
  </si>
  <si>
    <t>I3L2J8_AZI1</t>
  </si>
  <si>
    <t>I3L2K5_ZC3H7A</t>
  </si>
  <si>
    <t>I3L2N2_DVL2</t>
  </si>
  <si>
    <t>I3L367_TOM1L1</t>
  </si>
  <si>
    <t>I3L397_EIF5A</t>
  </si>
  <si>
    <t>I3L3Y1_CRYM</t>
  </si>
  <si>
    <t>I3L448_ATPAF1</t>
  </si>
  <si>
    <t>I3L459_PITPNA</t>
  </si>
  <si>
    <t>I3L4Q0_FAM195B</t>
  </si>
  <si>
    <t>I3L4X3_NFKBIB</t>
  </si>
  <si>
    <t>I3NI03_P4HB</t>
  </si>
  <si>
    <t>I3NI23_TMEM159</t>
  </si>
  <si>
    <t>I6L894_ANK2</t>
  </si>
  <si>
    <t>J3KMY5_NPC2</t>
  </si>
  <si>
    <t>J3KMZ9_LDLR</t>
  </si>
  <si>
    <t>J3KN16_KIAA0368</t>
  </si>
  <si>
    <t>J3KN29_PSMD9</t>
  </si>
  <si>
    <t>J3KN59_BNIP2</t>
  </si>
  <si>
    <t>J3KN69_NCEH1</t>
  </si>
  <si>
    <t>J3KN75_TBC1D8B</t>
  </si>
  <si>
    <t>J3KN93_ANKRD44</t>
  </si>
  <si>
    <t>J3KNA0_OXA1L</t>
  </si>
  <si>
    <t>J3KND3_MYL6</t>
  </si>
  <si>
    <t>J3KNF4_CCS</t>
  </si>
  <si>
    <t>J3KNF5_CEP290</t>
  </si>
  <si>
    <t>J3KNF8_CYB5B</t>
  </si>
  <si>
    <t>J3KNI1_COG4</t>
  </si>
  <si>
    <t>J3KNL3_CHID1</t>
  </si>
  <si>
    <t>J3KNL6_SEC16A</t>
  </si>
  <si>
    <t>J3KNL7_FAM63B</t>
  </si>
  <si>
    <t>J3KNM9_FBXL7</t>
  </si>
  <si>
    <t>J3KNN7_BRAP</t>
  </si>
  <si>
    <t>J3KNQ4_PARVA</t>
  </si>
  <si>
    <t>J3KNR0_MARK3</t>
  </si>
  <si>
    <t>J3KNT4_FGFR1</t>
  </si>
  <si>
    <t>J3KNW4_FHL2</t>
  </si>
  <si>
    <t>J3KNX9_MYO18A</t>
  </si>
  <si>
    <t>J3KP15_SRSF2</t>
  </si>
  <si>
    <t>J3KP19_SIPA1L1</t>
  </si>
  <si>
    <t>J3KP22_PTPRA</t>
  </si>
  <si>
    <t>J3KP26_ANKRD46</t>
  </si>
  <si>
    <t>J3KP29_NUP98</t>
  </si>
  <si>
    <t>J3KP75_PHACTR2</t>
  </si>
  <si>
    <t>J3KPC8_SIK3</t>
  </si>
  <si>
    <t>J3KPG9_CSAD</t>
  </si>
  <si>
    <t>J3KPK1_SYNJ1</t>
  </si>
  <si>
    <t>J3KPP0_MRPL42</t>
  </si>
  <si>
    <t>J3KPP4_LUC7L3</t>
  </si>
  <si>
    <t>J3KPS0_DNAJB12</t>
  </si>
  <si>
    <t>J3KPT4_TRABD</t>
  </si>
  <si>
    <t>J3KPV7_MPST</t>
  </si>
  <si>
    <t>J3KPW7_HDAC2</t>
  </si>
  <si>
    <t>J3KPX7_PHB2</t>
  </si>
  <si>
    <t>J3KPX8_MAP1A</t>
  </si>
  <si>
    <t>J3KPY9_ANTXR2</t>
  </si>
  <si>
    <t>J3KQ06_TMEM45A</t>
  </si>
  <si>
    <t>J3KQ32_OLA1</t>
  </si>
  <si>
    <t>J3KQ34_COPS7B</t>
  </si>
  <si>
    <t>J3KQ48_PTRH2</t>
  </si>
  <si>
    <t>J3KQ88_C6orf203</t>
  </si>
  <si>
    <t>J3KQ98_PPP1R37</t>
  </si>
  <si>
    <t>J3KQB0_THUMPD1</t>
  </si>
  <si>
    <t>J3KQC3_SHANK2</t>
  </si>
  <si>
    <t>J3KQD0_FAM213B</t>
  </si>
  <si>
    <t>J3KQE5_RAN</t>
  </si>
  <si>
    <t>J3KQG4_GBA</t>
  </si>
  <si>
    <t>J3KQJ1_SUMF2</t>
  </si>
  <si>
    <t>J3KQL8_APOL2</t>
  </si>
  <si>
    <t>J3KQR7_CEP170B</t>
  </si>
  <si>
    <t>J3KQS6_BABAM1</t>
  </si>
  <si>
    <t>J3KQV0_CDKN1A</t>
  </si>
  <si>
    <t>J3KR35_CCDC12</t>
  </si>
  <si>
    <t>J3KR58_SEPHS2</t>
  </si>
  <si>
    <t>J3KR88_CORIN</t>
  </si>
  <si>
    <t>J3KR97_TBCD</t>
  </si>
  <si>
    <t>J3KRM8_CSNK1D</t>
  </si>
  <si>
    <t>J3KRP6_SS18</t>
  </si>
  <si>
    <t>J3KRW7_TMEM199</t>
  </si>
  <si>
    <t>J3KS05_CBX1</t>
  </si>
  <si>
    <t>J3KSL8_TRAPPC8</t>
  </si>
  <si>
    <t>J3KSS7_GGA3</t>
  </si>
  <si>
    <t>J3KSW2_POLI</t>
  </si>
  <si>
    <t>J3KT10_NUP85</t>
  </si>
  <si>
    <t>J3KTA4_DDX5</t>
  </si>
  <si>
    <t>J3KTL2_SRSF1</t>
  </si>
  <si>
    <t>J3KTN0_EIF4A1</t>
  </si>
  <si>
    <t>J3QK89_CHERP</t>
  </si>
  <si>
    <t>J3QKR3_PSMB3</t>
  </si>
  <si>
    <t>J3QL56_SCO1</t>
  </si>
  <si>
    <t>J3QL71_SCRN2</t>
  </si>
  <si>
    <t>J3QLB2_SLC39A11</t>
  </si>
  <si>
    <t>J3QLE5_SNRPN</t>
  </si>
  <si>
    <t>J3QLU9_ERBB2</t>
  </si>
  <si>
    <t>J3QQJ0_SAP30BP</t>
  </si>
  <si>
    <t>J3QQM5_LIMD2</t>
  </si>
  <si>
    <t>J3QQN7_GDPD1</t>
  </si>
  <si>
    <t>J3QQT2_RPL17</t>
  </si>
  <si>
    <t>J3QR07_YTHDC1</t>
  </si>
  <si>
    <t>J3QR29_CDK11B</t>
  </si>
  <si>
    <t>J3QRC3_NAT9</t>
  </si>
  <si>
    <t>J3QRD1_ALDH3A2</t>
  </si>
  <si>
    <t>J3QRS3_MYL12A</t>
  </si>
  <si>
    <t>J3QRS9_ZNF207</t>
  </si>
  <si>
    <t>J3QRU1_YES1</t>
  </si>
  <si>
    <t>J3QRU4_VAMP2</t>
  </si>
  <si>
    <t>J3QS68_RNF135</t>
  </si>
  <si>
    <t>J3QSW1_SAMD4A</t>
  </si>
  <si>
    <t>J3QT34_MAST4</t>
  </si>
  <si>
    <t>J3QT87_CRBN</t>
  </si>
  <si>
    <t>J3QTA2_BAG1</t>
  </si>
  <si>
    <t>J3QTA6_CHCHD6</t>
  </si>
  <si>
    <t>J9JID7_LMNB2</t>
  </si>
  <si>
    <t>J9JIE6_TMCO1</t>
  </si>
  <si>
    <t>J9JIE9_HYI</t>
  </si>
  <si>
    <t>J9JIG6_ARSG</t>
  </si>
  <si>
    <t>K4DI93_CUL4B</t>
  </si>
  <si>
    <t>K7EID0_MLX</t>
  </si>
  <si>
    <t>K7EIE9_PTPN2</t>
  </si>
  <si>
    <t>K7EIG1_CLUH</t>
  </si>
  <si>
    <t>K7EIN1_WBP2</t>
  </si>
  <si>
    <t>K7EIP7_YIPF2</t>
  </si>
  <si>
    <t>K7EIU8_SMAD4</t>
  </si>
  <si>
    <t>K7EJ78_RPS15</t>
  </si>
  <si>
    <t>K7EJH0_SPC24</t>
  </si>
  <si>
    <t>K7EJL1_AP1M1</t>
  </si>
  <si>
    <t>K7EK00_FAM210A</t>
  </si>
  <si>
    <t>K7EK07_H3F3B</t>
  </si>
  <si>
    <t>K7EK10_CAPNS1</t>
  </si>
  <si>
    <t>K7EK35_STAT5A</t>
  </si>
  <si>
    <t>K7EKE6_LONP1</t>
  </si>
  <si>
    <t>K7EKI8_PPL</t>
  </si>
  <si>
    <t>K7EKP8_ACOT7</t>
  </si>
  <si>
    <t>K7EKW3_TMUB2</t>
  </si>
  <si>
    <t>K7EL21_CAPS</t>
  </si>
  <si>
    <t>K7EL68_CDC37</t>
  </si>
  <si>
    <t>K7ELL7_PRKCSH</t>
  </si>
  <si>
    <t>K7ELY2_STX10</t>
  </si>
  <si>
    <t>K7EM02_KATNAL2</t>
  </si>
  <si>
    <t>K7EM09_TMEM205</t>
  </si>
  <si>
    <t>K7EM38_ACTG1</t>
  </si>
  <si>
    <t>K7EM88_UBALD1</t>
  </si>
  <si>
    <t>K7EN05_ELOF1</t>
  </si>
  <si>
    <t>K7EN08_NFIX</t>
  </si>
  <si>
    <t>K7ENF0_NARS</t>
  </si>
  <si>
    <t>K7ENL9_C18orf8</t>
  </si>
  <si>
    <t>K7ENR6_PSMG2</t>
  </si>
  <si>
    <t>K7EP32_UBXN6</t>
  </si>
  <si>
    <t>K7EP80_CAPNS1</t>
  </si>
  <si>
    <t>K7EPE7_VMP1</t>
  </si>
  <si>
    <t>K7EPW6_C16orf71</t>
  </si>
  <si>
    <t>K7EQG1_QPCTL</t>
  </si>
  <si>
    <t>K7EQG4_FXYD1</t>
  </si>
  <si>
    <t>K7EQX8_MXRA7</t>
  </si>
  <si>
    <t>K7ER00_FARSA</t>
  </si>
  <si>
    <t>K7ERF1_EIF3K</t>
  </si>
  <si>
    <t>K7ERG2_NKIRAS2</t>
  </si>
  <si>
    <t>K7ERV3_TK1</t>
  </si>
  <si>
    <t>K7ES02_BLMH</t>
  </si>
  <si>
    <t>K7ES54_FSTL3</t>
  </si>
  <si>
    <t>K7ES57_MFSD11</t>
  </si>
  <si>
    <t>K7ES84_FAM86A</t>
  </si>
  <si>
    <t>K7ESE6_G6PC3</t>
  </si>
  <si>
    <t>K7ESP4_DCAKD</t>
  </si>
  <si>
    <t>M0QXA7_WIZ</t>
  </si>
  <si>
    <t>M0QXT0_USF2</t>
  </si>
  <si>
    <t>M0QXX4_KPTN</t>
  </si>
  <si>
    <t>M0QXZ5_ZNF428</t>
  </si>
  <si>
    <t>M0QY17_BABAM1</t>
  </si>
  <si>
    <t>M0QY77_KXD1</t>
  </si>
  <si>
    <t>M0QY97_ZC3H4</t>
  </si>
  <si>
    <t>M0QYH5_MPV17L2</t>
  </si>
  <si>
    <t>M0QYM7_TUBB4A</t>
  </si>
  <si>
    <t>M0QYS1_RPL13A</t>
  </si>
  <si>
    <t>M0QZ22_SAMD4B</t>
  </si>
  <si>
    <t>M0QZH0_RCN3</t>
  </si>
  <si>
    <t>M0QZL8_JOSD2</t>
  </si>
  <si>
    <t>M0R042_TUBB4A</t>
  </si>
  <si>
    <t>M0R0F0_RPS5</t>
  </si>
  <si>
    <t>M0R0N4_AP2S1</t>
  </si>
  <si>
    <t>M0R150_</t>
  </si>
  <si>
    <t>M0R1G9_PSG5</t>
  </si>
  <si>
    <t>M0R2A0_EMC10</t>
  </si>
  <si>
    <t>M0R300_MYO9B</t>
  </si>
  <si>
    <t>M0R333_DMPK</t>
  </si>
  <si>
    <t>M0R366_FSD1</t>
  </si>
  <si>
    <t>M0R3D4_RABAC1</t>
  </si>
  <si>
    <t>O00116_AGPS</t>
  </si>
  <si>
    <t>O00139-2_KIF2A</t>
  </si>
  <si>
    <t>O00148_DDX39A</t>
  </si>
  <si>
    <t>O00151_PDLIM1</t>
  </si>
  <si>
    <t>O00154-4_ACOT7</t>
  </si>
  <si>
    <t>O00159-3_MYO1C</t>
  </si>
  <si>
    <t>O00161_SNAP23</t>
  </si>
  <si>
    <t>O00170_AIP</t>
  </si>
  <si>
    <t>O00178_GTPBP1</t>
  </si>
  <si>
    <t>O00186_STXBP3</t>
  </si>
  <si>
    <t>O00203_AP3B1</t>
  </si>
  <si>
    <t>O00213-2_APBB1</t>
  </si>
  <si>
    <t>O00220_TNFRSF10A</t>
  </si>
  <si>
    <t>O00221_NFKBIE</t>
  </si>
  <si>
    <t>O00231_PSMD11</t>
  </si>
  <si>
    <t>O00232_PSMD12</t>
  </si>
  <si>
    <t>O00244_ATOX1</t>
  </si>
  <si>
    <t>O00264_PGRMC1</t>
  </si>
  <si>
    <t>O00267-2_SUPT5H</t>
  </si>
  <si>
    <t>O00273_DFFA</t>
  </si>
  <si>
    <t>O00273-2_DFFA</t>
  </si>
  <si>
    <t>O00291_HIP1</t>
  </si>
  <si>
    <t>O00299_CLIC1</t>
  </si>
  <si>
    <t>O00300_TNFRSF11B</t>
  </si>
  <si>
    <t>O00308-2_WWP2</t>
  </si>
  <si>
    <t>O00330_PDHX</t>
  </si>
  <si>
    <t>O00391_QSOX1</t>
  </si>
  <si>
    <t>O00399_DCTN6</t>
  </si>
  <si>
    <t>O00400_SLC33A1</t>
  </si>
  <si>
    <t>O00401_WASL</t>
  </si>
  <si>
    <t>O00410_IPO5</t>
  </si>
  <si>
    <t>O00418_EEF2K</t>
  </si>
  <si>
    <t>O00429_DNM1L</t>
  </si>
  <si>
    <t>O00429-4_DNM1L</t>
  </si>
  <si>
    <t>O00442_RTCA</t>
  </si>
  <si>
    <t>O00443_PIK3C2A</t>
  </si>
  <si>
    <t>O00459_PIK3R2</t>
  </si>
  <si>
    <t>O00461_GOLIM4</t>
  </si>
  <si>
    <t>O00462_MANBA</t>
  </si>
  <si>
    <t>O00468-6_AGRN</t>
  </si>
  <si>
    <t>O00469-2_PLOD2</t>
  </si>
  <si>
    <t>O00471_EXOC5</t>
  </si>
  <si>
    <t>O00479_HMGN4</t>
  </si>
  <si>
    <t>O00483_NDUFA4</t>
  </si>
  <si>
    <t>O00487_PSMD14</t>
  </si>
  <si>
    <t>O00488_ZNF593</t>
  </si>
  <si>
    <t>O00499-6_BIN1</t>
  </si>
  <si>
    <t>O00505_KPNA3</t>
  </si>
  <si>
    <t>O00506_STK25</t>
  </si>
  <si>
    <t>O00512_BCL9</t>
  </si>
  <si>
    <t>O00534_VWA5A</t>
  </si>
  <si>
    <t>O00560_SDCBP</t>
  </si>
  <si>
    <t>O00567_NOP56</t>
  </si>
  <si>
    <t>O00571_DDX3X</t>
  </si>
  <si>
    <t>O00622_CYR61</t>
  </si>
  <si>
    <t>O00625_PIR</t>
  </si>
  <si>
    <t>O00629_KPNA4</t>
  </si>
  <si>
    <t>O00635_TRIM38</t>
  </si>
  <si>
    <t>O00743_PPP6C</t>
  </si>
  <si>
    <t>O00748_CES2</t>
  </si>
  <si>
    <t>O00754-2_MAN2B1</t>
  </si>
  <si>
    <t>O00764_PDXK</t>
  </si>
  <si>
    <t>O14495_PPAP2B</t>
  </si>
  <si>
    <t>O14497_ARID1A</t>
  </si>
  <si>
    <t>O14498_ISLR</t>
  </si>
  <si>
    <t>O14519-2_CDK2AP1</t>
  </si>
  <si>
    <t>O14524-2_TMEM194A</t>
  </si>
  <si>
    <t>O14531_DPYSL4</t>
  </si>
  <si>
    <t>O14545_TRAFD1</t>
  </si>
  <si>
    <t>O14558_HSPB6</t>
  </si>
  <si>
    <t>O14561_NDUFAB1</t>
  </si>
  <si>
    <t>O14579_COPE</t>
  </si>
  <si>
    <t>O14613_CDC42EP2</t>
  </si>
  <si>
    <t>O14617-4_AP3D1</t>
  </si>
  <si>
    <t>O14656_TOR1A</t>
  </si>
  <si>
    <t>O14657_TOR1B</t>
  </si>
  <si>
    <t>O14662-2_STX16</t>
  </si>
  <si>
    <t>O14672_ADAM10</t>
  </si>
  <si>
    <t>O14686_MLL2</t>
  </si>
  <si>
    <t>O14713-2_ITGB1BP1</t>
  </si>
  <si>
    <t>O14734_ACOT8</t>
  </si>
  <si>
    <t>O14737_PDCD5</t>
  </si>
  <si>
    <t>O14744_PRMT5</t>
  </si>
  <si>
    <t>O14745_SLC9A3R1</t>
  </si>
  <si>
    <t>O14756_HSD17B6</t>
  </si>
  <si>
    <t>O14763-2_TNFRSF10B</t>
  </si>
  <si>
    <t>O14772_FPGT</t>
  </si>
  <si>
    <t>O14773_TPP1</t>
  </si>
  <si>
    <t>O14776-2_TCERG1</t>
  </si>
  <si>
    <t>O14787-2_TNPO2</t>
  </si>
  <si>
    <t>O14807_MRAS</t>
  </si>
  <si>
    <t>O14818_PSMA7</t>
  </si>
  <si>
    <t>O14828_SCAMP3</t>
  </si>
  <si>
    <t>O14841_OPLAH</t>
  </si>
  <si>
    <t>O14867_BACH1</t>
  </si>
  <si>
    <t>O14879_IFIT3</t>
  </si>
  <si>
    <t>O14907_TAX1BP3</t>
  </si>
  <si>
    <t>O14908_GIPC1</t>
  </si>
  <si>
    <t>O14910_LIN7A</t>
  </si>
  <si>
    <t>O14920_IKBKB</t>
  </si>
  <si>
    <t>O14925_TIMM23</t>
  </si>
  <si>
    <t>O14929_HAT1</t>
  </si>
  <si>
    <t>O14933_UBE2L6</t>
  </si>
  <si>
    <t>O14936-3_CASK</t>
  </si>
  <si>
    <t>O14949_UQCRQ</t>
  </si>
  <si>
    <t>O14964_HGS</t>
  </si>
  <si>
    <t>O14966_RAB7L1</t>
  </si>
  <si>
    <t>O14967_CLGN</t>
  </si>
  <si>
    <t>O14974_PPP1R12A</t>
  </si>
  <si>
    <t>O14976_GAK</t>
  </si>
  <si>
    <t>O14979_HNRPDL</t>
  </si>
  <si>
    <t>O14980_XPO1</t>
  </si>
  <si>
    <t>O14981_BTAF1</t>
  </si>
  <si>
    <t>O15027-5_SEC16A</t>
  </si>
  <si>
    <t>O15031_PLXNB2</t>
  </si>
  <si>
    <t>O15037_KHNYN</t>
  </si>
  <si>
    <t>O15040_TECPR2</t>
  </si>
  <si>
    <t>O15061_SYNM</t>
  </si>
  <si>
    <t>O15063_KIAA0355</t>
  </si>
  <si>
    <t>O15066_KIF3B</t>
  </si>
  <si>
    <t>O15067_PFAS</t>
  </si>
  <si>
    <t>O15069_NACAD</t>
  </si>
  <si>
    <t>O15085_ARHGEF11</t>
  </si>
  <si>
    <t>O15111_CHUK</t>
  </si>
  <si>
    <t>O15116_LSM1</t>
  </si>
  <si>
    <t>O15118_NPC1</t>
  </si>
  <si>
    <t>O15120_AGPAT2</t>
  </si>
  <si>
    <t>O15121_DEGS1</t>
  </si>
  <si>
    <t>O15126_SCAMP1</t>
  </si>
  <si>
    <t>O15127_SCAMP2</t>
  </si>
  <si>
    <t>O15143_ARPC1B</t>
  </si>
  <si>
    <t>O15144_ARPC2</t>
  </si>
  <si>
    <t>O15145_ARPC3</t>
  </si>
  <si>
    <t>O15155_BET1</t>
  </si>
  <si>
    <t>O15160_POLR1C</t>
  </si>
  <si>
    <t>O15173_PGRMC2</t>
  </si>
  <si>
    <t>O15212_PFDN6</t>
  </si>
  <si>
    <t>O15217_GSTA4</t>
  </si>
  <si>
    <t>O15228_GNPAT</t>
  </si>
  <si>
    <t>O15234_CASC3</t>
  </si>
  <si>
    <t>O15240_VGF</t>
  </si>
  <si>
    <t>O15247_CLIC2</t>
  </si>
  <si>
    <t>O15254-2_ACOX3</t>
  </si>
  <si>
    <t>O15258_RER1</t>
  </si>
  <si>
    <t>O15269_SPTLC1</t>
  </si>
  <si>
    <t>O15270_SPTLC2</t>
  </si>
  <si>
    <t>O15294-3_OGT</t>
  </si>
  <si>
    <t>O15305_PMM2</t>
  </si>
  <si>
    <t>O15327_INPP4B</t>
  </si>
  <si>
    <t>O15344_MID1</t>
  </si>
  <si>
    <t>O15347_HMGB3</t>
  </si>
  <si>
    <t>O15355_PPM1G</t>
  </si>
  <si>
    <t>O15357_INPPL1</t>
  </si>
  <si>
    <t>O15382_BCAT2</t>
  </si>
  <si>
    <t>O15394_NCAM2</t>
  </si>
  <si>
    <t>O15397_IPO8</t>
  </si>
  <si>
    <t>O15400-2_STX7</t>
  </si>
  <si>
    <t>O15403_SLC16A6</t>
  </si>
  <si>
    <t>O15427_SLC16A3</t>
  </si>
  <si>
    <t>O15431_SLC31A1</t>
  </si>
  <si>
    <t>O15439-2_ABCC4</t>
  </si>
  <si>
    <t>O15446_CD3EAP</t>
  </si>
  <si>
    <t>O15460_P4HA2</t>
  </si>
  <si>
    <t>O15460-2_P4HA2</t>
  </si>
  <si>
    <t>O15498_YKT6</t>
  </si>
  <si>
    <t>O15511_ARPC5</t>
  </si>
  <si>
    <t>O15514_POLR2D</t>
  </si>
  <si>
    <t>O15541_RNF113A</t>
  </si>
  <si>
    <t>O43143_DHX15</t>
  </si>
  <si>
    <t>O43148_RNMT</t>
  </si>
  <si>
    <t>O43155_FLRT2</t>
  </si>
  <si>
    <t>O43157-2_PLXNB1</t>
  </si>
  <si>
    <t>O43164-2_PJA2</t>
  </si>
  <si>
    <t>O43172-2_PRPF4</t>
  </si>
  <si>
    <t>O43175_PHGDH</t>
  </si>
  <si>
    <t>O43181_NDUFS4</t>
  </si>
  <si>
    <t>O43182-4_ARHGAP6</t>
  </si>
  <si>
    <t>O43184-3_ADAM12</t>
  </si>
  <si>
    <t>O43237_DYNC1LI2</t>
  </si>
  <si>
    <t>O43242_PSMD3</t>
  </si>
  <si>
    <t>O43252_PAPSS1</t>
  </si>
  <si>
    <t>O43281_EFS</t>
  </si>
  <si>
    <t>O43290_SART1</t>
  </si>
  <si>
    <t>O43293_DAPK3</t>
  </si>
  <si>
    <t>O43294-2_TGFB1I1</t>
  </si>
  <si>
    <t>O43299_AP5Z1</t>
  </si>
  <si>
    <t>O43301_HSPA12A</t>
  </si>
  <si>
    <t>O43310_CTIF</t>
  </si>
  <si>
    <t>O43314-2_PPIP5K2</t>
  </si>
  <si>
    <t>O43318-2_MAP3K7</t>
  </si>
  <si>
    <t>O43325_LYRM1</t>
  </si>
  <si>
    <t>O43353_RIPK2</t>
  </si>
  <si>
    <t>O43396_TXNL1</t>
  </si>
  <si>
    <t>O43399_TPD52L2</t>
  </si>
  <si>
    <t>O43402_EMC8</t>
  </si>
  <si>
    <t>O43464-3_HTRA2</t>
  </si>
  <si>
    <t>O43488_AKR7A2</t>
  </si>
  <si>
    <t>O43493-2_TGOLN2</t>
  </si>
  <si>
    <t>O43504_LAMTOR5</t>
  </si>
  <si>
    <t>O43505_B3GNT1</t>
  </si>
  <si>
    <t>O43513_MED7</t>
  </si>
  <si>
    <t>O43516_WIPF1</t>
  </si>
  <si>
    <t>O43520_ATP8B1</t>
  </si>
  <si>
    <t>O43524_FOXO3</t>
  </si>
  <si>
    <t>O43567_RNF13</t>
  </si>
  <si>
    <t>O43583_DENR</t>
  </si>
  <si>
    <t>O43592_XPOT</t>
  </si>
  <si>
    <t>O43598_DNPH1</t>
  </si>
  <si>
    <t>O43615_TIMM44</t>
  </si>
  <si>
    <t>O43617_TRAPPC3</t>
  </si>
  <si>
    <t>O43617-2_TRAPPC3</t>
  </si>
  <si>
    <t>O43633_CHMP2A</t>
  </si>
  <si>
    <t>O43639_NCK2</t>
  </si>
  <si>
    <t>O43657_TSPAN6</t>
  </si>
  <si>
    <t>O43665-2_RGS10</t>
  </si>
  <si>
    <t>O43676_NDUFB3</t>
  </si>
  <si>
    <t>O43677_NDUFC1</t>
  </si>
  <si>
    <t>O43678_NDUFA2</t>
  </si>
  <si>
    <t>O43681_ASNA1</t>
  </si>
  <si>
    <t>O43684_BUB3</t>
  </si>
  <si>
    <t>O43707_ACTN4</t>
  </si>
  <si>
    <t>O43715_TRIAP1</t>
  </si>
  <si>
    <t>O43719_HTATSF1</t>
  </si>
  <si>
    <t>O43739-2_CYTH3</t>
  </si>
  <si>
    <t>O43752_STX6</t>
  </si>
  <si>
    <t>O43760_SYNGR2</t>
  </si>
  <si>
    <t>O43765_SGTA</t>
  </si>
  <si>
    <t>O43766-2_LIAS</t>
  </si>
  <si>
    <t>O43768-2_ENSA</t>
  </si>
  <si>
    <t>O43772_SLC25A20</t>
  </si>
  <si>
    <t>O43776_NARS</t>
  </si>
  <si>
    <t>O43805_SSNA1</t>
  </si>
  <si>
    <t>O43809_NUDT21</t>
  </si>
  <si>
    <t>O43813_LANCL1</t>
  </si>
  <si>
    <t>O43815_STRN</t>
  </si>
  <si>
    <t>O43818_RRP9</t>
  </si>
  <si>
    <t>O43819_SCO2</t>
  </si>
  <si>
    <t>O43820-4_HYAL3</t>
  </si>
  <si>
    <t>O43826_SLC37A4</t>
  </si>
  <si>
    <t>O43837_IDH3B</t>
  </si>
  <si>
    <t>O43852_CALU</t>
  </si>
  <si>
    <t>O43852-15_CALU</t>
  </si>
  <si>
    <t>O43852-2_CALU</t>
  </si>
  <si>
    <t>O43854-2_EDIL3</t>
  </si>
  <si>
    <t>O43865_AHCYL1</t>
  </si>
  <si>
    <t>O43896_KIF1C</t>
  </si>
  <si>
    <t>O43915_FIGF</t>
  </si>
  <si>
    <t>O43920_NDUFS5</t>
  </si>
  <si>
    <t>O43924_PDE6D</t>
  </si>
  <si>
    <t>O60220_TIMM8A</t>
  </si>
  <si>
    <t>O60234_GMFG</t>
  </si>
  <si>
    <t>O60239_SH3BP5</t>
  </si>
  <si>
    <t>O60256_PRPSAP2</t>
  </si>
  <si>
    <t>O60262_GNG7</t>
  </si>
  <si>
    <t>O60271-4_SPAG9</t>
  </si>
  <si>
    <t>O60271-9_SPAG9</t>
  </si>
  <si>
    <t>O60313-2_OPA1</t>
  </si>
  <si>
    <t>O60331-4_PIP5K1C</t>
  </si>
  <si>
    <t>O60333-2_KIF1B</t>
  </si>
  <si>
    <t>O60343-2_TBC1D4</t>
  </si>
  <si>
    <t>O60353-2_FZD6</t>
  </si>
  <si>
    <t>O60356_NUPR1</t>
  </si>
  <si>
    <t>O60361_NME2P1</t>
  </si>
  <si>
    <t>O60427_FADS1</t>
  </si>
  <si>
    <t>O60443_DFNA5</t>
  </si>
  <si>
    <t>O60449-3_LY75</t>
  </si>
  <si>
    <t>O60476_MAN1A2</t>
  </si>
  <si>
    <t>O60488-2_ACSL4</t>
  </si>
  <si>
    <t>O60493_SNX3</t>
  </si>
  <si>
    <t>O60502_MGEA5</t>
  </si>
  <si>
    <t>O60503_ADCY9</t>
  </si>
  <si>
    <t>O60504-2_SORBS3</t>
  </si>
  <si>
    <t>O60506-4_SYNCRIP</t>
  </si>
  <si>
    <t>O60507_TPST1</t>
  </si>
  <si>
    <t>O60513_B4GALT4</t>
  </si>
  <si>
    <t>O60524-4_NEMF</t>
  </si>
  <si>
    <t>O60547-2_GMDS</t>
  </si>
  <si>
    <t>O60551_NMT2</t>
  </si>
  <si>
    <t>O60565-2_GREM1</t>
  </si>
  <si>
    <t>O60568_PLOD3</t>
  </si>
  <si>
    <t>O60613_SEP15</t>
  </si>
  <si>
    <t>O60637-3_TSPAN3</t>
  </si>
  <si>
    <t>O60664-2_PLIN3</t>
  </si>
  <si>
    <t>O60671_RAD1</t>
  </si>
  <si>
    <t>O60701_UGDH</t>
  </si>
  <si>
    <t>O60704_TPST2</t>
  </si>
  <si>
    <t>O60711_LPXN</t>
  </si>
  <si>
    <t>O60716-5_CTNND1</t>
  </si>
  <si>
    <t>O60749_SNX2</t>
  </si>
  <si>
    <t>O60763_USO1</t>
  </si>
  <si>
    <t>O60828_PQBP1</t>
  </si>
  <si>
    <t>O60830_TIMM17B</t>
  </si>
  <si>
    <t>O60831_PRAF2</t>
  </si>
  <si>
    <t>O60841_EIF5B</t>
  </si>
  <si>
    <t>O60869_EDF1</t>
  </si>
  <si>
    <t>O60884_DNAJA2</t>
  </si>
  <si>
    <t>O60885_BRD4</t>
  </si>
  <si>
    <t>O60888-3_CUTA</t>
  </si>
  <si>
    <t>O60925_PFDN1</t>
  </si>
  <si>
    <t>O60927_PPP1R11</t>
  </si>
  <si>
    <t>O60934_NBN</t>
  </si>
  <si>
    <t>O75027_ABCB7</t>
  </si>
  <si>
    <t>O75037-3_KIF21B</t>
  </si>
  <si>
    <t>O75044_SRGAP2</t>
  </si>
  <si>
    <t>O75063_FAM20B</t>
  </si>
  <si>
    <t>O75071_EFCAB14</t>
  </si>
  <si>
    <t>O75083_WDR1</t>
  </si>
  <si>
    <t>O75084_FZD7</t>
  </si>
  <si>
    <t>O75095-2_MEGF6</t>
  </si>
  <si>
    <t>O75110_ATP9A</t>
  </si>
  <si>
    <t>O75113_N4BP1</t>
  </si>
  <si>
    <t>O75116_ROCK2</t>
  </si>
  <si>
    <t>O75131_CPNE3</t>
  </si>
  <si>
    <t>O75143-2_ATG13</t>
  </si>
  <si>
    <t>O75146_HIP1R</t>
  </si>
  <si>
    <t>O75150-3_RNF40</t>
  </si>
  <si>
    <t>O75155_CAND2</t>
  </si>
  <si>
    <t>O75157-2_TSC22D2</t>
  </si>
  <si>
    <t>O75165_DNAJC13</t>
  </si>
  <si>
    <t>O75170-4_PPP6R2</t>
  </si>
  <si>
    <t>O75175-2_CNOT3</t>
  </si>
  <si>
    <t>O75177_SS18L1</t>
  </si>
  <si>
    <t>O75179-2_ANKRD17</t>
  </si>
  <si>
    <t>O75191_XYLB</t>
  </si>
  <si>
    <t>O75208_COQ9</t>
  </si>
  <si>
    <t>O75223_GGCT</t>
  </si>
  <si>
    <t>O75298-2_RTN2</t>
  </si>
  <si>
    <t>O75312_ZNF259</t>
  </si>
  <si>
    <t>O75323_GBAS</t>
  </si>
  <si>
    <t>O75326_SEMA7A</t>
  </si>
  <si>
    <t>O75340_PDCD6</t>
  </si>
  <si>
    <t>O75347_TBCA</t>
  </si>
  <si>
    <t>O75348_ATP6V1G1</t>
  </si>
  <si>
    <t>O75351_VPS4B</t>
  </si>
  <si>
    <t>O75356_ENTPD5</t>
  </si>
  <si>
    <t>O75368_SH3BGRL</t>
  </si>
  <si>
    <t>O75369-8_FLNB</t>
  </si>
  <si>
    <t>O75376-2_NCOR1</t>
  </si>
  <si>
    <t>O75379_VAMP4</t>
  </si>
  <si>
    <t>O75380_NDUFS6</t>
  </si>
  <si>
    <t>O75381-2_PEX14</t>
  </si>
  <si>
    <t>O75386_TULP3</t>
  </si>
  <si>
    <t>O75391_SPAG7</t>
  </si>
  <si>
    <t>O75396_SEC22B</t>
  </si>
  <si>
    <t>O75400-2_PRPF40A</t>
  </si>
  <si>
    <t>O75420_GIGYF1</t>
  </si>
  <si>
    <t>O75427_LRCH4</t>
  </si>
  <si>
    <t>O75436_VPS26A</t>
  </si>
  <si>
    <t>O75438_NDUFB1</t>
  </si>
  <si>
    <t>O75439_PMPCB</t>
  </si>
  <si>
    <t>O75460_ERN1</t>
  </si>
  <si>
    <t>O75475_PSIP1</t>
  </si>
  <si>
    <t>O75489_NDUFS3</t>
  </si>
  <si>
    <t>O75503_CLN5</t>
  </si>
  <si>
    <t>O75506_HSBP1</t>
  </si>
  <si>
    <t>O75521-2_ECI2</t>
  </si>
  <si>
    <t>O75531_BANF1</t>
  </si>
  <si>
    <t>O75533_SF3B1</t>
  </si>
  <si>
    <t>O75534_CSDE1</t>
  </si>
  <si>
    <t>O75600_GCAT</t>
  </si>
  <si>
    <t>O75607_NPM3</t>
  </si>
  <si>
    <t>O75608-2_LYPLA1</t>
  </si>
  <si>
    <t>O75635-2_SERPINB7</t>
  </si>
  <si>
    <t>O75648_TRMU</t>
  </si>
  <si>
    <t>O75663_TIPRL</t>
  </si>
  <si>
    <t>O75688_PPM1B</t>
  </si>
  <si>
    <t>O75689_ADAP1</t>
  </si>
  <si>
    <t>O75695_RP2</t>
  </si>
  <si>
    <t>O75718_CRTAP</t>
  </si>
  <si>
    <t>O75746_SLC25A12</t>
  </si>
  <si>
    <t>O75781_PALM</t>
  </si>
  <si>
    <t>O75794_CDC123</t>
  </si>
  <si>
    <t>O75815-3_BCAR3</t>
  </si>
  <si>
    <t>O75818-2_RPP40</t>
  </si>
  <si>
    <t>O75821_EIF3G</t>
  </si>
  <si>
    <t>O75822_EIF3J</t>
  </si>
  <si>
    <t>O75828_CBR3</t>
  </si>
  <si>
    <t>O75832_PSMD10</t>
  </si>
  <si>
    <t>O75844_ZMPSTE24</t>
  </si>
  <si>
    <t>O75865_TRAPPC6A</t>
  </si>
  <si>
    <t>O75874_IDH1</t>
  </si>
  <si>
    <t>O75882_ATRN</t>
  </si>
  <si>
    <t>O75884_RBBP9</t>
  </si>
  <si>
    <t>O75886_STAM2</t>
  </si>
  <si>
    <t>O75891_ALDH1L1</t>
  </si>
  <si>
    <t>O75896_TUSC2</t>
  </si>
  <si>
    <t>O75911_DHRS3</t>
  </si>
  <si>
    <t>O75914-2_PAK3</t>
  </si>
  <si>
    <t>O75915_ARL6IP5</t>
  </si>
  <si>
    <t>O75934_BCAS2</t>
  </si>
  <si>
    <t>O75935_DCTN3</t>
  </si>
  <si>
    <t>O75937_DNAJC8</t>
  </si>
  <si>
    <t>O75940_SMNDC1</t>
  </si>
  <si>
    <t>O75947_ATP5H</t>
  </si>
  <si>
    <t>O75955_FLOT1</t>
  </si>
  <si>
    <t>O75962-4_TRIO</t>
  </si>
  <si>
    <t>O75964_ATP5L</t>
  </si>
  <si>
    <t>O75976_CPD</t>
  </si>
  <si>
    <t>O76003_GLRX3</t>
  </si>
  <si>
    <t>O76024_WFS1</t>
  </si>
  <si>
    <t>O76031_CLPX</t>
  </si>
  <si>
    <t>O76054_SEC14L2</t>
  </si>
  <si>
    <t>O76061_STC2</t>
  </si>
  <si>
    <t>O76070_SNCG</t>
  </si>
  <si>
    <t>O76071_CIAO1</t>
  </si>
  <si>
    <t>O76074_PDE5A</t>
  </si>
  <si>
    <t>O76080_ZFAND5</t>
  </si>
  <si>
    <t>O76095-2_JTB</t>
  </si>
  <si>
    <t>O94760_DDAH1</t>
  </si>
  <si>
    <t>O94763_URI1</t>
  </si>
  <si>
    <t>O94766_B3GAT3</t>
  </si>
  <si>
    <t>O94804_STK10</t>
  </si>
  <si>
    <t>O94826_TOMM70A</t>
  </si>
  <si>
    <t>O94829_IPO13</t>
  </si>
  <si>
    <t>O94830_DDHD2</t>
  </si>
  <si>
    <t>O94832_MYO1D</t>
  </si>
  <si>
    <t>O94851-5_MICAL2</t>
  </si>
  <si>
    <t>O94854-2_KIAA0754</t>
  </si>
  <si>
    <t>O94855_SEC24D</t>
  </si>
  <si>
    <t>O94856-9_NFASC</t>
  </si>
  <si>
    <t>O94864-2_SUPT7L</t>
  </si>
  <si>
    <t>O94874_UFL1</t>
  </si>
  <si>
    <t>O94885_SASH1</t>
  </si>
  <si>
    <t>O94886_TMEM63A</t>
  </si>
  <si>
    <t>O94888_UBXN7</t>
  </si>
  <si>
    <t>O94889_KLHL18</t>
  </si>
  <si>
    <t>O94903_PROSC</t>
  </si>
  <si>
    <t>O94905_ERLIN2</t>
  </si>
  <si>
    <t>O94919_ENDOD1</t>
  </si>
  <si>
    <t>O94921_CDK14</t>
  </si>
  <si>
    <t>O94966-7_USP19</t>
  </si>
  <si>
    <t>O94967-2_WDR47</t>
  </si>
  <si>
    <t>O94973_AP2A2</t>
  </si>
  <si>
    <t>O94992_HEXIM1</t>
  </si>
  <si>
    <t>O95050-2_INMT</t>
  </si>
  <si>
    <t>O95057_DIRAS1</t>
  </si>
  <si>
    <t>O95081_AGFG2</t>
  </si>
  <si>
    <t>O95084_PRSS23</t>
  </si>
  <si>
    <t>O95104-2_SCAF4</t>
  </si>
  <si>
    <t>O95136_S1PR2</t>
  </si>
  <si>
    <t>O95139_NDUFB6</t>
  </si>
  <si>
    <t>O95140_MFN2</t>
  </si>
  <si>
    <t>O95155-2_UBE4B</t>
  </si>
  <si>
    <t>O95159_ZFPL1</t>
  </si>
  <si>
    <t>O95167_NDUFA3</t>
  </si>
  <si>
    <t>O95182_NDUFA7</t>
  </si>
  <si>
    <t>O95183_VAMP5</t>
  </si>
  <si>
    <t>O95197-2_RTN3</t>
  </si>
  <si>
    <t>O95202_LETM1</t>
  </si>
  <si>
    <t>O95206-3_PCDH8</t>
  </si>
  <si>
    <t>O95218-2_ZRANB2</t>
  </si>
  <si>
    <t>O95219_SNX4</t>
  </si>
  <si>
    <t>O95231_VENTX</t>
  </si>
  <si>
    <t>O95273_CCNDBP1</t>
  </si>
  <si>
    <t>O95292_VAPB</t>
  </si>
  <si>
    <t>O95295_SNAPIN</t>
  </si>
  <si>
    <t>O95297-2_MPZL1</t>
  </si>
  <si>
    <t>O95298-2_NDUFC2</t>
  </si>
  <si>
    <t>O95302_FKBP9</t>
  </si>
  <si>
    <t>O95336_PGLS</t>
  </si>
  <si>
    <t>O95352_ATG7</t>
  </si>
  <si>
    <t>O95361_TRIM16</t>
  </si>
  <si>
    <t>O95365_ZBTB7A</t>
  </si>
  <si>
    <t>O95372_LYPLA2</t>
  </si>
  <si>
    <t>O95373_IPO7</t>
  </si>
  <si>
    <t>O95376_ARIH2</t>
  </si>
  <si>
    <t>O95388_WISP1</t>
  </si>
  <si>
    <t>O95394-3_PGM3</t>
  </si>
  <si>
    <t>O95396_MOCS3</t>
  </si>
  <si>
    <t>O95400_CD2BP2</t>
  </si>
  <si>
    <t>O95405_ZFYVE9</t>
  </si>
  <si>
    <t>O95425_SVIL</t>
  </si>
  <si>
    <t>O95429-2_BAG4</t>
  </si>
  <si>
    <t>O95433_AHSA1</t>
  </si>
  <si>
    <t>O95450_ADAMTS2</t>
  </si>
  <si>
    <t>O95453-2_PARN</t>
  </si>
  <si>
    <t>O95456_PSMG1</t>
  </si>
  <si>
    <t>O95470_SGPL1</t>
  </si>
  <si>
    <t>O95486_SEC24A</t>
  </si>
  <si>
    <t>O95487-2_SEC24B</t>
  </si>
  <si>
    <t>O95528_SLC2A10</t>
  </si>
  <si>
    <t>O95544_NADK</t>
  </si>
  <si>
    <t>O95551_TDP2</t>
  </si>
  <si>
    <t>O95571_ETHE1</t>
  </si>
  <si>
    <t>O95573_ACSL3</t>
  </si>
  <si>
    <t>O95628-3_CNOT4</t>
  </si>
  <si>
    <t>O95630_STAMBP</t>
  </si>
  <si>
    <t>O95671-2_ASMTL</t>
  </si>
  <si>
    <t>O95674_CDS2</t>
  </si>
  <si>
    <t>O95684_FGFR1OP</t>
  </si>
  <si>
    <t>O95716_RAB3D</t>
  </si>
  <si>
    <t>O95721_SNAP29</t>
  </si>
  <si>
    <t>O95747_OXSR1</t>
  </si>
  <si>
    <t>O95749_GGPS1</t>
  </si>
  <si>
    <t>O95777_NAA38</t>
  </si>
  <si>
    <t>O95782-2_AP2A1</t>
  </si>
  <si>
    <t>O95786_DDX58</t>
  </si>
  <si>
    <t>O95801_TTC4</t>
  </si>
  <si>
    <t>O95807_TMEM50A</t>
  </si>
  <si>
    <t>O95810_SDPR</t>
  </si>
  <si>
    <t>O95816_BAG2</t>
  </si>
  <si>
    <t>O95817_BAG3</t>
  </si>
  <si>
    <t>O95825_CRYZL1</t>
  </si>
  <si>
    <t>O95831-3_AIFM1</t>
  </si>
  <si>
    <t>O95833_CLIC3</t>
  </si>
  <si>
    <t>O95834_EML2</t>
  </si>
  <si>
    <t>O95848_NUDT14</t>
  </si>
  <si>
    <t>O95857_TSPAN13</t>
  </si>
  <si>
    <t>O95864_FADS2</t>
  </si>
  <si>
    <t>O95865_DDAH2</t>
  </si>
  <si>
    <t>O95873_C6orf47</t>
  </si>
  <si>
    <t>O95881_TXNDC12</t>
  </si>
  <si>
    <t>O95905_ECD</t>
  </si>
  <si>
    <t>O95926_SYF2</t>
  </si>
  <si>
    <t>O95965_ITGBL1</t>
  </si>
  <si>
    <t>O95980_RECK</t>
  </si>
  <si>
    <t>O95989_NUDT3</t>
  </si>
  <si>
    <t>O95999_BCL10</t>
  </si>
  <si>
    <t>O96000_NDUFB10</t>
  </si>
  <si>
    <t>O96007_MOCS2</t>
  </si>
  <si>
    <t>O96008_TOMM40</t>
  </si>
  <si>
    <t>O96011_PEX11B</t>
  </si>
  <si>
    <t>O96013_PAK4</t>
  </si>
  <si>
    <t>O96017_CHEK2</t>
  </si>
  <si>
    <t>O96019_ACTL6A</t>
  </si>
  <si>
    <t>O96033_MOCS2</t>
  </si>
  <si>
    <t>P00167-2_CYB5A</t>
  </si>
  <si>
    <t>P00325_ADH1B</t>
  </si>
  <si>
    <t>P00338_LDHA</t>
  </si>
  <si>
    <t>P00352_ALDH1A1</t>
  </si>
  <si>
    <t>P00367_GLUD1</t>
  </si>
  <si>
    <t>P00387-2_CYB5R3</t>
  </si>
  <si>
    <t>P00390-2_GSR</t>
  </si>
  <si>
    <t>P00403_MT-CO2</t>
  </si>
  <si>
    <t>P00441_SOD1</t>
  </si>
  <si>
    <t>P00491_PNP</t>
  </si>
  <si>
    <t>P00492_HPRT1</t>
  </si>
  <si>
    <t>P00505_GOT2</t>
  </si>
  <si>
    <t>P00519_ABL1</t>
  </si>
  <si>
    <t>P00533_EGFR</t>
  </si>
  <si>
    <t>P00558_PGK1</t>
  </si>
  <si>
    <t>P00736_C1R</t>
  </si>
  <si>
    <t>P00738_HP</t>
  </si>
  <si>
    <t>P00813_ADA</t>
  </si>
  <si>
    <t>P00966_ASS1</t>
  </si>
  <si>
    <t>P01023_A2M</t>
  </si>
  <si>
    <t>P01034_CST3</t>
  </si>
  <si>
    <t>P01111_NRAS</t>
  </si>
  <si>
    <t>P01112_HRAS</t>
  </si>
  <si>
    <t>P01116-2_KRAS</t>
  </si>
  <si>
    <t>P01137_TGFB1</t>
  </si>
  <si>
    <t>P02452_COL1A1</t>
  </si>
  <si>
    <t>P02458_COL2A1</t>
  </si>
  <si>
    <t>P02461_COL3A1</t>
  </si>
  <si>
    <t>P02462-2_COL4A1</t>
  </si>
  <si>
    <t>P02545_LMNA</t>
  </si>
  <si>
    <t>P02649_APOE</t>
  </si>
  <si>
    <t>P02652_APOA2</t>
  </si>
  <si>
    <t>P02751-17_FN1</t>
  </si>
  <si>
    <t>P02786_TFRC</t>
  </si>
  <si>
    <t>P02787_TF</t>
  </si>
  <si>
    <t>P02792_FTL</t>
  </si>
  <si>
    <t>P02794_FTH1</t>
  </si>
  <si>
    <t>P02795_MT2A</t>
  </si>
  <si>
    <t>P03928_MT-ATP8</t>
  </si>
  <si>
    <t>P03956_MMP1</t>
  </si>
  <si>
    <t>P04040_CAT</t>
  </si>
  <si>
    <t>P04062-3_GBA</t>
  </si>
  <si>
    <t>P04066_FUCA1</t>
  </si>
  <si>
    <t>P04075_ALDOA</t>
  </si>
  <si>
    <t>P04080_CSTB</t>
  </si>
  <si>
    <t>P04083_ANXA1</t>
  </si>
  <si>
    <t>P04181_OAT</t>
  </si>
  <si>
    <t>P04181-2_OAT</t>
  </si>
  <si>
    <t>P04217_A1BG</t>
  </si>
  <si>
    <t>P04350_TUBB4A</t>
  </si>
  <si>
    <t>P04406_GAPDH</t>
  </si>
  <si>
    <t>P04406-2_GAPDH</t>
  </si>
  <si>
    <t>P04424_ASL</t>
  </si>
  <si>
    <t>P04632_CAPNS1</t>
  </si>
  <si>
    <t>P04731_MT1A</t>
  </si>
  <si>
    <t>P04792_HSPB1</t>
  </si>
  <si>
    <t>P04843_RPN1</t>
  </si>
  <si>
    <t>P04844-2_RPN2</t>
  </si>
  <si>
    <t>P04899_GNAI2</t>
  </si>
  <si>
    <t>P04921-2_GYPC</t>
  </si>
  <si>
    <t>P05023-4_ATP1A1</t>
  </si>
  <si>
    <t>P05067-7_APP</t>
  </si>
  <si>
    <t>P05090_APOD</t>
  </si>
  <si>
    <t>P05091_ALDH2</t>
  </si>
  <si>
    <t>P05106_ITGB3</t>
  </si>
  <si>
    <t>P05114_HMGN1</t>
  </si>
  <si>
    <t>P05120_SERPINB2</t>
  </si>
  <si>
    <t>P05121_SERPINE1</t>
  </si>
  <si>
    <t>P05141_SLC25A5</t>
  </si>
  <si>
    <t>P05161_ISG15</t>
  </si>
  <si>
    <t>P05165-3_PCCA</t>
  </si>
  <si>
    <t>P05186_ALPL</t>
  </si>
  <si>
    <t>P05198_EIF2S1</t>
  </si>
  <si>
    <t>P05204_HMGN2</t>
  </si>
  <si>
    <t>P05362_ICAM1</t>
  </si>
  <si>
    <t>P05387_RPLP2</t>
  </si>
  <si>
    <t>P05388_RPLP0</t>
  </si>
  <si>
    <t>P05412_JUN</t>
  </si>
  <si>
    <t>P05413_FABP3</t>
  </si>
  <si>
    <t>P05455_SSB</t>
  </si>
  <si>
    <t>P05556_ITGB1</t>
  </si>
  <si>
    <t>P05997_COL5A2</t>
  </si>
  <si>
    <t>P06132_UROD</t>
  </si>
  <si>
    <t>P06241_FYN</t>
  </si>
  <si>
    <t>P06280_GLA</t>
  </si>
  <si>
    <t>P06396-2_GSN</t>
  </si>
  <si>
    <t>P06576_ATP5B</t>
  </si>
  <si>
    <t>P06733_ENO1</t>
  </si>
  <si>
    <t>P06737-2_PYGL</t>
  </si>
  <si>
    <t>P06744_GPI</t>
  </si>
  <si>
    <t>P06748_NPM1</t>
  </si>
  <si>
    <t>P06756-2_ITGAV</t>
  </si>
  <si>
    <t>P06756-3_ITGAV</t>
  </si>
  <si>
    <t>P07093-2_SERPINE2</t>
  </si>
  <si>
    <t>P07099_EPHX1</t>
  </si>
  <si>
    <t>P07108_DBI</t>
  </si>
  <si>
    <t>P07195_LDHB</t>
  </si>
  <si>
    <t>P07203_GPX1</t>
  </si>
  <si>
    <t>P07205_PGK2</t>
  </si>
  <si>
    <t>P07225_PROS1</t>
  </si>
  <si>
    <t>P07237_P4HB</t>
  </si>
  <si>
    <t>P07305-2_H1F0</t>
  </si>
  <si>
    <t>P07339_CTSD</t>
  </si>
  <si>
    <t>P07355_ANXA2</t>
  </si>
  <si>
    <t>P07384_CAPN1</t>
  </si>
  <si>
    <t>P07476_IVL</t>
  </si>
  <si>
    <t>P07585_DCN</t>
  </si>
  <si>
    <t>P07686_HEXB</t>
  </si>
  <si>
    <t>P07711_CTSL1</t>
  </si>
  <si>
    <t>P07737_PFN1</t>
  </si>
  <si>
    <t>P07738_BPGM</t>
  </si>
  <si>
    <t>P07741_APRT</t>
  </si>
  <si>
    <t>P07814_EPRS</t>
  </si>
  <si>
    <t>P07858_CTSB</t>
  </si>
  <si>
    <t>P07900_HSP90AA1</t>
  </si>
  <si>
    <t>P07902_GALT</t>
  </si>
  <si>
    <t>P07919_UQCRH</t>
  </si>
  <si>
    <t>P07954-2_FH</t>
  </si>
  <si>
    <t>P07996_THBS1</t>
  </si>
  <si>
    <t>P08107_HSPA1A</t>
  </si>
  <si>
    <t>P08123_COL1A2</t>
  </si>
  <si>
    <t>P08133_ANXA6</t>
  </si>
  <si>
    <t>P08237_PFKM</t>
  </si>
  <si>
    <t>P08238_HSP90AB1</t>
  </si>
  <si>
    <t>P08240_SRPR</t>
  </si>
  <si>
    <t>P08253_MMP2</t>
  </si>
  <si>
    <t>P08294_SOD3</t>
  </si>
  <si>
    <t>P08397-2_HMBS</t>
  </si>
  <si>
    <t>P08473_MME</t>
  </si>
  <si>
    <t>P08476_INHBA</t>
  </si>
  <si>
    <t>P08559-3_PDHA1</t>
  </si>
  <si>
    <t>P08572_COL4A2</t>
  </si>
  <si>
    <t>P08574_CYC1</t>
  </si>
  <si>
    <t>P08579_SNRPB2</t>
  </si>
  <si>
    <t>P08590_MYL3</t>
  </si>
  <si>
    <t>P08603_CFH</t>
  </si>
  <si>
    <t>P08621-2_SNRNP70</t>
  </si>
  <si>
    <t>P08648_ITGA5</t>
  </si>
  <si>
    <t>P08651-2_NFIC</t>
  </si>
  <si>
    <t>P08670_VIM</t>
  </si>
  <si>
    <t>P08754_GNAI3</t>
  </si>
  <si>
    <t>P08758_ANXA5</t>
  </si>
  <si>
    <t>P08842_STS</t>
  </si>
  <si>
    <t>P09012_SNRPA</t>
  </si>
  <si>
    <t>P09038-2_FGF2</t>
  </si>
  <si>
    <t>P09104_ENO2</t>
  </si>
  <si>
    <t>P09110_ACAA1</t>
  </si>
  <si>
    <t>P09132_SRP19</t>
  </si>
  <si>
    <t>P09211_GSTP1</t>
  </si>
  <si>
    <t>P09234_SNRPC</t>
  </si>
  <si>
    <t>P09382_LGALS1</t>
  </si>
  <si>
    <t>P09417_QDPR</t>
  </si>
  <si>
    <t>P09429_HMGB1</t>
  </si>
  <si>
    <t>P09486_SPARC</t>
  </si>
  <si>
    <t>P09496-2_CLTA</t>
  </si>
  <si>
    <t>P09497-2_CLTB</t>
  </si>
  <si>
    <t>P09525_ANXA4</t>
  </si>
  <si>
    <t>P09543-2_CNP</t>
  </si>
  <si>
    <t>P09601_HMOX1</t>
  </si>
  <si>
    <t>P09619_PDGFRB</t>
  </si>
  <si>
    <t>P09622_DLD</t>
  </si>
  <si>
    <t>P09661_SNRPA1</t>
  </si>
  <si>
    <t>P09668_CTSH</t>
  </si>
  <si>
    <t>P09669_COX6C</t>
  </si>
  <si>
    <t>P09874_PARP1</t>
  </si>
  <si>
    <t>P09936_UCHL1</t>
  </si>
  <si>
    <t>P09960_LTA4H</t>
  </si>
  <si>
    <t>P09972_ALDOC</t>
  </si>
  <si>
    <t>P0C7T5_ATXN1L</t>
  </si>
  <si>
    <t>P0CG12_CHTF8</t>
  </si>
  <si>
    <t>P0CG35_TMSB15B</t>
  </si>
  <si>
    <t>P0CG38_POTEI</t>
  </si>
  <si>
    <t>P0CG39_POTEJ</t>
  </si>
  <si>
    <t>P0CW22_RPS17L</t>
  </si>
  <si>
    <t>P0DJ93_SMIM13</t>
  </si>
  <si>
    <t>P10109_FDX1</t>
  </si>
  <si>
    <t>P10114_RAP2A</t>
  </si>
  <si>
    <t>P10124_SRGN</t>
  </si>
  <si>
    <t>P10155_TROVE2</t>
  </si>
  <si>
    <t>P10176_COX8A</t>
  </si>
  <si>
    <t>P10253_GAA</t>
  </si>
  <si>
    <t>P10301_RRAS</t>
  </si>
  <si>
    <t>P10398_ARAF</t>
  </si>
  <si>
    <t>P10515_DLAT</t>
  </si>
  <si>
    <t>P10586-2_PTPRF</t>
  </si>
  <si>
    <t>P10599_TXN</t>
  </si>
  <si>
    <t>P10606_COX5B</t>
  </si>
  <si>
    <t>P10619_CTSA</t>
  </si>
  <si>
    <t>P10620_MGST1</t>
  </si>
  <si>
    <t>P10636_MAPT</t>
  </si>
  <si>
    <t>P10644_PRKAR1A</t>
  </si>
  <si>
    <t>P10746_UROS</t>
  </si>
  <si>
    <t>P10768_ESD</t>
  </si>
  <si>
    <t>P10809_HSPD1</t>
  </si>
  <si>
    <t>P10909-4_CLU</t>
  </si>
  <si>
    <t>P10915_HAPLN1</t>
  </si>
  <si>
    <t>P11021_HSPA5</t>
  </si>
  <si>
    <t>P11047_LAMC1</t>
  </si>
  <si>
    <t>P11117_ACP2</t>
  </si>
  <si>
    <t>P11137-3_MAP2</t>
  </si>
  <si>
    <t>P11137-4_MAP2</t>
  </si>
  <si>
    <t>P11142_HSPA8</t>
  </si>
  <si>
    <t>P11166_SLC2A1</t>
  </si>
  <si>
    <t>P11169_SLC2A3</t>
  </si>
  <si>
    <t>P11172_UMPS</t>
  </si>
  <si>
    <t>P11177-2_PDHB</t>
  </si>
  <si>
    <t>P11182_DBT</t>
  </si>
  <si>
    <t>P11216_PYGB</t>
  </si>
  <si>
    <t>P11233_RALA</t>
  </si>
  <si>
    <t>P11234_RALB</t>
  </si>
  <si>
    <t>P11274-2_BCR</t>
  </si>
  <si>
    <t>P11279_LAMP1</t>
  </si>
  <si>
    <t>P11387_TOP1</t>
  </si>
  <si>
    <t>P11413_G6PD</t>
  </si>
  <si>
    <t>P11441_UBL4A</t>
  </si>
  <si>
    <t>P11498_PC</t>
  </si>
  <si>
    <t>P11586_MTHFD1</t>
  </si>
  <si>
    <t>P11717_IGF2R</t>
  </si>
  <si>
    <t>P11766_ADH5</t>
  </si>
  <si>
    <t>P11802_CDK4</t>
  </si>
  <si>
    <t>P11831_SRF</t>
  </si>
  <si>
    <t>P11908_PRPS2</t>
  </si>
  <si>
    <t>P11940-2_PABPC1</t>
  </si>
  <si>
    <t>P12004_PCNA</t>
  </si>
  <si>
    <t>P12081_HARS</t>
  </si>
  <si>
    <t>P12107-3_COL11A1</t>
  </si>
  <si>
    <t>P12109_COL6A1</t>
  </si>
  <si>
    <t>P12110_COL6A2</t>
  </si>
  <si>
    <t>P12110-2_COL6A2</t>
  </si>
  <si>
    <t>P12111_COL6A3</t>
  </si>
  <si>
    <t>P12235_SLC25A4</t>
  </si>
  <si>
    <t>P12236_SLC25A6</t>
  </si>
  <si>
    <t>P12268_IMPDH2</t>
  </si>
  <si>
    <t>P12270_TPR</t>
  </si>
  <si>
    <t>P12277_CKB</t>
  </si>
  <si>
    <t>P12429_ANXA3</t>
  </si>
  <si>
    <t>P12532_CKMT1A</t>
  </si>
  <si>
    <t>P12814-2_ACTN1</t>
  </si>
  <si>
    <t>P12821-2_ACE</t>
  </si>
  <si>
    <t>P12931_SRC</t>
  </si>
  <si>
    <t>P12955_PEPD</t>
  </si>
  <si>
    <t>P12956_XRCC6</t>
  </si>
  <si>
    <t>P13010_XRCC5</t>
  </si>
  <si>
    <t>P13073_COX4I1</t>
  </si>
  <si>
    <t>P13196_ALAS1</t>
  </si>
  <si>
    <t>P13489_RNH1</t>
  </si>
  <si>
    <t>P13498_CYBA</t>
  </si>
  <si>
    <t>P13611_VCAN</t>
  </si>
  <si>
    <t>P13612_ITGA4</t>
  </si>
  <si>
    <t>P13639_EEF2</t>
  </si>
  <si>
    <t>P13667_PDIA4</t>
  </si>
  <si>
    <t>P13674_P4HA1</t>
  </si>
  <si>
    <t>P13674-2_P4HA1</t>
  </si>
  <si>
    <t>P13693_TPT1</t>
  </si>
  <si>
    <t>P13726_F3</t>
  </si>
  <si>
    <t>P13746-2_HLA-A</t>
  </si>
  <si>
    <t>P13797_PLS3</t>
  </si>
  <si>
    <t>P13804_ETFA</t>
  </si>
  <si>
    <t>P13861_PRKAR2A</t>
  </si>
  <si>
    <t>P13929-2_ENO3</t>
  </si>
  <si>
    <t>P13984_GTF2F2</t>
  </si>
  <si>
    <t>P13995_MTHFD2</t>
  </si>
  <si>
    <t>P14174_MIF</t>
  </si>
  <si>
    <t>P14209-3_CD99</t>
  </si>
  <si>
    <t>P14324-2_FDPS</t>
  </si>
  <si>
    <t>P14384_CPM</t>
  </si>
  <si>
    <t>P14550_AKR1A1</t>
  </si>
  <si>
    <t>P14618_PKM</t>
  </si>
  <si>
    <t>P14621_ACYP2</t>
  </si>
  <si>
    <t>P14625_HSP90B1</t>
  </si>
  <si>
    <t>P14649_MYL6B</t>
  </si>
  <si>
    <t>P14735_IDE</t>
  </si>
  <si>
    <t>P14854_COX6B1</t>
  </si>
  <si>
    <t>P14866_HNRNPL</t>
  </si>
  <si>
    <t>P14868_DARS</t>
  </si>
  <si>
    <t>P14923_JUP</t>
  </si>
  <si>
    <t>P14927_UQCRB</t>
  </si>
  <si>
    <t>P15056_BRAF</t>
  </si>
  <si>
    <t>P15090_FABP4</t>
  </si>
  <si>
    <t>P15104_GLUL</t>
  </si>
  <si>
    <t>P15121_AKR1B1</t>
  </si>
  <si>
    <t>P15144_ANPEP</t>
  </si>
  <si>
    <t>P15151-3_PVR</t>
  </si>
  <si>
    <t>P15170-2_GSPT1</t>
  </si>
  <si>
    <t>P15289_ARSA</t>
  </si>
  <si>
    <t>P15289-2_ARSA</t>
  </si>
  <si>
    <t>P15291-2_B4GALT1</t>
  </si>
  <si>
    <t>P15311_EZR</t>
  </si>
  <si>
    <t>P15374_UCHL3</t>
  </si>
  <si>
    <t>P15407_FOSL1</t>
  </si>
  <si>
    <t>P15529-15_CD46</t>
  </si>
  <si>
    <t>P15529-7_CD46</t>
  </si>
  <si>
    <t>P15531_NME1</t>
  </si>
  <si>
    <t>P15586_GNS</t>
  </si>
  <si>
    <t>P15848_ARSB</t>
  </si>
  <si>
    <t>P15882_CHN1</t>
  </si>
  <si>
    <t>P15924_DSP</t>
  </si>
  <si>
    <t>P15927_RPA2</t>
  </si>
  <si>
    <t>P16035_TIMP2</t>
  </si>
  <si>
    <t>P16152_CBR1</t>
  </si>
  <si>
    <t>P16219_ACADS</t>
  </si>
  <si>
    <t>P16234_PDGFRA</t>
  </si>
  <si>
    <t>P16260_SLC25A16</t>
  </si>
  <si>
    <t>P16278-3_GLB1</t>
  </si>
  <si>
    <t>P16298_PPP3CB</t>
  </si>
  <si>
    <t>P16333_NCK1</t>
  </si>
  <si>
    <t>P16383_GCFC2</t>
  </si>
  <si>
    <t>P16401_HIST1H1B</t>
  </si>
  <si>
    <t>P16403_HIST1H1C</t>
  </si>
  <si>
    <t>P16435_POR</t>
  </si>
  <si>
    <t>P16455_MGMT</t>
  </si>
  <si>
    <t>P16591-3_FER</t>
  </si>
  <si>
    <t>P16615_ATP2A2</t>
  </si>
  <si>
    <t>P16930_FAH</t>
  </si>
  <si>
    <t>P16949_STMN1</t>
  </si>
  <si>
    <t>P16989-2_YBX3</t>
  </si>
  <si>
    <t>P17050_NAGA</t>
  </si>
  <si>
    <t>P17066_HSPA6</t>
  </si>
  <si>
    <t>P17081_RHOQ</t>
  </si>
  <si>
    <t>P17096-2_HMGA1</t>
  </si>
  <si>
    <t>P17152_TMEM11</t>
  </si>
  <si>
    <t>P17174_GOT1</t>
  </si>
  <si>
    <t>P17252_PRKCA</t>
  </si>
  <si>
    <t>P17275_JUNB</t>
  </si>
  <si>
    <t>P17301_ITGA2</t>
  </si>
  <si>
    <t>P17302_GJA1</t>
  </si>
  <si>
    <t>P17342-2_NPR3</t>
  </si>
  <si>
    <t>P17405-4_SMPD1</t>
  </si>
  <si>
    <t>P17535_JUND</t>
  </si>
  <si>
    <t>P17568_NDUFB7</t>
  </si>
  <si>
    <t>P17612_PRKACA</t>
  </si>
  <si>
    <t>P17655_CAPN2</t>
  </si>
  <si>
    <t>P17661_DES</t>
  </si>
  <si>
    <t>P17812_CTPS1</t>
  </si>
  <si>
    <t>P17813-2_ENG</t>
  </si>
  <si>
    <t>P17858_PFKL</t>
  </si>
  <si>
    <t>P17900_GM2A</t>
  </si>
  <si>
    <t>P17931_LGALS3</t>
  </si>
  <si>
    <t>P17936_IGFBP3</t>
  </si>
  <si>
    <t>P17987_TCP1</t>
  </si>
  <si>
    <t>P18031_PTPN1</t>
  </si>
  <si>
    <t>P18065_IGFBP2</t>
  </si>
  <si>
    <t>P18084_ITGB5</t>
  </si>
  <si>
    <t>P18085_ARF4</t>
  </si>
  <si>
    <t>P18124_RPL7</t>
  </si>
  <si>
    <t>P18146_EGR1</t>
  </si>
  <si>
    <t>P18615_NELFE</t>
  </si>
  <si>
    <t>P18669_PGAM1</t>
  </si>
  <si>
    <t>P18754_RCC1</t>
  </si>
  <si>
    <t>P18827_SDC1</t>
  </si>
  <si>
    <t>P18846_ATF1</t>
  </si>
  <si>
    <t>P18859_ATP5J</t>
  </si>
  <si>
    <t>P19021_PAM</t>
  </si>
  <si>
    <t>P19338_NCL</t>
  </si>
  <si>
    <t>P19367_HK1</t>
  </si>
  <si>
    <t>P19525-2_EIF2AK2</t>
  </si>
  <si>
    <t>P19532_TFE3</t>
  </si>
  <si>
    <t>P19623_SRM</t>
  </si>
  <si>
    <t>P19784_CSNK2A2</t>
  </si>
  <si>
    <t>P19838_NFKB1</t>
  </si>
  <si>
    <t>P19883-2_FST</t>
  </si>
  <si>
    <t>P19971_TYMP</t>
  </si>
  <si>
    <t>P20020-6_ATP2B1</t>
  </si>
  <si>
    <t>P20042_EIF2S2</t>
  </si>
  <si>
    <t>P20290_BTF3</t>
  </si>
  <si>
    <t>P20290-2_BTF3</t>
  </si>
  <si>
    <t>P20336_RAB3A</t>
  </si>
  <si>
    <t>P20337_RAB3B</t>
  </si>
  <si>
    <t>P20338_RAB4A</t>
  </si>
  <si>
    <t>P20618_PSMB1</t>
  </si>
  <si>
    <t>P20645_M6PR</t>
  </si>
  <si>
    <t>P20674_COX5A</t>
  </si>
  <si>
    <t>P20700_LMNB1</t>
  </si>
  <si>
    <t>P20908_COL5A1</t>
  </si>
  <si>
    <t>P20933_AGA</t>
  </si>
  <si>
    <t>P20962_PTMS</t>
  </si>
  <si>
    <t>P21266_GSTM3</t>
  </si>
  <si>
    <t>P21281_ATP6V1B2</t>
  </si>
  <si>
    <t>P21283_ATP6V1C1</t>
  </si>
  <si>
    <t>P21291_CSRP1</t>
  </si>
  <si>
    <t>P21333-2_FLNA</t>
  </si>
  <si>
    <t>P21359-2_NF1</t>
  </si>
  <si>
    <t>P21397_MAOA</t>
  </si>
  <si>
    <t>P21399_ACO1</t>
  </si>
  <si>
    <t>P21583-2_KITLG</t>
  </si>
  <si>
    <t>P21589_NT5E</t>
  </si>
  <si>
    <t>P21796_VDAC1</t>
  </si>
  <si>
    <t>P21912_SDHB</t>
  </si>
  <si>
    <t>P21964-2_COMT</t>
  </si>
  <si>
    <t>P21980_TGM2</t>
  </si>
  <si>
    <t>P22033_MUT</t>
  </si>
  <si>
    <t>P22059_OSBP</t>
  </si>
  <si>
    <t>P22102_GART</t>
  </si>
  <si>
    <t>P22304_IDS</t>
  </si>
  <si>
    <t>P22307_SCP2</t>
  </si>
  <si>
    <t>P22307-2_SCP2</t>
  </si>
  <si>
    <t>P22314_UBA1</t>
  </si>
  <si>
    <t>P22413_ENPP1</t>
  </si>
  <si>
    <t>P22466_GAL</t>
  </si>
  <si>
    <t>P22570_FDXR</t>
  </si>
  <si>
    <t>P22626_HNRNPA2B1</t>
  </si>
  <si>
    <t>P22676_CALB2</t>
  </si>
  <si>
    <t>P22681_CBL</t>
  </si>
  <si>
    <t>P22692_IGFBP4</t>
  </si>
  <si>
    <t>P22694_PRKACB</t>
  </si>
  <si>
    <t>P22830_FECH</t>
  </si>
  <si>
    <t>P23141-3_CES1</t>
  </si>
  <si>
    <t>P23142_FBLN1</t>
  </si>
  <si>
    <t>P23142-4_FBLN1</t>
  </si>
  <si>
    <t>P23193_TCEA1</t>
  </si>
  <si>
    <t>P23219-3_PTGS1</t>
  </si>
  <si>
    <t>P23246_SFPQ</t>
  </si>
  <si>
    <t>P23258_TUBG1</t>
  </si>
  <si>
    <t>P23284_PPIB</t>
  </si>
  <si>
    <t>P23368_ME2</t>
  </si>
  <si>
    <t>P23381_WARS</t>
  </si>
  <si>
    <t>P23396_RPS3</t>
  </si>
  <si>
    <t>P23434_GCSH</t>
  </si>
  <si>
    <t>P23470-2_PTPRG</t>
  </si>
  <si>
    <t>P23497_SP100</t>
  </si>
  <si>
    <t>P23508-2_MCC</t>
  </si>
  <si>
    <t>P23526_AHCY</t>
  </si>
  <si>
    <t>P23528_CFL1</t>
  </si>
  <si>
    <t>P23634-8_ATP2B4</t>
  </si>
  <si>
    <t>P23743_DGKA</t>
  </si>
  <si>
    <t>P23786_CPT2</t>
  </si>
  <si>
    <t>P23919_DTYMK</t>
  </si>
  <si>
    <t>P23921_RRM1</t>
  </si>
  <si>
    <t>P24043_LAMA2</t>
  </si>
  <si>
    <t>P24310_COX7A1</t>
  </si>
  <si>
    <t>P24385_CCND1</t>
  </si>
  <si>
    <t>P24534_EEF1B2</t>
  </si>
  <si>
    <t>P24592_IGFBP6</t>
  </si>
  <si>
    <t>P24593_IGFBP5</t>
  </si>
  <si>
    <t>P24666_ACP1</t>
  </si>
  <si>
    <t>P24666-2_ACP1</t>
  </si>
  <si>
    <t>P24752_ACAT1</t>
  </si>
  <si>
    <t>P24821-4_TNC</t>
  </si>
  <si>
    <t>P24844_MYL9</t>
  </si>
  <si>
    <t>P24928_POLR2A</t>
  </si>
  <si>
    <t>P25054-2_APC</t>
  </si>
  <si>
    <t>P25098_ADRBK1</t>
  </si>
  <si>
    <t>P25116_F2R</t>
  </si>
  <si>
    <t>P25398_RPS12</t>
  </si>
  <si>
    <t>P25445-6_FAS</t>
  </si>
  <si>
    <t>P25685_DNAJB1</t>
  </si>
  <si>
    <t>P25686_DNAJB2</t>
  </si>
  <si>
    <t>P25705_ATP5A1</t>
  </si>
  <si>
    <t>P25774-2_CTSS</t>
  </si>
  <si>
    <t>P25786_PSMA1</t>
  </si>
  <si>
    <t>P25787_PSMA2</t>
  </si>
  <si>
    <t>P25788-2_PSMA3</t>
  </si>
  <si>
    <t>P25789_PSMA4</t>
  </si>
  <si>
    <t>P26006_ITGA3</t>
  </si>
  <si>
    <t>P26022_PTX3</t>
  </si>
  <si>
    <t>P26038_MSN</t>
  </si>
  <si>
    <t>P26196_DDX6</t>
  </si>
  <si>
    <t>P26373_RPL13</t>
  </si>
  <si>
    <t>P26374_CHML</t>
  </si>
  <si>
    <t>P26440_IVD</t>
  </si>
  <si>
    <t>P26447_S100A4</t>
  </si>
  <si>
    <t>P26572_MGAT1</t>
  </si>
  <si>
    <t>P26583_HMGB2</t>
  </si>
  <si>
    <t>P26599_PTBP1</t>
  </si>
  <si>
    <t>P26639_TARS</t>
  </si>
  <si>
    <t>P26641_EEF1G</t>
  </si>
  <si>
    <t>P26885_FKBP2</t>
  </si>
  <si>
    <t>P27144_AK4</t>
  </si>
  <si>
    <t>P27338_MAOB</t>
  </si>
  <si>
    <t>P27348_YWHAQ</t>
  </si>
  <si>
    <t>P27361_MAPK3</t>
  </si>
  <si>
    <t>P27487_DPP4</t>
  </si>
  <si>
    <t>P27540-2_ARNT</t>
  </si>
  <si>
    <t>P27635_RPL10</t>
  </si>
  <si>
    <t>P27658_COL8A1</t>
  </si>
  <si>
    <t>P27694_RPA1</t>
  </si>
  <si>
    <t>P27695_APEX1</t>
  </si>
  <si>
    <t>P27797_CALR</t>
  </si>
  <si>
    <t>P27816-5_MAP4</t>
  </si>
  <si>
    <t>P27824_CANX</t>
  </si>
  <si>
    <t>P27986-3_PIK3R1</t>
  </si>
  <si>
    <t>P28062-2_PSMB8</t>
  </si>
  <si>
    <t>P28066_PSMA5</t>
  </si>
  <si>
    <t>P28070_PSMB4</t>
  </si>
  <si>
    <t>P28072_PSMB6</t>
  </si>
  <si>
    <t>P28074_PSMB5</t>
  </si>
  <si>
    <t>P28161_GSTM2</t>
  </si>
  <si>
    <t>P28300_LOX</t>
  </si>
  <si>
    <t>P28331_NDUFS1</t>
  </si>
  <si>
    <t>P28482_MAPK1</t>
  </si>
  <si>
    <t>P28715_ERCC5</t>
  </si>
  <si>
    <t>P28799_GRN</t>
  </si>
  <si>
    <t>P28838-2_LAP3</t>
  </si>
  <si>
    <t>P28845_HSD11B1</t>
  </si>
  <si>
    <t>P29034_S100A2</t>
  </si>
  <si>
    <t>P29083_GTF2E1</t>
  </si>
  <si>
    <t>P29218_IMPA1</t>
  </si>
  <si>
    <t>P29279_CTGF</t>
  </si>
  <si>
    <t>P29317_EPHA2</t>
  </si>
  <si>
    <t>P29323-2_EPHB2</t>
  </si>
  <si>
    <t>P29353-6_SHC1</t>
  </si>
  <si>
    <t>P29373_CRABP2</t>
  </si>
  <si>
    <t>P29401_TKT</t>
  </si>
  <si>
    <t>P29536-2_LMOD1</t>
  </si>
  <si>
    <t>P29590_PML</t>
  </si>
  <si>
    <t>P29966_MARCKS</t>
  </si>
  <si>
    <t>P29992_GNA11</t>
  </si>
  <si>
    <t>P30038_ALDH4A1</t>
  </si>
  <si>
    <t>P30039_PBLD</t>
  </si>
  <si>
    <t>P30040_ERP29</t>
  </si>
  <si>
    <t>P30041_PRDX6</t>
  </si>
  <si>
    <t>P30042_C21orf33</t>
  </si>
  <si>
    <t>P30043_BLVRB</t>
  </si>
  <si>
    <t>P30044-2_PRDX5</t>
  </si>
  <si>
    <t>P30046_DDT</t>
  </si>
  <si>
    <t>P30049_ATP5D</t>
  </si>
  <si>
    <t>P30050_RPL12</t>
  </si>
  <si>
    <t>P30084_ECHS1</t>
  </si>
  <si>
    <t>P30085_CMPK1</t>
  </si>
  <si>
    <t>P30086_PEBP1</t>
  </si>
  <si>
    <t>P30153_PPP2R1A</t>
  </si>
  <si>
    <t>P30154-4_PPP2R1B</t>
  </si>
  <si>
    <t>P30405_PPIF</t>
  </si>
  <si>
    <t>P30411-2_BDKRB2</t>
  </si>
  <si>
    <t>P30419_NMT1</t>
  </si>
  <si>
    <t>P30504_HLA-C</t>
  </si>
  <si>
    <t>P30519_HMOX2</t>
  </si>
  <si>
    <t>P30520_ADSS</t>
  </si>
  <si>
    <t>P30530-2_AXL</t>
  </si>
  <si>
    <t>P30533_LRPAP1</t>
  </si>
  <si>
    <t>P30566_ADSL</t>
  </si>
  <si>
    <t>P30613-2_PKLR</t>
  </si>
  <si>
    <t>P30622-2_CLIP1</t>
  </si>
  <si>
    <t>P30711_GSTT1</t>
  </si>
  <si>
    <t>P30740_SERPINB1</t>
  </si>
  <si>
    <t>P30825_SLC7A1</t>
  </si>
  <si>
    <t>P30837_ALDH1B1</t>
  </si>
  <si>
    <t>P31150_GDI1</t>
  </si>
  <si>
    <t>P31153_MAT2A</t>
  </si>
  <si>
    <t>P31321_PRKAR1B</t>
  </si>
  <si>
    <t>P31327_CPS1</t>
  </si>
  <si>
    <t>P31689_DNAJA1</t>
  </si>
  <si>
    <t>P31749_AKT1</t>
  </si>
  <si>
    <t>P31751_AKT2</t>
  </si>
  <si>
    <t>P31930_UQCRC1</t>
  </si>
  <si>
    <t>P31937_HIBADH</t>
  </si>
  <si>
    <t>P31939_ATIC</t>
  </si>
  <si>
    <t>P31942-2_HNRNPH3</t>
  </si>
  <si>
    <t>P31946_YWHAB</t>
  </si>
  <si>
    <t>P31946-2_YWHAB</t>
  </si>
  <si>
    <t>P31947-2_SFN</t>
  </si>
  <si>
    <t>P31948_STIP1</t>
  </si>
  <si>
    <t>P31949_S100A11</t>
  </si>
  <si>
    <t>P32119_PRDX2</t>
  </si>
  <si>
    <t>P32189-1_GK</t>
  </si>
  <si>
    <t>P32320_CDA</t>
  </si>
  <si>
    <t>P32321-2_DCTD</t>
  </si>
  <si>
    <t>P32322_PYCR1</t>
  </si>
  <si>
    <t>P32418-2_SLC8A1</t>
  </si>
  <si>
    <t>P32455_GBP1</t>
  </si>
  <si>
    <t>P32456_GBP2</t>
  </si>
  <si>
    <t>P32856-3_STX2</t>
  </si>
  <si>
    <t>P32929_CTH</t>
  </si>
  <si>
    <t>P32969_RPL9</t>
  </si>
  <si>
    <t>P33121_ACSL1</t>
  </si>
  <si>
    <t>P33176_KIF5B</t>
  </si>
  <si>
    <t>P33240-2_CSTF2</t>
  </si>
  <si>
    <t>P33241-2_LSP1</t>
  </si>
  <si>
    <t>P33316_DUT</t>
  </si>
  <si>
    <t>P33527_ABCC1</t>
  </si>
  <si>
    <t>P33764_S100A3</t>
  </si>
  <si>
    <t>P33897_ABCD1</t>
  </si>
  <si>
    <t>P33908_MAN1A1</t>
  </si>
  <si>
    <t>P34059_GALNS</t>
  </si>
  <si>
    <t>P34896-2_SHMT1</t>
  </si>
  <si>
    <t>P34897-3_SHMT2</t>
  </si>
  <si>
    <t>P34910_EVI2B</t>
  </si>
  <si>
    <t>P34932_HSPA4</t>
  </si>
  <si>
    <t>P34949_MPI</t>
  </si>
  <si>
    <t>P35052_GPC1</t>
  </si>
  <si>
    <t>P35221_CTNNA1</t>
  </si>
  <si>
    <t>P35232_PHB</t>
  </si>
  <si>
    <t>P35237_SERPINB6</t>
  </si>
  <si>
    <t>P35240-5_NF2</t>
  </si>
  <si>
    <t>P35241_RDX</t>
  </si>
  <si>
    <t>P35244_RPA3</t>
  </si>
  <si>
    <t>P35250_RFC2</t>
  </si>
  <si>
    <t>P35268_RPL22</t>
  </si>
  <si>
    <t>P35269_GTF2F1</t>
  </si>
  <si>
    <t>P35270_SPR</t>
  </si>
  <si>
    <t>P35354_PTGS2</t>
  </si>
  <si>
    <t>P35398-2_RORA</t>
  </si>
  <si>
    <t>P35442_THBS2</t>
  </si>
  <si>
    <t>P35520_CBS</t>
  </si>
  <si>
    <t>P35555_FBN1</t>
  </si>
  <si>
    <t>P35556_FBN2</t>
  </si>
  <si>
    <t>P35568_IRS1</t>
  </si>
  <si>
    <t>P35579_MYH9</t>
  </si>
  <si>
    <t>P35580_MYH10</t>
  </si>
  <si>
    <t>P35606_COPB2</t>
  </si>
  <si>
    <t>P35611_ADD1</t>
  </si>
  <si>
    <t>P35613-2_BSG</t>
  </si>
  <si>
    <t>P35625_TIMP3</t>
  </si>
  <si>
    <t>P35658-2_NUP214</t>
  </si>
  <si>
    <t>P35754_GLRX</t>
  </si>
  <si>
    <t>P35790-2_CHKA</t>
  </si>
  <si>
    <t>P35813_PPM1A</t>
  </si>
  <si>
    <t>P35998_PSMC2</t>
  </si>
  <si>
    <t>P36021_SLC16A2</t>
  </si>
  <si>
    <t>P36404_ARL2</t>
  </si>
  <si>
    <t>P36405_ARL3</t>
  </si>
  <si>
    <t>P36507_MAP2K2</t>
  </si>
  <si>
    <t>P36543_ATP6V1E1</t>
  </si>
  <si>
    <t>P36551_CPOX</t>
  </si>
  <si>
    <t>P36578_RPL4</t>
  </si>
  <si>
    <t>P36639-4_NUDT1</t>
  </si>
  <si>
    <t>P36871_PGM1</t>
  </si>
  <si>
    <t>P36873_PPP1CC</t>
  </si>
  <si>
    <t>P36915_GNL1</t>
  </si>
  <si>
    <t>P36955_SERPINF1</t>
  </si>
  <si>
    <t>P36957_DLST</t>
  </si>
  <si>
    <t>P36959_GMPR</t>
  </si>
  <si>
    <t>P36969-2_GPX4</t>
  </si>
  <si>
    <t>P37108_SRP14</t>
  </si>
  <si>
    <t>P37173_TGFBR2</t>
  </si>
  <si>
    <t>P37198_NUP62</t>
  </si>
  <si>
    <t>P37235_HPCAL1</t>
  </si>
  <si>
    <t>P37268_FDFT1</t>
  </si>
  <si>
    <t>P37802_TAGLN2</t>
  </si>
  <si>
    <t>P37837_TALDO1</t>
  </si>
  <si>
    <t>P38117_ETFB</t>
  </si>
  <si>
    <t>P38159_RBMX</t>
  </si>
  <si>
    <t>P38435_GGCX</t>
  </si>
  <si>
    <t>P38606_ATP6V1A</t>
  </si>
  <si>
    <t>P38646_HSPA9</t>
  </si>
  <si>
    <t>P38919_EIF4A3</t>
  </si>
  <si>
    <t>P39019_RPS19</t>
  </si>
  <si>
    <t>P39023_RPL3</t>
  </si>
  <si>
    <t>P39059_COL15A1</t>
  </si>
  <si>
    <t>P39060-2_COL18A1</t>
  </si>
  <si>
    <t>P39656_DDOST</t>
  </si>
  <si>
    <t>P39687_ANP32A</t>
  </si>
  <si>
    <t>P39748_FEN1</t>
  </si>
  <si>
    <t>P40121_CAPG</t>
  </si>
  <si>
    <t>P40189_IL6ST</t>
  </si>
  <si>
    <t>P40222_TXLNA</t>
  </si>
  <si>
    <t>P40227_CCT6A</t>
  </si>
  <si>
    <t>P40261_NNMT</t>
  </si>
  <si>
    <t>P40306_PSMB10</t>
  </si>
  <si>
    <t>P40763_STAT3</t>
  </si>
  <si>
    <t>P40818_USP8</t>
  </si>
  <si>
    <t>P40925_MDH1</t>
  </si>
  <si>
    <t>P40926_MDH2</t>
  </si>
  <si>
    <t>P40939_HADHA</t>
  </si>
  <si>
    <t>P41091_EIF2S3</t>
  </si>
  <si>
    <t>P41134-2_ID1</t>
  </si>
  <si>
    <t>P41208_CETN2</t>
  </si>
  <si>
    <t>P41214_EIF2D</t>
  </si>
  <si>
    <t>P41221-2_WNT5A</t>
  </si>
  <si>
    <t>P41223_BUD31</t>
  </si>
  <si>
    <t>P41226_UBA7</t>
  </si>
  <si>
    <t>P41227-2_NAA10</t>
  </si>
  <si>
    <t>P41240_CSK</t>
  </si>
  <si>
    <t>P41250_GARS</t>
  </si>
  <si>
    <t>P41252_IARS</t>
  </si>
  <si>
    <t>P41567_EIF1</t>
  </si>
  <si>
    <t>P41743_PRKCI</t>
  </si>
  <si>
    <t>P42025_ACTR1B</t>
  </si>
  <si>
    <t>P42126-2_ECI1</t>
  </si>
  <si>
    <t>P42167-2_TMPO</t>
  </si>
  <si>
    <t>P42224_STAT1</t>
  </si>
  <si>
    <t>P42226_STAT6</t>
  </si>
  <si>
    <t>P42285_SKIV2L2</t>
  </si>
  <si>
    <t>P42330_AKR1C3</t>
  </si>
  <si>
    <t>P42331-6_ARHGAP25</t>
  </si>
  <si>
    <t>P42336_PIK3CA</t>
  </si>
  <si>
    <t>P42345_MTOR</t>
  </si>
  <si>
    <t>P42566_EPS15</t>
  </si>
  <si>
    <t>P42574_CASP3</t>
  </si>
  <si>
    <t>P42575_CASP2</t>
  </si>
  <si>
    <t>P42684-7_ABL2</t>
  </si>
  <si>
    <t>P42704_LRPPRC</t>
  </si>
  <si>
    <t>P42765_ACAA2</t>
  </si>
  <si>
    <t>P42766_RPL35</t>
  </si>
  <si>
    <t>P42771_CDKN2A</t>
  </si>
  <si>
    <t>P42773_CDKN2C</t>
  </si>
  <si>
    <t>P42785_PRCP</t>
  </si>
  <si>
    <t>P42892-3_ECE1</t>
  </si>
  <si>
    <t>P43003-2_SLC1A3</t>
  </si>
  <si>
    <t>P43005_SLC1A1</t>
  </si>
  <si>
    <t>P43007_SLC1A4</t>
  </si>
  <si>
    <t>P43034_PAFAH1B1</t>
  </si>
  <si>
    <t>P43121_MCAM</t>
  </si>
  <si>
    <t>P43155-2_CRAT</t>
  </si>
  <si>
    <t>P43234_CTSO</t>
  </si>
  <si>
    <t>P43235_CTSK</t>
  </si>
  <si>
    <t>P43304_GPD2</t>
  </si>
  <si>
    <t>P43304-2_GPD2</t>
  </si>
  <si>
    <t>P43307_SSR1</t>
  </si>
  <si>
    <t>P43378_PTPN9</t>
  </si>
  <si>
    <t>P43487_RANBP1</t>
  </si>
  <si>
    <t>P43490_NAMPT</t>
  </si>
  <si>
    <t>P43686_PSMC4</t>
  </si>
  <si>
    <t>P43897_TSFM</t>
  </si>
  <si>
    <t>P45877_PPIC</t>
  </si>
  <si>
    <t>P45880_VDAC2</t>
  </si>
  <si>
    <t>P45954_ACADSB</t>
  </si>
  <si>
    <t>P45973_CBX5</t>
  </si>
  <si>
    <t>P45974-2_USP5</t>
  </si>
  <si>
    <t>P45983-3_MAPK8</t>
  </si>
  <si>
    <t>P45984-2_MAPK9</t>
  </si>
  <si>
    <t>P45985_MAP2K4</t>
  </si>
  <si>
    <t>P46060_RANGAP1</t>
  </si>
  <si>
    <t>P46063_RECQL</t>
  </si>
  <si>
    <t>P46087-2_NOP2</t>
  </si>
  <si>
    <t>P46108_CRK</t>
  </si>
  <si>
    <t>P46109_CRKL</t>
  </si>
  <si>
    <t>P46199_MTIF2</t>
  </si>
  <si>
    <t>P46439_GSTM5</t>
  </si>
  <si>
    <t>P46527_CDKN1B</t>
  </si>
  <si>
    <t>P46734_MAP2K3</t>
  </si>
  <si>
    <t>P46734-2_MAP2K3</t>
  </si>
  <si>
    <t>P46736-2_BRCC3</t>
  </si>
  <si>
    <t>P46777_RPL5</t>
  </si>
  <si>
    <t>P46778_RPL21</t>
  </si>
  <si>
    <t>P46781_RPS9</t>
  </si>
  <si>
    <t>P46783_RPS10</t>
  </si>
  <si>
    <t>P46821_MAP1B</t>
  </si>
  <si>
    <t>P46926_GNPDA1</t>
  </si>
  <si>
    <t>P46934-4_NEDD4</t>
  </si>
  <si>
    <t>P46939_UTRN</t>
  </si>
  <si>
    <t>P46940_IQGAP1</t>
  </si>
  <si>
    <t>P46976-2_GYG1</t>
  </si>
  <si>
    <t>P46977_STT3A</t>
  </si>
  <si>
    <t>P47224_RABIF</t>
  </si>
  <si>
    <t>P47712_PLA2G4A</t>
  </si>
  <si>
    <t>P47755_CAPZA2</t>
  </si>
  <si>
    <t>P47756_CAPZB</t>
  </si>
  <si>
    <t>P47756-2_CAPZB</t>
  </si>
  <si>
    <t>P47813_EIF1AX</t>
  </si>
  <si>
    <t>P47895_ALDH1A3</t>
  </si>
  <si>
    <t>P47914_RPL29</t>
  </si>
  <si>
    <t>P47974_ZFP36L2</t>
  </si>
  <si>
    <t>P47985_UQCRFS1</t>
  </si>
  <si>
    <t>P48029_SLC6A8</t>
  </si>
  <si>
    <t>P48047_ATP5O</t>
  </si>
  <si>
    <t>P48059-3_LIMS1</t>
  </si>
  <si>
    <t>P48060_GLIPR1</t>
  </si>
  <si>
    <t>P48147_PREP</t>
  </si>
  <si>
    <t>P48163_ME1</t>
  </si>
  <si>
    <t>P48444_ARCN1</t>
  </si>
  <si>
    <t>P48449_LSS</t>
  </si>
  <si>
    <t>P48506_GCLC</t>
  </si>
  <si>
    <t>P48507_GCLM</t>
  </si>
  <si>
    <t>P48634_PRRC2A</t>
  </si>
  <si>
    <t>P48637_GSS</t>
  </si>
  <si>
    <t>P48643_CCT5</t>
  </si>
  <si>
    <t>P48681_NES</t>
  </si>
  <si>
    <t>P48723_HSPA13</t>
  </si>
  <si>
    <t>P48735_IDH2</t>
  </si>
  <si>
    <t>P48739_PITPNB</t>
  </si>
  <si>
    <t>P48740-4_MASP1</t>
  </si>
  <si>
    <t>P48960-2_CD97</t>
  </si>
  <si>
    <t>P49006_MARCKSL1</t>
  </si>
  <si>
    <t>P49069_CAMLG</t>
  </si>
  <si>
    <t>P49137_MAPKAPK2</t>
  </si>
  <si>
    <t>P49189_ALDH9A1</t>
  </si>
  <si>
    <t>P49207_RPL34</t>
  </si>
  <si>
    <t>P49247_RPIA</t>
  </si>
  <si>
    <t>P49257_LMAN1</t>
  </si>
  <si>
    <t>P49321_NASP</t>
  </si>
  <si>
    <t>P49327_FASN</t>
  </si>
  <si>
    <t>P49354_FNTA</t>
  </si>
  <si>
    <t>P49356_FNTB</t>
  </si>
  <si>
    <t>P49366_DHPS</t>
  </si>
  <si>
    <t>P49368_CCT3</t>
  </si>
  <si>
    <t>P49407-2_ARRB1</t>
  </si>
  <si>
    <t>P49411_TUFM</t>
  </si>
  <si>
    <t>P49419-2_ALDH7A1</t>
  </si>
  <si>
    <t>P49427_CDC34</t>
  </si>
  <si>
    <t>P49441_INPP1</t>
  </si>
  <si>
    <t>P49458_SRP9</t>
  </si>
  <si>
    <t>P49459_UBE2A</t>
  </si>
  <si>
    <t>P49585_PCYT1A</t>
  </si>
  <si>
    <t>P49588_AARS</t>
  </si>
  <si>
    <t>P49589-3_CARS</t>
  </si>
  <si>
    <t>P49591_SARS</t>
  </si>
  <si>
    <t>P49662_CASP4</t>
  </si>
  <si>
    <t>P49721_PSMB2</t>
  </si>
  <si>
    <t>P49748-2_ACADVL</t>
  </si>
  <si>
    <t>P49750-4_YLPM1</t>
  </si>
  <si>
    <t>P49753_ACOT2</t>
  </si>
  <si>
    <t>P49755_TMED10</t>
  </si>
  <si>
    <t>P49756_RBM25</t>
  </si>
  <si>
    <t>P49757-4_NUMB</t>
  </si>
  <si>
    <t>P49770_EIF2B2</t>
  </si>
  <si>
    <t>P49773_HINT1</t>
  </si>
  <si>
    <t>P49790_NUP153</t>
  </si>
  <si>
    <t>P49792_RANBP2</t>
  </si>
  <si>
    <t>P49796-1_RGS3</t>
  </si>
  <si>
    <t>P49840_GSK3A</t>
  </si>
  <si>
    <t>P49841_GSK3B</t>
  </si>
  <si>
    <t>P49902_NT5C2</t>
  </si>
  <si>
    <t>P49903_SEPHS1</t>
  </si>
  <si>
    <t>P49914_MTHFS</t>
  </si>
  <si>
    <t>P49915_GMPS</t>
  </si>
  <si>
    <t>P49959_MRE11A</t>
  </si>
  <si>
    <t>P50135_HNMT</t>
  </si>
  <si>
    <t>P50148_GNAQ</t>
  </si>
  <si>
    <t>P50151_GNG10</t>
  </si>
  <si>
    <t>P50213_IDH3A</t>
  </si>
  <si>
    <t>P50224_SULT1A3</t>
  </si>
  <si>
    <t>P50225_SULT1A1</t>
  </si>
  <si>
    <t>P50238_CRIP1</t>
  </si>
  <si>
    <t>P50281_MMP14</t>
  </si>
  <si>
    <t>P50336_PPOX</t>
  </si>
  <si>
    <t>P50402_EMD</t>
  </si>
  <si>
    <t>P50416_CPT1A</t>
  </si>
  <si>
    <t>P50452_SERPINB8</t>
  </si>
  <si>
    <t>P50453_SERPINB9</t>
  </si>
  <si>
    <t>P50454_SERPINH1</t>
  </si>
  <si>
    <t>P50479_PDLIM4</t>
  </si>
  <si>
    <t>P50502_ST13</t>
  </si>
  <si>
    <t>P50552_VASP</t>
  </si>
  <si>
    <t>P50579_METAP2</t>
  </si>
  <si>
    <t>P50583_NUDT2</t>
  </si>
  <si>
    <t>P50613_CDK7</t>
  </si>
  <si>
    <t>P50747_HLCS</t>
  </si>
  <si>
    <t>P50748_KNTC1</t>
  </si>
  <si>
    <t>P50749_RASSF2</t>
  </si>
  <si>
    <t>P50895_BCAM</t>
  </si>
  <si>
    <t>P50897_PPT1</t>
  </si>
  <si>
    <t>P50914_RPL14</t>
  </si>
  <si>
    <t>P50990_CCT8</t>
  </si>
  <si>
    <t>P50991_CCT4</t>
  </si>
  <si>
    <t>P51116_FXR2</t>
  </si>
  <si>
    <t>P51148_RAB5C</t>
  </si>
  <si>
    <t>P51149_RAB7A</t>
  </si>
  <si>
    <t>P51151_RAB9A</t>
  </si>
  <si>
    <t>P51153_RAB13</t>
  </si>
  <si>
    <t>P51157_RAB28</t>
  </si>
  <si>
    <t>P51159-2_RAB27A</t>
  </si>
  <si>
    <t>P51178_PLCD1</t>
  </si>
  <si>
    <t>P51397_DAP</t>
  </si>
  <si>
    <t>P51452_DUSP3</t>
  </si>
  <si>
    <t>P51513-4_NOVA1</t>
  </si>
  <si>
    <t>P51531-2_SMARCA2</t>
  </si>
  <si>
    <t>P51553_IDH3G</t>
  </si>
  <si>
    <t>P51570_GALK1</t>
  </si>
  <si>
    <t>P51571_SSR4</t>
  </si>
  <si>
    <t>P51572_BCAP31</t>
  </si>
  <si>
    <t>P51580_TPMT</t>
  </si>
  <si>
    <t>P51608_MECP2</t>
  </si>
  <si>
    <t>P51610-2_HCFC1</t>
  </si>
  <si>
    <t>P51659_HSD17B4</t>
  </si>
  <si>
    <t>P51665_PSMD7</t>
  </si>
  <si>
    <t>P51668_UBE2D1</t>
  </si>
  <si>
    <t>P51687_SUOX</t>
  </si>
  <si>
    <t>P51688_SGSH</t>
  </si>
  <si>
    <t>P51692_STAT5B</t>
  </si>
  <si>
    <t>P51790-4_CLCN3</t>
  </si>
  <si>
    <t>P51795_CLCN5</t>
  </si>
  <si>
    <t>P51805_PLXNA3</t>
  </si>
  <si>
    <t>P51809_VAMP7</t>
  </si>
  <si>
    <t>P51812_RPS6KA3</t>
  </si>
  <si>
    <t>P51857-2_AKR1D1</t>
  </si>
  <si>
    <t>P51858_HDGF</t>
  </si>
  <si>
    <t>P51884_LUM</t>
  </si>
  <si>
    <t>P51911_CNN1</t>
  </si>
  <si>
    <t>P51948-2_MNAT1</t>
  </si>
  <si>
    <t>P51970_NDUFA8</t>
  </si>
  <si>
    <t>P51991_HNRNPA3</t>
  </si>
  <si>
    <t>P52272-2_HNRNPM</t>
  </si>
  <si>
    <t>P52292_KPNA2</t>
  </si>
  <si>
    <t>P52294_KPNA1</t>
  </si>
  <si>
    <t>P52306_RAP1GDS1</t>
  </si>
  <si>
    <t>P52306-4_RAP1GDS1</t>
  </si>
  <si>
    <t>P52565_ARHGDIA</t>
  </si>
  <si>
    <t>P52597_HNRNPF</t>
  </si>
  <si>
    <t>P52630-4_STAT2</t>
  </si>
  <si>
    <t>P52655_GTF2A1</t>
  </si>
  <si>
    <t>P52657_GTF2A2</t>
  </si>
  <si>
    <t>P52735-3_VAV2</t>
  </si>
  <si>
    <t>P52758_HRSP12</t>
  </si>
  <si>
    <t>P52788_SMS</t>
  </si>
  <si>
    <t>P52789_HK2</t>
  </si>
  <si>
    <t>P52799_EFNB2</t>
  </si>
  <si>
    <t>P52815_MRPL12</t>
  </si>
  <si>
    <t>P52848_NDST1</t>
  </si>
  <si>
    <t>P52888_THOP1</t>
  </si>
  <si>
    <t>P52907_CAPZA1</t>
  </si>
  <si>
    <t>P52943_CRIP2</t>
  </si>
  <si>
    <t>P53004_BLVRA</t>
  </si>
  <si>
    <t>P53007_SLC25A1</t>
  </si>
  <si>
    <t>P53365_ARFIP2</t>
  </si>
  <si>
    <t>P53367_ARFIP1</t>
  </si>
  <si>
    <t>P53367-2_ARFIP1</t>
  </si>
  <si>
    <t>P53370_NUDT6</t>
  </si>
  <si>
    <t>P53384-2_NUBP1</t>
  </si>
  <si>
    <t>P53396_ACLY</t>
  </si>
  <si>
    <t>P53582_METAP1</t>
  </si>
  <si>
    <t>P53597_SUCLG1</t>
  </si>
  <si>
    <t>P53602_MVD</t>
  </si>
  <si>
    <t>P53609_PGGT1B</t>
  </si>
  <si>
    <t>P53611_RABGGTB</t>
  </si>
  <si>
    <t>P53618_COPB1</t>
  </si>
  <si>
    <t>P53621_COPA</t>
  </si>
  <si>
    <t>P53634_CTSC</t>
  </si>
  <si>
    <t>P53675-2_CLTCL1</t>
  </si>
  <si>
    <t>P53701_HCCS</t>
  </si>
  <si>
    <t>P53778_MAPK12</t>
  </si>
  <si>
    <t>P53794_SLC5A3</t>
  </si>
  <si>
    <t>P53801_PTTG1IP</t>
  </si>
  <si>
    <t>P53803_POLR2K</t>
  </si>
  <si>
    <t>P53814-5_SMTN</t>
  </si>
  <si>
    <t>P53985_SLC16A1</t>
  </si>
  <si>
    <t>P53990-2_IST1</t>
  </si>
  <si>
    <t>P53992_SEC24C</t>
  </si>
  <si>
    <t>P53999_SUB1</t>
  </si>
  <si>
    <t>P54136_RARS</t>
  </si>
  <si>
    <t>P54136-2_RARS</t>
  </si>
  <si>
    <t>P54253_ATXN1</t>
  </si>
  <si>
    <t>P54259_ATN1</t>
  </si>
  <si>
    <t>P54577_YARS</t>
  </si>
  <si>
    <t>P54578_USP14</t>
  </si>
  <si>
    <t>P54619-2_PRKAG1</t>
  </si>
  <si>
    <t>P54646_PRKAA2</t>
  </si>
  <si>
    <t>P54652_HSPA2</t>
  </si>
  <si>
    <t>P54687_BCAT1</t>
  </si>
  <si>
    <t>P54707_ATP12A</t>
  </si>
  <si>
    <t>P54709_ATP1B3</t>
  </si>
  <si>
    <t>P54725_RAD23A</t>
  </si>
  <si>
    <t>P54727_RAD23B</t>
  </si>
  <si>
    <t>P54802_NAGLU</t>
  </si>
  <si>
    <t>P54803_GALC</t>
  </si>
  <si>
    <t>P54819_AK2</t>
  </si>
  <si>
    <t>P54886-2_ALDH18A1</t>
  </si>
  <si>
    <t>P54920_NAPA</t>
  </si>
  <si>
    <t>P54922_ADPRH</t>
  </si>
  <si>
    <t>P55010_EIF5</t>
  </si>
  <si>
    <t>P55011-3_SLC12A2</t>
  </si>
  <si>
    <t>P55036_PSMD4</t>
  </si>
  <si>
    <t>P55039_DRG2</t>
  </si>
  <si>
    <t>P55040_GEM</t>
  </si>
  <si>
    <t>P55042_RRAD</t>
  </si>
  <si>
    <t>P55060-3_CSE1L</t>
  </si>
  <si>
    <t>P55072_VCP</t>
  </si>
  <si>
    <t>P55081_MFAP1</t>
  </si>
  <si>
    <t>P55082-2_MFAP3</t>
  </si>
  <si>
    <t>P55145_MANF</t>
  </si>
  <si>
    <t>P55210_CASP7</t>
  </si>
  <si>
    <t>P55212_CASP6</t>
  </si>
  <si>
    <t>P55263_ADK</t>
  </si>
  <si>
    <t>P55268_LAMB2</t>
  </si>
  <si>
    <t>P55273_CDKN2D</t>
  </si>
  <si>
    <t>P55285_CDH6</t>
  </si>
  <si>
    <t>P55345_PRMT2</t>
  </si>
  <si>
    <t>P55735_SEC13</t>
  </si>
  <si>
    <t>P55789_GFER</t>
  </si>
  <si>
    <t>P55795_HNRNPH2</t>
  </si>
  <si>
    <t>P55808_XG</t>
  </si>
  <si>
    <t>P55809_OXCT1</t>
  </si>
  <si>
    <t>P55884_EIF3B</t>
  </si>
  <si>
    <t>P55899_FCGRT</t>
  </si>
  <si>
    <t>P55957_BID</t>
  </si>
  <si>
    <t>P56181_NDUFV3</t>
  </si>
  <si>
    <t>P56181-2_NDUFV3</t>
  </si>
  <si>
    <t>P56192_MARS</t>
  </si>
  <si>
    <t>P56199_ITGA1</t>
  </si>
  <si>
    <t>P56211_ARPP19</t>
  </si>
  <si>
    <t>P56277_CMC4</t>
  </si>
  <si>
    <t>P56377_AP1S2</t>
  </si>
  <si>
    <t>P56378_MP68</t>
  </si>
  <si>
    <t>P56381_ATP5E</t>
  </si>
  <si>
    <t>P56385_ATP5I</t>
  </si>
  <si>
    <t>P56524_HDAC4</t>
  </si>
  <si>
    <t>P56537_EIF6</t>
  </si>
  <si>
    <t>P56545-2_CTBP2</t>
  </si>
  <si>
    <t>P56589_PEX3</t>
  </si>
  <si>
    <t>P56817-4_BACE1</t>
  </si>
  <si>
    <t>P56937-3_HSD17B7</t>
  </si>
  <si>
    <t>P56945-5_BCAR1</t>
  </si>
  <si>
    <t>P56962_STX17</t>
  </si>
  <si>
    <t>P57060_RWDD2B</t>
  </si>
  <si>
    <t>P57076_C21orf59</t>
  </si>
  <si>
    <t>P57077-4_MAP3K7CL</t>
  </si>
  <si>
    <t>P57081-2_WDR4</t>
  </si>
  <si>
    <t>P57088_TMEM33</t>
  </si>
  <si>
    <t>P57105_SYNJ2BP</t>
  </si>
  <si>
    <t>P57737-3_CORO7</t>
  </si>
  <si>
    <t>P57768_SNX16</t>
  </si>
  <si>
    <t>P57772_EEFSEC</t>
  </si>
  <si>
    <t>P58004_SESN2</t>
  </si>
  <si>
    <t>P58546_MTPN</t>
  </si>
  <si>
    <t>P59768_GNG2</t>
  </si>
  <si>
    <t>P60059_SEC61G</t>
  </si>
  <si>
    <t>P60174-1_TPI1</t>
  </si>
  <si>
    <t>P60174-4_TPI1</t>
  </si>
  <si>
    <t>P60228_EIF3E</t>
  </si>
  <si>
    <t>P60468_SEC61B</t>
  </si>
  <si>
    <t>P60484_PTEN</t>
  </si>
  <si>
    <t>P60510_PPP4C</t>
  </si>
  <si>
    <t>P60520_GABARAPL2</t>
  </si>
  <si>
    <t>P60602_ROMO1</t>
  </si>
  <si>
    <t>P60604-2_UBE2G2</t>
  </si>
  <si>
    <t>P60763_RAC3</t>
  </si>
  <si>
    <t>P60842_EIF4A1</t>
  </si>
  <si>
    <t>P60866_RPS20</t>
  </si>
  <si>
    <t>P60880-2_SNAP25</t>
  </si>
  <si>
    <t>P60891_PRPS1</t>
  </si>
  <si>
    <t>P60896_SHFM1</t>
  </si>
  <si>
    <t>P60903_S100A10</t>
  </si>
  <si>
    <t>P60953_CDC42</t>
  </si>
  <si>
    <t>P60953-1_CDC42</t>
  </si>
  <si>
    <t>P60981_DSTN</t>
  </si>
  <si>
    <t>P60983_GMFB</t>
  </si>
  <si>
    <t>P61006_RAB8A</t>
  </si>
  <si>
    <t>P61009_SPCS3</t>
  </si>
  <si>
    <t>P61011_SRP54</t>
  </si>
  <si>
    <t>P61018_RAB4B</t>
  </si>
  <si>
    <t>P61019_RAB2A</t>
  </si>
  <si>
    <t>P61020_RAB5B</t>
  </si>
  <si>
    <t>P61026_RAB10</t>
  </si>
  <si>
    <t>P61077_UBE2D3</t>
  </si>
  <si>
    <t>P61081_UBE2M</t>
  </si>
  <si>
    <t>P61086_UBE2K</t>
  </si>
  <si>
    <t>P61088_UBE2N</t>
  </si>
  <si>
    <t>P61106_RAB14</t>
  </si>
  <si>
    <t>P61158_ACTR3</t>
  </si>
  <si>
    <t>P61160_ACTR2</t>
  </si>
  <si>
    <t>P61163_ACTR1A</t>
  </si>
  <si>
    <t>P61201_COPS2</t>
  </si>
  <si>
    <t>P61218_POLR2F</t>
  </si>
  <si>
    <t>P61221_ABCE1</t>
  </si>
  <si>
    <t>P61224_RAP1B</t>
  </si>
  <si>
    <t>P61225_RAP2B</t>
  </si>
  <si>
    <t>P61244-2_MAX</t>
  </si>
  <si>
    <t>P61247_RPS3A</t>
  </si>
  <si>
    <t>P61254_RPL26</t>
  </si>
  <si>
    <t>P61289_PSME3</t>
  </si>
  <si>
    <t>P61326_MAGOH</t>
  </si>
  <si>
    <t>P61586_RHOA</t>
  </si>
  <si>
    <t>P61587_RND3</t>
  </si>
  <si>
    <t>P61601_NCALD</t>
  </si>
  <si>
    <t>P61604_HSPE1</t>
  </si>
  <si>
    <t>P61758_VBP1</t>
  </si>
  <si>
    <t>P61764_STXBP1</t>
  </si>
  <si>
    <t>P61769_B2M</t>
  </si>
  <si>
    <t>P61812_TGFB2</t>
  </si>
  <si>
    <t>P61925_PKIA</t>
  </si>
  <si>
    <t>P61927_RPL37</t>
  </si>
  <si>
    <t>P61952_GNG11</t>
  </si>
  <si>
    <t>P61960-2_UFM1</t>
  </si>
  <si>
    <t>P61962_DCAF7</t>
  </si>
  <si>
    <t>P61964_WDR5</t>
  </si>
  <si>
    <t>P61970_NUTF2</t>
  </si>
  <si>
    <t>P61978-3_HNRNPK</t>
  </si>
  <si>
    <t>P61981_YWHAG</t>
  </si>
  <si>
    <t>P62070_RRAS2</t>
  </si>
  <si>
    <t>P62072_TIMM10</t>
  </si>
  <si>
    <t>P62081_RPS7</t>
  </si>
  <si>
    <t>P62136_PPP1CA</t>
  </si>
  <si>
    <t>P62140_PPP1CB</t>
  </si>
  <si>
    <t>P62166_NCS1</t>
  </si>
  <si>
    <t>P62191_PSMC1</t>
  </si>
  <si>
    <t>P62195-2_PSMC5</t>
  </si>
  <si>
    <t>P62241_RPS8</t>
  </si>
  <si>
    <t>P62249_RPS16</t>
  </si>
  <si>
    <t>P62253_UBE2G1</t>
  </si>
  <si>
    <t>P62258_YWHAE</t>
  </si>
  <si>
    <t>P62263_RPS14</t>
  </si>
  <si>
    <t>P62269_RPS18</t>
  </si>
  <si>
    <t>P62273_RPS29</t>
  </si>
  <si>
    <t>P62277_RPS13</t>
  </si>
  <si>
    <t>P62280_RPS11</t>
  </si>
  <si>
    <t>P62304_SNRPE</t>
  </si>
  <si>
    <t>P62306_SNRPF</t>
  </si>
  <si>
    <t>P62308_SNRPG</t>
  </si>
  <si>
    <t>P62310_LSM3</t>
  </si>
  <si>
    <t>P62312_LSM6</t>
  </si>
  <si>
    <t>P62314_SNRPD1</t>
  </si>
  <si>
    <t>P62316_SNRPD2</t>
  </si>
  <si>
    <t>P62328_TMSB4X</t>
  </si>
  <si>
    <t>P62330_ARF6</t>
  </si>
  <si>
    <t>P62333_PSMC6</t>
  </si>
  <si>
    <t>P62380_TBPL1</t>
  </si>
  <si>
    <t>P62424_RPL7A</t>
  </si>
  <si>
    <t>P62487_POLR2G</t>
  </si>
  <si>
    <t>P62495_ETF1</t>
  </si>
  <si>
    <t>P62633-4_CNBP</t>
  </si>
  <si>
    <t>P62701_RPS4X</t>
  </si>
  <si>
    <t>P62714_PPP2CB</t>
  </si>
  <si>
    <t>P62736_ACTA2</t>
  </si>
  <si>
    <t>P62745_RHOB</t>
  </si>
  <si>
    <t>P62750_RPL23A</t>
  </si>
  <si>
    <t>P62753_RPS6</t>
  </si>
  <si>
    <t>P62805_HIST1H4A</t>
  </si>
  <si>
    <t>P62820_RAB1A</t>
  </si>
  <si>
    <t>P62829_RPL23</t>
  </si>
  <si>
    <t>P62834_RAP1A</t>
  </si>
  <si>
    <t>P62851_RPS25</t>
  </si>
  <si>
    <t>P62857_RPS28</t>
  </si>
  <si>
    <t>P62873_GNB1</t>
  </si>
  <si>
    <t>P62877_RBX1</t>
  </si>
  <si>
    <t>P62888_RPL30</t>
  </si>
  <si>
    <t>P62906_RPL10A</t>
  </si>
  <si>
    <t>P62913-2_RPL11</t>
  </si>
  <si>
    <t>P62937_PPIA</t>
  </si>
  <si>
    <t>P62942_FKBP1A</t>
  </si>
  <si>
    <t>P62979_RPS27A</t>
  </si>
  <si>
    <t>P62987_UBA52</t>
  </si>
  <si>
    <t>P62993_GRB2</t>
  </si>
  <si>
    <t>P62995-3_TRA2B</t>
  </si>
  <si>
    <t>P63000_RAC1</t>
  </si>
  <si>
    <t>P63010_AP2B1</t>
  </si>
  <si>
    <t>P63092_GNAS</t>
  </si>
  <si>
    <t>P63096_GNAI1</t>
  </si>
  <si>
    <t>P63104_YWHAZ</t>
  </si>
  <si>
    <t>P63146_UBE2B</t>
  </si>
  <si>
    <t>P63151_PPP2R2A</t>
  </si>
  <si>
    <t>P63167_DYNLL1</t>
  </si>
  <si>
    <t>P63173_RPL38</t>
  </si>
  <si>
    <t>P63218_GNG5</t>
  </si>
  <si>
    <t>P63244_GNB2L1</t>
  </si>
  <si>
    <t>P67809_YBX1</t>
  </si>
  <si>
    <t>P67936_TPM4</t>
  </si>
  <si>
    <t>P67936-2_TPM4</t>
  </si>
  <si>
    <t>P68036_UBE2L3</t>
  </si>
  <si>
    <t>P68104_EEF1A1</t>
  </si>
  <si>
    <t>P68106-2_FKBP1B</t>
  </si>
  <si>
    <t>P68371_TUBB4B</t>
  </si>
  <si>
    <t>P68402_PAFAH1B2</t>
  </si>
  <si>
    <t>P68871_HBB</t>
  </si>
  <si>
    <t>P69905_HBA1</t>
  </si>
  <si>
    <t>P78310_CXADR</t>
  </si>
  <si>
    <t>P78318_IGBP1</t>
  </si>
  <si>
    <t>P78324_SIRPA</t>
  </si>
  <si>
    <t>P78330_PSPH</t>
  </si>
  <si>
    <t>P78347-2_GTF2I</t>
  </si>
  <si>
    <t>P78356_PIP4K2B</t>
  </si>
  <si>
    <t>P78371_CCT2</t>
  </si>
  <si>
    <t>P78406_RAE1</t>
  </si>
  <si>
    <t>P78417_GSTO1</t>
  </si>
  <si>
    <t>P78536_ADAM17</t>
  </si>
  <si>
    <t>P78537_BLOC1S1</t>
  </si>
  <si>
    <t>P78539-4_SRPX</t>
  </si>
  <si>
    <t>P78552_IL13RA1</t>
  </si>
  <si>
    <t>P80217_IFI35</t>
  </si>
  <si>
    <t>P80297_MT1X</t>
  </si>
  <si>
    <t>P80303_NUCB2</t>
  </si>
  <si>
    <t>P80723_BASP1</t>
  </si>
  <si>
    <t>P81605_DCD</t>
  </si>
  <si>
    <t>P82094_TMF1</t>
  </si>
  <si>
    <t>P82909_MRPS36</t>
  </si>
  <si>
    <t>P82932_MRPS6</t>
  </si>
  <si>
    <t>P82979_SARNP</t>
  </si>
  <si>
    <t>P83111_LACTB</t>
  </si>
  <si>
    <t>P83436_COG7</t>
  </si>
  <si>
    <t>P84022_SMAD3</t>
  </si>
  <si>
    <t>P84077_ARF1</t>
  </si>
  <si>
    <t>P84085_ARF5</t>
  </si>
  <si>
    <t>P84090_ERH</t>
  </si>
  <si>
    <t>P84095_RHOG</t>
  </si>
  <si>
    <t>P84098_RPL19</t>
  </si>
  <si>
    <t>P84101-4_SERF2</t>
  </si>
  <si>
    <t>P84157_MXRA7</t>
  </si>
  <si>
    <t>P84157-3_MXRA7</t>
  </si>
  <si>
    <t>P85037_FOXK1</t>
  </si>
  <si>
    <t>P98082-3_DAB2</t>
  </si>
  <si>
    <t>P98155-2_VLDLR</t>
  </si>
  <si>
    <t>P98160_HSPG2</t>
  </si>
  <si>
    <t>P98170_XIAP</t>
  </si>
  <si>
    <t>P98172_EFNB1</t>
  </si>
  <si>
    <t>P98173_FAM3A</t>
  </si>
  <si>
    <t>P98175-2_RBM10</t>
  </si>
  <si>
    <t>P98179_RBM3</t>
  </si>
  <si>
    <t>Q00013-2_MPP1</t>
  </si>
  <si>
    <t>Q00059_TFAM</t>
  </si>
  <si>
    <t>Q00169_PITPNA</t>
  </si>
  <si>
    <t>Q00325-2_SLC25A3</t>
  </si>
  <si>
    <t>Q00341_HDLBP</t>
  </si>
  <si>
    <t>Q00534_CDK6</t>
  </si>
  <si>
    <t>Q00535_CDK5</t>
  </si>
  <si>
    <t>Q00536_CDK16</t>
  </si>
  <si>
    <t>Q00577_PURA</t>
  </si>
  <si>
    <t>Q00587-2_CDC42EP1</t>
  </si>
  <si>
    <t>Q00610-2_CLTC</t>
  </si>
  <si>
    <t>Q00653-4_NFKB2</t>
  </si>
  <si>
    <t>Q00688_FKBP3</t>
  </si>
  <si>
    <t>Q00765_REEP5</t>
  </si>
  <si>
    <t>Q00796_SORD</t>
  </si>
  <si>
    <t>Q00839-2_HNRNPU</t>
  </si>
  <si>
    <t>Q00978_IRF9</t>
  </si>
  <si>
    <t>Q01082_SPTBN1</t>
  </si>
  <si>
    <t>Q01085-2_TIAL1</t>
  </si>
  <si>
    <t>Q01105_SET</t>
  </si>
  <si>
    <t>Q01167_FOXK2</t>
  </si>
  <si>
    <t>Q01415_GALK2</t>
  </si>
  <si>
    <t>Q01459_CTBS</t>
  </si>
  <si>
    <t>Q01469_FABP5</t>
  </si>
  <si>
    <t>Q01518-2_CAP1</t>
  </si>
  <si>
    <t>Q01581_HMGCS1</t>
  </si>
  <si>
    <t>Q01650_SLC7A5</t>
  </si>
  <si>
    <t>Q01658_DR1</t>
  </si>
  <si>
    <t>Q01813_PFKP</t>
  </si>
  <si>
    <t>Q01850_CDR2</t>
  </si>
  <si>
    <t>Q01968_OCRL</t>
  </si>
  <si>
    <t>Q01970_PLCB3</t>
  </si>
  <si>
    <t>Q01974_ROR2</t>
  </si>
  <si>
    <t>Q01995_TAGLN</t>
  </si>
  <si>
    <t>Q02083-2_NAAA</t>
  </si>
  <si>
    <t>Q02127_DHODH</t>
  </si>
  <si>
    <t>Q02156_PRKCE</t>
  </si>
  <si>
    <t>Q02252_ALDH6A1</t>
  </si>
  <si>
    <t>Q02318_CYP27A1</t>
  </si>
  <si>
    <t>Q02338_BDH1</t>
  </si>
  <si>
    <t>Q02383_SEMG2</t>
  </si>
  <si>
    <t>Q02388-2_COL7A1</t>
  </si>
  <si>
    <t>Q02410_APBA1</t>
  </si>
  <si>
    <t>Q02413_DSG1</t>
  </si>
  <si>
    <t>Q02543_RPL18A</t>
  </si>
  <si>
    <t>Q02750_MAP2K1</t>
  </si>
  <si>
    <t>Q02790_FKBP4</t>
  </si>
  <si>
    <t>Q02809_PLOD1</t>
  </si>
  <si>
    <t>Q02818_NUCB1</t>
  </si>
  <si>
    <t>Q02878_RPL6</t>
  </si>
  <si>
    <t>Q02952-3_AKAP12</t>
  </si>
  <si>
    <t>Q03001_DST</t>
  </si>
  <si>
    <t>Q03001-3_DST</t>
  </si>
  <si>
    <t>Q03013_GSTM4</t>
  </si>
  <si>
    <t>Q03113_GNA12</t>
  </si>
  <si>
    <t>Q03135_CAV1</t>
  </si>
  <si>
    <t>Q03154_ACY1</t>
  </si>
  <si>
    <t>Q03169_TNFAIP2</t>
  </si>
  <si>
    <t>Q03393_PTS</t>
  </si>
  <si>
    <t>Q03405_PLAUR</t>
  </si>
  <si>
    <t>Q03519_TAP2</t>
  </si>
  <si>
    <t>Q04446_GBE1</t>
  </si>
  <si>
    <t>Q04656-5_ATP7A</t>
  </si>
  <si>
    <t>Q04721_NOTCH2</t>
  </si>
  <si>
    <t>Q04724_TLE1</t>
  </si>
  <si>
    <t>Q04760_GLO1</t>
  </si>
  <si>
    <t>Q04771_ACVR1</t>
  </si>
  <si>
    <t>Q04828_AKR1C1</t>
  </si>
  <si>
    <t>Q04917_YWHAH</t>
  </si>
  <si>
    <t>Q04941_PLP2</t>
  </si>
  <si>
    <t>Q05048_CSTF1</t>
  </si>
  <si>
    <t>Q05086-3_UBE3A</t>
  </si>
  <si>
    <t>Q05193-3_DNM1</t>
  </si>
  <si>
    <t>Q05209_PTPN12</t>
  </si>
  <si>
    <t>Q05519-2_SRSF11</t>
  </si>
  <si>
    <t>Q05639_EEF1A2</t>
  </si>
  <si>
    <t>Q05655_PRKCD</t>
  </si>
  <si>
    <t>Q05682_CALD1</t>
  </si>
  <si>
    <t>Q06124_PTPN11</t>
  </si>
  <si>
    <t>Q06136_KDSR</t>
  </si>
  <si>
    <t>Q06190_PPP2R3A</t>
  </si>
  <si>
    <t>Q06203_PPAT</t>
  </si>
  <si>
    <t>Q06210-2_GFPT1</t>
  </si>
  <si>
    <t>Q06278_AOX1</t>
  </si>
  <si>
    <t>Q06323_PSME1</t>
  </si>
  <si>
    <t>Q06330_RBPJ</t>
  </si>
  <si>
    <t>Q06481-3_APLP2</t>
  </si>
  <si>
    <t>Q06546_GABPA</t>
  </si>
  <si>
    <t>Q06830_PRDX1</t>
  </si>
  <si>
    <t>Q07021_C1QBP</t>
  </si>
  <si>
    <t>Q07065_CKAP4</t>
  </si>
  <si>
    <t>Q07092-2_COL16A1</t>
  </si>
  <si>
    <t>Q07352_ZFP36L1</t>
  </si>
  <si>
    <t>Q07507_DPT</t>
  </si>
  <si>
    <t>Q07666_KHDRBS1</t>
  </si>
  <si>
    <t>Q07812-5_BAX</t>
  </si>
  <si>
    <t>Q07820-2_MCL1</t>
  </si>
  <si>
    <t>Q07866-3_KLC1</t>
  </si>
  <si>
    <t>Q07866-6_KLC1</t>
  </si>
  <si>
    <t>Q07912_TNK2</t>
  </si>
  <si>
    <t>Q07954_LRP1</t>
  </si>
  <si>
    <t>Q07960_ARHGAP1</t>
  </si>
  <si>
    <t>Q08209-2_PPP3CA</t>
  </si>
  <si>
    <t>Q08257_CRYZ</t>
  </si>
  <si>
    <t>Q08357_SLC20A2</t>
  </si>
  <si>
    <t>Q08378_GOLGA3</t>
  </si>
  <si>
    <t>Q08379_GOLGA2</t>
  </si>
  <si>
    <t>Q08380_LGALS3BP</t>
  </si>
  <si>
    <t>Q08426_EHHADH</t>
  </si>
  <si>
    <t>Q08629_SPOCK1</t>
  </si>
  <si>
    <t>Q08722_CD47</t>
  </si>
  <si>
    <t>Q08752_PPID</t>
  </si>
  <si>
    <t>Q08AD1-2_CAMSAP2</t>
  </si>
  <si>
    <t>Q08AE8-2_SPIRE1</t>
  </si>
  <si>
    <t>Q08AF3_SLFN5</t>
  </si>
  <si>
    <t>Q08AG7_MZT1</t>
  </si>
  <si>
    <t>Q08AM6_VAC14</t>
  </si>
  <si>
    <t>Q08E86_KIAA0100</t>
  </si>
  <si>
    <t>Q08J23_NSUN2</t>
  </si>
  <si>
    <t>Q09028-3_RBBP4</t>
  </si>
  <si>
    <t>Q09161_NCBP1</t>
  </si>
  <si>
    <t>Q09328_MGAT5</t>
  </si>
  <si>
    <t>Q09666_AHNAK</t>
  </si>
  <si>
    <t>Q09666-2_AHNAK</t>
  </si>
  <si>
    <t>Q0JRZ9_FCHO2</t>
  </si>
  <si>
    <t>Q0PNE2_ELP6</t>
  </si>
  <si>
    <t>Q0VDF9_HSPA14</t>
  </si>
  <si>
    <t>Q0VDG4_SCRN3</t>
  </si>
  <si>
    <t>Q0VG06_FAAP100</t>
  </si>
  <si>
    <t>Q0VGL1_LAMTOR4</t>
  </si>
  <si>
    <t>Q0ZGT2-2_NEXN</t>
  </si>
  <si>
    <t>Q10469_MGAT2</t>
  </si>
  <si>
    <t>Q10471_GALNT2</t>
  </si>
  <si>
    <t>Q10567-2_AP1B1</t>
  </si>
  <si>
    <t>Q10567-3_AP1B1</t>
  </si>
  <si>
    <t>Q10713_PMPCA</t>
  </si>
  <si>
    <t>Q11206-3_ST3GAL4</t>
  </si>
  <si>
    <t>Q12765_SCRN1</t>
  </si>
  <si>
    <t>Q12768_KIAA0196</t>
  </si>
  <si>
    <t>Q12792_TWF1</t>
  </si>
  <si>
    <t>Q12797_ASPH</t>
  </si>
  <si>
    <t>Q12802-4_AKAP13</t>
  </si>
  <si>
    <t>Q12805-2_EFEMP1</t>
  </si>
  <si>
    <t>Q12841_FSTL1</t>
  </si>
  <si>
    <t>Q12846_STX4</t>
  </si>
  <si>
    <t>Q12849_GRSF1</t>
  </si>
  <si>
    <t>Q12874_SF3A3</t>
  </si>
  <si>
    <t>Q12882_DPYD</t>
  </si>
  <si>
    <t>Q12884_FAP</t>
  </si>
  <si>
    <t>Q12884-2_FAP</t>
  </si>
  <si>
    <t>Q12888_TP53BP1</t>
  </si>
  <si>
    <t>Q12893_TMEM115</t>
  </si>
  <si>
    <t>Q12904_AIMP1</t>
  </si>
  <si>
    <t>Q12905_ILF2</t>
  </si>
  <si>
    <t>Q12906_ILF3</t>
  </si>
  <si>
    <t>Q12907_LMAN2</t>
  </si>
  <si>
    <t>Q12923-2_PTPN13</t>
  </si>
  <si>
    <t>Q12929_EPS8</t>
  </si>
  <si>
    <t>Q12955_ANK3</t>
  </si>
  <si>
    <t>Q12959-5_DLG1</t>
  </si>
  <si>
    <t>Q12962_TAF10</t>
  </si>
  <si>
    <t>Q12965_MYO1E</t>
  </si>
  <si>
    <t>Q12972_PPP1R8</t>
  </si>
  <si>
    <t>Q12974_PTP4A2</t>
  </si>
  <si>
    <t>Q12979-4_ABR</t>
  </si>
  <si>
    <t>Q12981_BNIP1</t>
  </si>
  <si>
    <t>Q12996_CSTF3</t>
  </si>
  <si>
    <t>Q13011_ECH1</t>
  </si>
  <si>
    <t>Q13017-2_ARHGAP5</t>
  </si>
  <si>
    <t>Q13033-2_STRN3</t>
  </si>
  <si>
    <t>Q13043_STK4</t>
  </si>
  <si>
    <t>Q13045_FLII</t>
  </si>
  <si>
    <t>Q13057_COASY</t>
  </si>
  <si>
    <t>Q13107-2_USP4</t>
  </si>
  <si>
    <t>Q13126_MTAP</t>
  </si>
  <si>
    <t>Q13131_PRKAA1</t>
  </si>
  <si>
    <t>Q13136_PPFIA1</t>
  </si>
  <si>
    <t>Q13148_TARDBP</t>
  </si>
  <si>
    <t>Q13153_PAK1</t>
  </si>
  <si>
    <t>Q13158_FADD</t>
  </si>
  <si>
    <t>Q13162_PRDX4</t>
  </si>
  <si>
    <t>Q13164_MAPK7</t>
  </si>
  <si>
    <t>Q13177_PAK2</t>
  </si>
  <si>
    <t>Q13185_CBX3</t>
  </si>
  <si>
    <t>Q13188_STK3</t>
  </si>
  <si>
    <t>Q13190_STX5</t>
  </si>
  <si>
    <t>Q13200_PSMD2</t>
  </si>
  <si>
    <t>Q13217_DNAJC3</t>
  </si>
  <si>
    <t>Q13228_SELENBP1</t>
  </si>
  <si>
    <t>Q13232_NME3</t>
  </si>
  <si>
    <t>Q13242_SRSF9</t>
  </si>
  <si>
    <t>Q13243-3_SRSF5</t>
  </si>
  <si>
    <t>Q13247-3_SRSF6</t>
  </si>
  <si>
    <t>Q13263_TRIM28</t>
  </si>
  <si>
    <t>Q13277-2_STX3</t>
  </si>
  <si>
    <t>Q13283_G3BP1</t>
  </si>
  <si>
    <t>Q13287_NMI</t>
  </si>
  <si>
    <t>Q13308_PTK7</t>
  </si>
  <si>
    <t>Q13310-3_PABPC4</t>
  </si>
  <si>
    <t>Q13322-3_GRB10</t>
  </si>
  <si>
    <t>Q13325_IFIT5</t>
  </si>
  <si>
    <t>Q13336_SLC14A1</t>
  </si>
  <si>
    <t>Q13347_EIF3I</t>
  </si>
  <si>
    <t>Q13356-2_PPIL2</t>
  </si>
  <si>
    <t>Q13362-4_PPP2R5C</t>
  </si>
  <si>
    <t>Q13363_CTBP1</t>
  </si>
  <si>
    <t>Q13371_PDCL</t>
  </si>
  <si>
    <t>Q13409-6_DYNC1I2</t>
  </si>
  <si>
    <t>Q13418_ILK</t>
  </si>
  <si>
    <t>Q13423_NNT</t>
  </si>
  <si>
    <t>Q13424_SNTA1</t>
  </si>
  <si>
    <t>Q13425_SNTB2</t>
  </si>
  <si>
    <t>Q13432_UNC119</t>
  </si>
  <si>
    <t>Q13433_SLC39A6</t>
  </si>
  <si>
    <t>Q13435_SF3B2</t>
  </si>
  <si>
    <t>Q13438-4_OS9</t>
  </si>
  <si>
    <t>Q13439-3_GOLGA4</t>
  </si>
  <si>
    <t>Q13442_PDAP1</t>
  </si>
  <si>
    <t>Q13443_ADAM9</t>
  </si>
  <si>
    <t>Q13444-8_ADAM15</t>
  </si>
  <si>
    <t>Q13445_TMED1</t>
  </si>
  <si>
    <t>Q13451_FKBP5</t>
  </si>
  <si>
    <t>Q13464_ROCK1</t>
  </si>
  <si>
    <t>Q13480-2_GAB1</t>
  </si>
  <si>
    <t>Q13488_TCIRG1</t>
  </si>
  <si>
    <t>Q13492-3_PICALM</t>
  </si>
  <si>
    <t>Q13496_MTM1</t>
  </si>
  <si>
    <t>Q13501_SQSTM1</t>
  </si>
  <si>
    <t>Q13505-3_MTX1</t>
  </si>
  <si>
    <t>Q13509_TUBB3</t>
  </si>
  <si>
    <t>Q13526_PIN1</t>
  </si>
  <si>
    <t>Q13541_EIF4EBP1</t>
  </si>
  <si>
    <t>Q13542_EIF4EBP2</t>
  </si>
  <si>
    <t>Q13546_RIPK1</t>
  </si>
  <si>
    <t>Q13564_NAE1</t>
  </si>
  <si>
    <t>Q13572_ITPK1</t>
  </si>
  <si>
    <t>Q13573_SNW1</t>
  </si>
  <si>
    <t>Q13586_STIM1</t>
  </si>
  <si>
    <t>Q13595-2_TRA2A</t>
  </si>
  <si>
    <t>Q13596_SNX1</t>
  </si>
  <si>
    <t>Q13610_PWP1</t>
  </si>
  <si>
    <t>Q13616_CUL1</t>
  </si>
  <si>
    <t>Q13617_CUL2</t>
  </si>
  <si>
    <t>Q13618-2_CUL3</t>
  </si>
  <si>
    <t>Q13619_CUL4A</t>
  </si>
  <si>
    <t>Q13625_TP53BP2</t>
  </si>
  <si>
    <t>Q13630_TSTA3</t>
  </si>
  <si>
    <t>Q13636_RAB31</t>
  </si>
  <si>
    <t>Q13637_RAB32</t>
  </si>
  <si>
    <t>Q13641_TPBG</t>
  </si>
  <si>
    <t>Q13642-5_FHL1</t>
  </si>
  <si>
    <t>Q13643_FHL3</t>
  </si>
  <si>
    <t>Q13671_RIN1</t>
  </si>
  <si>
    <t>Q13683-3_ITGA7</t>
  </si>
  <si>
    <t>Q13724_MOGS</t>
  </si>
  <si>
    <t>Q13740-2_ALCAM</t>
  </si>
  <si>
    <t>Q13795_ARFRP1</t>
  </si>
  <si>
    <t>Q13813_SPTAN1</t>
  </si>
  <si>
    <t>Q13813-3_SPTAN1</t>
  </si>
  <si>
    <t>Q13825_AUH</t>
  </si>
  <si>
    <t>Q13868_EXOSC2</t>
  </si>
  <si>
    <t>Q13873_BMPR2</t>
  </si>
  <si>
    <t>Q13884_SNTB1</t>
  </si>
  <si>
    <t>Q13885_TUBB2A</t>
  </si>
  <si>
    <t>Q13895_BYSL</t>
  </si>
  <si>
    <t>Q13905-2_RAPGEF1</t>
  </si>
  <si>
    <t>Q13907_IDI1</t>
  </si>
  <si>
    <t>Q13951-2_CBFB</t>
  </si>
  <si>
    <t>Q13952-3_NFYC</t>
  </si>
  <si>
    <t>Q13976-2_PRKG1</t>
  </si>
  <si>
    <t>Q14008-2_CKAP5</t>
  </si>
  <si>
    <t>Q14011_CIRBP</t>
  </si>
  <si>
    <t>Q14012_CAMK1</t>
  </si>
  <si>
    <t>Q14019_COTL1</t>
  </si>
  <si>
    <t>Q14061_COX17</t>
  </si>
  <si>
    <t>Q14103-3_HNRNPD</t>
  </si>
  <si>
    <t>Q14108_SCARB2</t>
  </si>
  <si>
    <t>Q14112-2_NID2</t>
  </si>
  <si>
    <t>Q14114-4_LRP8</t>
  </si>
  <si>
    <t>Q14118_DAG1</t>
  </si>
  <si>
    <t>Q14123-2_PDE1C</t>
  </si>
  <si>
    <t>Q14139_UBE4A</t>
  </si>
  <si>
    <t>Q14151_SAFB2</t>
  </si>
  <si>
    <t>Q14152_EIF3A</t>
  </si>
  <si>
    <t>Q14157_UBAP2L</t>
  </si>
  <si>
    <t>Q14160_SCRIB</t>
  </si>
  <si>
    <t>Q14165_MLEC</t>
  </si>
  <si>
    <t>Q14166_TTLL12</t>
  </si>
  <si>
    <t>Q14185_DOCK1</t>
  </si>
  <si>
    <t>Q14195-2_DPYSL3</t>
  </si>
  <si>
    <t>Q14204_DYNC1H1</t>
  </si>
  <si>
    <t>Q14232_EIF2B1</t>
  </si>
  <si>
    <t>Q14240-2_EIF4A2</t>
  </si>
  <si>
    <t>Q14241_TCEB3</t>
  </si>
  <si>
    <t>Q14247_CTTN</t>
  </si>
  <si>
    <t>Q14247-2_CTTN</t>
  </si>
  <si>
    <t>Q14254_FLOT2</t>
  </si>
  <si>
    <t>Q14257_RCN2</t>
  </si>
  <si>
    <t>Q14258_TRIM25</t>
  </si>
  <si>
    <t>Q14315_FLNC</t>
  </si>
  <si>
    <t>Q14318-2_FKBP8</t>
  </si>
  <si>
    <t>Q14320_FAM50A</t>
  </si>
  <si>
    <t>Q14331_FRG1</t>
  </si>
  <si>
    <t>Q14332_FZD2</t>
  </si>
  <si>
    <t>Q14344_GNA13</t>
  </si>
  <si>
    <t>Q14353_GAMT</t>
  </si>
  <si>
    <t>Q14376_GALE</t>
  </si>
  <si>
    <t>Q14392_LRRC32</t>
  </si>
  <si>
    <t>Q14393-2_GAS6</t>
  </si>
  <si>
    <t>Q14444-2_CAPRIN1</t>
  </si>
  <si>
    <t>Q14498-3_RBM39</t>
  </si>
  <si>
    <t>Q14511-3_NEDD9</t>
  </si>
  <si>
    <t>Q14517_FAT1</t>
  </si>
  <si>
    <t>Q14520-2_HABP2</t>
  </si>
  <si>
    <t>Q14534_SQLE</t>
  </si>
  <si>
    <t>Q14554_PDIA5</t>
  </si>
  <si>
    <t>Q14642_INPP5A</t>
  </si>
  <si>
    <t>Q14651_PLS1</t>
  </si>
  <si>
    <t>Q14653_IRF3</t>
  </si>
  <si>
    <t>Q14657_LAGE3</t>
  </si>
  <si>
    <t>Q14669-3_TRIP12</t>
  </si>
  <si>
    <t>Q14676-4_MDC1</t>
  </si>
  <si>
    <t>Q14677_CLINT1</t>
  </si>
  <si>
    <t>Q14694_USP10</t>
  </si>
  <si>
    <t>Q14696_MESDC2</t>
  </si>
  <si>
    <t>Q14697_GANAB</t>
  </si>
  <si>
    <t>Q14697-2_GANAB</t>
  </si>
  <si>
    <t>Q14699_RFTN1</t>
  </si>
  <si>
    <t>Q14714_SSPN</t>
  </si>
  <si>
    <t>Q14739_LBR</t>
  </si>
  <si>
    <t>Q14764_MVP</t>
  </si>
  <si>
    <t>Q14789-2_GOLGB1</t>
  </si>
  <si>
    <t>Q14790_CASP8</t>
  </si>
  <si>
    <t>Q147X3_NAA30</t>
  </si>
  <si>
    <t>Q14847_LASP1</t>
  </si>
  <si>
    <t>Q14872_MTF1</t>
  </si>
  <si>
    <t>Q14914-2_PTGR1</t>
  </si>
  <si>
    <t>Q14934-13_NFATC4</t>
  </si>
  <si>
    <t>Q14964_RAB39A</t>
  </si>
  <si>
    <t>Q14966_ZNF638</t>
  </si>
  <si>
    <t>Q14974_KPNB1</t>
  </si>
  <si>
    <t>Q14978_NOLC1</t>
  </si>
  <si>
    <t>Q14980_NUMA1</t>
  </si>
  <si>
    <t>Q14BN4-2_SLMAP</t>
  </si>
  <si>
    <t>Q14C86-3_GAPVD1</t>
  </si>
  <si>
    <t>Q14CS0_UBXN2B</t>
  </si>
  <si>
    <t>Q14CX7-2_NAA25</t>
  </si>
  <si>
    <t>Q15006_EMC2</t>
  </si>
  <si>
    <t>Q15008_PSMD6</t>
  </si>
  <si>
    <t>Q15011-3_HERPUD1</t>
  </si>
  <si>
    <t>Q15012_LAPTM4A</t>
  </si>
  <si>
    <t>Q15018_FAM175B</t>
  </si>
  <si>
    <t>Q15024_EXOSC7</t>
  </si>
  <si>
    <t>Q15029-2_EFTUD2</t>
  </si>
  <si>
    <t>Q15031_LARS2</t>
  </si>
  <si>
    <t>Q15032-2_R3HDM1</t>
  </si>
  <si>
    <t>Q15036_SNX17</t>
  </si>
  <si>
    <t>Q15043-2_SLC39A14</t>
  </si>
  <si>
    <t>Q15046_KARS</t>
  </si>
  <si>
    <t>Q15056_EIF4H</t>
  </si>
  <si>
    <t>Q15056-2_EIF4H</t>
  </si>
  <si>
    <t>Q15057_ACAP2</t>
  </si>
  <si>
    <t>Q15061_WDR43</t>
  </si>
  <si>
    <t>Q15067-2_ACOX1</t>
  </si>
  <si>
    <t>Q15075_EEA1</t>
  </si>
  <si>
    <t>Q15102_PAFAH1B3</t>
  </si>
  <si>
    <t>Q15113_PCOLCE</t>
  </si>
  <si>
    <t>Q15118_PDK1</t>
  </si>
  <si>
    <t>Q15119_PDK2</t>
  </si>
  <si>
    <t>Q15121_PEA15</t>
  </si>
  <si>
    <t>Q15124_PGM5</t>
  </si>
  <si>
    <t>Q15126_PMVK</t>
  </si>
  <si>
    <t>Q15139_PRKD1</t>
  </si>
  <si>
    <t>Q15147_PLCB4</t>
  </si>
  <si>
    <t>Q15149_PLEC</t>
  </si>
  <si>
    <t>Q15149-3_PLEC</t>
  </si>
  <si>
    <t>Q15149-4_PLEC</t>
  </si>
  <si>
    <t>Q15149-8_PLEC</t>
  </si>
  <si>
    <t>Q15155_NOMO1</t>
  </si>
  <si>
    <t>Q15170-2_TCEAL1</t>
  </si>
  <si>
    <t>Q15172_PPP2R5A</t>
  </si>
  <si>
    <t>Q15173-2_PPP2R5B</t>
  </si>
  <si>
    <t>Q15181_PPA1</t>
  </si>
  <si>
    <t>Q15208_STK38</t>
  </si>
  <si>
    <t>Q15223_PVRL1</t>
  </si>
  <si>
    <t>Q15233-2_NONO</t>
  </si>
  <si>
    <t>Q15274_QPRT</t>
  </si>
  <si>
    <t>Q15276_RABEP1</t>
  </si>
  <si>
    <t>Q15283-2_RASA2</t>
  </si>
  <si>
    <t>Q15286_RAB35</t>
  </si>
  <si>
    <t>Q15291-2_RBBP5</t>
  </si>
  <si>
    <t>Q15293_RCN1</t>
  </si>
  <si>
    <t>Q15311_RALBP1</t>
  </si>
  <si>
    <t>Q15334_LLGL1</t>
  </si>
  <si>
    <t>Q15363_TMED2</t>
  </si>
  <si>
    <t>Q15365_PCBP1</t>
  </si>
  <si>
    <t>Q15370_TCEB2</t>
  </si>
  <si>
    <t>Q15382_RHEB</t>
  </si>
  <si>
    <t>Q15386_UBE3C</t>
  </si>
  <si>
    <t>Q15393_SF3B3</t>
  </si>
  <si>
    <t>Q15404_RSU1</t>
  </si>
  <si>
    <t>Q15417_CNN3</t>
  </si>
  <si>
    <t>Q15424_SAFB</t>
  </si>
  <si>
    <t>Q15427_SF3B4</t>
  </si>
  <si>
    <t>Q15428_SF3A2</t>
  </si>
  <si>
    <t>Q15435_PPP1R7</t>
  </si>
  <si>
    <t>Q15437_SEC23B</t>
  </si>
  <si>
    <t>Q15438-2_CYTH1</t>
  </si>
  <si>
    <t>Q15459_SF3A1</t>
  </si>
  <si>
    <t>Q15464_SHB</t>
  </si>
  <si>
    <t>Q15493_RGN</t>
  </si>
  <si>
    <t>Q15506_SPA17</t>
  </si>
  <si>
    <t>Q15526-2_SURF1</t>
  </si>
  <si>
    <t>Q15545_TAF7</t>
  </si>
  <si>
    <t>Q15555-4_MAPRE2</t>
  </si>
  <si>
    <t>Q15582_TGFBI</t>
  </si>
  <si>
    <t>Q15599_SLC9A3R2</t>
  </si>
  <si>
    <t>Q15628_TRADD</t>
  </si>
  <si>
    <t>Q15637-5_SF1</t>
  </si>
  <si>
    <t>Q15642_TRIP10</t>
  </si>
  <si>
    <t>Q15642-2_TRIP10</t>
  </si>
  <si>
    <t>Q15643_TRIP11</t>
  </si>
  <si>
    <t>Q15645_TRIP13</t>
  </si>
  <si>
    <t>Q15650_TRIP4</t>
  </si>
  <si>
    <t>Q15654_TRIP6</t>
  </si>
  <si>
    <t>Q15691_MAPRE1</t>
  </si>
  <si>
    <t>Q15714_TSC22D1</t>
  </si>
  <si>
    <t>Q15717_ELAVL1</t>
  </si>
  <si>
    <t>Q15738_NSDHL</t>
  </si>
  <si>
    <t>Q15742-3_NAB2</t>
  </si>
  <si>
    <t>Q15743_GPR68</t>
  </si>
  <si>
    <t>Q15746-6_MYLK</t>
  </si>
  <si>
    <t>Q15750-2_TAB1</t>
  </si>
  <si>
    <t>Q15758_SLC1A5</t>
  </si>
  <si>
    <t>Q15759_MAPK11</t>
  </si>
  <si>
    <t>Q15771_RAB30</t>
  </si>
  <si>
    <t>Q15785_TOMM34</t>
  </si>
  <si>
    <t>Q15796-2_SMAD2</t>
  </si>
  <si>
    <t>Q15800_MSMO1</t>
  </si>
  <si>
    <t>Q15814_TBCC</t>
  </si>
  <si>
    <t>Q15819_UBE2V2</t>
  </si>
  <si>
    <t>Q15831-2_STK11</t>
  </si>
  <si>
    <t>Q15833-2_STXBP2</t>
  </si>
  <si>
    <t>Q15834_CCDC85B</t>
  </si>
  <si>
    <t>Q15836_VAMP3</t>
  </si>
  <si>
    <t>Q15847_ADIRF</t>
  </si>
  <si>
    <t>Q15904_ATP6AP1</t>
  </si>
  <si>
    <t>Q15907_RAB11B</t>
  </si>
  <si>
    <t>Q15942_ZYX</t>
  </si>
  <si>
    <t>Q16082_HSPB2</t>
  </si>
  <si>
    <t>Q16134_ETFDH</t>
  </si>
  <si>
    <t>Q16143_SNCB</t>
  </si>
  <si>
    <t>Q16181_SEPT7</t>
  </si>
  <si>
    <t>Q16186_ADRM1</t>
  </si>
  <si>
    <t>Q16204_CCDC6</t>
  </si>
  <si>
    <t>Q16222-3_UAP1</t>
  </si>
  <si>
    <t>Q16254_E2F4</t>
  </si>
  <si>
    <t>Q16270-2_IGFBP7</t>
  </si>
  <si>
    <t>Q16352_INA</t>
  </si>
  <si>
    <t>Q16363-2_LAMA4</t>
  </si>
  <si>
    <t>Q16401-2_PSMD5</t>
  </si>
  <si>
    <t>Q16512_PKN1</t>
  </si>
  <si>
    <t>Q16513_PKN2</t>
  </si>
  <si>
    <t>Q16531_DDB1</t>
  </si>
  <si>
    <t>Q16539_MAPK14</t>
  </si>
  <si>
    <t>Q16543_CDC37</t>
  </si>
  <si>
    <t>Q16555_DPYSL2</t>
  </si>
  <si>
    <t>Q16566_CAMK4</t>
  </si>
  <si>
    <t>Q16585_SGCB</t>
  </si>
  <si>
    <t>Q16610_ECM1</t>
  </si>
  <si>
    <t>Q16619-2_CTF1</t>
  </si>
  <si>
    <t>Q16625-5_OCLN</t>
  </si>
  <si>
    <t>Q16626_MEA1</t>
  </si>
  <si>
    <t>Q16643_DBN1</t>
  </si>
  <si>
    <t>Q16644_MAPKAPK3</t>
  </si>
  <si>
    <t>Q16647_PTGIS</t>
  </si>
  <si>
    <t>Q16658_FSCN1</t>
  </si>
  <si>
    <t>Q16706_MAN2A1</t>
  </si>
  <si>
    <t>Q16718_NDUFA5</t>
  </si>
  <si>
    <t>Q16719-2_KYNU</t>
  </si>
  <si>
    <t>Q16740_CLPP</t>
  </si>
  <si>
    <t>Q16762_TST</t>
  </si>
  <si>
    <t>Q16763_UBE2S</t>
  </si>
  <si>
    <t>Q16778_HIST2H2BE</t>
  </si>
  <si>
    <t>Q16799_RTN1</t>
  </si>
  <si>
    <t>Q16822_PCK2</t>
  </si>
  <si>
    <t>Q16825_PTPN21</t>
  </si>
  <si>
    <t>Q16831_UPP1</t>
  </si>
  <si>
    <t>Q16832_DDR2</t>
  </si>
  <si>
    <t>Q16850_CYP51A1</t>
  </si>
  <si>
    <t>Q16851_UGP2</t>
  </si>
  <si>
    <t>Q16854_DGUOK</t>
  </si>
  <si>
    <t>Q16864_ATP6V1F</t>
  </si>
  <si>
    <t>Q17R31-2_TATDN3</t>
  </si>
  <si>
    <t>Q1RMZ1_C7orf60</t>
  </si>
  <si>
    <t>Q27J81_INF2</t>
  </si>
  <si>
    <t>Q29RF7_PDS5A</t>
  </si>
  <si>
    <t>Q2M1Z3_ARHGAP31</t>
  </si>
  <si>
    <t>Q2M2I8-2_AAK1</t>
  </si>
  <si>
    <t>Q2NL98_VMAC</t>
  </si>
  <si>
    <t>Q2T9J0-2_TYSND1</t>
  </si>
  <si>
    <t>Q2TAA5_ALG11</t>
  </si>
  <si>
    <t>Q2TAL8_QRICH1</t>
  </si>
  <si>
    <t>Q2TAM5_RELA</t>
  </si>
  <si>
    <t>Q2TAY7_SMU1</t>
  </si>
  <si>
    <t>Q2VPS2_STX1B</t>
  </si>
  <si>
    <t>Q30201-5_HFE</t>
  </si>
  <si>
    <t>Q32MZ4-3_LRRFIP1</t>
  </si>
  <si>
    <t>Q32MZ4-4_LRRFIP1</t>
  </si>
  <si>
    <t>Q32P28_LEPRE1</t>
  </si>
  <si>
    <t>Q32P41_TRMT5</t>
  </si>
  <si>
    <t>Q32Q12_NME1-NME2</t>
  </si>
  <si>
    <t>Q3B726_TWISTNB</t>
  </si>
  <si>
    <t>Q3KQU3-2_MAP7D1</t>
  </si>
  <si>
    <t>Q3KQV9_UAP1L1</t>
  </si>
  <si>
    <t>Q3KQZ1-3_SLC25A35</t>
  </si>
  <si>
    <t>Q3KRA6_C2orf76</t>
  </si>
  <si>
    <t>Q3KRA9_ALKBH6</t>
  </si>
  <si>
    <t>Q3LXA3_DAK</t>
  </si>
  <si>
    <t>Q3MHD2_LSM12</t>
  </si>
  <si>
    <t>Q3MIT2_PUS10</t>
  </si>
  <si>
    <t>Q3SXM5_HSDL1</t>
  </si>
  <si>
    <t>Q3SY69_ALDH1L2</t>
  </si>
  <si>
    <t>Q3T906_GNPTAB</t>
  </si>
  <si>
    <t>Q3V6T2-4_CCDC88A</t>
  </si>
  <si>
    <t>Q3YEC7_RABL6</t>
  </si>
  <si>
    <t>Q3ZCM7_TUBB8</t>
  </si>
  <si>
    <t>Q3ZCQ8_TIMM50</t>
  </si>
  <si>
    <t>Q3ZCW2_LGALSL</t>
  </si>
  <si>
    <t>Q495W5-2_FUT11</t>
  </si>
  <si>
    <t>Q49AH0-2_CDNF</t>
  </si>
  <si>
    <t>Q49AR2_C5orf22</t>
  </si>
  <si>
    <t>Q49B96_COX19</t>
  </si>
  <si>
    <t>Q4G0F5_VPS26B</t>
  </si>
  <si>
    <t>Q4G0I0_CCSMST1</t>
  </si>
  <si>
    <t>Q4G0N4_NADKD1</t>
  </si>
  <si>
    <t>Q4G0P3_HYDIN</t>
  </si>
  <si>
    <t>Q4G0X4_KCTD21</t>
  </si>
  <si>
    <t>Q4G148-2_GXYLT1</t>
  </si>
  <si>
    <t>Q4G176_ACSF3</t>
  </si>
  <si>
    <t>Q4J6C6-4_PREPL</t>
  </si>
  <si>
    <t>Q4KMP7_TBC1D10B</t>
  </si>
  <si>
    <t>Q4KMQ2-3_ANO6</t>
  </si>
  <si>
    <t>Q4KWH8-3_PLCH1</t>
  </si>
  <si>
    <t>Q4L180-3_FILIP1L</t>
  </si>
  <si>
    <t>Q4LDE5_SVEP1</t>
  </si>
  <si>
    <t>Q4LDG9_DNAL1</t>
  </si>
  <si>
    <t>Q4V328_GRIPAP1</t>
  </si>
  <si>
    <t>Q4V9L6_TMEM119</t>
  </si>
  <si>
    <t>Q4VC05_BCL7A</t>
  </si>
  <si>
    <t>Q4VXL4_TACC2</t>
  </si>
  <si>
    <t>Q4VXZ8_DECR2</t>
  </si>
  <si>
    <t>Q4ZIN3-2_TMEM259</t>
  </si>
  <si>
    <t>Q52LD8_RFTN2</t>
  </si>
  <si>
    <t>Q52LJ0-2_FAM98B</t>
  </si>
  <si>
    <t>Q52LW3_ARHGAP29</t>
  </si>
  <si>
    <t>Q53EL6-2_PDCD4</t>
  </si>
  <si>
    <t>Q53EP0_FNDC3B</t>
  </si>
  <si>
    <t>Q53F39_MPPE1</t>
  </si>
  <si>
    <t>Q53FA7_TP53I3</t>
  </si>
  <si>
    <t>Q53FP2_TMEM35</t>
  </si>
  <si>
    <t>Q53FT3_C11orf73</t>
  </si>
  <si>
    <t>Q53GA4_PHLDA2</t>
  </si>
  <si>
    <t>Q53GG5-2_PDLIM3</t>
  </si>
  <si>
    <t>Q53GQ0_HSD17B12</t>
  </si>
  <si>
    <t>Q53H82_LACTB2</t>
  </si>
  <si>
    <t>Q53HV7_SMUG1</t>
  </si>
  <si>
    <t>Q53QV2_LBH</t>
  </si>
  <si>
    <t>Q53S33_BOLA3</t>
  </si>
  <si>
    <t>Q53T59_HS1BP3</t>
  </si>
  <si>
    <t>Q53TN4-3_CYBRD1</t>
  </si>
  <si>
    <t>Q53TS8-4_ALS2CR11</t>
  </si>
  <si>
    <t>Q53XA7_DKFZp686F13224</t>
  </si>
  <si>
    <t>Q562R1_ACTBL2</t>
  </si>
  <si>
    <t>Q567Q0_PPIA</t>
  </si>
  <si>
    <t>Q569H4_PRR16</t>
  </si>
  <si>
    <t>Q56VL3_OCIAD2</t>
  </si>
  <si>
    <t>Q587I9_SFT2D3</t>
  </si>
  <si>
    <t>Q58DX5_NAALADL2</t>
  </si>
  <si>
    <t>Q58FF8_HSP90AB2P</t>
  </si>
  <si>
    <t>Q58FG1_HSP90AA4P</t>
  </si>
  <si>
    <t>Q58WW2-3_DCAF6</t>
  </si>
  <si>
    <t>Q59GN2_RPL39P5</t>
  </si>
  <si>
    <t>Q5BJH7-6_YIF1B</t>
  </si>
  <si>
    <t>Q5BKU9_OXLD1</t>
  </si>
  <si>
    <t>Q5D1E8_ZC3H12A</t>
  </si>
  <si>
    <t>Q5EBL4_RILPL1</t>
  </si>
  <si>
    <t>Q5EBL8_PDZD11</t>
  </si>
  <si>
    <t>Q5GJ75_TNFAIP8L3</t>
  </si>
  <si>
    <t>Q5GLZ8-2_HERC4</t>
  </si>
  <si>
    <t>Q5H937_PKIG</t>
  </si>
  <si>
    <t>Q5H993_DCBLD1</t>
  </si>
  <si>
    <t>Q5H9A7_TIMP1</t>
  </si>
  <si>
    <t>Q5HYI7_MTX3</t>
  </si>
  <si>
    <t>Q5HYI8_RABL3</t>
  </si>
  <si>
    <t>Q5HYK3_COQ5</t>
  </si>
  <si>
    <t>Q5HYK7_SH3D19</t>
  </si>
  <si>
    <t>Q5JP53_TUBB</t>
  </si>
  <si>
    <t>Q5JPE7-2_NOMO2</t>
  </si>
  <si>
    <t>Q5JPH6_EARS2</t>
  </si>
  <si>
    <t>Q5JPI9_METTL10</t>
  </si>
  <si>
    <t>Q5JQ13_VCL</t>
  </si>
  <si>
    <t>Q5JQQ4_DPCD</t>
  </si>
  <si>
    <t>Q5JR01_EEF1A1</t>
  </si>
  <si>
    <t>Q5JR08_RHOC</t>
  </si>
  <si>
    <t>Q5JRA6_MIA3</t>
  </si>
  <si>
    <t>Q5JRG1_NUPL1</t>
  </si>
  <si>
    <t>Q5JRI1_SRSF10</t>
  </si>
  <si>
    <t>Q5JRX3_PITRM1</t>
  </si>
  <si>
    <t>Q5JS37_NHLRC3</t>
  </si>
  <si>
    <t>Q5JS54_PSMG4</t>
  </si>
  <si>
    <t>Q5JSB6_TFDP1</t>
  </si>
  <si>
    <t>Q5JSH3-2_WDR44</t>
  </si>
  <si>
    <t>Q5JSK7_HMGN5</t>
  </si>
  <si>
    <t>Q5JSZ5_PRRC2B</t>
  </si>
  <si>
    <t>Q5JT25-2_RAB41</t>
  </si>
  <si>
    <t>Q5JTD0-2_TJAP1</t>
  </si>
  <si>
    <t>Q5JTJ3-3_COA6</t>
  </si>
  <si>
    <t>Q5JTV1_GMEB2</t>
  </si>
  <si>
    <t>Q5JTV8_TOR1AIP1</t>
  </si>
  <si>
    <t>Q5JTZ9_AARS2</t>
  </si>
  <si>
    <t>Q5JU21_FPGS</t>
  </si>
  <si>
    <t>Q5JU69_TOR2A</t>
  </si>
  <si>
    <t>Q5JU85_IQSEC2</t>
  </si>
  <si>
    <t>Q5JV73_FRMPD3</t>
  </si>
  <si>
    <t>Q5JVF3-3_PCID2</t>
  </si>
  <si>
    <t>Q5JVS0_HABP4</t>
  </si>
  <si>
    <t>Q5JVZ5_ELMO2</t>
  </si>
  <si>
    <t>Q5JW30_STAU1</t>
  </si>
  <si>
    <t>Q5JWB9_TMEM230</t>
  </si>
  <si>
    <t>Q5JXX2_MORF4L2</t>
  </si>
  <si>
    <t>Q5JYT7_KIAA1755</t>
  </si>
  <si>
    <t>Q5JZH3_SNX21</t>
  </si>
  <si>
    <t>Q5K4L6_SLC27A3</t>
  </si>
  <si>
    <t>Q5K651_SAMD9</t>
  </si>
  <si>
    <t>Q5KU26_COLEC12</t>
  </si>
  <si>
    <t>Q5M775-4_SPECC1</t>
  </si>
  <si>
    <t>Q5MIZ7-3_SMEK2</t>
  </si>
  <si>
    <t>Q5MNZ6_WDR45B</t>
  </si>
  <si>
    <t>Q5MNZ9-2_WIPI1</t>
  </si>
  <si>
    <t>Q5NDL2_EOGT</t>
  </si>
  <si>
    <t>Q5QJ74_TBCEL</t>
  </si>
  <si>
    <t>Q5QNY5_PEX19</t>
  </si>
  <si>
    <t>Q5QNZ2_ATP5F1</t>
  </si>
  <si>
    <t>Q5QP56_BCL2L1</t>
  </si>
  <si>
    <t>Q5QPK2_DPM1</t>
  </si>
  <si>
    <t>Q5QPM7_PSMF1</t>
  </si>
  <si>
    <t>Q5R372-4_RABGAP1L</t>
  </si>
  <si>
    <t>Q5R372-7_RABGAP1L</t>
  </si>
  <si>
    <t>Q5R3E4_MAPK13</t>
  </si>
  <si>
    <t>Q5RI15_COX20</t>
  </si>
  <si>
    <t>Q5RKV6_EXOSC6</t>
  </si>
  <si>
    <t>Q5SNW6_MTHFR</t>
  </si>
  <si>
    <t>Q5SPY9_NPDC1</t>
  </si>
  <si>
    <t>Q5SQU3_PRKG1</t>
  </si>
  <si>
    <t>Q5SR50_PIK3CD</t>
  </si>
  <si>
    <t>Q5SR56_HIATL1</t>
  </si>
  <si>
    <t>Q5SRE7-2_PHYHD1</t>
  </si>
  <si>
    <t>Q5SRN5_HLA-A</t>
  </si>
  <si>
    <t>Q5SRQ6_CSNK2B</t>
  </si>
  <si>
    <t>Q5SVK8_DNMBP</t>
  </si>
  <si>
    <t>Q5SW96_LDLRAP1</t>
  </si>
  <si>
    <t>Q5SWX3_CAMK2G</t>
  </si>
  <si>
    <t>Q5SWX8_ODR4</t>
  </si>
  <si>
    <t>Q5SXM8_DNLZ</t>
  </si>
  <si>
    <t>Q5SYE7-2_NHSL1</t>
  </si>
  <si>
    <t>Q5SZE2_CERS2</t>
  </si>
  <si>
    <t>Q5T0D9_TPRG1L</t>
  </si>
  <si>
    <t>Q5T0N5-3_FNBP1L</t>
  </si>
  <si>
    <t>Q5T0S4_PPT1</t>
  </si>
  <si>
    <t>Q5T123_SH3BGRL3</t>
  </si>
  <si>
    <t>Q5T160_RARS2</t>
  </si>
  <si>
    <t>Q5T171_PYGO2</t>
  </si>
  <si>
    <t>Q5T179_CKS1B</t>
  </si>
  <si>
    <t>Q5T1C6_THEM4</t>
  </si>
  <si>
    <t>Q5T1M5_FKBP15</t>
  </si>
  <si>
    <t>Q5T1N9_GPSM2</t>
  </si>
  <si>
    <t>Q5T1V6_DDX59</t>
  </si>
  <si>
    <t>Q5T1Z4_PUM1</t>
  </si>
  <si>
    <t>Q5T2E6_C10orf76</t>
  </si>
  <si>
    <t>Q5T3F8_TMEM63B</t>
  </si>
  <si>
    <t>Q5T3J3-2_LRIF1</t>
  </si>
  <si>
    <t>Q5T3U5-2_ABCC10</t>
  </si>
  <si>
    <t>Q5T440_IBA57</t>
  </si>
  <si>
    <t>Q5T4B2_CERCAM</t>
  </si>
  <si>
    <t>Q5T4F4-2_ZFYVE27</t>
  </si>
  <si>
    <t>Q5T4K5_CRTC2</t>
  </si>
  <si>
    <t>Q5T4P9_PLEKHO1</t>
  </si>
  <si>
    <t>Q5T4S7-3_UBR4</t>
  </si>
  <si>
    <t>Q5T4U5_ACADM</t>
  </si>
  <si>
    <t>Q5T593_FAM219A</t>
  </si>
  <si>
    <t>Q5T5C0_STXBP5</t>
  </si>
  <si>
    <t>Q5T5U3_ARHGAP21</t>
  </si>
  <si>
    <t>Q5T5Y3-2_CAMSAP1</t>
  </si>
  <si>
    <t>Q5T6F2_UBAP2</t>
  </si>
  <si>
    <t>Q5T6J7_IDNK</t>
  </si>
  <si>
    <t>Q5T6V5_C9orf64</t>
  </si>
  <si>
    <t>Q5T7M9_FAM69A</t>
  </si>
  <si>
    <t>Q5T7V8_GORAB</t>
  </si>
  <si>
    <t>Q5T8C6_CDC16</t>
  </si>
  <si>
    <t>Q5T8D3-2_ACBD5</t>
  </si>
  <si>
    <t>Q5T8I0_COX6A1P2</t>
  </si>
  <si>
    <t>Q5T8M7_ACTA1</t>
  </si>
  <si>
    <t>Q5T8N1_NUP133</t>
  </si>
  <si>
    <t>Q5T8P6-2_RBM26</t>
  </si>
  <si>
    <t>Q5T8T7_MED22</t>
  </si>
  <si>
    <t>Q5T8U5_SURF4</t>
  </si>
  <si>
    <t>Q5T9B7_AK1</t>
  </si>
  <si>
    <t>Q5T9P7_PRPF18</t>
  </si>
  <si>
    <t>Q5TBP9_LSM14B</t>
  </si>
  <si>
    <t>Q5TBU2_ADIRF</t>
  </si>
  <si>
    <t>Q5TC82-2_RC3H1</t>
  </si>
  <si>
    <t>Q5TC84_OGFRL1</t>
  </si>
  <si>
    <t>Q5TD07_NQO2</t>
  </si>
  <si>
    <t>Q5TDH0_DDI2</t>
  </si>
  <si>
    <t>Q5TEA3_C20orf194</t>
  </si>
  <si>
    <t>Q5TEE2_HDAC1</t>
  </si>
  <si>
    <t>Q5TEU4_NDUFAF5</t>
  </si>
  <si>
    <t>Q5TFE4_NT5DC1</t>
  </si>
  <si>
    <t>Q5TGL8_PXDC1</t>
  </si>
  <si>
    <t>Q5TGY1_TMCO4</t>
  </si>
  <si>
    <t>Q5TIE1_SLC19A2</t>
  </si>
  <si>
    <t>Q5TIH2_SFT2D2</t>
  </si>
  <si>
    <t>Q5TZA2_CROCC</t>
  </si>
  <si>
    <t>Q5U5Q3_MEX3C</t>
  </si>
  <si>
    <t>Q5U5X0_LYRM7</t>
  </si>
  <si>
    <t>Q5VIR6-4_VPS53</t>
  </si>
  <si>
    <t>Q5VSL9_STRIP1</t>
  </si>
  <si>
    <t>Q5VST6_ABHD17B</t>
  </si>
  <si>
    <t>Q5VT52-2_RPRD2</t>
  </si>
  <si>
    <t>Q5VT94_GHITM</t>
  </si>
  <si>
    <t>Q5VTR2_RNF20</t>
  </si>
  <si>
    <t>Q5VU97_CACHD1</t>
  </si>
  <si>
    <t>Q5VUA4_ZNF318</t>
  </si>
  <si>
    <t>Q5VUB5_FAM171A1</t>
  </si>
  <si>
    <t>Q5VUJ6-2_LRCH2</t>
  </si>
  <si>
    <t>Q5VUM1_C6orf57</t>
  </si>
  <si>
    <t>Q5VV89_MGST3</t>
  </si>
  <si>
    <t>Q5VVD7_PLEKHM2</t>
  </si>
  <si>
    <t>Q5VVQ6-2_YOD1</t>
  </si>
  <si>
    <t>Q5VVW5_SLC2A8</t>
  </si>
  <si>
    <t>Q5VW32_BROX</t>
  </si>
  <si>
    <t>Q5VW36_FOCAD</t>
  </si>
  <si>
    <t>Q5VWC4_PSMD4</t>
  </si>
  <si>
    <t>Q5VWJ9_SNX30</t>
  </si>
  <si>
    <t>Q5VWQ8-2_DAB2IP</t>
  </si>
  <si>
    <t>Q5VWU8_PARD3</t>
  </si>
  <si>
    <t>Q5VWZ2_LYPLAL1</t>
  </si>
  <si>
    <t>Q5VY43_PEAR1</t>
  </si>
  <si>
    <t>Q5VYS8-2_ZCCHC6</t>
  </si>
  <si>
    <t>Q5VYX0-2_RNLS</t>
  </si>
  <si>
    <t>Q5VZE5_NAA35</t>
  </si>
  <si>
    <t>Q5VZI3-2_C9orf91</t>
  </si>
  <si>
    <t>Q5VZK9_LRRC16A</t>
  </si>
  <si>
    <t>Q5VZZ6_CELF2</t>
  </si>
  <si>
    <t>Q5W0A2_ITM2B</t>
  </si>
  <si>
    <t>Q5W0V3_FAM160B1</t>
  </si>
  <si>
    <t>Q5W111_SPRYD7</t>
  </si>
  <si>
    <t>Q5W145_NDUFB8</t>
  </si>
  <si>
    <t>Q5XKP0_QIL1</t>
  </si>
  <si>
    <t>Q5XPI4_RNF123</t>
  </si>
  <si>
    <t>Q5XUX1-3_FBXW9</t>
  </si>
  <si>
    <t>Q5ZPR3_CD276</t>
  </si>
  <si>
    <t>Q63HN8_RNF213</t>
  </si>
  <si>
    <t>Q63HQ0_AP1AR</t>
  </si>
  <si>
    <t>Q63ZY3-3_KANK2</t>
  </si>
  <si>
    <t>Q641Q2_FAM21A</t>
  </si>
  <si>
    <t>Q66K14-2_TBC1D9B</t>
  </si>
  <si>
    <t>Q66LE6_PPP2R2D</t>
  </si>
  <si>
    <t>Q66PJ3_ARL6IP4</t>
  </si>
  <si>
    <t>Q674X7-3_KAZN</t>
  </si>
  <si>
    <t>Q68CQ7_GLT8D1</t>
  </si>
  <si>
    <t>Q68CZ2_TNS3</t>
  </si>
  <si>
    <t>Q68D91_MBLAC2</t>
  </si>
  <si>
    <t>Q68DH5_LMBRD2</t>
  </si>
  <si>
    <t>Q68DM5_DKFZp781L1143</t>
  </si>
  <si>
    <t>Q68E01-2_INTS3</t>
  </si>
  <si>
    <t>Q68EM7-6_ARHGAP17</t>
  </si>
  <si>
    <t>Q69YN2-3_CWF19L1</t>
  </si>
  <si>
    <t>Q69YQ0-2_SPECC1L</t>
  </si>
  <si>
    <t>Q69YU5_C12orf73</t>
  </si>
  <si>
    <t>Q6AZY7-2_SCARA3</t>
  </si>
  <si>
    <t>Q6BCY4_CYB5R2</t>
  </si>
  <si>
    <t>Q6DD88_ATL3</t>
  </si>
  <si>
    <t>Q6DHV7_ADAL</t>
  </si>
  <si>
    <t>Q6DKJ4_NXN</t>
  </si>
  <si>
    <t>Q6DKK2_TTC19</t>
  </si>
  <si>
    <t>Q6DU44_HLA-E</t>
  </si>
  <si>
    <t>Q6EEV4-2_POLR2M</t>
  </si>
  <si>
    <t>Q6EMK4_VASN</t>
  </si>
  <si>
    <t>Q6FI81-3_CIAPIN1</t>
  </si>
  <si>
    <t>Q6FIF0-2_ZFAND6</t>
  </si>
  <si>
    <t>Q6GMV2_SMYD5</t>
  </si>
  <si>
    <t>Q6GMV3_PTRHD1</t>
  </si>
  <si>
    <t>Q6GQQ9_OTUD7B</t>
  </si>
  <si>
    <t>Q6GYA4_SELS</t>
  </si>
  <si>
    <t>Q6I9Y2_THOC7</t>
  </si>
  <si>
    <t>Q6IA69_NADSYN1</t>
  </si>
  <si>
    <t>Q6IA86-3_ELP2</t>
  </si>
  <si>
    <t>Q6IAA8_LAMTOR1</t>
  </si>
  <si>
    <t>Q6IAN0_DHRS7B</t>
  </si>
  <si>
    <t>Q6IBS0_TWF2</t>
  </si>
  <si>
    <t>Q6ICB0_DESI1</t>
  </si>
  <si>
    <t>Q6ICG6_KIAA0930</t>
  </si>
  <si>
    <t>Q6ICJ4_Em:AP000351.3</t>
  </si>
  <si>
    <t>Q6ICL3_TANGO2</t>
  </si>
  <si>
    <t>Q6IN85-2_SMEK1</t>
  </si>
  <si>
    <t>Q6IQ22_RAB12</t>
  </si>
  <si>
    <t>Q6IQ49-3_SDE2</t>
  </si>
  <si>
    <t>Q6KC79-3_NIPBL</t>
  </si>
  <si>
    <t>Q6N022_TENM4</t>
  </si>
  <si>
    <t>Q6N063_OGFOD2</t>
  </si>
  <si>
    <t>Q6NSJ0_KIAA1161</t>
  </si>
  <si>
    <t>Q6NT16_SLC18B1</t>
  </si>
  <si>
    <t>Q6NT89_TRNP1</t>
  </si>
  <si>
    <t>Q6NTE8_C5orf45</t>
  </si>
  <si>
    <t>Q6NUK1_SLC25A24</t>
  </si>
  <si>
    <t>Q6NUK4_REEP3</t>
  </si>
  <si>
    <t>Q6NUM9_RETSAT</t>
  </si>
  <si>
    <t>Q6NUQ1_RINT1</t>
  </si>
  <si>
    <t>Q6NUQ4-2_TMEM214</t>
  </si>
  <si>
    <t>Q6NUS6_TCTN3</t>
  </si>
  <si>
    <t>Q6NVU6_UFSP1</t>
  </si>
  <si>
    <t>Q6NVY1_HIBCH</t>
  </si>
  <si>
    <t>Q6NXT1_ANKRD54</t>
  </si>
  <si>
    <t>Q6NXT6_TAPT1</t>
  </si>
  <si>
    <t>Q6NYC8_PPP1R18</t>
  </si>
  <si>
    <t>Q6NZ53_THOC3</t>
  </si>
  <si>
    <t>Q6NZI2_PTRF</t>
  </si>
  <si>
    <t>Q6NZY7_CDC42EP5</t>
  </si>
  <si>
    <t>Q6P179_ERAP2</t>
  </si>
  <si>
    <t>Q6P1J9_CDC73</t>
  </si>
  <si>
    <t>Q6P1L8_MRPL14</t>
  </si>
  <si>
    <t>Q6P1M0_SLC27A4</t>
  </si>
  <si>
    <t>Q6P1N0-2_CC2D1A</t>
  </si>
  <si>
    <t>Q6P1R4_DUS1L</t>
  </si>
  <si>
    <t>Q6P1X6_C8orf82</t>
  </si>
  <si>
    <t>Q6P2E9_EDC4</t>
  </si>
  <si>
    <t>Q6P2P2_PRMT10</t>
  </si>
  <si>
    <t>Q6P3W7_SCYL2</t>
  </si>
  <si>
    <t>Q6P3X3_TTC27</t>
  </si>
  <si>
    <t>Q6P4E1_CASC4</t>
  </si>
  <si>
    <t>Q6P4F2_FDX1L</t>
  </si>
  <si>
    <t>Q6P4I2_WDR73</t>
  </si>
  <si>
    <t>Q6P582_MZT2A</t>
  </si>
  <si>
    <t>Q6P587_FAHD1</t>
  </si>
  <si>
    <t>Q6P6B1_C8orf47</t>
  </si>
  <si>
    <t>Q6P995_FAM171B</t>
  </si>
  <si>
    <t>Q6P9B6_KIAA1609</t>
  </si>
  <si>
    <t>Q6PCE3_PGM2L1</t>
  </si>
  <si>
    <t>Q6PD74_AAGAB</t>
  </si>
  <si>
    <t>Q6PGP7_TTC37</t>
  </si>
  <si>
    <t>Q6PI48_DARS2</t>
  </si>
  <si>
    <t>Q6PI78_TMEM65</t>
  </si>
  <si>
    <t>Q6PII3_CCDC174</t>
  </si>
  <si>
    <t>Q6PII5-2_HAGHL</t>
  </si>
  <si>
    <t>Q6PJ69_TRIM65</t>
  </si>
  <si>
    <t>Q6PJT7-5_ZC3H14</t>
  </si>
  <si>
    <t>Q6PJW8_CNST</t>
  </si>
  <si>
    <t>Q6PK18_OGFOD3</t>
  </si>
  <si>
    <t>Q6PKG0_LARP1</t>
  </si>
  <si>
    <t>Q6PML9_SLC30A9</t>
  </si>
  <si>
    <t>Q6QHF9-2_PAOX</t>
  </si>
  <si>
    <t>Q6QNY0_BLOC1S3</t>
  </si>
  <si>
    <t>Q6QNY1_BLOC1S2</t>
  </si>
  <si>
    <t>Q6RW13-2_AGTRAP</t>
  </si>
  <si>
    <t>Q6UB28_METAP1D</t>
  </si>
  <si>
    <t>Q6UB35_MTHFD1L</t>
  </si>
  <si>
    <t>Q6ULP2-3_AFTPH</t>
  </si>
  <si>
    <t>Q6UN15-3_FIP1L1</t>
  </si>
  <si>
    <t>Q6UUV9-3_CRTC1</t>
  </si>
  <si>
    <t>Q6UVK1_CSPG4</t>
  </si>
  <si>
    <t>Q6UVY6-2_MOXD1</t>
  </si>
  <si>
    <t>Q6UW56_ATRAID</t>
  </si>
  <si>
    <t>Q6UW63_KDELC1</t>
  </si>
  <si>
    <t>Q6UWE0_LRSAM1</t>
  </si>
  <si>
    <t>Q6UWH4_FAM198B</t>
  </si>
  <si>
    <t>Q6UWJ1-3_TMCO3</t>
  </si>
  <si>
    <t>Q6UWP2_DHRS11</t>
  </si>
  <si>
    <t>Q6UWP7-3_LCLAT1</t>
  </si>
  <si>
    <t>Q6UWS5_PET117</t>
  </si>
  <si>
    <t>Q6UWU4_C6orf89</t>
  </si>
  <si>
    <t>Q6UX04_CWC27</t>
  </si>
  <si>
    <t>Q6UX15-2_LAYN</t>
  </si>
  <si>
    <t>Q6UX53_METTL7B</t>
  </si>
  <si>
    <t>Q6UX71_PLXDC2</t>
  </si>
  <si>
    <t>Q6UXD5-6_SEZ6L2</t>
  </si>
  <si>
    <t>Q6UXH1-4_CRELD2</t>
  </si>
  <si>
    <t>Q6UXH8_CCBE1</t>
  </si>
  <si>
    <t>Q6UXN9_WDR82</t>
  </si>
  <si>
    <t>Q6UXP7_FAM151B</t>
  </si>
  <si>
    <t>Q6UXV4_APOOL</t>
  </si>
  <si>
    <t>Q6UXY1-2_BAIAP2L2</t>
  </si>
  <si>
    <t>Q6V0I7-3_FAT4</t>
  </si>
  <si>
    <t>Q6V1P9_DCHS2</t>
  </si>
  <si>
    <t>Q6V1X1-2_DPP8</t>
  </si>
  <si>
    <t>Q6VY07_PACS1</t>
  </si>
  <si>
    <t>Q6WCQ1_MPRIP</t>
  </si>
  <si>
    <t>Q6WKZ4_RAB11FIP1</t>
  </si>
  <si>
    <t>Q6XQN6_NAPRT1</t>
  </si>
  <si>
    <t>Q6Y1H2_PTPLB</t>
  </si>
  <si>
    <t>Q6Y288_B3GALTL</t>
  </si>
  <si>
    <t>Q6Y7W6-4_GIGYF2</t>
  </si>
  <si>
    <t>Q6YHK3_CD109</t>
  </si>
  <si>
    <t>Q6YHU6-3_THADA</t>
  </si>
  <si>
    <t>Q6YN16_HSDL2</t>
  </si>
  <si>
    <t>Q6YP21-3_CCBL2</t>
  </si>
  <si>
    <t>Q6ZMG9_CERS6</t>
  </si>
  <si>
    <t>Q6ZMI0_PPP1R21</t>
  </si>
  <si>
    <t>Q6ZMZ3-2_SYNE3</t>
  </si>
  <si>
    <t>Q6ZNW5_GDPGP1</t>
  </si>
  <si>
    <t>Q6ZPD9_DPY19L3</t>
  </si>
  <si>
    <t>Q6ZRP7_QSOX2</t>
  </si>
  <si>
    <t>Q6ZS17-2_FAM65A</t>
  </si>
  <si>
    <t>Q6ZSJ8_C1orf122</t>
  </si>
  <si>
    <t>Q6ZSS7_MFSD6</t>
  </si>
  <si>
    <t>Q6ZT21-2_TMPPE</t>
  </si>
  <si>
    <t>Q6ZTN6-3_ANKRD13D</t>
  </si>
  <si>
    <t>Q6ZUS6-5_CCDC149</t>
  </si>
  <si>
    <t>Q6ZUT6_C15orf52</t>
  </si>
  <si>
    <t>Q6ZUX7_LHFPL2</t>
  </si>
  <si>
    <t>Q6ZVK8_NUDT18</t>
  </si>
  <si>
    <t>Q6ZVM7_TOM1L2</t>
  </si>
  <si>
    <t>Q6ZW49-4_PAXIP1</t>
  </si>
  <si>
    <t>Q6ZWT7_MBOAT2</t>
  </si>
  <si>
    <t>Q6ZXV5-2_TMTC3</t>
  </si>
  <si>
    <t>Q709C8-3_VPS13C</t>
  </si>
  <si>
    <t>Q709F0_ACAD11</t>
  </si>
  <si>
    <t>Q70E73-7_RAPH1</t>
  </si>
  <si>
    <t>Q70IA6_MOB2</t>
  </si>
  <si>
    <t>Q70UQ0_IKBIP</t>
  </si>
  <si>
    <t>Q70UQ0-4_IKBIP</t>
  </si>
  <si>
    <t>Q70Z53-2_FRA10AC1</t>
  </si>
  <si>
    <t>Q712K3_UBE2R2</t>
  </si>
  <si>
    <t>Q71TU5_CSNK1A1</t>
  </si>
  <si>
    <t>Q765P7_MTSS1L</t>
  </si>
  <si>
    <t>Q76M96_CCDC80</t>
  </si>
  <si>
    <t>Q7KYR7-5_BTN2A1</t>
  </si>
  <si>
    <t>Q7KZ85_SUPT6H</t>
  </si>
  <si>
    <t>Q7KZF4_SND1</t>
  </si>
  <si>
    <t>Q7L014_DDX46</t>
  </si>
  <si>
    <t>Q7L099-3_RUFY3</t>
  </si>
  <si>
    <t>Q7L0J3-2_SV2A</t>
  </si>
  <si>
    <t>Q7L0Y3_TRMT10C</t>
  </si>
  <si>
    <t>Q7L1Q6_BZW1</t>
  </si>
  <si>
    <t>Q7L1W4_LRRC8D</t>
  </si>
  <si>
    <t>Q7L211_ABHD13</t>
  </si>
  <si>
    <t>Q7L2H7_EIF3M</t>
  </si>
  <si>
    <t>Q7L2J0_MEPCE</t>
  </si>
  <si>
    <t>Q7L311_ARMCX2</t>
  </si>
  <si>
    <t>Q7L4I2-2_RSRC2</t>
  </si>
  <si>
    <t>Q7L576_CYFIP1</t>
  </si>
  <si>
    <t>Q7L592_NDUFAF7</t>
  </si>
  <si>
    <t>Q7L5D6_GET4</t>
  </si>
  <si>
    <t>Q7L5N7_LPCAT2</t>
  </si>
  <si>
    <t>Q7L5Y1_ENOSF1</t>
  </si>
  <si>
    <t>Q7L775_EPM2AIP1</t>
  </si>
  <si>
    <t>Q7L7V1-2_DHX32</t>
  </si>
  <si>
    <t>Q7L7X3_TAOK1</t>
  </si>
  <si>
    <t>Q7L8J4_SH3BP5L</t>
  </si>
  <si>
    <t>Q7LBC6_KDM3B</t>
  </si>
  <si>
    <t>Q7LBR1_CHMP1B</t>
  </si>
  <si>
    <t>Q7LG56_RRM2B</t>
  </si>
  <si>
    <t>Q7LGA3_HS2ST1</t>
  </si>
  <si>
    <t>Q7RTN6-6_STRADA</t>
  </si>
  <si>
    <t>Q7RTP0_NIPA1</t>
  </si>
  <si>
    <t>Q7RTP6_MICAL3</t>
  </si>
  <si>
    <t>Q7RTS9_DYM</t>
  </si>
  <si>
    <t>Q7RTV0_PHF5A</t>
  </si>
  <si>
    <t>Q7RTV5_AAED1</t>
  </si>
  <si>
    <t>Q7Z2K8_GPRIN1</t>
  </si>
  <si>
    <t>Q7Z2X4-4_PID1</t>
  </si>
  <si>
    <t>Q7Z2Z2_EFTUD1</t>
  </si>
  <si>
    <t>Q7Z388_DPY19L4</t>
  </si>
  <si>
    <t>Q7Z3B1_NEGR1</t>
  </si>
  <si>
    <t>Q7Z3D4_LYSMD3</t>
  </si>
  <si>
    <t>Q7Z3D6-2_C14orf159</t>
  </si>
  <si>
    <t>Q7Z3E2_C10orf118</t>
  </si>
  <si>
    <t>Q7Z3E5_ARMC9</t>
  </si>
  <si>
    <t>Q7Z3T8_ZFYVE16</t>
  </si>
  <si>
    <t>Q7Z417_NUFIP2</t>
  </si>
  <si>
    <t>Q7Z422-2_SZRD1</t>
  </si>
  <si>
    <t>Q7Z434_MAVS</t>
  </si>
  <si>
    <t>Q7Z449_CYP2U1</t>
  </si>
  <si>
    <t>Q7Z478_DHX29</t>
  </si>
  <si>
    <t>Q7Z4F1_LRP10</t>
  </si>
  <si>
    <t>Q7Z4G1_COMMD6</t>
  </si>
  <si>
    <t>Q7Z4G4-2_TRMT11</t>
  </si>
  <si>
    <t>Q7Z4H3_HDDC2</t>
  </si>
  <si>
    <t>Q7Z4H7-3_HAUS6</t>
  </si>
  <si>
    <t>Q7Z4H8_KDELC2</t>
  </si>
  <si>
    <t>Q7Z4I7_LIMS2</t>
  </si>
  <si>
    <t>Q7Z4Q2_HEATR3</t>
  </si>
  <si>
    <t>Q7Z4V5_HDGFRP2</t>
  </si>
  <si>
    <t>Q7Z4W1_DCXR</t>
  </si>
  <si>
    <t>Q7Z5G4-3_GOLGA7</t>
  </si>
  <si>
    <t>Q7Z5K2_WAPAL</t>
  </si>
  <si>
    <t>Q7Z5L2-2_R3HCC1L</t>
  </si>
  <si>
    <t>Q7Z5L7_PODN</t>
  </si>
  <si>
    <t>Q7Z5L9-2_IRF2BP2</t>
  </si>
  <si>
    <t>Q7Z5R6_APBB1IP</t>
  </si>
  <si>
    <t>Q7Z624_CAMKMT</t>
  </si>
  <si>
    <t>Q7Z6B0-2_CCDC91</t>
  </si>
  <si>
    <t>Q7Z6B7_SRGAP1</t>
  </si>
  <si>
    <t>Q7Z6E9-4_RBBP6</t>
  </si>
  <si>
    <t>Q7Z6J0_SH3RF1</t>
  </si>
  <si>
    <t>Q7Z6K3_PTAR1</t>
  </si>
  <si>
    <t>Q7Z6K5_C15orf38</t>
  </si>
  <si>
    <t>Q7Z6L1_TECPR1</t>
  </si>
  <si>
    <t>Q7Z6M1_RABEPK</t>
  </si>
  <si>
    <t>Q7Z6M3_MILR1</t>
  </si>
  <si>
    <t>Q7Z6M4_MTERFD2</t>
  </si>
  <si>
    <t>Q7Z6Z7-2_HUWE1</t>
  </si>
  <si>
    <t>Q7Z7A3_CTU1</t>
  </si>
  <si>
    <t>Q7Z7A4_PXK</t>
  </si>
  <si>
    <t>Q7Z7C8_TAF8</t>
  </si>
  <si>
    <t>Q7Z7E8_UBE2Q1</t>
  </si>
  <si>
    <t>Q7Z7F0-4_KIAA0907</t>
  </si>
  <si>
    <t>Q7Z7H5-3_TMED4</t>
  </si>
  <si>
    <t>Q7Z7J9_CAMK2N1</t>
  </si>
  <si>
    <t>Q7Z7L7_ZER1</t>
  </si>
  <si>
    <t>Q7Z7M9_GALNT5</t>
  </si>
  <si>
    <t>Q7Z7N9_TMEM179B</t>
  </si>
  <si>
    <t>Q86SF2_GALNT7</t>
  </si>
  <si>
    <t>Q86SJ2_AMIGO2</t>
  </si>
  <si>
    <t>Q86SQ0_PHLDB2</t>
  </si>
  <si>
    <t>Q86SQ7_SDCCAG8</t>
  </si>
  <si>
    <t>Q86SR1_GALNT10</t>
  </si>
  <si>
    <t>Q86SX6_GLRX5</t>
  </si>
  <si>
    <t>Q86SZ2_TRAPPC6B</t>
  </si>
  <si>
    <t>Q86T03_TMEM55B</t>
  </si>
  <si>
    <t>Q86T13_CLEC14A</t>
  </si>
  <si>
    <t>Q86TB9-4_PATL1</t>
  </si>
  <si>
    <t>Q86TG1_TMEM150A</t>
  </si>
  <si>
    <t>Q86TI0-2_TBC1D1</t>
  </si>
  <si>
    <t>Q86TI2_DPP9</t>
  </si>
  <si>
    <t>Q86TM6-2_SYVN1</t>
  </si>
  <si>
    <t>Q86TN4_TRPT1</t>
  </si>
  <si>
    <t>Q86TP1_PRUNE</t>
  </si>
  <si>
    <t>Q86TS9-3_MRPL52</t>
  </si>
  <si>
    <t>Q86TU7_SETD3</t>
  </si>
  <si>
    <t>Q86TV2_LGMN</t>
  </si>
  <si>
    <t>Q86TX2_ACOT1</t>
  </si>
  <si>
    <t>Q86U28_ISCA2</t>
  </si>
  <si>
    <t>Q86U44_METTL3</t>
  </si>
  <si>
    <t>Q86U70-3_LDB1</t>
  </si>
  <si>
    <t>Q86U90_YRDC</t>
  </si>
  <si>
    <t>Q86UE4_MTDH</t>
  </si>
  <si>
    <t>Q86UK7-2_ZNF598</t>
  </si>
  <si>
    <t>Q86UL3_AGPAT6</t>
  </si>
  <si>
    <t>Q86UP2_KTN1</t>
  </si>
  <si>
    <t>Q86UU0-4_BCL9L</t>
  </si>
  <si>
    <t>Q86UU1-2_PHLDB1</t>
  </si>
  <si>
    <t>Q86UV5_USP48</t>
  </si>
  <si>
    <t>Q86UY0_TXNDC5</t>
  </si>
  <si>
    <t>Q86UY8-2_NT5DC3</t>
  </si>
  <si>
    <t>Q86V21_AACS</t>
  </si>
  <si>
    <t>Q86V48_LUZP1</t>
  </si>
  <si>
    <t>Q86V85_GPR180</t>
  </si>
  <si>
    <t>Q86V87_FAM160B2</t>
  </si>
  <si>
    <t>Q86VG3_C11orf74</t>
  </si>
  <si>
    <t>Q86VN1-2_VPS36</t>
  </si>
  <si>
    <t>Q86VP6_CAND1</t>
  </si>
  <si>
    <t>Q86VQ1_GLCCI1</t>
  </si>
  <si>
    <t>Q86VQ2_WASF3</t>
  </si>
  <si>
    <t>Q86VR2_FAM134C</t>
  </si>
  <si>
    <t>Q86VS8_HOOK3</t>
  </si>
  <si>
    <t>Q86VW0_SESTD1</t>
  </si>
  <si>
    <t>Q86VW2-2_ARHGEF25</t>
  </si>
  <si>
    <t>Q86VX2-2_COMMD7</t>
  </si>
  <si>
    <t>Q86W34_AMZ2</t>
  </si>
  <si>
    <t>Q86W42-3_THOC6</t>
  </si>
  <si>
    <t>Q86W56-2_PARG</t>
  </si>
  <si>
    <t>Q86W92-2_PPFIBP1</t>
  </si>
  <si>
    <t>Q86WA6-2_BPHL</t>
  </si>
  <si>
    <t>Q86WA9_SLC26A11</t>
  </si>
  <si>
    <t>Q86WC4_OSTM1</t>
  </si>
  <si>
    <t>Q86WG5_SBF2</t>
  </si>
  <si>
    <t>Q86WN1_FCHSD1</t>
  </si>
  <si>
    <t>Q86WQ0_NR2C2AP</t>
  </si>
  <si>
    <t>Q86WR0_CCDC25</t>
  </si>
  <si>
    <t>Q86WV6_TMEM173</t>
  </si>
  <si>
    <t>Q86WV7_CCDC43</t>
  </si>
  <si>
    <t>Q86X02_CDR2L</t>
  </si>
  <si>
    <t>Q86X19_TMEM17</t>
  </si>
  <si>
    <t>Q86X27_RALGPS2</t>
  </si>
  <si>
    <t>Q86X55-1_CARM1</t>
  </si>
  <si>
    <t>Q86X76-2_NIT1</t>
  </si>
  <si>
    <t>Q86X83_COMMD2</t>
  </si>
  <si>
    <t>Q86XP3_DDX42</t>
  </si>
  <si>
    <t>Q86XZ4_SPATS2</t>
  </si>
  <si>
    <t>Q86Y07-4_VRK2</t>
  </si>
  <si>
    <t>Q86Y37_CACUL1</t>
  </si>
  <si>
    <t>Q86Y39_NDUFA11</t>
  </si>
  <si>
    <t>Q86Y56_HEATR2</t>
  </si>
  <si>
    <t>Q86Y82_STX12</t>
  </si>
  <si>
    <t>Q86YB8_ERO1LB</t>
  </si>
  <si>
    <t>Q86YH6_PDSS2</t>
  </si>
  <si>
    <t>Q86YJ6-4_THNSL2</t>
  </si>
  <si>
    <t>Q86YP4-2_GATAD2A</t>
  </si>
  <si>
    <t>Q86YQ8_CPNE8</t>
  </si>
  <si>
    <t>Q86YR5-4_GPSM1</t>
  </si>
  <si>
    <t>Q86YS6_RAB43</t>
  </si>
  <si>
    <t>Q86YV5_SGK223</t>
  </si>
  <si>
    <t>Q8IU85-2_CAMK1D</t>
  </si>
  <si>
    <t>Q8IUC6_TICAM1</t>
  </si>
  <si>
    <t>Q8IUD2_ERC1</t>
  </si>
  <si>
    <t>Q8IUH4-2_ZDHHC13</t>
  </si>
  <si>
    <t>Q8IUI8_CRLF3</t>
  </si>
  <si>
    <t>Q8IUR0_TRAPPC5</t>
  </si>
  <si>
    <t>Q8IUW5_RELL1</t>
  </si>
  <si>
    <t>Q8IUZ5_AGXT2L2</t>
  </si>
  <si>
    <t>Q8IV08_PLD3</t>
  </si>
  <si>
    <t>Q8IV20_LACC1</t>
  </si>
  <si>
    <t>Q8IV38_ANKMY2</t>
  </si>
  <si>
    <t>Q8IV50_LYSMD2</t>
  </si>
  <si>
    <t>Q8IVB5_LIX1L</t>
  </si>
  <si>
    <t>Q8IVD9_NUDCD3</t>
  </si>
  <si>
    <t>Q8IVF2-3_AHNAK2</t>
  </si>
  <si>
    <t>Q8IVH4_MMAA</t>
  </si>
  <si>
    <t>Q8IVL5_LEPREL1</t>
  </si>
  <si>
    <t>Q8IVM0_CCDC50</t>
  </si>
  <si>
    <t>Q8IVS2_MCAT</t>
  </si>
  <si>
    <t>Q8IW45_CARKD</t>
  </si>
  <si>
    <t>Q8IWA4_MFN1</t>
  </si>
  <si>
    <t>Q8IWA5_SLC44A2</t>
  </si>
  <si>
    <t>Q8IWB1_ITPRIP</t>
  </si>
  <si>
    <t>Q8IWB7_WDFY1</t>
  </si>
  <si>
    <t>Q8IWB9_TEX2</t>
  </si>
  <si>
    <t>Q8IWC1-2_MAP7D3</t>
  </si>
  <si>
    <t>Q8IWE2_FAM114A1</t>
  </si>
  <si>
    <t>Q8IWE4_DCUN1D3</t>
  </si>
  <si>
    <t>Q8IWJ2_GCC2</t>
  </si>
  <si>
    <t>Q8IWV7_UBR1</t>
  </si>
  <si>
    <t>Q8IWV8-4_UBR2</t>
  </si>
  <si>
    <t>Q8IWW8-2_ADHFE1</t>
  </si>
  <si>
    <t>Q8IWZ3-6_ANKHD1</t>
  </si>
  <si>
    <t>Q8IWZ8_SUGP1</t>
  </si>
  <si>
    <t>Q8IX04_UEVLD</t>
  </si>
  <si>
    <t>Q8IX12-2_CCAR1</t>
  </si>
  <si>
    <t>Q8IXB1_DNAJC10</t>
  </si>
  <si>
    <t>Q8IXI2-4_RHOT1</t>
  </si>
  <si>
    <t>Q8IXJ6-2_SIRT2</t>
  </si>
  <si>
    <t>Q8IXQ3_C9orf40</t>
  </si>
  <si>
    <t>Q8IXQ4_KIAA1704</t>
  </si>
  <si>
    <t>Q8IY17-3_PNPLA6</t>
  </si>
  <si>
    <t>Q8IY31_IFT20</t>
  </si>
  <si>
    <t>Q8IY33_MICALL2</t>
  </si>
  <si>
    <t>Q8IY95-2_TMEM192</t>
  </si>
  <si>
    <t>Q8IYB1_MB21D2</t>
  </si>
  <si>
    <t>Q8IYB5-3_SMAP1</t>
  </si>
  <si>
    <t>Q8IYB7_DIS3L2</t>
  </si>
  <si>
    <t>Q8IYB8_SUPV3L1</t>
  </si>
  <si>
    <t>Q8IYD1_GSPT2</t>
  </si>
  <si>
    <t>Q8IYE0-2_CCDC146</t>
  </si>
  <si>
    <t>Q8IYI6_EXOC8</t>
  </si>
  <si>
    <t>Q8IYM9-2_TRIM22</t>
  </si>
  <si>
    <t>Q8IYQ7_THNSL1</t>
  </si>
  <si>
    <t>Q8IYS2_KIAA2013</t>
  </si>
  <si>
    <t>Q8IYU2_HACE1</t>
  </si>
  <si>
    <t>Q8IYU8_MICU2</t>
  </si>
  <si>
    <t>Q8IZ07_ANKRD13A</t>
  </si>
  <si>
    <t>Q8IZ21-3_PHACTR4</t>
  </si>
  <si>
    <t>Q8IZ68_MTX2</t>
  </si>
  <si>
    <t>Q8IZ73_RPUSD2</t>
  </si>
  <si>
    <t>Q8IZ81_ELMOD2</t>
  </si>
  <si>
    <t>Q8IZ83_ALDH16A1</t>
  </si>
  <si>
    <t>Q8IZD4_DCP1B</t>
  </si>
  <si>
    <t>Q8IZE3-2_SCYL3</t>
  </si>
  <si>
    <t>Q8IZR5-3_CMTM4</t>
  </si>
  <si>
    <t>Q8IZV5_RDH10</t>
  </si>
  <si>
    <t>Q8N0T1_C8orf59</t>
  </si>
  <si>
    <t>Q8N0U8_VKORC1L1</t>
  </si>
  <si>
    <t>Q8N0W3_FUK</t>
  </si>
  <si>
    <t>Q8N0X4_CLYBL</t>
  </si>
  <si>
    <t>Q8N0X7_SPG20</t>
  </si>
  <si>
    <t>Q8N0Z6_TTC5</t>
  </si>
  <si>
    <t>Q8N108-17_MIER1</t>
  </si>
  <si>
    <t>Q8N111_CEND1</t>
  </si>
  <si>
    <t>Q8N122_RPTOR</t>
  </si>
  <si>
    <t>Q8N129_CNPY4</t>
  </si>
  <si>
    <t>Q8N130_SLC34A3</t>
  </si>
  <si>
    <t>Q8N142_ADSSL1</t>
  </si>
  <si>
    <t>Q8N163-2_KIAA1967</t>
  </si>
  <si>
    <t>Q8N183_NDUFAF2</t>
  </si>
  <si>
    <t>Q8N1A6_C4orf33</t>
  </si>
  <si>
    <t>Q8N1B4_VPS52</t>
  </si>
  <si>
    <t>Q8N1F7_NUP93</t>
  </si>
  <si>
    <t>Q8N1G2_FTSJD2</t>
  </si>
  <si>
    <t>Q8N1G4_LRRC47</t>
  </si>
  <si>
    <t>Q8N1Q1_CA13</t>
  </si>
  <si>
    <t>Q8N1S5-2_SLC39A11</t>
  </si>
  <si>
    <t>Q8N283_ANKRD35</t>
  </si>
  <si>
    <t>Q8N2F6-3_ARMC10</t>
  </si>
  <si>
    <t>Q8N2G8-3_GHDC</t>
  </si>
  <si>
    <t>Q8N2H3_PYROXD2</t>
  </si>
  <si>
    <t>Q8N2K0_ABHD12</t>
  </si>
  <si>
    <t>Q8N300_CCDC23</t>
  </si>
  <si>
    <t>Q8N335_GPD1L</t>
  </si>
  <si>
    <t>Q8N339_MT1M</t>
  </si>
  <si>
    <t>Q8N350_DOS</t>
  </si>
  <si>
    <t>Q8N357_SLC35F6</t>
  </si>
  <si>
    <t>Q8N392_ARHGAP18</t>
  </si>
  <si>
    <t>Q8N3C0-4_ASCC3</t>
  </si>
  <si>
    <t>Q8N3D4_EHBP1L1</t>
  </si>
  <si>
    <t>Q8N3F8_MICALL1</t>
  </si>
  <si>
    <t>Q8N3R9_MPP5</t>
  </si>
  <si>
    <t>Q8N3V7-2_SYNPO</t>
  </si>
  <si>
    <t>Q8N3X1_FNBP4</t>
  </si>
  <si>
    <t>Q8N465_D2HGDH</t>
  </si>
  <si>
    <t>Q8N474_SFRP1</t>
  </si>
  <si>
    <t>Q8N488_RYBP</t>
  </si>
  <si>
    <t>Q8N490-2_PNKD</t>
  </si>
  <si>
    <t>Q8N4B1-2_FAM109A</t>
  </si>
  <si>
    <t>Q8N4C8_MINK1</t>
  </si>
  <si>
    <t>Q8N4H5_TOMM5</t>
  </si>
  <si>
    <t>Q8N4P3_HDDC3</t>
  </si>
  <si>
    <t>Q8N4Q0_ZADH2</t>
  </si>
  <si>
    <t>Q8N4Q1_CHCHD4</t>
  </si>
  <si>
    <t>Q8N4V1_MMGT1</t>
  </si>
  <si>
    <t>Q8N556_AFAP1</t>
  </si>
  <si>
    <t>Q8N573-2_OXR1</t>
  </si>
  <si>
    <t>Q8N584_TTC39C</t>
  </si>
  <si>
    <t>Q8N5C8-2_TAB3</t>
  </si>
  <si>
    <t>Q8N5G0-2_SMIM20</t>
  </si>
  <si>
    <t>Q8N5G2-2_TMEM57</t>
  </si>
  <si>
    <t>Q8N5H3-4_FAM89B</t>
  </si>
  <si>
    <t>Q8N5I4_DHRSX</t>
  </si>
  <si>
    <t>Q8N5I9_C12orf45</t>
  </si>
  <si>
    <t>Q8N5J2_FAM63A</t>
  </si>
  <si>
    <t>Q8N5K1_CISD2</t>
  </si>
  <si>
    <t>Q8N5M1_ATPAF2</t>
  </si>
  <si>
    <t>Q8N5M9_JAGN1</t>
  </si>
  <si>
    <t>Q8N5N7_MRPL50</t>
  </si>
  <si>
    <t>Q8N5X7_EIF4E3</t>
  </si>
  <si>
    <t>Q8N5Z5-2_KCTD17</t>
  </si>
  <si>
    <t>Q8N668_COMMD1</t>
  </si>
  <si>
    <t>Q8N684-2_CPSF7</t>
  </si>
  <si>
    <t>Q8N697_SLC15A4</t>
  </si>
  <si>
    <t>Q8N6G6-2_ADAMTSL1</t>
  </si>
  <si>
    <t>Q8N6H7_ARFGAP2</t>
  </si>
  <si>
    <t>Q8N6M0_OTUD6B</t>
  </si>
  <si>
    <t>Q8N6N3_C1orf52</t>
  </si>
  <si>
    <t>Q8N6N7_ACBD7</t>
  </si>
  <si>
    <t>Q8N6Q8_METTL25</t>
  </si>
  <si>
    <t>Q8N6T3_ARFGAP1</t>
  </si>
  <si>
    <t>Q8N766-4_EMC1</t>
  </si>
  <si>
    <t>Q8N7R7-3_CCNYL1</t>
  </si>
  <si>
    <t>Q8N8J7_C4orf32</t>
  </si>
  <si>
    <t>Q8N8N7_PTGR2</t>
  </si>
  <si>
    <t>Q8N8R5_C2orf69</t>
  </si>
  <si>
    <t>Q8N8S7-2_ENAH</t>
  </si>
  <si>
    <t>Q8N954_GPATCH11</t>
  </si>
  <si>
    <t>Q8N999_C12orf29</t>
  </si>
  <si>
    <t>Q8N9A8-2_CNEP1R1</t>
  </si>
  <si>
    <t>Q8N9I9_DTX3</t>
  </si>
  <si>
    <t>Q8N9N2-2_ASCC1</t>
  </si>
  <si>
    <t>Q8N9N7_LRRC57</t>
  </si>
  <si>
    <t>Q8N9V3-2_WDSUB1</t>
  </si>
  <si>
    <t>Q8NB14_USP38</t>
  </si>
  <si>
    <t>Q8NB16_MLKL</t>
  </si>
  <si>
    <t>Q8NB37_PDDC1</t>
  </si>
  <si>
    <t>Q8NB46_ANKRD52</t>
  </si>
  <si>
    <t>Q8NB49-3_ATP11C</t>
  </si>
  <si>
    <t>Q8NBF2_NHLRC2</t>
  </si>
  <si>
    <t>Q8NBF6_AVL9</t>
  </si>
  <si>
    <t>Q8NBI5_SLC43A3</t>
  </si>
  <si>
    <t>Q8NBI6_XXYLT1</t>
  </si>
  <si>
    <t>Q8NBJ4-2_GOLM1</t>
  </si>
  <si>
    <t>Q8NBJ5_COLGALT1</t>
  </si>
  <si>
    <t>Q8NBK3_SUMF1</t>
  </si>
  <si>
    <t>Q8NBL1_POGLUT1</t>
  </si>
  <si>
    <t>Q8NBM8_PCYOX1L</t>
  </si>
  <si>
    <t>Q8NBN3_TMEM87A</t>
  </si>
  <si>
    <t>Q8NBN7_RDH13</t>
  </si>
  <si>
    <t>Q8NBU5_ATAD1</t>
  </si>
  <si>
    <t>Q8NBX0_SCCPDH</t>
  </si>
  <si>
    <t>Q8NC44_FAM134A</t>
  </si>
  <si>
    <t>Q8NC51-2_SERBP1</t>
  </si>
  <si>
    <t>Q8NC56_LEMD2</t>
  </si>
  <si>
    <t>Q8NC96_NECAP1</t>
  </si>
  <si>
    <t>Q8NCA5-2_FAM98A</t>
  </si>
  <si>
    <t>Q8NCC3_PLA2G15</t>
  </si>
  <si>
    <t>Q8NCC5-3_SLC37A3</t>
  </si>
  <si>
    <t>Q8NCE2-2_MTMR14</t>
  </si>
  <si>
    <t>Q8NCG7-4_DAGLB</t>
  </si>
  <si>
    <t>Q8NCH0_CHST14</t>
  </si>
  <si>
    <t>Q8NCL4_GALNT6</t>
  </si>
  <si>
    <t>Q8NCN5_PDPR</t>
  </si>
  <si>
    <t>Q8NCW5_APOA1BP</t>
  </si>
  <si>
    <t>Q8ND24_RNF214</t>
  </si>
  <si>
    <t>Q8ND30_PPFIBP2</t>
  </si>
  <si>
    <t>Q8ND56-2_LSM14A</t>
  </si>
  <si>
    <t>Q8ND76-3_CCNY</t>
  </si>
  <si>
    <t>Q8ND90_PNMA1</t>
  </si>
  <si>
    <t>Q8ND94_LRRN4CL</t>
  </si>
  <si>
    <t>Q8NDC0_MAPK1IP1L</t>
  </si>
  <si>
    <t>Q8NDH3_NPEPL1</t>
  </si>
  <si>
    <t>Q8NDI1-3_EHBP1</t>
  </si>
  <si>
    <t>Q8NDV7-6_TNRC6A</t>
  </si>
  <si>
    <t>Q8NE00_TMEM104</t>
  </si>
  <si>
    <t>Q8NE71-2_ABCF1</t>
  </si>
  <si>
    <t>Q8NE86-3_MCU</t>
  </si>
  <si>
    <t>Q8NEC7_GSTCD</t>
  </si>
  <si>
    <t>Q8NEL9-2_DDHD1</t>
  </si>
  <si>
    <t>Q8NEN9_PDZD8</t>
  </si>
  <si>
    <t>Q8NEU8_APPL2</t>
  </si>
  <si>
    <t>Q8NEW0_SLC30A7</t>
  </si>
  <si>
    <t>Q8NEY1-2_NAV1</t>
  </si>
  <si>
    <t>Q8NEZ2-2_VPS37A</t>
  </si>
  <si>
    <t>Q8NEZ5_FBXO22</t>
  </si>
  <si>
    <t>Q8NF37_LPCAT1</t>
  </si>
  <si>
    <t>Q8NFC6_BOD1L1</t>
  </si>
  <si>
    <t>Q8NFF5-2_FLAD1</t>
  </si>
  <si>
    <t>Q8NFH3_NUP43</t>
  </si>
  <si>
    <t>Q8NFH4_NUP37</t>
  </si>
  <si>
    <t>Q8NFI3_ENGASE</t>
  </si>
  <si>
    <t>Q8NFQ8_TOR1AIP2</t>
  </si>
  <si>
    <t>Q8NFU3_TSTD1</t>
  </si>
  <si>
    <t>Q8NFV4_ABHD11</t>
  </si>
  <si>
    <t>Q8NFX7-2_STXBP6</t>
  </si>
  <si>
    <t>Q8NFZ4_NLGN2</t>
  </si>
  <si>
    <t>Q8NFZ8_CADM4</t>
  </si>
  <si>
    <t>Q8NG27-3_PJA1</t>
  </si>
  <si>
    <t>Q8NG68_TTL</t>
  </si>
  <si>
    <t>Q8NHG7_SVIP</t>
  </si>
  <si>
    <t>Q8NHH9_ATL2</t>
  </si>
  <si>
    <t>Q8NHP8_PLBD2</t>
  </si>
  <si>
    <t>Q8NHQ8-2_RASSF8</t>
  </si>
  <si>
    <t>Q8NHU3_SGMS2</t>
  </si>
  <si>
    <t>Q8NHU6_TDRD7</t>
  </si>
  <si>
    <t>Q8NHV1_GIMAP7</t>
  </si>
  <si>
    <t>Q8NHV4_NEDD1</t>
  </si>
  <si>
    <t>Q8NHZ8_CDC26</t>
  </si>
  <si>
    <t>Q8NI08-2_NCOA7</t>
  </si>
  <si>
    <t>Q8NI22-2_MCFD2</t>
  </si>
  <si>
    <t>Q8NI37_PPTC7</t>
  </si>
  <si>
    <t>Q8TAA9-2_VANGL1</t>
  </si>
  <si>
    <t>Q8TAE8_GADD45GIP1</t>
  </si>
  <si>
    <t>Q8TAF3_WDR48</t>
  </si>
  <si>
    <t>Q8TAP6-2_CEP76</t>
  </si>
  <si>
    <t>Q8TAP8_PPP1R35</t>
  </si>
  <si>
    <t>Q8TAT6_NPLOC4</t>
  </si>
  <si>
    <t>Q8TB03_CXorf38</t>
  </si>
  <si>
    <t>Q8TB22-3_SPATA20</t>
  </si>
  <si>
    <t>Q8TB24_RIN3</t>
  </si>
  <si>
    <t>Q8TB36-2_GDAP1</t>
  </si>
  <si>
    <t>Q8TB37_NUBPL</t>
  </si>
  <si>
    <t>Q8TB40_ABHD4</t>
  </si>
  <si>
    <t>Q8TB61-3_SLC35B2</t>
  </si>
  <si>
    <t>Q8TB72-2_PUM2</t>
  </si>
  <si>
    <t>Q8TB96_ITFG1</t>
  </si>
  <si>
    <t>Q8TBA6-2_GOLGA5</t>
  </si>
  <si>
    <t>Q8TBB0-2_THAP6</t>
  </si>
  <si>
    <t>Q8TBB6_SLC7A14</t>
  </si>
  <si>
    <t>Q8TBC4_UBA3</t>
  </si>
  <si>
    <t>Q8TBC5-4_ZSCAN18</t>
  </si>
  <si>
    <t>Q8TBE9_NANP</t>
  </si>
  <si>
    <t>Q8TBN0_RAB3IL1</t>
  </si>
  <si>
    <t>Q8TBX8_PIP4K2C</t>
  </si>
  <si>
    <t>Q8TC07-2_TBC1D15</t>
  </si>
  <si>
    <t>Q8TC12_RDH11</t>
  </si>
  <si>
    <t>Q8TC71-2_SPATA18</t>
  </si>
  <si>
    <t>Q8TCA0_LRRC20</t>
  </si>
  <si>
    <t>Q8TCD1_C18orf32</t>
  </si>
  <si>
    <t>Q8TCD5_NT5C</t>
  </si>
  <si>
    <t>Q8TCE6-2_FAM45A</t>
  </si>
  <si>
    <t>Q8TCG2_PI4K2B</t>
  </si>
  <si>
    <t>Q8TCJ2_STT3B</t>
  </si>
  <si>
    <t>Q8TCS8_PNPT1</t>
  </si>
  <si>
    <t>Q8TCT9-5_HM13</t>
  </si>
  <si>
    <t>Q8TCX1_DYNC2LI1</t>
  </si>
  <si>
    <t>Q8TCZ2-6_CD99L2</t>
  </si>
  <si>
    <t>Q8TD16_BICD2</t>
  </si>
  <si>
    <t>Q8TD19_NEK9</t>
  </si>
  <si>
    <t>Q8TD30_GPT2</t>
  </si>
  <si>
    <t>Q8TD55_PLEKHO2</t>
  </si>
  <si>
    <t>Q8TDB4_MGARP</t>
  </si>
  <si>
    <t>Q8TDH9_BLOC1S5</t>
  </si>
  <si>
    <t>Q8TDM0-3_BCAS4</t>
  </si>
  <si>
    <t>Q8TDM6_DLG5</t>
  </si>
  <si>
    <t>Q8TDQ7_GNPDA2</t>
  </si>
  <si>
    <t>Q8TDX7_NEK7</t>
  </si>
  <si>
    <t>Q8TDY2-2_RB1CC1</t>
  </si>
  <si>
    <t>Q8TDY4-3_ASAP3</t>
  </si>
  <si>
    <t>Q8TDZ2_MICAL1</t>
  </si>
  <si>
    <t>Q8TE73_DNAH5</t>
  </si>
  <si>
    <t>Q8TE77_SSH3</t>
  </si>
  <si>
    <t>Q8TEA1_NSUN6</t>
  </si>
  <si>
    <t>Q8TEA8_DTD1</t>
  </si>
  <si>
    <t>Q8TED1_GPX8</t>
  </si>
  <si>
    <t>Q8TED4-3_SLC37A2</t>
  </si>
  <si>
    <t>Q8TEJ3_SH3RF3</t>
  </si>
  <si>
    <t>Q8TEQ0-2_SNX29</t>
  </si>
  <si>
    <t>Q8TEV9-2_SMCR8</t>
  </si>
  <si>
    <t>Q8TEX9_IPO4</t>
  </si>
  <si>
    <t>Q8TF01_PNISR</t>
  </si>
  <si>
    <t>Q8TF05-2_PPP4R1</t>
  </si>
  <si>
    <t>Q8TF42_UBASH3B</t>
  </si>
  <si>
    <t>Q8TF66_LRRC15</t>
  </si>
  <si>
    <t>Q8TF72_SHROOM3</t>
  </si>
  <si>
    <t>Q8TF74_WIPF2</t>
  </si>
  <si>
    <t>Q8WTS1_ABHD5</t>
  </si>
  <si>
    <t>Q8WTS6_SETD7</t>
  </si>
  <si>
    <t>Q8WU10_PYROXD1</t>
  </si>
  <si>
    <t>Q8WU17_RNF139</t>
  </si>
  <si>
    <t>Q8WU76-2_SCFD2</t>
  </si>
  <si>
    <t>Q8WU79-2_SMAP2</t>
  </si>
  <si>
    <t>Q8WU90_ZC3H15</t>
  </si>
  <si>
    <t>Q8WUA2_PPIL4</t>
  </si>
  <si>
    <t>Q8WUA8_TSKU</t>
  </si>
  <si>
    <t>Q8WUB8-3_PHF10</t>
  </si>
  <si>
    <t>Q8WUD1_RAB2B</t>
  </si>
  <si>
    <t>Q8WUF5_PPP1R13L</t>
  </si>
  <si>
    <t>Q8WUF8_FAM172A</t>
  </si>
  <si>
    <t>Q8WUH1_CHURC1</t>
  </si>
  <si>
    <t>Q8WUH6_C12orf23</t>
  </si>
  <si>
    <t>Q8WUI4-3_HDAC7</t>
  </si>
  <si>
    <t>Q8WUJ0_STYX</t>
  </si>
  <si>
    <t>Q8WUK0-2_PTPMT1</t>
  </si>
  <si>
    <t>Q8WUM4_PDCD6IP</t>
  </si>
  <si>
    <t>Q8WUM9_SLC20A1</t>
  </si>
  <si>
    <t>Q8WUP2_FBLIM1</t>
  </si>
  <si>
    <t>Q8WUR7_C15orf40</t>
  </si>
  <si>
    <t>Q8WUX2_CHAC2</t>
  </si>
  <si>
    <t>Q8WUX9_CHMP7</t>
  </si>
  <si>
    <t>Q8WUY1_THEM6</t>
  </si>
  <si>
    <t>Q8WUY3-4_PRUNE2</t>
  </si>
  <si>
    <t>Q8WUY8_NAT14</t>
  </si>
  <si>
    <t>Q8WV41_SNX33</t>
  </si>
  <si>
    <t>Q8WV93_LACE1</t>
  </si>
  <si>
    <t>Q8WVC0_LEO1</t>
  </si>
  <si>
    <t>Q8WVC2_RPS21</t>
  </si>
  <si>
    <t>Q8WVD5_RNF141</t>
  </si>
  <si>
    <t>Q8WVE0_N6AMT2</t>
  </si>
  <si>
    <t>Q8WVJ2_NUDCD2</t>
  </si>
  <si>
    <t>Q8WVK2_SNRNP27</t>
  </si>
  <si>
    <t>Q8WVL7_ANKRD49</t>
  </si>
  <si>
    <t>Q8WVM8_SCFD1</t>
  </si>
  <si>
    <t>Q8WVN8-3_UBE2Q2</t>
  </si>
  <si>
    <t>Q8WVQ1_CANT1</t>
  </si>
  <si>
    <t>Q8WVT3_TRAPPC12</t>
  </si>
  <si>
    <t>Q8WVX9_FAR1</t>
  </si>
  <si>
    <t>Q8WVY7_UBLCP1</t>
  </si>
  <si>
    <t>Q8WW01_TSEN15</t>
  </si>
  <si>
    <t>Q8WW12_PCNP</t>
  </si>
  <si>
    <t>Q8WW59_SPRYD4</t>
  </si>
  <si>
    <t>Q8WWB7-2_C1orf85</t>
  </si>
  <si>
    <t>Q8WWC4_C2orf47</t>
  </si>
  <si>
    <t>Q8WWH5_TRUB1</t>
  </si>
  <si>
    <t>Q8WWI5_SLC44A1</t>
  </si>
  <si>
    <t>Q8WWM7_ATXN2L</t>
  </si>
  <si>
    <t>Q8WWM9_CYGB</t>
  </si>
  <si>
    <t>Q8WWV3_RTN4IP1</t>
  </si>
  <si>
    <t>Q8WWX9_SELM</t>
  </si>
  <si>
    <t>Q8WX92_NELFB</t>
  </si>
  <si>
    <t>Q8WX93-3_PALLD</t>
  </si>
  <si>
    <t>Q8WXA9-2_SREK1</t>
  </si>
  <si>
    <t>Q8WXD5_GEMIN6</t>
  </si>
  <si>
    <t>Q8WXE1-5_ATRIP</t>
  </si>
  <si>
    <t>Q8WXF1_PSPC1</t>
  </si>
  <si>
    <t>Q8WXH0_SYNE2</t>
  </si>
  <si>
    <t>Q8WXI9_GATAD2B</t>
  </si>
  <si>
    <t>Q8WXS3-2_BAALC</t>
  </si>
  <si>
    <t>Q8WXX5_DNAJC9</t>
  </si>
  <si>
    <t>Q8WYA6-3_CTNNBL1</t>
  </si>
  <si>
    <t>Q8WYL5_SSH1</t>
  </si>
  <si>
    <t>Q8WYN0_ATG4A</t>
  </si>
  <si>
    <t>Q8WYP5_AHCTF1</t>
  </si>
  <si>
    <t>Q8WZ82_OVCA2</t>
  </si>
  <si>
    <t>Q8WZA0_LZIC</t>
  </si>
  <si>
    <t>Q8WZA9_IRGQ</t>
  </si>
  <si>
    <t>Q92478_CLEC2B</t>
  </si>
  <si>
    <t>Q92499_DDX1</t>
  </si>
  <si>
    <t>Q92503-3_SEC14L1</t>
  </si>
  <si>
    <t>Q92504_SLC39A7</t>
  </si>
  <si>
    <t>Q92506_HSD17B8</t>
  </si>
  <si>
    <t>Q92508_PIEZO1</t>
  </si>
  <si>
    <t>Q92520_FAM3C</t>
  </si>
  <si>
    <t>Q92526_CCT6B</t>
  </si>
  <si>
    <t>Q92538_GBF1</t>
  </si>
  <si>
    <t>Q92541_RTF1</t>
  </si>
  <si>
    <t>Q92544_TM9SF4</t>
  </si>
  <si>
    <t>Q92546_RGP1</t>
  </si>
  <si>
    <t>Q92558_WASF1</t>
  </si>
  <si>
    <t>Q92567-2_FAM168A</t>
  </si>
  <si>
    <t>Q92572_AP3S1</t>
  </si>
  <si>
    <t>Q92574_TSC1</t>
  </si>
  <si>
    <t>Q92575_UBXN4</t>
  </si>
  <si>
    <t>Q92597_NDRG1</t>
  </si>
  <si>
    <t>Q92598-2_HSPH1</t>
  </si>
  <si>
    <t>Q92609_TBC1D5</t>
  </si>
  <si>
    <t>Q92615_LARP4B</t>
  </si>
  <si>
    <t>Q92616_GCN1L1</t>
  </si>
  <si>
    <t>Q92620_DHX38</t>
  </si>
  <si>
    <t>Q92621_NUP205</t>
  </si>
  <si>
    <t>Q92624_APPBP2</t>
  </si>
  <si>
    <t>Q92625_ANKS1A</t>
  </si>
  <si>
    <t>Q92626_PXDN</t>
  </si>
  <si>
    <t>Q92629-2_SGCD</t>
  </si>
  <si>
    <t>Q92636_NSMAF</t>
  </si>
  <si>
    <t>Q92686_NRGN</t>
  </si>
  <si>
    <t>Q92688_ANP32B</t>
  </si>
  <si>
    <t>Q92692_PVRL2</t>
  </si>
  <si>
    <t>Q92692-2_PVRL2</t>
  </si>
  <si>
    <t>Q92696_RABGGTA</t>
  </si>
  <si>
    <t>Q92734-2_TFG</t>
  </si>
  <si>
    <t>Q92738_USP6NL</t>
  </si>
  <si>
    <t>Q92747_ARPC1A</t>
  </si>
  <si>
    <t>Q92781_RDH5</t>
  </si>
  <si>
    <t>Q92783-2_STAM</t>
  </si>
  <si>
    <t>Q92791_LEPREL4</t>
  </si>
  <si>
    <t>Q92797_SYMPK</t>
  </si>
  <si>
    <t>Q92804-2_TAF15</t>
  </si>
  <si>
    <t>Q92805_GOLGA1</t>
  </si>
  <si>
    <t>Q92820_GGH</t>
  </si>
  <si>
    <t>Q92834-4_RPGR</t>
  </si>
  <si>
    <t>Q92843-2_BCL2L2</t>
  </si>
  <si>
    <t>Q92844_TANK</t>
  </si>
  <si>
    <t>Q92859-3_NEO1</t>
  </si>
  <si>
    <t>Q92871_PMM1</t>
  </si>
  <si>
    <t>Q92878-3_RAD50</t>
  </si>
  <si>
    <t>Q92882_OSTF1</t>
  </si>
  <si>
    <t>Q92888-3_ARHGEF1</t>
  </si>
  <si>
    <t>Q92889_ERCC4</t>
  </si>
  <si>
    <t>Q92890_UFD1L</t>
  </si>
  <si>
    <t>Q92896_GLG1</t>
  </si>
  <si>
    <t>Q92900-2_UPF1</t>
  </si>
  <si>
    <t>Q92905_COPS5</t>
  </si>
  <si>
    <t>Q92917_GPKOW</t>
  </si>
  <si>
    <t>Q92930_RAB8B</t>
  </si>
  <si>
    <t>Q92934_BAD</t>
  </si>
  <si>
    <t>Q92945_KHSRP</t>
  </si>
  <si>
    <t>Q92947_GCDH</t>
  </si>
  <si>
    <t>Q92963_RIT1</t>
  </si>
  <si>
    <t>Q92968_PEX13</t>
  </si>
  <si>
    <t>Q92973-2_TNPO1</t>
  </si>
  <si>
    <t>Q92974-2_ARHGEF2</t>
  </si>
  <si>
    <t>Q92990_GLMN</t>
  </si>
  <si>
    <t>Q92995_USP13</t>
  </si>
  <si>
    <t>Q93008-1_USP9X</t>
  </si>
  <si>
    <t>Q93015-2_NAT6</t>
  </si>
  <si>
    <t>Q93034_CUL5</t>
  </si>
  <si>
    <t>Q93052_LPP</t>
  </si>
  <si>
    <t>Q93063_EXT2</t>
  </si>
  <si>
    <t>Q93077_HIST1H2AC</t>
  </si>
  <si>
    <t>Q93096_PTP4A1</t>
  </si>
  <si>
    <t>Q969E2-2_SCAMP4</t>
  </si>
  <si>
    <t>Q969E4_TCEAL3</t>
  </si>
  <si>
    <t>Q969E8_TSR2</t>
  </si>
  <si>
    <t>Q969G6_RFK</t>
  </si>
  <si>
    <t>Q969H8_C19orf10</t>
  </si>
  <si>
    <t>Q969K3_RNF34</t>
  </si>
  <si>
    <t>Q969K7-3_TMEM54</t>
  </si>
  <si>
    <t>Q969M3_YIPF5</t>
  </si>
  <si>
    <t>Q969P0-3_IGSF8</t>
  </si>
  <si>
    <t>Q969Q5_RAB24</t>
  </si>
  <si>
    <t>Q969S3_ZNF622</t>
  </si>
  <si>
    <t>Q969S9-3_GFM2</t>
  </si>
  <si>
    <t>Q969T7-2_NT5C3B</t>
  </si>
  <si>
    <t>Q969V3-2_NCLN</t>
  </si>
  <si>
    <t>Q969X5-2_ERGIC1</t>
  </si>
  <si>
    <t>Q969Y2-3_GTPBP3</t>
  </si>
  <si>
    <t>Q969Z0_TBRG4</t>
  </si>
  <si>
    <t>Q969Z3_MARC2</t>
  </si>
  <si>
    <t>Q96A00_PPP1R14A</t>
  </si>
  <si>
    <t>Q96A19_CCDC102A</t>
  </si>
  <si>
    <t>Q96A29-2_SLC35C1</t>
  </si>
  <si>
    <t>Q96A33_CCDC47</t>
  </si>
  <si>
    <t>Q96A49_SYAP1</t>
  </si>
  <si>
    <t>Q96A65_EXOC4</t>
  </si>
  <si>
    <t>Q96A73_KIAA1191</t>
  </si>
  <si>
    <t>Q96A73-2_KIAA1191</t>
  </si>
  <si>
    <t>Q96AB3_ISOC2</t>
  </si>
  <si>
    <t>Q96AB6_NTAN1</t>
  </si>
  <si>
    <t>Q96AE4_FUBP1</t>
  </si>
  <si>
    <t>Q96AE4-2_FUBP1</t>
  </si>
  <si>
    <t>Q96AG3_SLC25A46</t>
  </si>
  <si>
    <t>Q96AG4_LRRC59</t>
  </si>
  <si>
    <t>Q96AH8_RAB7B</t>
  </si>
  <si>
    <t>Q96AJ9-1_VTI1A</t>
  </si>
  <si>
    <t>Q96AM1_MRGPRF</t>
  </si>
  <si>
    <t>Q96AQ6-2_PBXIP1</t>
  </si>
  <si>
    <t>Q96AQ8_MCUR1</t>
  </si>
  <si>
    <t>Q96AT1_KIAA1143</t>
  </si>
  <si>
    <t>Q96AT9_RPE</t>
  </si>
  <si>
    <t>Q96AY3_FKBP10</t>
  </si>
  <si>
    <t>Q96B23-2_C18orf25</t>
  </si>
  <si>
    <t>Q96B26_EXOSC8</t>
  </si>
  <si>
    <t>Q96B36_AKT1S1</t>
  </si>
  <si>
    <t>Q96B45_C10orf32</t>
  </si>
  <si>
    <t>Q96B49_TOMM6</t>
  </si>
  <si>
    <t>Q96B97_SH3KBP1</t>
  </si>
  <si>
    <t>Q96BA8_CREB3L1</t>
  </si>
  <si>
    <t>Q96BH1_RNF25</t>
  </si>
  <si>
    <t>Q96BJ3_AIDA</t>
  </si>
  <si>
    <t>Q96BM9_ARL8A</t>
  </si>
  <si>
    <t>Q96BN8_FAM105B</t>
  </si>
  <si>
    <t>Q96BP2_CHCHD1</t>
  </si>
  <si>
    <t>Q96BP3_PPWD1</t>
  </si>
  <si>
    <t>Q96BR5_SELRC1</t>
  </si>
  <si>
    <t>Q96BW5-2_PTER</t>
  </si>
  <si>
    <t>Q96BX8_MOB3A</t>
  </si>
  <si>
    <t>Q96BY7_ATG2B</t>
  </si>
  <si>
    <t>Q96BZ9_TBC1D20</t>
  </si>
  <si>
    <t>Q96C01_FAM136A</t>
  </si>
  <si>
    <t>Q96C11_FGGY</t>
  </si>
  <si>
    <t>Q96C19_EFHD2</t>
  </si>
  <si>
    <t>Q96C23_GALM</t>
  </si>
  <si>
    <t>Q96C36_PYCR2</t>
  </si>
  <si>
    <t>Q96C86_DCPS</t>
  </si>
  <si>
    <t>Q96C90_PPP1R14B</t>
  </si>
  <si>
    <t>Q96C92-4_SDCCAG3</t>
  </si>
  <si>
    <t>Q96CB9-4_NSUN4</t>
  </si>
  <si>
    <t>Q96CC6_RHBDF1</t>
  </si>
  <si>
    <t>Q96CD0_FBXL8</t>
  </si>
  <si>
    <t>Q96CD2_PPCDC</t>
  </si>
  <si>
    <t>Q96CG8_CTHRC1</t>
  </si>
  <si>
    <t>Q96CN4_EVI5L</t>
  </si>
  <si>
    <t>Q96CN7_ISOC1</t>
  </si>
  <si>
    <t>Q96CN9_GCC1</t>
  </si>
  <si>
    <t>Q96CP2_FLYWCH2</t>
  </si>
  <si>
    <t>Q96CQ1_SLC25A36</t>
  </si>
  <si>
    <t>Q96CS2_HAUS1</t>
  </si>
  <si>
    <t>Q96CS3_FAF2</t>
  </si>
  <si>
    <t>Q96CT7_CCDC124</t>
  </si>
  <si>
    <t>Q96CU9-3_FOXRED1</t>
  </si>
  <si>
    <t>Q96CV9_OPTN</t>
  </si>
  <si>
    <t>Q96CW1-2_AP2M1</t>
  </si>
  <si>
    <t>Q96CW5-3_TUBGCP3</t>
  </si>
  <si>
    <t>Q96CW6_SLC7A6OS</t>
  </si>
  <si>
    <t>Q96CX2_KCTD12</t>
  </si>
  <si>
    <t>Q96CX6_LRRC58</t>
  </si>
  <si>
    <t>Q96D15_RCN3</t>
  </si>
  <si>
    <t>Q96DA6-2_DNAJC19</t>
  </si>
  <si>
    <t>Q96DB5_RMDN1</t>
  </si>
  <si>
    <t>Q96DC8_ECHDC3</t>
  </si>
  <si>
    <t>Q96DD7_SHISA4</t>
  </si>
  <si>
    <t>Q96DE0_NUDT16</t>
  </si>
  <si>
    <t>Q96DE5_ANAPC16</t>
  </si>
  <si>
    <t>Q96DF8_DGCR14</t>
  </si>
  <si>
    <t>Q96DG6_CMBL</t>
  </si>
  <si>
    <t>Q96DR4_STARD4</t>
  </si>
  <si>
    <t>Q96DT0-3_LGALS12</t>
  </si>
  <si>
    <t>Q96DT5_DNAH11</t>
  </si>
  <si>
    <t>Q96DT6_ATG4C</t>
  </si>
  <si>
    <t>Q96DX4_RSPRY1</t>
  </si>
  <si>
    <t>Q96DX7_TRIM44</t>
  </si>
  <si>
    <t>Q96DZ1_ERLEC1</t>
  </si>
  <si>
    <t>Q96E09_FAM122A</t>
  </si>
  <si>
    <t>Q96E11-3_MRRF</t>
  </si>
  <si>
    <t>Q96E22_NUS1</t>
  </si>
  <si>
    <t>Q96EA4-2_SPDL1</t>
  </si>
  <si>
    <t>Q96EC8_YIPF6</t>
  </si>
  <si>
    <t>Q96EE3_SEH1L</t>
  </si>
  <si>
    <t>Q96EH3_MALSU1</t>
  </si>
  <si>
    <t>Q96EI5_TCEAL4</t>
  </si>
  <si>
    <t>Q96EK5_KIAA1279</t>
  </si>
  <si>
    <t>Q96EK6_GNPNAT1</t>
  </si>
  <si>
    <t>Q96EK9_KTI12</t>
  </si>
  <si>
    <t>Q96EL3_MRPL53</t>
  </si>
  <si>
    <t>Q96EM0_L3HYPDH</t>
  </si>
  <si>
    <t>Q96EP5-2_DAZAP1</t>
  </si>
  <si>
    <t>Q96EQ0_SGTB</t>
  </si>
  <si>
    <t>Q96ER9_CCDC51</t>
  </si>
  <si>
    <t>Q96EU7_C1GALT1C1</t>
  </si>
  <si>
    <t>Q96EV2_RBM33</t>
  </si>
  <si>
    <t>Q96EV8_DTNBP1</t>
  </si>
  <si>
    <t>Q96EX1_SMIM12</t>
  </si>
  <si>
    <t>Q96EY5_MVB12A</t>
  </si>
  <si>
    <t>Q96EY8_MMAB</t>
  </si>
  <si>
    <t>Q96F10_SAT2</t>
  </si>
  <si>
    <t>Q96F24-2_NRBF2</t>
  </si>
  <si>
    <t>Q96F46_IL17RA</t>
  </si>
  <si>
    <t>Q96F63_CCDC97</t>
  </si>
  <si>
    <t>Q96F85_CNRIP1</t>
  </si>
  <si>
    <t>Q96FH0-2_MEF2BNB</t>
  </si>
  <si>
    <t>Q96FJ0_STAMBPL1</t>
  </si>
  <si>
    <t>Q96FJ2_DYNLL2</t>
  </si>
  <si>
    <t>Q96FK6_WDR89</t>
  </si>
  <si>
    <t>Q96FN4_CPNE2</t>
  </si>
  <si>
    <t>Q96FQ6_S100A16</t>
  </si>
  <si>
    <t>Q96FS4_SIPA1</t>
  </si>
  <si>
    <t>Q96FX2_DPH3</t>
  </si>
  <si>
    <t>Q96FX7_TRMT61A</t>
  </si>
  <si>
    <t>Q96FZ7_CHMP6</t>
  </si>
  <si>
    <t>Q96G03_PGM2</t>
  </si>
  <si>
    <t>Q96G25_MED8</t>
  </si>
  <si>
    <t>Q96G28_CCDC104</t>
  </si>
  <si>
    <t>Q96G46_DUS3L</t>
  </si>
  <si>
    <t>Q96G61_NUDT11</t>
  </si>
  <si>
    <t>Q96GA7_SDSL</t>
  </si>
  <si>
    <t>Q96GD0_PDXP</t>
  </si>
  <si>
    <t>Q96GF1_RNF185</t>
  </si>
  <si>
    <t>Q96GG9_DCUN1D1</t>
  </si>
  <si>
    <t>Q96GK7_FAHD2A</t>
  </si>
  <si>
    <t>Q96GP6-2_SCARF2</t>
  </si>
  <si>
    <t>Q96GS4_C17orf59</t>
  </si>
  <si>
    <t>Q96GW9_MARS2</t>
  </si>
  <si>
    <t>Q96GX2_ATXN7L3B</t>
  </si>
  <si>
    <t>Q96GX9_APIP</t>
  </si>
  <si>
    <t>Q96GY0_ZC2HC1A</t>
  </si>
  <si>
    <t>Q96H20_SNF8</t>
  </si>
  <si>
    <t>Q96H79_ZC3HAV1L</t>
  </si>
  <si>
    <t>Q96HA4-4_C1orf159</t>
  </si>
  <si>
    <t>Q96HC4_PDLIM5</t>
  </si>
  <si>
    <t>Q96HD1_CRELD1</t>
  </si>
  <si>
    <t>Q96HE7_ERO1L</t>
  </si>
  <si>
    <t>Q96HJ9_C7orf55</t>
  </si>
  <si>
    <t>Q96HN2-2_AHCYL2</t>
  </si>
  <si>
    <t>Q96HQ2-2_CDKN2AIPNL</t>
  </si>
  <si>
    <t>Q96HR9_REEP6</t>
  </si>
  <si>
    <t>Q96HS1_PGAM5</t>
  </si>
  <si>
    <t>Q96HW7-2_INTS4</t>
  </si>
  <si>
    <t>Q96HY6_DDRGK1</t>
  </si>
  <si>
    <t>Q96HY7_DHTKD1</t>
  </si>
  <si>
    <t>Q96I15_SCLY</t>
  </si>
  <si>
    <t>Q96I24_FUBP3</t>
  </si>
  <si>
    <t>Q96I25_RBM17</t>
  </si>
  <si>
    <t>Q96I36_COX14</t>
  </si>
  <si>
    <t>Q96I51_WBSCR16</t>
  </si>
  <si>
    <t>Q96I99_SUCLG2</t>
  </si>
  <si>
    <t>Q96IG2_FBXL20</t>
  </si>
  <si>
    <t>Q96IJ6_GMPPA</t>
  </si>
  <si>
    <t>Q96IK1_BOD1</t>
  </si>
  <si>
    <t>Q96IU4_ABHD14B</t>
  </si>
  <si>
    <t>Q96IV0-2_NGLY1</t>
  </si>
  <si>
    <t>Q96IX5_USMG5</t>
  </si>
  <si>
    <t>Q96IZ0_PAWR</t>
  </si>
  <si>
    <t>Q96J02-2_ITCH</t>
  </si>
  <si>
    <t>Q96J84_KIRREL</t>
  </si>
  <si>
    <t>Q96JA1_LRIG1</t>
  </si>
  <si>
    <t>Q96JB5_CDK5RAP3</t>
  </si>
  <si>
    <t>Q96JC1-2_VPS39</t>
  </si>
  <si>
    <t>Q96JH7_VCPIP1</t>
  </si>
  <si>
    <t>Q96JJ7_TMX3</t>
  </si>
  <si>
    <t>Q96JK2-2_DCAF5</t>
  </si>
  <si>
    <t>Q96JM3_CHAMP1</t>
  </si>
  <si>
    <t>Q96JP5_ZFP91</t>
  </si>
  <si>
    <t>Q96JQ0_DCHS1</t>
  </si>
  <si>
    <t>Q96JY6_PDLIM2</t>
  </si>
  <si>
    <t>Q96K19-2_RNF170</t>
  </si>
  <si>
    <t>Q96KA5-2_CLPTM1L</t>
  </si>
  <si>
    <t>Q96KB5_PBK</t>
  </si>
  <si>
    <t>Q96KB7_CIZ1</t>
  </si>
  <si>
    <t>Q96KC8_DNAJC1</t>
  </si>
  <si>
    <t>Q96KN4_FAM84A</t>
  </si>
  <si>
    <t>Q96KP1_EXOC2</t>
  </si>
  <si>
    <t>Q96KP4_CNDP2</t>
  </si>
  <si>
    <t>Q96KR1_ZFR</t>
  </si>
  <si>
    <t>Q96KR6_FAM210B</t>
  </si>
  <si>
    <t>Q96L92_SNX27</t>
  </si>
  <si>
    <t>Q96LD4_TRIM47</t>
  </si>
  <si>
    <t>Q96LD8_SENP8</t>
  </si>
  <si>
    <t>Q96LJ7_DHRS1</t>
  </si>
  <si>
    <t>Q96LR5_UBE2E2</t>
  </si>
  <si>
    <t>Q96M20-2_CNBD2</t>
  </si>
  <si>
    <t>Q96M27_PRRC1</t>
  </si>
  <si>
    <t>Q96ME1-4_FBXL18</t>
  </si>
  <si>
    <t>Q96MH6-2_TMEM68</t>
  </si>
  <si>
    <t>Q96MP8-2_KCTD7</t>
  </si>
  <si>
    <t>Q96MW5_COG8</t>
  </si>
  <si>
    <t>Q96MX6_WDR92</t>
  </si>
  <si>
    <t>Q96N66-2_MBOAT7</t>
  </si>
  <si>
    <t>Q96NB3_ZNF830</t>
  </si>
  <si>
    <t>Q96NC0_ZMAT2</t>
  </si>
  <si>
    <t>Q96NT0_CCDC115</t>
  </si>
  <si>
    <t>Q96NT1_NAP1L5</t>
  </si>
  <si>
    <t>Q96NY7-2_CLIC6</t>
  </si>
  <si>
    <t>Q96P48-3_ARAP1</t>
  </si>
  <si>
    <t>Q96P50_ACAP3</t>
  </si>
  <si>
    <t>Q96P70_IPO9</t>
  </si>
  <si>
    <t>Q96PD2_DCBLD2</t>
  </si>
  <si>
    <t>Q96PE1-2_GPR124</t>
  </si>
  <si>
    <t>Q96PE2_ARHGEF17</t>
  </si>
  <si>
    <t>Q96PE7_MCEE</t>
  </si>
  <si>
    <t>Q96PK6_RBM14</t>
  </si>
  <si>
    <t>Q96PU5-2_NEDD4L</t>
  </si>
  <si>
    <t>Q96PY6-4_NEK1</t>
  </si>
  <si>
    <t>Q96PZ0_PUS7</t>
  </si>
  <si>
    <t>Q96Q06-2_PLIN4</t>
  </si>
  <si>
    <t>Q96Q11-2_TRNT1</t>
  </si>
  <si>
    <t>Q96Q45-2_TMEM237</t>
  </si>
  <si>
    <t>Q96Q83_ALKBH3</t>
  </si>
  <si>
    <t>Q96QB1_DLC1</t>
  </si>
  <si>
    <t>Q96QC0_PPP1R10</t>
  </si>
  <si>
    <t>Q96QD8_SLC38A2</t>
  </si>
  <si>
    <t>Q96QE2_SLC2A13</t>
  </si>
  <si>
    <t>Q96QG7_MTMR9</t>
  </si>
  <si>
    <t>Q96QK1_VPS35</t>
  </si>
  <si>
    <t>Q96QR8_PURB</t>
  </si>
  <si>
    <t>Q96QU6_ACCS</t>
  </si>
  <si>
    <t>Q96QU8_XPO6</t>
  </si>
  <si>
    <t>Q96QZ7-4_MAGI1</t>
  </si>
  <si>
    <t>Q96RD7_PANX1</t>
  </si>
  <si>
    <t>Q96RE7_NACC1</t>
  </si>
  <si>
    <t>Q96RF0-2_SNX18</t>
  </si>
  <si>
    <t>Q96RL7-2_VPS13A</t>
  </si>
  <si>
    <t>Q96RN5-3_MED15</t>
  </si>
  <si>
    <t>Q96RP9_GFM1</t>
  </si>
  <si>
    <t>Q96RQ1_ERGIC2</t>
  </si>
  <si>
    <t>Q96RR4_CAMKK2</t>
  </si>
  <si>
    <t>Q96RS6_NUDCD1</t>
  </si>
  <si>
    <t>Q96RT1-5_ERBB2IP</t>
  </si>
  <si>
    <t>Q96RU3-3_FNBP1</t>
  </si>
  <si>
    <t>Q96RW7-2_HMCN1</t>
  </si>
  <si>
    <t>Q96S19_C16orf13</t>
  </si>
  <si>
    <t>Q96S44_TP53RK</t>
  </si>
  <si>
    <t>Q96S52-2_PIGS</t>
  </si>
  <si>
    <t>Q96S59_RANBP9</t>
  </si>
  <si>
    <t>Q96S66_CLCC1</t>
  </si>
  <si>
    <t>Q96S82_UBL7</t>
  </si>
  <si>
    <t>Q96S90_LYSMD1</t>
  </si>
  <si>
    <t>Q96S99_PLEKHF1</t>
  </si>
  <si>
    <t>Q96SB3_PPP1R9B</t>
  </si>
  <si>
    <t>Q96SK2-2_TMEM209</t>
  </si>
  <si>
    <t>Q96SL1-2_DIRC2</t>
  </si>
  <si>
    <t>Q96SL4_GPX7</t>
  </si>
  <si>
    <t>Q96SQ9_CYP2S1</t>
  </si>
  <si>
    <t>Q96ST2_IWS1</t>
  </si>
  <si>
    <t>Q96SZ5_ADO</t>
  </si>
  <si>
    <t>Q96T23-2_RSF1</t>
  </si>
  <si>
    <t>Q96T51_RUFY1</t>
  </si>
  <si>
    <t>Q96T76_MMS19</t>
  </si>
  <si>
    <t>Q96T83_SLC9A7</t>
  </si>
  <si>
    <t>Q96TA1_FAM129B</t>
  </si>
  <si>
    <t>Q96TA2-3_YME1L1</t>
  </si>
  <si>
    <t>Q96TC7_RMDN3</t>
  </si>
  <si>
    <t>Q99081_TCF12</t>
  </si>
  <si>
    <t>Q99417_MYCBP</t>
  </si>
  <si>
    <t>Q99424_ACOX2</t>
  </si>
  <si>
    <t>Q99426_TBCB</t>
  </si>
  <si>
    <t>Q99436_PSMB7</t>
  </si>
  <si>
    <t>Q99447_PCYT2</t>
  </si>
  <si>
    <t>Q99460_PSMD1</t>
  </si>
  <si>
    <t>Q99470_SDF2</t>
  </si>
  <si>
    <t>Q99471_PFDN5</t>
  </si>
  <si>
    <t>Q99487_PAFAH2</t>
  </si>
  <si>
    <t>Q99497_PARK7</t>
  </si>
  <si>
    <t>Q99501_GAS2L1</t>
  </si>
  <si>
    <t>Q99519_NEU1</t>
  </si>
  <si>
    <t>Q99523_SORT1</t>
  </si>
  <si>
    <t>Q99536_VAT1</t>
  </si>
  <si>
    <t>Q99541_PLIN2</t>
  </si>
  <si>
    <t>Q99567_NUP88</t>
  </si>
  <si>
    <t>Q99569-2_PKP4</t>
  </si>
  <si>
    <t>Q99574_SERPINI1</t>
  </si>
  <si>
    <t>Q99576-3_TSC22D3</t>
  </si>
  <si>
    <t>Q99584_S100A13</t>
  </si>
  <si>
    <t>Q99595_TIMM17A</t>
  </si>
  <si>
    <t>Q99598_TSNAX</t>
  </si>
  <si>
    <t>Q99608_NDN</t>
  </si>
  <si>
    <t>Q99614_TTC1</t>
  </si>
  <si>
    <t>Q99615_DNAJC7</t>
  </si>
  <si>
    <t>Q99622_C12orf57</t>
  </si>
  <si>
    <t>Q99650_OSMR</t>
  </si>
  <si>
    <t>Q99653_CHP1</t>
  </si>
  <si>
    <t>Q99674_CGREF1</t>
  </si>
  <si>
    <t>Q99685_MGLL</t>
  </si>
  <si>
    <t>Q99700-4_ATXN2</t>
  </si>
  <si>
    <t>Q99704_DOK1</t>
  </si>
  <si>
    <t>Q99707_MTR</t>
  </si>
  <si>
    <t>Q99714_HSD17B10</t>
  </si>
  <si>
    <t>Q99720_SIGMAR1</t>
  </si>
  <si>
    <t>Q99729-3_HNRNPAB</t>
  </si>
  <si>
    <t>Q99733_NAP1L4</t>
  </si>
  <si>
    <t>Q99747_NAPG</t>
  </si>
  <si>
    <t>Q99757_TXN2</t>
  </si>
  <si>
    <t>Q99766_ATP5S</t>
  </si>
  <si>
    <t>Q99797_MIPEP</t>
  </si>
  <si>
    <t>Q99805_TM9SF2</t>
  </si>
  <si>
    <t>Q99808_SLC29A1</t>
  </si>
  <si>
    <t>Q99832_CCT7</t>
  </si>
  <si>
    <t>Q99832-3_CCT7</t>
  </si>
  <si>
    <t>Q99856_ARID3A</t>
  </si>
  <si>
    <t>Q99952-2_PTPN18</t>
  </si>
  <si>
    <t>Q99961_SH3GL1</t>
  </si>
  <si>
    <t>Q99969_RARRES2</t>
  </si>
  <si>
    <t>Q99972_MYOC</t>
  </si>
  <si>
    <t>Q99996-5_AKAP9</t>
  </si>
  <si>
    <t>Q9BPW8_NIPSNAP1</t>
  </si>
  <si>
    <t>Q9BPX5_ARPC5L</t>
  </si>
  <si>
    <t>Q9BPX7_C7orf25</t>
  </si>
  <si>
    <t>Q9BQ24_ZFYVE21</t>
  </si>
  <si>
    <t>Q9BQ51_PDCD1LG2</t>
  </si>
  <si>
    <t>Q9BQ52-4_ELAC2</t>
  </si>
  <si>
    <t>Q9BQ61_C19orf43</t>
  </si>
  <si>
    <t>Q9BQ69_MACROD1</t>
  </si>
  <si>
    <t>Q9BQ95_ECSIT</t>
  </si>
  <si>
    <t>Q9BQA9-2_C17orf62</t>
  </si>
  <si>
    <t>Q9BQB6_VKORC1</t>
  </si>
  <si>
    <t>Q9BQC3_DPH2</t>
  </si>
  <si>
    <t>Q9BQG0_MYBBP1A</t>
  </si>
  <si>
    <t>Q9BQJ4_TMEM47</t>
  </si>
  <si>
    <t>Q9BQL6_FERMT1</t>
  </si>
  <si>
    <t>Q9BQP7_MGME1</t>
  </si>
  <si>
    <t>Q9BQS8_FYCO1</t>
  </si>
  <si>
    <t>Q9BQT8-2_SLC25A21</t>
  </si>
  <si>
    <t>Q9BR61_ACBD6</t>
  </si>
  <si>
    <t>Q9BR76_CORO1B</t>
  </si>
  <si>
    <t>Q9BRA2_TXNDC17</t>
  </si>
  <si>
    <t>Q9BRF8_CPPED1</t>
  </si>
  <si>
    <t>Q9BRG1_VPS25</t>
  </si>
  <si>
    <t>Q9BRK0-2_REEP2</t>
  </si>
  <si>
    <t>Q9BRK5_SDF4</t>
  </si>
  <si>
    <t>Q9BRP1_PDCD2L</t>
  </si>
  <si>
    <t>Q9BRP4_PAAF1</t>
  </si>
  <si>
    <t>Q9BRP8-2_WIBG</t>
  </si>
  <si>
    <t>Q9BRQ8_AIFM2</t>
  </si>
  <si>
    <t>Q9BRR6-2_ADPGK</t>
  </si>
  <si>
    <t>Q9BRS2_RIOK1</t>
  </si>
  <si>
    <t>Q9BRS8_LARP6</t>
  </si>
  <si>
    <t>Q9BRT2_MNF1</t>
  </si>
  <si>
    <t>Q9BRT3_MIEN1</t>
  </si>
  <si>
    <t>Q9BRV8_SIKE1</t>
  </si>
  <si>
    <t>Q9BRX2_PELO</t>
  </si>
  <si>
    <t>Q9BRX8-2_FAM213A</t>
  </si>
  <si>
    <t>Q9BS26_ERP44</t>
  </si>
  <si>
    <t>Q9BS40_LXN</t>
  </si>
  <si>
    <t>Q9BSA9_TMEM175</t>
  </si>
  <si>
    <t>Q9BSB4_ATG101</t>
  </si>
  <si>
    <t>Q9BSD7_NTPCR</t>
  </si>
  <si>
    <t>Q9BSE4_HERPUD2</t>
  </si>
  <si>
    <t>Q9BSE5_AGMAT</t>
  </si>
  <si>
    <t>Q9BSF4_C19orf52</t>
  </si>
  <si>
    <t>Q9BSG0_PRADC1</t>
  </si>
  <si>
    <t>Q9BSH4_TACO1</t>
  </si>
  <si>
    <t>Q9BSH5_HDHD3</t>
  </si>
  <si>
    <t>Q9BSJ5-3_C17orf80</t>
  </si>
  <si>
    <t>Q9BSJ8-2_ESYT1</t>
  </si>
  <si>
    <t>Q9BSL1_UBAC1</t>
  </si>
  <si>
    <t>Q9BSN7_TMEM204</t>
  </si>
  <si>
    <t>Q9BSQ5-4_CCM2</t>
  </si>
  <si>
    <t>Q9BSR8_YIPF4</t>
  </si>
  <si>
    <t>Q9BST9-2_RTKN</t>
  </si>
  <si>
    <t>Q9BSU1_C16orf70</t>
  </si>
  <si>
    <t>Q9BSW2-2_EFCAB4B</t>
  </si>
  <si>
    <t>Q9BSY4_CHCHD5</t>
  </si>
  <si>
    <t>Q9BT09_CNPY3</t>
  </si>
  <si>
    <t>Q9BT22_ALG1</t>
  </si>
  <si>
    <t>Q9BT73_PSMG3</t>
  </si>
  <si>
    <t>Q9BT78_COPS4</t>
  </si>
  <si>
    <t>Q9BTC0_DIDO1</t>
  </si>
  <si>
    <t>Q9BTE3-2_MCMBP</t>
  </si>
  <si>
    <t>Q9BTL3_FAM103A1</t>
  </si>
  <si>
    <t>Q9BTT0_ANP32E</t>
  </si>
  <si>
    <t>Q9BTU6_PI4K2A</t>
  </si>
  <si>
    <t>Q9BTV4_TMEM43</t>
  </si>
  <si>
    <t>Q9BTV6_WDR85</t>
  </si>
  <si>
    <t>Q9BTX7_TTPAL</t>
  </si>
  <si>
    <t>Q9BTY2_FUCA2</t>
  </si>
  <si>
    <t>Q9BTY7_FAM203A</t>
  </si>
  <si>
    <t>Q9BTZ2_DHRS4</t>
  </si>
  <si>
    <t>Q9BU02_THTPA</t>
  </si>
  <si>
    <t>Q9BU23-3_LMF2</t>
  </si>
  <si>
    <t>Q9BU61_NDUFAF3</t>
  </si>
  <si>
    <t>Q9BU89_DOHH</t>
  </si>
  <si>
    <t>Q9BUB5-2_MKNK1</t>
  </si>
  <si>
    <t>Q9BUB7-2_TMEM70</t>
  </si>
  <si>
    <t>Q9BUD6_SPON2</t>
  </si>
  <si>
    <t>Q9BUE0_MED18</t>
  </si>
  <si>
    <t>Q9BUE6_ISCA1</t>
  </si>
  <si>
    <t>Q9BUF5_TUBB6</t>
  </si>
  <si>
    <t>Q9BUH6_C9orf142</t>
  </si>
  <si>
    <t>Q9BUJ2-2_HNRNPUL1</t>
  </si>
  <si>
    <t>Q9BUK6-3_MSTO1</t>
  </si>
  <si>
    <t>Q9BUP0_EFHD1</t>
  </si>
  <si>
    <t>Q9BUP3-3_HTATIP2</t>
  </si>
  <si>
    <t>Q9BUR4_WRAP53</t>
  </si>
  <si>
    <t>Q9BUT1_BDH2</t>
  </si>
  <si>
    <t>Q9BUW7_C9orf16</t>
  </si>
  <si>
    <t>Q9BV10_ALG12</t>
  </si>
  <si>
    <t>Q9BV19_C1orf50</t>
  </si>
  <si>
    <t>Q9BV20_MRI1</t>
  </si>
  <si>
    <t>Q9BV23_ABHD6</t>
  </si>
  <si>
    <t>Q9BV38_WDR18</t>
  </si>
  <si>
    <t>Q9BV44_THUMPD3</t>
  </si>
  <si>
    <t>Q9BV57_ADI1</t>
  </si>
  <si>
    <t>Q9BV68-2_RNF126</t>
  </si>
  <si>
    <t>Q9BV73-2_CEP250</t>
  </si>
  <si>
    <t>Q9BV79_MECR</t>
  </si>
  <si>
    <t>Q9BV86_NTMT1</t>
  </si>
  <si>
    <t>Q9BVA0_KATNB1</t>
  </si>
  <si>
    <t>Q9BVA6_FICD</t>
  </si>
  <si>
    <t>Q9BVC4-3_MLST8</t>
  </si>
  <si>
    <t>Q9BVC6_TMEM109</t>
  </si>
  <si>
    <t>Q9BVG4_PBDC1</t>
  </si>
  <si>
    <t>Q9BVG9_PTDSS2</t>
  </si>
  <si>
    <t>Q9BVJ6-3_UTP14A</t>
  </si>
  <si>
    <t>Q9BVJ7_DUSP23</t>
  </si>
  <si>
    <t>Q9BVK6_TMED9</t>
  </si>
  <si>
    <t>Q9BVL4_SELO</t>
  </si>
  <si>
    <t>Q9BVM4_GGACT</t>
  </si>
  <si>
    <t>Q9BVV7_TIMM21</t>
  </si>
  <si>
    <t>Q9BW30_TPPP3</t>
  </si>
  <si>
    <t>Q9BW60-2_ELOVL1</t>
  </si>
  <si>
    <t>Q9BW61_DDA1</t>
  </si>
  <si>
    <t>Q9BW62_KATNAL1</t>
  </si>
  <si>
    <t>Q9BW71_HIRIP3</t>
  </si>
  <si>
    <t>Q9BW83_IFT27</t>
  </si>
  <si>
    <t>Q9BW85_CCDC94</t>
  </si>
  <si>
    <t>Q9BW91-2_NUDT9</t>
  </si>
  <si>
    <t>Q9BW92_TARS2</t>
  </si>
  <si>
    <t>Q9BWD1_ACAT2</t>
  </si>
  <si>
    <t>Q9BWH2_FUNDC2</t>
  </si>
  <si>
    <t>Q9BWH6_RPAP1</t>
  </si>
  <si>
    <t>Q9BWJ5_SF3B5</t>
  </si>
  <si>
    <t>Q9BWM7_SFXN3</t>
  </si>
  <si>
    <t>Q9BWT7_CARD10</t>
  </si>
  <si>
    <t>Q9BWU0_SLC4A1AP</t>
  </si>
  <si>
    <t>Q9BX59_TAPBPL</t>
  </si>
  <si>
    <t>Q9BX67_JAM3</t>
  </si>
  <si>
    <t>Q9BX68_HINT2</t>
  </si>
  <si>
    <t>Q9BX95_SGPP1</t>
  </si>
  <si>
    <t>Q9BXB5_OSBPL10</t>
  </si>
  <si>
    <t>Q9BXF6_RAB11FIP5</t>
  </si>
  <si>
    <t>Q9BXH1-2_BBC3</t>
  </si>
  <si>
    <t>Q9BXJ8-2_TMEM120A</t>
  </si>
  <si>
    <t>Q9BXJ9_NAA15</t>
  </si>
  <si>
    <t>Q9BXK5_BCL2L13</t>
  </si>
  <si>
    <t>Q9BXP2_SLC12A9</t>
  </si>
  <si>
    <t>Q9BXP5-5_SRRT</t>
  </si>
  <si>
    <t>Q9BXR0_QTRT1</t>
  </si>
  <si>
    <t>Q9BXV9_C14orf142</t>
  </si>
  <si>
    <t>Q9BXW6_OSBPL1A</t>
  </si>
  <si>
    <t>Q9BXW7-2_CECR5</t>
  </si>
  <si>
    <t>Q9BY32_ITPA</t>
  </si>
  <si>
    <t>Q9BY43_CHMP4A</t>
  </si>
  <si>
    <t>Q9BY77_POLDIP3</t>
  </si>
  <si>
    <t>Q9BYB4_GNB1L</t>
  </si>
  <si>
    <t>Q9BYD6_MRPL1</t>
  </si>
  <si>
    <t>Q9BYM8_RBCK1</t>
  </si>
  <si>
    <t>Q9BYN0_SRXN1</t>
  </si>
  <si>
    <t>Q9BYN8_MRPS26</t>
  </si>
  <si>
    <t>Q9BYT8_NLN</t>
  </si>
  <si>
    <t>Q9BYV8_CEP41</t>
  </si>
  <si>
    <t>Q9BYX2-3_TBC1D2</t>
  </si>
  <si>
    <t>Q9BZ23-4_PANK2</t>
  </si>
  <si>
    <t>Q9BZ67-2_FRMD8</t>
  </si>
  <si>
    <t>Q9BZD2_SLC29A3</t>
  </si>
  <si>
    <t>Q9BZE2_PUS3</t>
  </si>
  <si>
    <t>Q9BZF1-3_OSBPL8</t>
  </si>
  <si>
    <t>Q9BZI7-2_UPF3B</t>
  </si>
  <si>
    <t>Q9BZK7_TBL1XR1</t>
  </si>
  <si>
    <t>Q9BZL1_UBL5</t>
  </si>
  <si>
    <t>Q9BZL4-3_PPP1R12C</t>
  </si>
  <si>
    <t>Q9BZM1_PLA2G12A</t>
  </si>
  <si>
    <t>Q9BZM4_ULBP3</t>
  </si>
  <si>
    <t>Q9BZM5_ULBP2</t>
  </si>
  <si>
    <t>Q9BZQ8_FAM129A</t>
  </si>
  <si>
    <t>Q9BZX2_UCK2</t>
  </si>
  <si>
    <t>Q9BZZ5-2_API5</t>
  </si>
  <si>
    <t>Q9C004_SPRY4</t>
  </si>
  <si>
    <t>Q9C005_DPY30</t>
  </si>
  <si>
    <t>Q9C037-2_TRIM4</t>
  </si>
  <si>
    <t>Q9C073_FAM117A</t>
  </si>
  <si>
    <t>Q9C0B1_FTO</t>
  </si>
  <si>
    <t>Q9C0B5-2_ZDHHC5</t>
  </si>
  <si>
    <t>Q9C0B7_TANGO6</t>
  </si>
  <si>
    <t>Q9C0C2_TNKS1BP1</t>
  </si>
  <si>
    <t>Q9C0C9_UBE2O</t>
  </si>
  <si>
    <t>Q9C0D5-2_TANC1</t>
  </si>
  <si>
    <t>Q9C0H2-2_TTYH3</t>
  </si>
  <si>
    <t>Q9C0I1_MTMR12</t>
  </si>
  <si>
    <t>Q9C0K7-2_STRADB</t>
  </si>
  <si>
    <t>Q9GZL7_WDR12</t>
  </si>
  <si>
    <t>Q9GZN8_C20orf27</t>
  </si>
  <si>
    <t>Q9GZP1_NRSN2</t>
  </si>
  <si>
    <t>Q9GZP4_PITHD1</t>
  </si>
  <si>
    <t>Q9GZP9_DERL2</t>
  </si>
  <si>
    <t>Q9GZQ3_COMMD5</t>
  </si>
  <si>
    <t>Q9GZS3_WDR61</t>
  </si>
  <si>
    <t>Q9GZT3-2_SLIRP</t>
  </si>
  <si>
    <t>Q9GZT4_SRR</t>
  </si>
  <si>
    <t>Q9GZT6-2_CCDC90B</t>
  </si>
  <si>
    <t>Q9GZT8-2_NIF3L1</t>
  </si>
  <si>
    <t>Q9GZT9_EGLN1</t>
  </si>
  <si>
    <t>Q9GZU8_FAM192A</t>
  </si>
  <si>
    <t>Q9GZV5_WWTR1</t>
  </si>
  <si>
    <t>Q9GZX9_TWSG1</t>
  </si>
  <si>
    <t>Q9GZY8-2_MFF</t>
  </si>
  <si>
    <t>Q9GZZ9_UBA5</t>
  </si>
  <si>
    <t>Q9H008_LHPP</t>
  </si>
  <si>
    <t>Q9H019-3_MTFR1L</t>
  </si>
  <si>
    <t>Q9H061_TMEM126A</t>
  </si>
  <si>
    <t>Q9H074_PAIP1</t>
  </si>
  <si>
    <t>Q9H078-2_CLPB</t>
  </si>
  <si>
    <t>Q9H082_RAB33B</t>
  </si>
  <si>
    <t>Q9H098_FAM107B</t>
  </si>
  <si>
    <t>Q9H0B6-2_KLC2</t>
  </si>
  <si>
    <t>Q9H0C8_ILKAP</t>
  </si>
  <si>
    <t>Q9H0D6_XRN2</t>
  </si>
  <si>
    <t>Q9H0E2_TOLLIP</t>
  </si>
  <si>
    <t>Q9H0F6_SHARPIN</t>
  </si>
  <si>
    <t>Q9H0F7_ARL6</t>
  </si>
  <si>
    <t>Q9H0G5_NSRP1</t>
  </si>
  <si>
    <t>Q9H0L4_CSTF2T</t>
  </si>
  <si>
    <t>Q9H0N0_RAB6C</t>
  </si>
  <si>
    <t>Q9H0Q0_FAM49A</t>
  </si>
  <si>
    <t>Q9H0R4_HDHD2</t>
  </si>
  <si>
    <t>Q9H0R6_QRSL1</t>
  </si>
  <si>
    <t>Q9H0U4_RAB1B</t>
  </si>
  <si>
    <t>Q9H0U9_TSPYL1</t>
  </si>
  <si>
    <t>Q9H0V9_LMAN2L</t>
  </si>
  <si>
    <t>Q9H0W8_SMG9</t>
  </si>
  <si>
    <t>Q9H0W9_C11orf54</t>
  </si>
  <si>
    <t>Q9H0X4_ITFG3</t>
  </si>
  <si>
    <t>Q9H0X9-2_OSBPL5</t>
  </si>
  <si>
    <t>Q9H115_NAPB</t>
  </si>
  <si>
    <t>Q9H173_SIL1</t>
  </si>
  <si>
    <t>Q9H1B7_IRF2BPL</t>
  </si>
  <si>
    <t>Q9H1E3_NUCKS1</t>
  </si>
  <si>
    <t>Q9H1I8-3_ASCC2</t>
  </si>
  <si>
    <t>Q9H1J1-3_UPF3A</t>
  </si>
  <si>
    <t>Q9H1K0_ZFYVE20</t>
  </si>
  <si>
    <t>Q9H1K1_ISCU</t>
  </si>
  <si>
    <t>Q9H1P3-2_OSBPL2</t>
  </si>
  <si>
    <t>Q9H1Y0_ATG5</t>
  </si>
  <si>
    <t>Q9H1Z9_TSPAN10</t>
  </si>
  <si>
    <t>Q9H223_EHD4</t>
  </si>
  <si>
    <t>Q9H246_C1orf21</t>
  </si>
  <si>
    <t>Q9H267_VPS33B</t>
  </si>
  <si>
    <t>Q9H269-2_VPS16</t>
  </si>
  <si>
    <t>Q9H270_VPS11</t>
  </si>
  <si>
    <t>Q9H2D1_SLC25A32</t>
  </si>
  <si>
    <t>Q9H2D6-5_TRIOBP</t>
  </si>
  <si>
    <t>Q9H2G2-2_SLK</t>
  </si>
  <si>
    <t>Q9H2H8_PPIL3</t>
  </si>
  <si>
    <t>Q9H2J4_PDCL3</t>
  </si>
  <si>
    <t>Q9H2K8_TAOK3</t>
  </si>
  <si>
    <t>Q9H2M9_RAB3GAP2</t>
  </si>
  <si>
    <t>Q9H2P9-3_DPH5</t>
  </si>
  <si>
    <t>Q9H2U2_PPA2</t>
  </si>
  <si>
    <t>Q9H2W6_MRPL46</t>
  </si>
  <si>
    <t>Q9H307_PNN</t>
  </si>
  <si>
    <t>Q9H329-2_EPB41L4B</t>
  </si>
  <si>
    <t>Q9H330-2_TMEM245</t>
  </si>
  <si>
    <t>Q9H3F6_KCTD10</t>
  </si>
  <si>
    <t>Q9H3H3-2_C11orf68</t>
  </si>
  <si>
    <t>Q9H3H5-2_DPAGT1</t>
  </si>
  <si>
    <t>Q9H3K6_BOLA2</t>
  </si>
  <si>
    <t>Q9H3N1_TMX1</t>
  </si>
  <si>
    <t>Q9H3P7_ACBD3</t>
  </si>
  <si>
    <t>Q9H3Q1_CDC42EP4</t>
  </si>
  <si>
    <t>Q9H3S7_PTPN23</t>
  </si>
  <si>
    <t>Q9H3U1-2_UNC45A</t>
  </si>
  <si>
    <t>Q9H3U5-3_MFSD1</t>
  </si>
  <si>
    <t>Q9H3Y8_PPDPF</t>
  </si>
  <si>
    <t>Q9H3Z4-2_DNAJC5</t>
  </si>
  <si>
    <t>Q9H425_C1orf198</t>
  </si>
  <si>
    <t>Q9H444_CHMP4B</t>
  </si>
  <si>
    <t>Q9H446-2_RWDD1</t>
  </si>
  <si>
    <t>Q9H467_CUEDC2</t>
  </si>
  <si>
    <t>Q9H469_FBXL15</t>
  </si>
  <si>
    <t>Q9H479_FN3K</t>
  </si>
  <si>
    <t>Q9H488_POFUT1</t>
  </si>
  <si>
    <t>Q9H492_MAP1LC3A</t>
  </si>
  <si>
    <t>Q9H497_TOR3A</t>
  </si>
  <si>
    <t>Q9H4A4_RNPEP</t>
  </si>
  <si>
    <t>Q9H4A5_GOLPH3L</t>
  </si>
  <si>
    <t>Q9H4A6_GOLPH3</t>
  </si>
  <si>
    <t>Q9H4B0_OSGEPL1</t>
  </si>
  <si>
    <t>Q9H4G0-2_EPB41L1</t>
  </si>
  <si>
    <t>Q9H4G4_GLIPR2</t>
  </si>
  <si>
    <t>Q9H4I2_ZHX3</t>
  </si>
  <si>
    <t>Q9H4L5-2_OSBPL3</t>
  </si>
  <si>
    <t>Q9H4M9_EHD1</t>
  </si>
  <si>
    <t>Q9H4P4-2_RNF41</t>
  </si>
  <si>
    <t>Q9H4X1-2_RGCC</t>
  </si>
  <si>
    <t>Q9H4Z3_PCIF1</t>
  </si>
  <si>
    <t>Q9H553_ALG2</t>
  </si>
  <si>
    <t>Q9H5N1_RABEP2</t>
  </si>
  <si>
    <t>Q9H5Q4_TFB2M</t>
  </si>
  <si>
    <t>Q9H5V8_CDCP1</t>
  </si>
  <si>
    <t>Q9H5V9-2_CXorf56</t>
  </si>
  <si>
    <t>Q9H5X1_FAM96A</t>
  </si>
  <si>
    <t>Q9H668_OBFC1</t>
  </si>
  <si>
    <t>Q9H6B4_CLMP</t>
  </si>
  <si>
    <t>Q9H6D3_XKR8</t>
  </si>
  <si>
    <t>Q9H6E4_CCDC134</t>
  </si>
  <si>
    <t>Q9H6H4_REEP4</t>
  </si>
  <si>
    <t>Q9H6K1_C6orf106</t>
  </si>
  <si>
    <t>Q9H6K4-2_OPA3</t>
  </si>
  <si>
    <t>Q9H6Q4_NARFL</t>
  </si>
  <si>
    <t>Q9H6R3_ACSS3</t>
  </si>
  <si>
    <t>Q9H6S1_AZI2</t>
  </si>
  <si>
    <t>Q9H6S3_EPS8L2</t>
  </si>
  <si>
    <t>Q9H6T3_RPAP3</t>
  </si>
  <si>
    <t>Q9H6U6-7_BCAS3</t>
  </si>
  <si>
    <t>Q9H6U8_ALG9</t>
  </si>
  <si>
    <t>Q9H6X2_ANTXR1</t>
  </si>
  <si>
    <t>Q9H6X4-2_TMEM134</t>
  </si>
  <si>
    <t>Q9H6Y2_WDR55</t>
  </si>
  <si>
    <t>Q9H6Z4-3_RANBP3</t>
  </si>
  <si>
    <t>Q9H773_DCTPP1</t>
  </si>
  <si>
    <t>Q9H788-2_SH2D4A</t>
  </si>
  <si>
    <t>Q9H792_PEAK1</t>
  </si>
  <si>
    <t>Q9H7B4_SMYD3</t>
  </si>
  <si>
    <t>Q9H7C4-2_SYNC</t>
  </si>
  <si>
    <t>Q9H7C9_AAMDC</t>
  </si>
  <si>
    <t>Q9H7D7-2_WDR26</t>
  </si>
  <si>
    <t>Q9H7F0_ATP13A3</t>
  </si>
  <si>
    <t>Q9H7F4_TMEM185B</t>
  </si>
  <si>
    <t>Q9H7M9_C10orf54</t>
  </si>
  <si>
    <t>Q9H7Z7_PTGES2</t>
  </si>
  <si>
    <t>Q9H814_PHAX</t>
  </si>
  <si>
    <t>Q9H832_UBE2Z</t>
  </si>
  <si>
    <t>Q9H840_GEMIN7</t>
  </si>
  <si>
    <t>Q9H845_ACAD9</t>
  </si>
  <si>
    <t>Q9H857-2_NT5DC2</t>
  </si>
  <si>
    <t>Q9H8G2_CAAP1</t>
  </si>
  <si>
    <t>Q9H8K7_C10orf88</t>
  </si>
  <si>
    <t>Q9H8M7_FAM188A</t>
  </si>
  <si>
    <t>Q9H8S9_MOB1A</t>
  </si>
  <si>
    <t>Q9H8U3_ZFAND3</t>
  </si>
  <si>
    <t>Q9H8W4_PLEKHF2</t>
  </si>
  <si>
    <t>Q9H8Y8_GORASP2</t>
  </si>
  <si>
    <t>Q9H936_SLC25A22</t>
  </si>
  <si>
    <t>Q9H939_PSTPIP2</t>
  </si>
  <si>
    <t>Q9H944_MED20</t>
  </si>
  <si>
    <t>Q9H974_QTRTD1</t>
  </si>
  <si>
    <t>Q9H977_WDR54</t>
  </si>
  <si>
    <t>Q9H993_C6orf211</t>
  </si>
  <si>
    <t>Q9H999_PANK3</t>
  </si>
  <si>
    <t>Q9H9A6_LRRC40</t>
  </si>
  <si>
    <t>Q9H9B4_SFXN1</t>
  </si>
  <si>
    <t>Q9H9H4_VPS37B</t>
  </si>
  <si>
    <t>Q9H9S4_CAB39L</t>
  </si>
  <si>
    <t>Q9H9V9-2_JMJD4</t>
  </si>
  <si>
    <t>Q9H9Y4_GPN2</t>
  </si>
  <si>
    <t>Q9HA64_FN3KRP</t>
  </si>
  <si>
    <t>Q9HA65_TBC1D17</t>
  </si>
  <si>
    <t>Q9HA77_CARS2</t>
  </si>
  <si>
    <t>Q9HAB8_PPCS</t>
  </si>
  <si>
    <t>Q9HAD4_WDR41</t>
  </si>
  <si>
    <t>Q9HAT2-2_SIAE</t>
  </si>
  <si>
    <t>Q9HAU0_PLEKHA5</t>
  </si>
  <si>
    <t>Q9HAU4_SMURF2</t>
  </si>
  <si>
    <t>Q9HAV0_GNB4</t>
  </si>
  <si>
    <t>Q9HAV4_XPO5</t>
  </si>
  <si>
    <t>Q9HAV5_EDA2R</t>
  </si>
  <si>
    <t>Q9HAV7_GRPEL1</t>
  </si>
  <si>
    <t>Q9HB07_C12orf10</t>
  </si>
  <si>
    <t>Q9HB09_BCL2L12</t>
  </si>
  <si>
    <t>Q9HB19_PLEKHA2</t>
  </si>
  <si>
    <t>Q9HB20_PLEKHA3</t>
  </si>
  <si>
    <t>Q9HB40_SCPEP1</t>
  </si>
  <si>
    <t>Q9HB71_CACYBP</t>
  </si>
  <si>
    <t>Q9HB90_RRAGC</t>
  </si>
  <si>
    <t>Q9HBD4_SMARCA4</t>
  </si>
  <si>
    <t>Q9HBH5_RDH14</t>
  </si>
  <si>
    <t>Q9HBI1_PARVB</t>
  </si>
  <si>
    <t>Q9HBL7_PLGRKT</t>
  </si>
  <si>
    <t>Q9HBL8_NMRAL1</t>
  </si>
  <si>
    <t>Q9HBM6_TAF9B</t>
  </si>
  <si>
    <t>Q9HBM8_AGPAT1</t>
  </si>
  <si>
    <t>Q9HBR0_SLC38A10</t>
  </si>
  <si>
    <t>Q9HBU6_ETNK1</t>
  </si>
  <si>
    <t>Q9HBZ2-2_ARNT2</t>
  </si>
  <si>
    <t>Q9HC21_SLC25A19</t>
  </si>
  <si>
    <t>Q9HC35_EML4</t>
  </si>
  <si>
    <t>Q9HC38-2_GLOD4</t>
  </si>
  <si>
    <t>Q9HC56-2_PCDH9</t>
  </si>
  <si>
    <t>Q9HC57_WFDC1</t>
  </si>
  <si>
    <t>Q9HC98_NEK6</t>
  </si>
  <si>
    <t>Q9HCC0_MCCC2</t>
  </si>
  <si>
    <t>Q9HCD6_TANC2</t>
  </si>
  <si>
    <t>Q9HCE0_EPG5</t>
  </si>
  <si>
    <t>Q9HCE3_ZNF532</t>
  </si>
  <si>
    <t>Q9HCE5_METTL14</t>
  </si>
  <si>
    <t>Q9HCH0-3_NCKAP5L</t>
  </si>
  <si>
    <t>Q9HCH5-6_SYTL2</t>
  </si>
  <si>
    <t>Q9HCJ6_VAT1L</t>
  </si>
  <si>
    <t>Q9HCM4-4_EPB41L5</t>
  </si>
  <si>
    <t>Q9HCN4-2_GPN1</t>
  </si>
  <si>
    <t>Q9HCN8_SDF2L1</t>
  </si>
  <si>
    <t>Q9HCU0_CD248</t>
  </si>
  <si>
    <t>Q9HCU5_PREB</t>
  </si>
  <si>
    <t>Q9HD15_SRA1</t>
  </si>
  <si>
    <t>Q9HD20-2_ATP13A1</t>
  </si>
  <si>
    <t>Q9HD42_CHMP1A</t>
  </si>
  <si>
    <t>Q9HD45_TM9SF3</t>
  </si>
  <si>
    <t>Q9HD47_RANGRF</t>
  </si>
  <si>
    <t>Q9HDC9_APMAP</t>
  </si>
  <si>
    <t>Q9NNX1-2_TUFT1</t>
  </si>
  <si>
    <t>Q9NP56_PDE7B</t>
  </si>
  <si>
    <t>Q9NP58-4_ABCB6</t>
  </si>
  <si>
    <t>Q9NP61_ARFGAP3</t>
  </si>
  <si>
    <t>Q9NP72_RAB18</t>
  </si>
  <si>
    <t>Q9NP74-2_PALMD</t>
  </si>
  <si>
    <t>Q9NP77_SSU72</t>
  </si>
  <si>
    <t>Q9NP79_VTA1</t>
  </si>
  <si>
    <t>Q9NP80-3_PNPLA8</t>
  </si>
  <si>
    <t>Q9NP84_TNFRSF12A</t>
  </si>
  <si>
    <t>Q9NPA0_EMC7</t>
  </si>
  <si>
    <t>Q9NPA8-2_ENY2</t>
  </si>
  <si>
    <t>Q9NPB8_GPCPD1</t>
  </si>
  <si>
    <t>Q9NPD3_EXOSC4</t>
  </si>
  <si>
    <t>Q9NPF0_CD320</t>
  </si>
  <si>
    <t>Q9NPF4_OSGEP</t>
  </si>
  <si>
    <t>Q9NPG8_ZDHHC4</t>
  </si>
  <si>
    <t>Q9NPH0_ACP6</t>
  </si>
  <si>
    <t>Q9NPI6_DCP1A</t>
  </si>
  <si>
    <t>Q9NPJ3_ACOT13</t>
  </si>
  <si>
    <t>Q9NPJ6_MED4</t>
  </si>
  <si>
    <t>Q9NPL8_TIMMDC1</t>
  </si>
  <si>
    <t>Q9NPQ8-4_RIC8A</t>
  </si>
  <si>
    <t>Q9NPR9_GPR108</t>
  </si>
  <si>
    <t>Q9NQ66-2_PLCB1</t>
  </si>
  <si>
    <t>Q9NQ75_CASS4</t>
  </si>
  <si>
    <t>Q9NQ88_TIGAR</t>
  </si>
  <si>
    <t>Q9NQC3_RTN4</t>
  </si>
  <si>
    <t>Q9NQC3-5_RTN4</t>
  </si>
  <si>
    <t>Q9NQE9_HINT3</t>
  </si>
  <si>
    <t>Q9NQG1_MANBAL</t>
  </si>
  <si>
    <t>Q9NQG5_RPRD1B</t>
  </si>
  <si>
    <t>Q9NQH7-2_XPNPEP3</t>
  </si>
  <si>
    <t>Q9NQR4_NIT2</t>
  </si>
  <si>
    <t>Q9NQS1_AVEN</t>
  </si>
  <si>
    <t>Q9NQS3_PVRL3</t>
  </si>
  <si>
    <t>Q9NQT4_EXOSC5</t>
  </si>
  <si>
    <t>Q9NQT8_KIF13B</t>
  </si>
  <si>
    <t>Q9NQW7-3_XPNPEP1</t>
  </si>
  <si>
    <t>Q9NQY0_BIN3</t>
  </si>
  <si>
    <t>Q9NQZ5_STARD7</t>
  </si>
  <si>
    <t>Q9NR12_PDLIM7</t>
  </si>
  <si>
    <t>Q9NR19_ACSS2</t>
  </si>
  <si>
    <t>Q9NR28-2_DIABLO</t>
  </si>
  <si>
    <t>Q9NR30_DDX21</t>
  </si>
  <si>
    <t>Q9NR31_SAR1A</t>
  </si>
  <si>
    <t>Q9NR33_POLE4</t>
  </si>
  <si>
    <t>Q9NR45_NANS</t>
  </si>
  <si>
    <t>Q9NR48-2_ASH1L</t>
  </si>
  <si>
    <t>Q9NR50_EIF2B3</t>
  </si>
  <si>
    <t>Q9NRA1_PDGFC</t>
  </si>
  <si>
    <t>Q9NRA2_SLC17A5</t>
  </si>
  <si>
    <t>Q9NRC6_SPTBN5</t>
  </si>
  <si>
    <t>Q9NRD1_FBXO6</t>
  </si>
  <si>
    <t>Q9NRF2-2_SH2B1</t>
  </si>
  <si>
    <t>Q9NRF8_CTPS2</t>
  </si>
  <si>
    <t>Q9NRF9_POLE3</t>
  </si>
  <si>
    <t>Q9NRG0_CHRAC1</t>
  </si>
  <si>
    <t>Q9NRG1_PRTFDC1</t>
  </si>
  <si>
    <t>Q9NRG7-2_SDR39U1</t>
  </si>
  <si>
    <t>Q9NRH1_YAE1D1</t>
  </si>
  <si>
    <t>Q9NRK6_ABCB10</t>
  </si>
  <si>
    <t>Q9NRN5-3_OLFML3</t>
  </si>
  <si>
    <t>Q9NRN7_AASDHPPT</t>
  </si>
  <si>
    <t>Q9NRN9_METTL5</t>
  </si>
  <si>
    <t>Q9NRP2_CMC2</t>
  </si>
  <si>
    <t>Q9NRQ2_PLSCR4</t>
  </si>
  <si>
    <t>Q9NRR5_UBQLN4</t>
  </si>
  <si>
    <t>Q9NRR8_CDC42SE1</t>
  </si>
  <si>
    <t>Q9NRS6_SNX15</t>
  </si>
  <si>
    <t>Q9NRV9_HEBP1</t>
  </si>
  <si>
    <t>Q9NRW1_RAB6B</t>
  </si>
  <si>
    <t>Q9NRW4_DUSP22</t>
  </si>
  <si>
    <t>Q9NRW7_VPS45</t>
  </si>
  <si>
    <t>Q9NRX4_PHPT1</t>
  </si>
  <si>
    <t>Q9NRX5_SERINC1</t>
  </si>
  <si>
    <t>Q9NRY2_INIP</t>
  </si>
  <si>
    <t>Q9NRY4_ARHGAP35</t>
  </si>
  <si>
    <t>Q9NRY5_FAM114A2</t>
  </si>
  <si>
    <t>Q9NRY6_PLSCR3</t>
  </si>
  <si>
    <t>Q9NRZ5_AGPAT4</t>
  </si>
  <si>
    <t>Q9NRZ7-2_AGPAT3</t>
  </si>
  <si>
    <t>Q9NS15_LTBP3</t>
  </si>
  <si>
    <t>Q9NS18_GLRX2</t>
  </si>
  <si>
    <t>Q9NS69_TOMM22</t>
  </si>
  <si>
    <t>Q9NS86_LANCL2</t>
  </si>
  <si>
    <t>Q9NS93_TM7SF3</t>
  </si>
  <si>
    <t>Q9NSA3_CTNNBIP1</t>
  </si>
  <si>
    <t>Q9NSC5-5_HOMER3</t>
  </si>
  <si>
    <t>Q9NSD9_FARSB</t>
  </si>
  <si>
    <t>Q9NSE4_IARS2</t>
  </si>
  <si>
    <t>Q9NSK7-4_C19orf12</t>
  </si>
  <si>
    <t>Q9NSY0_NRBP2</t>
  </si>
  <si>
    <t>Q9NSY1_BMP2K</t>
  </si>
  <si>
    <t>Q9NSY2_STARD5</t>
  </si>
  <si>
    <t>Q9NT62_ATG3</t>
  </si>
  <si>
    <t>Q9NTG7_SIRT3</t>
  </si>
  <si>
    <t>Q9NTJ5_SACM1L</t>
  </si>
  <si>
    <t>Q9NTK5-2_OLA1</t>
  </si>
  <si>
    <t>Q9NTN3_SLC35D1</t>
  </si>
  <si>
    <t>Q9NTX5-2_ECHDC1</t>
  </si>
  <si>
    <t>Q9NTX7-2_RNF146</t>
  </si>
  <si>
    <t>Q9NTZ6_RBM12</t>
  </si>
  <si>
    <t>Q9NUG6_PDRG1</t>
  </si>
  <si>
    <t>Q9NUJ1_ABHD10</t>
  </si>
  <si>
    <t>Q9NUL5-3_C19orf66</t>
  </si>
  <si>
    <t>Q9NUM4_TMEM106B</t>
  </si>
  <si>
    <t>Q9NUN5-3_LMBRD1</t>
  </si>
  <si>
    <t>Q9NUP1_BLOC1S4</t>
  </si>
  <si>
    <t>Q9NUP9_LIN7C</t>
  </si>
  <si>
    <t>Q9NUQ3_TXLNG</t>
  </si>
  <si>
    <t>Q9NUQ6_SPATS2L</t>
  </si>
  <si>
    <t>Q9NUQ7_UFSP2</t>
  </si>
  <si>
    <t>Q9NUQ8-2_ABCF3</t>
  </si>
  <si>
    <t>Q9NUQ9_FAM49B</t>
  </si>
  <si>
    <t>Q9NUS5_AP5S1</t>
  </si>
  <si>
    <t>Q9NUU7_DDX19A</t>
  </si>
  <si>
    <t>Q9NUY8_TBC1D23</t>
  </si>
  <si>
    <t>Q9NV35_NUDT15</t>
  </si>
  <si>
    <t>Q9NV70-2_EXOC1</t>
  </si>
  <si>
    <t>Q9NV88-3_INTS9</t>
  </si>
  <si>
    <t>Q9NV96_TMEM30A</t>
  </si>
  <si>
    <t>Q9NVA1_UQCC</t>
  </si>
  <si>
    <t>Q9NVA2-2_SEPT11</t>
  </si>
  <si>
    <t>Q9NVA4_TMEM184C</t>
  </si>
  <si>
    <t>Q9NVC3_SLC38A7</t>
  </si>
  <si>
    <t>Q9NVE7_PANK4</t>
  </si>
  <si>
    <t>Q9NVG8_TBC1D13</t>
  </si>
  <si>
    <t>Q9NVH2-4_INTS7</t>
  </si>
  <si>
    <t>Q9NVH6_TMLHE</t>
  </si>
  <si>
    <t>Q9NVI7-2_ATAD3A</t>
  </si>
  <si>
    <t>Q9NVJ2_ARL8B</t>
  </si>
  <si>
    <t>Q9NVK5-2_FGFR1OP2</t>
  </si>
  <si>
    <t>Q9NVM1_EVA1B</t>
  </si>
  <si>
    <t>Q9NVM4-3_PRMT7</t>
  </si>
  <si>
    <t>Q9NVM6_DNAJC17</t>
  </si>
  <si>
    <t>Q9NVM9_ASUN</t>
  </si>
  <si>
    <t>Q9NVQ4_FAIM</t>
  </si>
  <si>
    <t>Q9NVR0_KLHL11</t>
  </si>
  <si>
    <t>Q9NVR5_DNAAF2</t>
  </si>
  <si>
    <t>Q9NVS9_PNPO</t>
  </si>
  <si>
    <t>Q9NVW2_RLIM</t>
  </si>
  <si>
    <t>Q9NVX2_NLE1</t>
  </si>
  <si>
    <t>Q9NVZ3_NECAP2</t>
  </si>
  <si>
    <t>Q9NW15_ANO10</t>
  </si>
  <si>
    <t>Q9NW64_RBM22</t>
  </si>
  <si>
    <t>Q9NW68-4_BSDC1</t>
  </si>
  <si>
    <t>Q9NW82_WDR70</t>
  </si>
  <si>
    <t>Q9NW97_TMEM51</t>
  </si>
  <si>
    <t>Q9NWB6-2_ARGLU1</t>
  </si>
  <si>
    <t>Q9NWD8_TMEM248</t>
  </si>
  <si>
    <t>Q9NWH2_TMEM242</t>
  </si>
  <si>
    <t>Q9NWH9_SLTM</t>
  </si>
  <si>
    <t>Q9NWM3_CUEDC1</t>
  </si>
  <si>
    <t>Q9NWM8_FKBP14</t>
  </si>
  <si>
    <t>Q9NWQ8_PAG1</t>
  </si>
  <si>
    <t>Q9NWQ9_C14orf119</t>
  </si>
  <si>
    <t>Q9NWS0_PIH1D1</t>
  </si>
  <si>
    <t>Q9NWS6_FAM118A</t>
  </si>
  <si>
    <t>Q9NWT6_HIF1AN</t>
  </si>
  <si>
    <t>Q9NWU1_OXSM</t>
  </si>
  <si>
    <t>Q9NWU2_GID8</t>
  </si>
  <si>
    <t>Q9NWV4_C1orf123</t>
  </si>
  <si>
    <t>Q9NWW6_NMRK1</t>
  </si>
  <si>
    <t>Q9NWY4_C4orf27</t>
  </si>
  <si>
    <t>Q9NWZ3_IRAK4</t>
  </si>
  <si>
    <t>Q9NWZ8_GEMIN8</t>
  </si>
  <si>
    <t>Q9NX01_TXNL4B</t>
  </si>
  <si>
    <t>Q9NX08_COMMD8</t>
  </si>
  <si>
    <t>Q9NX14_NDUFB11</t>
  </si>
  <si>
    <t>Q9NX40_OCIAD1</t>
  </si>
  <si>
    <t>Q9NX46_ADPRHL2</t>
  </si>
  <si>
    <t>Q9NX47_MARCH5</t>
  </si>
  <si>
    <t>Q9NX55_HYPK</t>
  </si>
  <si>
    <t>Q9NX62_IMPAD1</t>
  </si>
  <si>
    <t>Q9NX70_MED29</t>
  </si>
  <si>
    <t>Q9NX74_DUS2L</t>
  </si>
  <si>
    <t>Q9NX94_WBP1L</t>
  </si>
  <si>
    <t>Q9NXA8_SIRT5</t>
  </si>
  <si>
    <t>Q9NXC5_MIOS</t>
  </si>
  <si>
    <t>Q9NXF8_ZDHHC7</t>
  </si>
  <si>
    <t>Q9NXG6_P4HTM</t>
  </si>
  <si>
    <t>Q9NXH8_TOR4A</t>
  </si>
  <si>
    <t>Q9NXH9_TRMT1</t>
  </si>
  <si>
    <t>Q9NXJ5_PGPEP1</t>
  </si>
  <si>
    <t>Q9NXN4-2_GDAP2</t>
  </si>
  <si>
    <t>Q9NXR1-2_NDE1</t>
  </si>
  <si>
    <t>Q9NXR7_BRE</t>
  </si>
  <si>
    <t>Q9NXU5_ARL15</t>
  </si>
  <si>
    <t>Q9NXV6_CDKN2AIP</t>
  </si>
  <si>
    <t>Q9NXW9_ALKBH4</t>
  </si>
  <si>
    <t>Q9NY27_PPP4R2</t>
  </si>
  <si>
    <t>Q9NY33_DPP3</t>
  </si>
  <si>
    <t>Q9NYA1-2_SPHK1</t>
  </si>
  <si>
    <t>Q9NYB0_TERF2IP</t>
  </si>
  <si>
    <t>Q9NYJ1_COA4</t>
  </si>
  <si>
    <t>Q9NYJ8_TAB2</t>
  </si>
  <si>
    <t>Q9NYK5_MRPL39</t>
  </si>
  <si>
    <t>Q9NYL2-2_MLTK</t>
  </si>
  <si>
    <t>Q9NYL9_TMOD3</t>
  </si>
  <si>
    <t>Q9NYM9_BET1L</t>
  </si>
  <si>
    <t>Q9NYU2-2_UGGT1</t>
  </si>
  <si>
    <t>Q9NYY8-2_FASTKD2</t>
  </si>
  <si>
    <t>Q9NZ01_TECR</t>
  </si>
  <si>
    <t>Q9NZ08_ERAP1</t>
  </si>
  <si>
    <t>Q9NZ08-2_ERAP1</t>
  </si>
  <si>
    <t>Q9NZ09_UBAP1</t>
  </si>
  <si>
    <t>Q9NZ32_ACTR10</t>
  </si>
  <si>
    <t>Q9NZ43_USE1</t>
  </si>
  <si>
    <t>Q9NZ45_CISD1</t>
  </si>
  <si>
    <t>Q9NZ53_PODXL2</t>
  </si>
  <si>
    <t>Q9NZ56_FMN2</t>
  </si>
  <si>
    <t>Q9NZ63_C9orf78</t>
  </si>
  <si>
    <t>Q9NZB2-4_FAM120A</t>
  </si>
  <si>
    <t>Q9NZC3_GDE1</t>
  </si>
  <si>
    <t>Q9NZD2_GLTP</t>
  </si>
  <si>
    <t>Q9NZD8-2_SPG21</t>
  </si>
  <si>
    <t>Q9NZJ6_COQ3</t>
  </si>
  <si>
    <t>Q9NZJ7-2_MTCH1</t>
  </si>
  <si>
    <t>Q9NZJ9_NUDT4</t>
  </si>
  <si>
    <t>Q9NZL4_HSPBP1</t>
  </si>
  <si>
    <t>Q9NZL9_MAT2B</t>
  </si>
  <si>
    <t>Q9NZM1-6_MYOF</t>
  </si>
  <si>
    <t>Q9NZM3-2_ITSN2</t>
  </si>
  <si>
    <t>Q9NZN3_EHD3</t>
  </si>
  <si>
    <t>Q9NZN4_EHD2</t>
  </si>
  <si>
    <t>Q9NZN5-2_ARHGEF12</t>
  </si>
  <si>
    <t>Q9NZN9-3_AIPL1</t>
  </si>
  <si>
    <t>Q9NZQ3-3_NCKIPSD</t>
  </si>
  <si>
    <t>Q9NZT2-2_OGFR</t>
  </si>
  <si>
    <t>Q9NZU5_LMCD1</t>
  </si>
  <si>
    <t>Q9NZV1_CRIM1</t>
  </si>
  <si>
    <t>Q9NZW5_MPP6</t>
  </si>
  <si>
    <t>Q9NZZ3_CHMP5</t>
  </si>
  <si>
    <t>Q9P000_COMMD9</t>
  </si>
  <si>
    <t>Q9P013_CWC15</t>
  </si>
  <si>
    <t>Q9P016_THYN1</t>
  </si>
  <si>
    <t>Q9P032_NDUFAF4</t>
  </si>
  <si>
    <t>Q9P035_PTPLAD1</t>
  </si>
  <si>
    <t>Q9P0I2_EMC3</t>
  </si>
  <si>
    <t>Q9P0J1_PDP1</t>
  </si>
  <si>
    <t>Q9P0J7_KCMF1</t>
  </si>
  <si>
    <t>Q9P0K7-4_RAI14</t>
  </si>
  <si>
    <t>Q9P0L0_VAPA</t>
  </si>
  <si>
    <t>Q9P0P0_RNF181</t>
  </si>
  <si>
    <t>Q9P0R6_GSKIP</t>
  </si>
  <si>
    <t>Q9P0S2_COX16</t>
  </si>
  <si>
    <t>Q9P0V3_SH3BP4</t>
  </si>
  <si>
    <t>Q9P1F3_ABRACL</t>
  </si>
  <si>
    <t>Q9P1U0_ZNRD1</t>
  </si>
  <si>
    <t>Q9P1Z2-2_CALCOCO1</t>
  </si>
  <si>
    <t>Q9P253_VPS18</t>
  </si>
  <si>
    <t>Q9P258_RCC2</t>
  </si>
  <si>
    <t>Q9P260-2_KIAA1468</t>
  </si>
  <si>
    <t>Q9P265_DIP2B</t>
  </si>
  <si>
    <t>Q9P266_KIAA1462</t>
  </si>
  <si>
    <t>Q9P270_SLAIN2</t>
  </si>
  <si>
    <t>Q9P287_BCCIP</t>
  </si>
  <si>
    <t>Q9P287-2_BCCIP</t>
  </si>
  <si>
    <t>Q9P299_COPZ2</t>
  </si>
  <si>
    <t>Q9P2B4_CTTNBP2NL</t>
  </si>
  <si>
    <t>Q9P2C4_TMEM181</t>
  </si>
  <si>
    <t>Q9P2D3-3_HEATR5B</t>
  </si>
  <si>
    <t>Q9P2E7_PCDH10</t>
  </si>
  <si>
    <t>Q9P2E9_RRBP1</t>
  </si>
  <si>
    <t>Q9P2E9-2_RRBP1</t>
  </si>
  <si>
    <t>Q9P2I0_CPSF2</t>
  </si>
  <si>
    <t>Q9P2K8-2_EIF2AK4</t>
  </si>
  <si>
    <t>Q9P2N5_RBM27</t>
  </si>
  <si>
    <t>Q9P2R3_ANKFY1</t>
  </si>
  <si>
    <t>Q9P2X0_DPM3</t>
  </si>
  <si>
    <t>Q9P2X3_IMPACT</t>
  </si>
  <si>
    <t>Q9UBB4_ATXN10</t>
  </si>
  <si>
    <t>Q9UBB6_NCDN</t>
  </si>
  <si>
    <t>Q9UBC2-2_EPS15L1</t>
  </si>
  <si>
    <t>Q9UBE0_SAE1</t>
  </si>
  <si>
    <t>Q9UBF2_COPG2</t>
  </si>
  <si>
    <t>Q9UBF6_RNF7</t>
  </si>
  <si>
    <t>Q9UBF8-2_PI4KB</t>
  </si>
  <si>
    <t>Q9UBG0_MRC2</t>
  </si>
  <si>
    <t>Q9UBI6_GNG12</t>
  </si>
  <si>
    <t>Q9UBK8-2_MTRR</t>
  </si>
  <si>
    <t>Q9UBK9_UXT</t>
  </si>
  <si>
    <t>Q9UBL6-2_CPNE7</t>
  </si>
  <si>
    <t>Q9UBM7_DHCR7</t>
  </si>
  <si>
    <t>Q9UBN6_TNFRSF10D</t>
  </si>
  <si>
    <t>Q9UBP0-3_SPAST</t>
  </si>
  <si>
    <t>Q9UBP6_METTL1</t>
  </si>
  <si>
    <t>Q9UBP9-4_GULP1</t>
  </si>
  <si>
    <t>Q9UBQ0_VPS29</t>
  </si>
  <si>
    <t>Q9UBQ7_GRHPR</t>
  </si>
  <si>
    <t>Q9UBR2_CTSZ</t>
  </si>
  <si>
    <t>Q9UBS4_DNAJB11</t>
  </si>
  <si>
    <t>Q9UBS8_RNF14</t>
  </si>
  <si>
    <t>Q9UBS9_SUCO</t>
  </si>
  <si>
    <t>Q9UBT2_UBA2</t>
  </si>
  <si>
    <t>Q9UBT7-2_CTNNAL1</t>
  </si>
  <si>
    <t>Q9UBU6_FAM8A1</t>
  </si>
  <si>
    <t>Q9UBV2_SEL1L</t>
  </si>
  <si>
    <t>Q9UBV8_PEF1</t>
  </si>
  <si>
    <t>Q9UBW8_COPS7A</t>
  </si>
  <si>
    <t>Q9UBY9_HSPB7</t>
  </si>
  <si>
    <t>Q9UDR5_AASS</t>
  </si>
  <si>
    <t>Q9UDT6-2_CLIP2</t>
  </si>
  <si>
    <t>Q9UDY2-6_TJP2</t>
  </si>
  <si>
    <t>Q9UDY4_DNAJB4</t>
  </si>
  <si>
    <t>Q9UDY8_MALT1</t>
  </si>
  <si>
    <t>Q9UEE9_CFDP1</t>
  </si>
  <si>
    <t>Q9UEL6_MPZL1</t>
  </si>
  <si>
    <t>Q9UEU0_VTI1B</t>
  </si>
  <si>
    <t>Q9UEW8_STK39</t>
  </si>
  <si>
    <t>Q9UEY8-2_ADD3</t>
  </si>
  <si>
    <t>Q9UFN0_NIPSNAP3A</t>
  </si>
  <si>
    <t>Q9UFW8_CGGBP1</t>
  </si>
  <si>
    <t>Q9UG56-2_PISD</t>
  </si>
  <si>
    <t>Q9UG63_ABCF2</t>
  </si>
  <si>
    <t>Q9UGC6_RGS17</t>
  </si>
  <si>
    <t>Q9UGC7-4_MTRF1L</t>
  </si>
  <si>
    <t>Q9UGI8_TES</t>
  </si>
  <si>
    <t>Q9UGK8_SERGEF</t>
  </si>
  <si>
    <t>Q9UGP4_LIMD1</t>
  </si>
  <si>
    <t>Q9UGP8_SEC63</t>
  </si>
  <si>
    <t>Q9UGQ2-2_CACFD1</t>
  </si>
  <si>
    <t>Q9UGQ3-2_SLC2A6</t>
  </si>
  <si>
    <t>Q9UGT4_SUSD2</t>
  </si>
  <si>
    <t>Q9UGU0-2_TCF20</t>
  </si>
  <si>
    <t>Q9UGV2_NDRG3</t>
  </si>
  <si>
    <t>Q9UH62_ARMCX3</t>
  </si>
  <si>
    <t>Q9UH65_SWAP70</t>
  </si>
  <si>
    <t>Q9UH99_SUN2</t>
  </si>
  <si>
    <t>Q9UHA4_LAMTOR3</t>
  </si>
  <si>
    <t>Q9UHB6_LIMA1</t>
  </si>
  <si>
    <t>Q9UHB6-4_LIMA1</t>
  </si>
  <si>
    <t>Q9UHB7-2_AFF4</t>
  </si>
  <si>
    <t>Q9UHD1_CHORDC1</t>
  </si>
  <si>
    <t>Q9UHD2_TBK1</t>
  </si>
  <si>
    <t>Q9UHD8-5_SEPT9</t>
  </si>
  <si>
    <t>Q9UHD9_UBQLN2</t>
  </si>
  <si>
    <t>Q9UHE8_STEAP1</t>
  </si>
  <si>
    <t>Q9UHG3_PCYOX1</t>
  </si>
  <si>
    <t>Q9UHI8_ADAMTS1</t>
  </si>
  <si>
    <t>Q9UHJ6_SHPK</t>
  </si>
  <si>
    <t>Q9UHL4_DPP7</t>
  </si>
  <si>
    <t>Q9UHN6_TMEM2</t>
  </si>
  <si>
    <t>Q9UHP3_USP25</t>
  </si>
  <si>
    <t>Q9UHQ4_BCAP29</t>
  </si>
  <si>
    <t>Q9UHQ9_CYB5R1</t>
  </si>
  <si>
    <t>Q9UHR4_BAIAP2L1</t>
  </si>
  <si>
    <t>Q9UHV9_PFDN2</t>
  </si>
  <si>
    <t>Q9UHW5_GPN3</t>
  </si>
  <si>
    <t>Q9UHX1-4_PUF60</t>
  </si>
  <si>
    <t>Q9UHY1_NRBP1</t>
  </si>
  <si>
    <t>Q9UHY7_ENOPH1</t>
  </si>
  <si>
    <t>Q9UHY8_FEZ2</t>
  </si>
  <si>
    <t>Q9UI08_EVL</t>
  </si>
  <si>
    <t>Q9UI12-2_ATP6V1H</t>
  </si>
  <si>
    <t>Q9UI15_TAGLN3</t>
  </si>
  <si>
    <t>Q9UI26_IPO11</t>
  </si>
  <si>
    <t>Q9UI30_TRMT112</t>
  </si>
  <si>
    <t>Q9UI42-2_CPA4</t>
  </si>
  <si>
    <t>Q9UIC8_LCMT1</t>
  </si>
  <si>
    <t>Q9UII2_ATPIF1</t>
  </si>
  <si>
    <t>Q9UIJ7_AK3</t>
  </si>
  <si>
    <t>Q9UIL1-3_SCOC</t>
  </si>
  <si>
    <t>Q9UIM3_FKBPL</t>
  </si>
  <si>
    <t>Q9UIQ6-3_LNPEP</t>
  </si>
  <si>
    <t>Q9UJ14_GGT7</t>
  </si>
  <si>
    <t>Q9UJ68-5_MSRA</t>
  </si>
  <si>
    <t>Q9UJ70_NAGK</t>
  </si>
  <si>
    <t>Q9UJA5_TRMT6</t>
  </si>
  <si>
    <t>Q9UJC5_SH3BGRL2</t>
  </si>
  <si>
    <t>Q9UJG1-2_MOSPD1</t>
  </si>
  <si>
    <t>Q9UJJ9_GNPTG</t>
  </si>
  <si>
    <t>Q9UJM3_ERRFI1</t>
  </si>
  <si>
    <t>Q9UJP4-2_KLHL21</t>
  </si>
  <si>
    <t>Q9UJS0_SLC25A13</t>
  </si>
  <si>
    <t>Q9UJT0_TUBE1</t>
  </si>
  <si>
    <t>Q9UJU6_DBNL</t>
  </si>
  <si>
    <t>Q9UJU6-2_DBNL</t>
  </si>
  <si>
    <t>Q9UJW0-2_DCTN4</t>
  </si>
  <si>
    <t>Q9UJX2_CDC23</t>
  </si>
  <si>
    <t>Q9UJX6-2_ANAPC2</t>
  </si>
  <si>
    <t>Q9UJY1_HSPB8</t>
  </si>
  <si>
    <t>Q9UJY4_GGA2</t>
  </si>
  <si>
    <t>Q9UJY5-4_GGA1</t>
  </si>
  <si>
    <t>Q9UJZ1_STOML2</t>
  </si>
  <si>
    <t>Q9UK23-2_NAGPA</t>
  </si>
  <si>
    <t>Q9UK39_CCRN4L</t>
  </si>
  <si>
    <t>Q9UK41_VPS28</t>
  </si>
  <si>
    <t>Q9UK45_LSM7</t>
  </si>
  <si>
    <t>Q9UK59_DBR1</t>
  </si>
  <si>
    <t>Q9UK76_HN1</t>
  </si>
  <si>
    <t>Q9UK97-3_FBXO9</t>
  </si>
  <si>
    <t>Q9UK99_FBXO3</t>
  </si>
  <si>
    <t>Q9UKA4_AKAP11</t>
  </si>
  <si>
    <t>Q9UKB3_DNAJC12</t>
  </si>
  <si>
    <t>Q9UKC9_FBXL2</t>
  </si>
  <si>
    <t>Q9UKE5-5_TNIK</t>
  </si>
  <si>
    <t>Q9UKF6_CPSF3</t>
  </si>
  <si>
    <t>Q9UKG1_APPL1</t>
  </si>
  <si>
    <t>Q9UKG9_CROT</t>
  </si>
  <si>
    <t>Q9UKJ3_GPATCH8</t>
  </si>
  <si>
    <t>Q9UKK3_PARP4</t>
  </si>
  <si>
    <t>Q9UKK9_NUDT5</t>
  </si>
  <si>
    <t>Q9UKL6_PCTP</t>
  </si>
  <si>
    <t>Q9UKS6_PACSIN3</t>
  </si>
  <si>
    <t>Q9UKT4-2_FBXO5</t>
  </si>
  <si>
    <t>Q9UKT5_FBXO4</t>
  </si>
  <si>
    <t>Q9UKU6_TRHDE</t>
  </si>
  <si>
    <t>Q9UKU7_ACAD8</t>
  </si>
  <si>
    <t>Q9UKU9_ANGPTL2</t>
  </si>
  <si>
    <t>Q9UKV8_AGO2</t>
  </si>
  <si>
    <t>Q9UKX7-2_NUP50</t>
  </si>
  <si>
    <t>Q9UKY7_CDV3</t>
  </si>
  <si>
    <t>Q9UKZ1_CNOT11</t>
  </si>
  <si>
    <t>Q9UL15_BAG5</t>
  </si>
  <si>
    <t>Q9UL25_RAB21</t>
  </si>
  <si>
    <t>Q9UL26_RAB22A</t>
  </si>
  <si>
    <t>Q9UL46_PSME2</t>
  </si>
  <si>
    <t>Q9ULC3_RAB23</t>
  </si>
  <si>
    <t>Q9ULC4_MCTS1</t>
  </si>
  <si>
    <t>Q9ULC8_ZDHHC8</t>
  </si>
  <si>
    <t>Q9ULF5_SLC39A10</t>
  </si>
  <si>
    <t>Q9ULH0-5_KIDINS220</t>
  </si>
  <si>
    <t>Q9ULH1_ASAP1</t>
  </si>
  <si>
    <t>Q9ULH7-4_MKL2</t>
  </si>
  <si>
    <t>Q9ULI3_HEG1</t>
  </si>
  <si>
    <t>Q9ULJ6_ZMIZ1</t>
  </si>
  <si>
    <t>Q9ULP9-2_TBC1D24</t>
  </si>
  <si>
    <t>Q9ULR0_ISY1</t>
  </si>
  <si>
    <t>Q9ULT8_HECTD1</t>
  </si>
  <si>
    <t>Q9ULV4_CORO1C</t>
  </si>
  <si>
    <t>Q9ULZ3-2_PYCARD</t>
  </si>
  <si>
    <t>Q9UM13_ANAPC10</t>
  </si>
  <si>
    <t>Q9UM47_NOTCH3</t>
  </si>
  <si>
    <t>Q9UM54-5_MYO6</t>
  </si>
  <si>
    <t>Q9UMF0_ICAM5</t>
  </si>
  <si>
    <t>Q9UMS0-3_NFU1</t>
  </si>
  <si>
    <t>Q9UMS4_PRPF19</t>
  </si>
  <si>
    <t>Q9UMS6_SYNPO2</t>
  </si>
  <si>
    <t>Q9UMX0_UBQLN1</t>
  </si>
  <si>
    <t>Q9UMX1_SUFU</t>
  </si>
  <si>
    <t>Q9UMX5_NENF</t>
  </si>
  <si>
    <t>Q9UMY4-2_SNX12</t>
  </si>
  <si>
    <t>Q9UMZ2-6_SYNRG</t>
  </si>
  <si>
    <t>Q9UN37_VPS4A</t>
  </si>
  <si>
    <t>Q9UNE7_STUB1</t>
  </si>
  <si>
    <t>Q9UNE7-2_STUB1</t>
  </si>
  <si>
    <t>Q9UNF0_PACSIN2</t>
  </si>
  <si>
    <t>Q9UNF1_MAGED2</t>
  </si>
  <si>
    <t>Q9UNH6_SNX7</t>
  </si>
  <si>
    <t>Q9UNH7_SNX6</t>
  </si>
  <si>
    <t>Q9UNI6_DUSP12</t>
  </si>
  <si>
    <t>Q9UNK0_STX8</t>
  </si>
  <si>
    <t>Q9UNM6_PSMD13</t>
  </si>
  <si>
    <t>Q9UNN5_FAF1</t>
  </si>
  <si>
    <t>Q9UNN8_PROCR</t>
  </si>
  <si>
    <t>Q9UNP9_PPIE</t>
  </si>
  <si>
    <t>Q9UNS2_COPS3</t>
  </si>
  <si>
    <t>Q9UNW1_MINPP1</t>
  </si>
  <si>
    <t>Q9UNZ2_NSFL1C</t>
  </si>
  <si>
    <t>Q9UNZ2-5_NSFL1C</t>
  </si>
  <si>
    <t>Q9UP38_FZD1</t>
  </si>
  <si>
    <t>Q9UP79_ADAMTS8</t>
  </si>
  <si>
    <t>Q9UP83_COG5</t>
  </si>
  <si>
    <t>Q9UP95-5_SLC12A4</t>
  </si>
  <si>
    <t>Q9UPN6_SCAF8</t>
  </si>
  <si>
    <t>Q9UPN7_PPP6R1</t>
  </si>
  <si>
    <t>Q9UPN9-2_TRIM33</t>
  </si>
  <si>
    <t>Q9UPP5-2_KIAA1107</t>
  </si>
  <si>
    <t>Q9UPQ0-10_LIMCH1</t>
  </si>
  <si>
    <t>Q9UPQ0-6_LIMCH1</t>
  </si>
  <si>
    <t>Q9UPQ9-1_TNRC6B</t>
  </si>
  <si>
    <t>Q9UPT5-2_EXOC7</t>
  </si>
  <si>
    <t>Q9UPU5_USP24</t>
  </si>
  <si>
    <t>Q9UPU7-2_TBC1D2B</t>
  </si>
  <si>
    <t>Q9UPY8_MAPRE3</t>
  </si>
  <si>
    <t>Q9UPZ3-2_HPS5</t>
  </si>
  <si>
    <t>Q9UQ13-2_SHOC2</t>
  </si>
  <si>
    <t>Q9UQ35_SRRM2</t>
  </si>
  <si>
    <t>Q9UQ80_PA2G4</t>
  </si>
  <si>
    <t>Q9UQ90_SPG7</t>
  </si>
  <si>
    <t>Q9UQC2-2_GAB2</t>
  </si>
  <si>
    <t>Q9UQE7_SMC3</t>
  </si>
  <si>
    <t>Q9UQN3_CHMP2B</t>
  </si>
  <si>
    <t>Q9Y217_MTMR6</t>
  </si>
  <si>
    <t>Q9Y223-3_GNE</t>
  </si>
  <si>
    <t>Q9Y224_C14orf166</t>
  </si>
  <si>
    <t>Q9Y230_RUVBL2</t>
  </si>
  <si>
    <t>Q9Y237_PIN4</t>
  </si>
  <si>
    <t>Q9Y241_HIGD1A</t>
  </si>
  <si>
    <t>Q9Y243-2_AKT3</t>
  </si>
  <si>
    <t>Q9Y259_CHKB</t>
  </si>
  <si>
    <t>Q9Y263_PLAA</t>
  </si>
  <si>
    <t>Q9Y265_RUVBL1</t>
  </si>
  <si>
    <t>Q9Y266_NUDC</t>
  </si>
  <si>
    <t>Q9Y276_BCS1L</t>
  </si>
  <si>
    <t>Q9Y281_CFL2</t>
  </si>
  <si>
    <t>Q9Y294_ASF1A</t>
  </si>
  <si>
    <t>Q9Y295_DRG1</t>
  </si>
  <si>
    <t>Q9Y296_TRAPPC4</t>
  </si>
  <si>
    <t>Q9Y2A7_NCKAP1</t>
  </si>
  <si>
    <t>Q9Y2B0_CNPY2</t>
  </si>
  <si>
    <t>Q9Y2C2_UST</t>
  </si>
  <si>
    <t>Q9Y2C4_EXOG</t>
  </si>
  <si>
    <t>Q9Y2D0_CA5B</t>
  </si>
  <si>
    <t>Q9Y2D4_EXOC6B</t>
  </si>
  <si>
    <t>Q9Y2D5-6_AKAP2</t>
  </si>
  <si>
    <t>Q9Y2E4_DIP2C</t>
  </si>
  <si>
    <t>Q9Y2E5_MAN2B2</t>
  </si>
  <si>
    <t>Q9Y2G2_CARD8</t>
  </si>
  <si>
    <t>Q9Y2G3_ATP11B</t>
  </si>
  <si>
    <t>Q9Y2G5_POFUT2</t>
  </si>
  <si>
    <t>Q9Y2H1_STK38L</t>
  </si>
  <si>
    <t>Q9Y2H2_INPP5F</t>
  </si>
  <si>
    <t>Q9Y2H6-2_FNDC3A</t>
  </si>
  <si>
    <t>Q9Y2I1_NISCH</t>
  </si>
  <si>
    <t>Q9Y2J2-2_EPB41L3</t>
  </si>
  <si>
    <t>Q9Y2J4_AMOTL2</t>
  </si>
  <si>
    <t>Q9Y2K6_USP20</t>
  </si>
  <si>
    <t>Q9Y2L1_DIS3</t>
  </si>
  <si>
    <t>Q9Y2Q3_GSTK1</t>
  </si>
  <si>
    <t>Q9Y2Q5_LAMTOR2</t>
  </si>
  <si>
    <t>Q9Y2Q9_MRPS28</t>
  </si>
  <si>
    <t>Q9Y2R0_COA3</t>
  </si>
  <si>
    <t>Q9Y2S2-2_CRYL1</t>
  </si>
  <si>
    <t>Q9Y2S6_TMA7</t>
  </si>
  <si>
    <t>Q9Y2S7_POLDIP2</t>
  </si>
  <si>
    <t>Q9Y2T2_AP3M1</t>
  </si>
  <si>
    <t>Q9Y2U5_MAP3K2</t>
  </si>
  <si>
    <t>Q9Y2U8_LEMD3</t>
  </si>
  <si>
    <t>Q9Y2V7_COG6</t>
  </si>
  <si>
    <t>Q9Y2W1_THRAP3</t>
  </si>
  <si>
    <t>Q9Y2Z0_SUGT1</t>
  </si>
  <si>
    <t>Q9Y2Z0-2_SUGT1</t>
  </si>
  <si>
    <t>Q9Y2Z4_YARS2</t>
  </si>
  <si>
    <t>Q9Y2Z9-3_COQ6</t>
  </si>
  <si>
    <t>Q9Y303_AMDHD2</t>
  </si>
  <si>
    <t>Q9Y305_ACOT9</t>
  </si>
  <si>
    <t>Q9Y314_NOSIP</t>
  </si>
  <si>
    <t>Q9Y316_MEMO1</t>
  </si>
  <si>
    <t>Q9Y320-2_TMX2</t>
  </si>
  <si>
    <t>Q9Y333_LSM2</t>
  </si>
  <si>
    <t>Q9Y371_SH3GLB1</t>
  </si>
  <si>
    <t>Q9Y375_NDUFAF1</t>
  </si>
  <si>
    <t>Q9Y376_CAB39</t>
  </si>
  <si>
    <t>Q9Y383_LUC7L2</t>
  </si>
  <si>
    <t>Q9Y385_UBE2J1</t>
  </si>
  <si>
    <t>Q9Y394-2_DHRS7</t>
  </si>
  <si>
    <t>Q9Y3A3-3_MOB4</t>
  </si>
  <si>
    <t>Q9Y3A5_SBDS</t>
  </si>
  <si>
    <t>Q9Y3B3_TMED7</t>
  </si>
  <si>
    <t>Q9Y3B9_RRP15</t>
  </si>
  <si>
    <t>Q9Y3C1_NOP16</t>
  </si>
  <si>
    <t>Q9Y3C4-2_TPRKB</t>
  </si>
  <si>
    <t>Q9Y3C5_RNF11</t>
  </si>
  <si>
    <t>Q9Y3C6_PPIL1</t>
  </si>
  <si>
    <t>Q9Y3C8_UFC1</t>
  </si>
  <si>
    <t>Q9Y3D0_FAM96B</t>
  </si>
  <si>
    <t>Q9Y3D2_MSRB2</t>
  </si>
  <si>
    <t>Q9Y3D6_FIS1</t>
  </si>
  <si>
    <t>Q9Y3D8_TAF9</t>
  </si>
  <si>
    <t>Q9Y3E0_GOLT1B</t>
  </si>
  <si>
    <t>Q9Y3E1_HDGFRP3</t>
  </si>
  <si>
    <t>Q9Y3E2_BOLA1</t>
  </si>
  <si>
    <t>Q9Y3E7_CHMP3</t>
  </si>
  <si>
    <t>Q9Y3F4_STRAP</t>
  </si>
  <si>
    <t>Q9Y3I0_C22orf28</t>
  </si>
  <si>
    <t>Q9Y3I1_FBXO7</t>
  </si>
  <si>
    <t>Q9Y3L3_SH3BP1</t>
  </si>
  <si>
    <t>Q9Y3L5_RAP2C</t>
  </si>
  <si>
    <t>Q9Y3M8-3_STARD13</t>
  </si>
  <si>
    <t>Q9Y3P4_RHBDD3</t>
  </si>
  <si>
    <t>Q9Y3P9_RABGAP1</t>
  </si>
  <si>
    <t>Q9Y3Q3_TMED3</t>
  </si>
  <si>
    <t>Q9Y3Q8_TSC22D4</t>
  </si>
  <si>
    <t>Q9Y3S2_ZNF330</t>
  </si>
  <si>
    <t>Q9Y3T6_R3HCC1</t>
  </si>
  <si>
    <t>Q9Y3T9_NOC2L</t>
  </si>
  <si>
    <t>Q9Y3U8_RPL36</t>
  </si>
  <si>
    <t>Q9Y3X0_CCDC9</t>
  </si>
  <si>
    <t>Q9Y3Y4_PYGO1</t>
  </si>
  <si>
    <t>Q9Y3Z3-4_SAMHD1</t>
  </si>
  <si>
    <t>Q9Y450-4_HBS1L</t>
  </si>
  <si>
    <t>Q9Y478_PRKAB1</t>
  </si>
  <si>
    <t>Q9Y490_TLN1</t>
  </si>
  <si>
    <t>Q9Y4B5_SOGA2</t>
  </si>
  <si>
    <t>Q9Y4C2-2_FAM115A</t>
  </si>
  <si>
    <t>Q9Y4E1-2_FAM21C</t>
  </si>
  <si>
    <t>Q9Y4E8_USP15</t>
  </si>
  <si>
    <t>Q9Y4F1_FARP1</t>
  </si>
  <si>
    <t>Q9Y4G6_TLN2</t>
  </si>
  <si>
    <t>Q9Y4G8_RAPGEF2</t>
  </si>
  <si>
    <t>Q9Y4H2_IRS2</t>
  </si>
  <si>
    <t>Q9Y4K0_LOXL2</t>
  </si>
  <si>
    <t>Q9Y4K1_AIM1</t>
  </si>
  <si>
    <t>Q9Y4K4_MAP4K5</t>
  </si>
  <si>
    <t>Q9Y4P1-6_ATG4B</t>
  </si>
  <si>
    <t>Q9Y4P8-4_WIPI2</t>
  </si>
  <si>
    <t>Q9Y4U1_MMACHC</t>
  </si>
  <si>
    <t>Q9Y4W6_AFG3L2</t>
  </si>
  <si>
    <t>Q9Y4X5_ARIH1</t>
  </si>
  <si>
    <t>Q9Y4Z0_LSM4</t>
  </si>
  <si>
    <t>Q9Y508_RNF114</t>
  </si>
  <si>
    <t>Q9Y534_CSDC2</t>
  </si>
  <si>
    <t>Q9Y570_PPME1</t>
  </si>
  <si>
    <t>Q9Y584_TIMM22</t>
  </si>
  <si>
    <t>Q9Y597-3_KCTD3</t>
  </si>
  <si>
    <t>Q9Y5A9-2_YTHDF2</t>
  </si>
  <si>
    <t>Q9Y5B0_CTDP1</t>
  </si>
  <si>
    <t>Q9Y5B8-2_NME7</t>
  </si>
  <si>
    <t>Q9Y5J5_PHLDA3</t>
  </si>
  <si>
    <t>Q9Y5J6_TIMM10B</t>
  </si>
  <si>
    <t>Q9Y5J7_TIMM9</t>
  </si>
  <si>
    <t>Q9Y5K5-2_UCHL5</t>
  </si>
  <si>
    <t>Q9Y5K6_CD2AP</t>
  </si>
  <si>
    <t>Q9Y5K8_ATP6V1D</t>
  </si>
  <si>
    <t>Q9Y5L0_TNPO3</t>
  </si>
  <si>
    <t>Q9Y5L4_TIMM13</t>
  </si>
  <si>
    <t>Q9Y5M8_SRPRB</t>
  </si>
  <si>
    <t>Q9Y5N5_N6AMT1</t>
  </si>
  <si>
    <t>Q9Y5P4-2_COL4A3BP</t>
  </si>
  <si>
    <t>Q9Y5P6_GMPPB</t>
  </si>
  <si>
    <t>Q9Y5R8_TRAPPC1</t>
  </si>
  <si>
    <t>Q9Y5S1_TRPV2</t>
  </si>
  <si>
    <t>Q9Y5S2_CDC42BPB</t>
  </si>
  <si>
    <t>Q9Y5S9_RBM8A</t>
  </si>
  <si>
    <t>Q9Y5U2-2_TSSC4</t>
  </si>
  <si>
    <t>Q9Y5U9_IER3IP1</t>
  </si>
  <si>
    <t>Q9Y5V3_MAGED1</t>
  </si>
  <si>
    <t>Q9Y5X1_SNX9</t>
  </si>
  <si>
    <t>Q9Y5X2_SNX8</t>
  </si>
  <si>
    <t>Q9Y5X3_SNX5</t>
  </si>
  <si>
    <t>Q9Y5Y2_NUBP2</t>
  </si>
  <si>
    <t>Q9Y5Z4_HEBP2</t>
  </si>
  <si>
    <t>Q9Y605_MRFAP1</t>
  </si>
  <si>
    <t>Q9Y608-4_LRRFIP2</t>
  </si>
  <si>
    <t>Q9Y613_FHOD1</t>
  </si>
  <si>
    <t>Q9Y617_PSAT1</t>
  </si>
  <si>
    <t>Q9Y619_SLC25A15</t>
  </si>
  <si>
    <t>Q9Y625_GPC6</t>
  </si>
  <si>
    <t>Q9Y639-1_NPTN</t>
  </si>
  <si>
    <t>Q9Y646_CPQ</t>
  </si>
  <si>
    <t>Q9Y673_ALG5</t>
  </si>
  <si>
    <t>Q9Y678_COPG1</t>
  </si>
  <si>
    <t>Q9Y679_AUP1</t>
  </si>
  <si>
    <t>Q9Y680-2_FKBP7</t>
  </si>
  <si>
    <t>Q9Y693_LHFP</t>
  </si>
  <si>
    <t>Q9Y696_CLIC4</t>
  </si>
  <si>
    <t>Q9Y697-2_NFS1</t>
  </si>
  <si>
    <t>Q9Y6A4_C16orf80</t>
  </si>
  <si>
    <t>Q9Y6C2_EMILIN1</t>
  </si>
  <si>
    <t>Q9Y6C9_MTCH2</t>
  </si>
  <si>
    <t>Q9Y6D5_ARFGEF2</t>
  </si>
  <si>
    <t>Q9Y6D6_ARFGEF1</t>
  </si>
  <si>
    <t>Q9Y6D9_MAD1L1</t>
  </si>
  <si>
    <t>Q9Y6E0-2_STK24</t>
  </si>
  <si>
    <t>Q9Y6G5_COMMD10</t>
  </si>
  <si>
    <t>Q9Y6G9_DYNC1LI1</t>
  </si>
  <si>
    <t>Q9Y6H1_CHCHD2</t>
  </si>
  <si>
    <t>Q9Y6I3_EPN1</t>
  </si>
  <si>
    <t>Q9Y6I9_TEX264</t>
  </si>
  <si>
    <t>Q9Y6K8-3_AK5</t>
  </si>
  <si>
    <t>Q9Y6M5_SLC30A1</t>
  </si>
  <si>
    <t>Q9Y6N1_COX11</t>
  </si>
  <si>
    <t>Q9Y6N5_SQRDL</t>
  </si>
  <si>
    <t>Q9Y6N7-5_ROBO1</t>
  </si>
  <si>
    <t>Q9Y6P5-2_SESN1</t>
  </si>
  <si>
    <t>Q9Y6Q9-5_NCOA3</t>
  </si>
  <si>
    <t>Q9Y6R0_NUMBL</t>
  </si>
  <si>
    <t>Q9Y6V0-2_PCLO</t>
  </si>
  <si>
    <t>Q9Y6W3_CAPN7</t>
  </si>
  <si>
    <t>Q9Y6W5_WASF2</t>
  </si>
  <si>
    <t>Q9Y6X5_ENPP4</t>
  </si>
  <si>
    <t>R4GMN1_MOSPD2</t>
  </si>
  <si>
    <t>R4GMR5_PSMD8</t>
  </si>
  <si>
    <t>R4GMU1_H6PD</t>
  </si>
  <si>
    <t>R4GMX3_BMI1</t>
  </si>
  <si>
    <t>R4GMX8_RANBP10</t>
  </si>
  <si>
    <t>R4GMY4_NBL1</t>
  </si>
  <si>
    <t>R4GN02_NOTCH2</t>
  </si>
  <si>
    <t>R4GN55_YTHDF3</t>
  </si>
  <si>
    <t>R4GN98_S100A6</t>
  </si>
  <si>
    <t>R4GNB2_DENND4C</t>
  </si>
  <si>
    <t>R4GNH2_FBXO2</t>
  </si>
  <si>
    <t>R4GNH3_PSMC3</t>
  </si>
  <si>
    <t>Melting_Curves/meltCurve_A0AVI4_TMEM129.pdf</t>
  </si>
  <si>
    <t>Melting_Curves/meltCurve_A0AVT1_UBA6.pdf</t>
  </si>
  <si>
    <t>Melting_Curves/meltCurve_A0JNW5_UHRF1BP1L.pdf</t>
  </si>
  <si>
    <t>Melting_Curves/meltCurve_A1A4S6_ARHGAP10.pdf</t>
  </si>
  <si>
    <t>Melting_Curves/meltCurve_A1BQX2_MARVELD2.pdf</t>
  </si>
  <si>
    <t>Melting_Curves/meltCurve_A1L0T0_ILVBL.pdf</t>
  </si>
  <si>
    <t>Melting_Curves/meltCurve_A1L188_C17orf89.pdf</t>
  </si>
  <si>
    <t>Melting_Curves/meltCurve_A1X283_SH3PXD2B.pdf</t>
  </si>
  <si>
    <t>Melting_Curves/meltCurve_A2A274_ACO2.pdf</t>
  </si>
  <si>
    <t>Melting_Curves/meltCurve_A2A2Q9_AAR2.pdf</t>
  </si>
  <si>
    <t>Melting_Curves/meltCurve_A2A2V1_PRNP.pdf</t>
  </si>
  <si>
    <t>Melting_Curves/meltCurve_A2BF36_HLA_DQB1.pdf</t>
  </si>
  <si>
    <t>Melting_Curves/meltCurve_A2RRP1_NBAS.pdf</t>
  </si>
  <si>
    <t>Melting_Curves/meltCurve_A2RU48_C12orf69.pdf</t>
  </si>
  <si>
    <t>Melting_Curves/meltCurve_A2RU67_KIAA1467.pdf</t>
  </si>
  <si>
    <t>Melting_Curves/meltCurve_A2VDF0_FUOM.pdf</t>
  </si>
  <si>
    <t>Melting_Curves/meltCurve_A3KN83_3_SBNO1.pdf</t>
  </si>
  <si>
    <t>Melting_Curves/meltCurve_A4D126_ISPD.pdf</t>
  </si>
  <si>
    <t>Melting_Curves/meltCurve_A4D1W8_UCC1.pdf</t>
  </si>
  <si>
    <t>Melting_Curves/meltCurve_A4D2B0_MBLAC1.pdf</t>
  </si>
  <si>
    <t>Melting_Curves/meltCurve_A4UGR9_2_XIRP2.pdf</t>
  </si>
  <si>
    <t>Melting_Curves/meltCurve_A5YKK6_2_CNOT1.pdf</t>
  </si>
  <si>
    <t>Melting_Curves/meltCurve_A6H8Z3_RAB3GAP1.pdf</t>
  </si>
  <si>
    <t>Melting_Curves/meltCurve_A6NDG6_PGP.pdf</t>
  </si>
  <si>
    <t>Melting_Curves/meltCurve_A6NDU8_C5orf51.pdf</t>
  </si>
  <si>
    <t>Melting_Curves/meltCurve_A6NED2_RCCD1.pdf</t>
  </si>
  <si>
    <t>Melting_Curves/meltCurve_A6NEM2_HCFC1.pdf</t>
  </si>
  <si>
    <t>Melting_Curves/meltCurve_A6NEP9_TSPAN14.pdf</t>
  </si>
  <si>
    <t>Melting_Curves/meltCurve_A6NFQ2_2_FAM115C.pdf</t>
  </si>
  <si>
    <t>Melting_Curves/meltCurve_A6NG32_CHMP1A.pdf</t>
  </si>
  <si>
    <t>Melting_Curves/meltCurve_A6NG79_PRCC.pdf</t>
  </si>
  <si>
    <t>Melting_Curves/meltCurve_A6NGJ0_DYNLT3.pdf</t>
  </si>
  <si>
    <t>Melting_Curves/meltCurve_A6NGP5_HN1L.pdf</t>
  </si>
  <si>
    <t>Melting_Curves/meltCurve_A6NGW1_YIF1A.pdf</t>
  </si>
  <si>
    <t>Melting_Curves/meltCurve_A6NHL2_2_TUBAL3.pdf</t>
  </si>
  <si>
    <t>Melting_Curves/meltCurve_A6NHX0_GATSL2.pdf</t>
  </si>
  <si>
    <t>Melting_Curves/meltCurve_A6NIH7_UNC119B.pdf</t>
  </si>
  <si>
    <t>Melting_Curves/meltCurve_A6NIT2_PHKA1.pdf</t>
  </si>
  <si>
    <t>Melting_Curves/meltCurve_A6NIZ0_NDEL1.pdf</t>
  </si>
  <si>
    <t>Melting_Curves/meltCurve_A6NKF9_GPR89C.pdf</t>
  </si>
  <si>
    <t>Melting_Curves/meltCurve_A6NL54_ZMYM3.pdf</t>
  </si>
  <si>
    <t>Melting_Curves/meltCurve_A6NLG9_BGN.pdf</t>
  </si>
  <si>
    <t>Melting_Curves/meltCurve_A6NLH6_CNIH4.pdf</t>
  </si>
  <si>
    <t>Melting_Curves/meltCurve_A6NMH6_SEPT8.pdf</t>
  </si>
  <si>
    <t>Melting_Curves/meltCurve_A6NML8_DIAPH2.pdf</t>
  </si>
  <si>
    <t>Melting_Curves/meltCurve_A6NN80_ANXA6.pdf</t>
  </si>
  <si>
    <t>Melting_Curves/meltCurve_A6NNI4_CD9.pdf</t>
  </si>
  <si>
    <t>Melting_Curves/meltCurve_A6PW57_PIP5K1A.pdf</t>
  </si>
  <si>
    <t>Melting_Curves/meltCurve_A6PW79_MB21D1.pdf</t>
  </si>
  <si>
    <t>Melting_Curves/meltCurve_A6QRJ0_DNASE1L1.pdf</t>
  </si>
  <si>
    <t>Melting_Curves/meltCurve_A6ZKI3_FAM127A.pdf</t>
  </si>
  <si>
    <t>Melting_Curves/meltCurve_A8K0B5_ZBTB8OS.pdf</t>
  </si>
  <si>
    <t>Melting_Curves/meltCurve_A8K0M9_SELK.pdf</t>
  </si>
  <si>
    <t>Melting_Curves/meltCurve_A8K7Q2_HSPA8.pdf</t>
  </si>
  <si>
    <t>Melting_Curves/meltCurve_A8MQ02_MLLT4.pdf</t>
  </si>
  <si>
    <t>Melting_Curves/meltCurve_A8MSH5_RTFDC1.pdf</t>
  </si>
  <si>
    <t>Melting_Curves/meltCurve_A8MSI8_LYRM9.pdf</t>
  </si>
  <si>
    <t>Melting_Curves/meltCurve_A8MT02_SNRPB.pdf</t>
  </si>
  <si>
    <t>Melting_Curves/meltCurve_A8MTG8_ARMC8.pdf</t>
  </si>
  <si>
    <t>Melting_Curves/meltCurve_A8MTT3_hCG_1988162.pdf</t>
  </si>
  <si>
    <t>Melting_Curves/meltCurve_A8MTY9_DSCR3.pdf</t>
  </si>
  <si>
    <t>Melting_Curves/meltCurve_A8MU21_TMEM147.pdf</t>
  </si>
  <si>
    <t>Melting_Curves/meltCurve_A8MUA9_SUMO3.pdf</t>
  </si>
  <si>
    <t>Melting_Curves/meltCurve_A8MUB1_TUBA4A.pdf</t>
  </si>
  <si>
    <t>Melting_Curves/meltCurve_A8MUM1_TSSC1.pdf</t>
  </si>
  <si>
    <t>Melting_Curves/meltCurve_A8MVW0_FAM171A2.pdf</t>
  </si>
  <si>
    <t>Melting_Curves/meltCurve_A8MWH4_MT1F.pdf</t>
  </si>
  <si>
    <t>Melting_Curves/meltCurve_A8MWK3_CDH2.pdf</t>
  </si>
  <si>
    <t>Melting_Curves/meltCurve_A8MXV4_NUDT19.pdf</t>
  </si>
  <si>
    <t>Melting_Curves/meltCurve_A8MYQ9_RAB34.pdf</t>
  </si>
  <si>
    <t>Melting_Curves/meltCurve_A8MYT4_PIK3C3.pdf</t>
  </si>
  <si>
    <t>Melting_Curves/meltCurve_A8MZ54_STX1A.pdf</t>
  </si>
  <si>
    <t>Melting_Curves/meltCurve_A9Z1X7_SRRM1.pdf</t>
  </si>
  <si>
    <t>Melting_Curves/meltCurve_B0FLL2_PFKFB2.pdf</t>
  </si>
  <si>
    <t>Melting_Curves/meltCurve_B0QXZ5_DNAL4.pdf</t>
  </si>
  <si>
    <t>Melting_Curves/meltCurve_B0QY89_EIF3L.pdf</t>
  </si>
  <si>
    <t>Melting_Curves/meltCurve_B0QY95_SMCR7L.pdf</t>
  </si>
  <si>
    <t>Melting_Curves/meltCurve_B0QYI3_TBC1D22A.pdf</t>
  </si>
  <si>
    <t>Melting_Curves/meltCurve_B0QYK0_EWSR1.pdf</t>
  </si>
  <si>
    <t>Melting_Curves/meltCurve_B0QZ18_CPNE1.pdf</t>
  </si>
  <si>
    <t>Melting_Curves/meltCurve_B0QZK9_HP1BP3.pdf</t>
  </si>
  <si>
    <t>Melting_Curves/meltCurve_B0UX83_BAG6.pdf</t>
  </si>
  <si>
    <t>Melting_Curves/meltCurve_B0UXB6_ABHD16A.pdf</t>
  </si>
  <si>
    <t>Melting_Curves/meltCurve_B0V043_VARS.pdf</t>
  </si>
  <si>
    <t>Melting_Curves/meltCurve_B0V1E9_MICA.pdf</t>
  </si>
  <si>
    <t>Melting_Curves/meltCurve_B0YIW2_APOC3.pdf</t>
  </si>
  <si>
    <t>Melting_Curves/meltCurve_B1AH87_TSPO.pdf</t>
  </si>
  <si>
    <t>Melting_Curves/meltCurve_B1AHD1_NHP2L1.pdf</t>
  </si>
  <si>
    <t>Melting_Curves/meltCurve_B1AJQ5_FAM76A.pdf</t>
  </si>
  <si>
    <t>Melting_Curves/meltCurve_B1AK13_HMGCL.pdf</t>
  </si>
  <si>
    <t>Melting_Curves/meltCurve_B1AKJ5_NRD1.pdf</t>
  </si>
  <si>
    <t>Melting_Curves/meltCurve_B1AKJ6_OSBPL9.pdf</t>
  </si>
  <si>
    <t>Melting_Curves/meltCurve_B1AKL4_EIF4ENIF1.pdf</t>
  </si>
  <si>
    <t>Melting_Curves/meltCurve_B1AKN3_RERE.pdf</t>
  </si>
  <si>
    <t>Melting_Curves/meltCurve_B1AKP2_TSPAN2.pdf</t>
  </si>
  <si>
    <t>Melting_Curves/meltCurve_B1AKR6_DYNLRB1.pdf</t>
  </si>
  <si>
    <t>Melting_Curves/meltCurve_B1AKT3_TMED5.pdf</t>
  </si>
  <si>
    <t>Melting_Curves/meltCurve_B1AL69_CDC37L1.pdf</t>
  </si>
  <si>
    <t>Melting_Curves/meltCurve_B1AL88_FAM155A.pdf</t>
  </si>
  <si>
    <t>Melting_Curves/meltCurve_B1ALH6_PHYH.pdf</t>
  </si>
  <si>
    <t>Melting_Curves/meltCurve_B1ALK7_ARHGEF7.pdf</t>
  </si>
  <si>
    <t>Melting_Curves/meltCurve_B1ALM5_TMEM9.pdf</t>
  </si>
  <si>
    <t>Melting_Curves/meltCurve_B1ALY0_PALM2_AKAP2.pdf</t>
  </si>
  <si>
    <t>Melting_Curves/meltCurve_B1AMW1_CD58.pdf</t>
  </si>
  <si>
    <t>Melting_Curves/meltCurve_B1AN89_EIF4G3.pdf</t>
  </si>
  <si>
    <t>Melting_Curves/meltCurve_B1AN99_PRSS3.pdf</t>
  </si>
  <si>
    <t>Melting_Curves/meltCurve_B1ANH0_GUK1.pdf</t>
  </si>
  <si>
    <t>Melting_Curves/meltCurve_B1APM4_SOAT1.pdf</t>
  </si>
  <si>
    <t>Melting_Curves/meltCurve_B1AVU8_PSAP.pdf</t>
  </si>
  <si>
    <t>Melting_Curves/meltCurve_B1AZV3_TAP1.pdf</t>
  </si>
  <si>
    <t>Melting_Curves/meltCurve_B2WTI3_JMJD6.pdf</t>
  </si>
  <si>
    <t>Melting_Curves/meltCurve_B3FL70_DOCK10_2.pdf</t>
  </si>
  <si>
    <t>Melting_Curves/meltCurve_B3KS98_EIF3S3.pdf</t>
  </si>
  <si>
    <t>Melting_Curves/meltCurve_B3KSH1_EIF3F.pdf</t>
  </si>
  <si>
    <t>Melting_Curves/meltCurve_B3KSI9_LZTFL1.pdf</t>
  </si>
  <si>
    <t>Melting_Curves/meltCurve_B3KSP0_WHSC2.pdf</t>
  </si>
  <si>
    <t>Melting_Curves/meltCurve_B3KSW4_RGS20.pdf</t>
  </si>
  <si>
    <t>Melting_Curves/meltCurve_B3KTR6_MXRA8.pdf</t>
  </si>
  <si>
    <t>Melting_Curves/meltCurve_B3KUE5_PLTP.pdf</t>
  </si>
  <si>
    <t>Melting_Curves/meltCurve_B3KUK2_SOD2.pdf</t>
  </si>
  <si>
    <t>Melting_Curves/meltCurve_B3KV95_FBXO18.pdf</t>
  </si>
  <si>
    <t>Melting_Curves/meltCurve_B3KXW5_AP1G1.pdf</t>
  </si>
  <si>
    <t>Melting_Curves/meltCurve_B3KY94_CDIPT.pdf</t>
  </si>
  <si>
    <t>Melting_Curves/meltCurve_B4DDF4_CNN2.pdf</t>
  </si>
  <si>
    <t>Melting_Curves/meltCurve_B4DDF9_ANXA4.pdf</t>
  </si>
  <si>
    <t>Melting_Curves/meltCurve_B4DE11_SLC35A2.pdf</t>
  </si>
  <si>
    <t>Melting_Curves/meltCurve_B4DE40_SMS.pdf</t>
  </si>
  <si>
    <t>Melting_Curves/meltCurve_B4DEK4_SNX2.pdf</t>
  </si>
  <si>
    <t>Melting_Curves/meltCurve_B4DEX5_PRNPIP.pdf</t>
  </si>
  <si>
    <t>Melting_Curves/meltCurve_B4DEZ3_NDUFA13.pdf</t>
  </si>
  <si>
    <t>Melting_Curves/meltCurve_B4DFG0_DEK.pdf</t>
  </si>
  <si>
    <t>Melting_Curves/meltCurve_B4DGU4_CTNNB1.pdf</t>
  </si>
  <si>
    <t>Melting_Curves/meltCurve_B4DGV4_RYR2.pdf</t>
  </si>
  <si>
    <t>Melting_Curves/meltCurve_B4DGX2_PIP4K2A.pdf</t>
  </si>
  <si>
    <t>Melting_Curves/meltCurve_B4DH53_MAP1S.pdf</t>
  </si>
  <si>
    <t>Melting_Curves/meltCurve_B4DHE1_RPS6KC1.pdf</t>
  </si>
  <si>
    <t>Melting_Curves/meltCurve_B4DHJ7_BNIP3.pdf</t>
  </si>
  <si>
    <t>Melting_Curves/meltCurve_B4DHN6_DNALI1.pdf</t>
  </si>
  <si>
    <t>Melting_Curves/meltCurve_B4DHW1_TMEM165.pdf</t>
  </si>
  <si>
    <t>Melting_Curves/meltCurve_B4DJA5_RAB5A.pdf</t>
  </si>
  <si>
    <t>Melting_Curves/meltCurve_B4DJP7_SNRPD3.pdf</t>
  </si>
  <si>
    <t>Melting_Curves/meltCurve_B4DJV2_CS.pdf</t>
  </si>
  <si>
    <t>Melting_Curves/meltCurve_B4DJZ1_SLC23A2.pdf</t>
  </si>
  <si>
    <t>Melting_Curves/meltCurve_B4DK95_ZYG11B.pdf</t>
  </si>
  <si>
    <t>Melting_Curves/meltCurve_B4DL14_ATP5C1.pdf</t>
  </si>
  <si>
    <t>Melting_Curves/meltCurve_B4DL54_CHURC1_FNTB.pdf</t>
  </si>
  <si>
    <t>Melting_Curves/meltCurve_B4DLE8_CRYBG3.pdf</t>
  </si>
  <si>
    <t>Melting_Curves/meltCurve_B4DLR8_NQO1.pdf</t>
  </si>
  <si>
    <t>Melting_Curves/meltCurve_B4DLT4_RPS6KB1.pdf</t>
  </si>
  <si>
    <t>Melting_Curves/meltCurve_B4DLU3_PGS1.pdf</t>
  </si>
  <si>
    <t>Melting_Curves/meltCurve_B4DMK0_RAB11B.pdf</t>
  </si>
  <si>
    <t>Melting_Curves/meltCurve_B4DP21_PTGES3.pdf</t>
  </si>
  <si>
    <t>Melting_Curves/meltCurve_B4DP38_WDR77.pdf</t>
  </si>
  <si>
    <t>Melting_Curves/meltCurve_B4DPY5_SNX11.pdf</t>
  </si>
  <si>
    <t>Melting_Curves/meltCurve_B4DPY8_TOX4.pdf</t>
  </si>
  <si>
    <t>Melting_Curves/meltCurve_B4DQ14_EIF2A.pdf</t>
  </si>
  <si>
    <t>Melting_Curves/meltCurve_B4DQ18_LPAR1.pdf</t>
  </si>
  <si>
    <t>Melting_Curves/meltCurve_B4DQ84_ZDHHC18.pdf</t>
  </si>
  <si>
    <t>Melting_Curves/meltCurve_B4DQJ8_PGD.pdf</t>
  </si>
  <si>
    <t>Melting_Curves/meltCurve_B4DR52_HIST2H2BF.pdf</t>
  </si>
  <si>
    <t>Melting_Curves/meltCurve_B4DR61_SEC61A1.pdf</t>
  </si>
  <si>
    <t>Melting_Curves/meltCurve_B4DRC4_ASB6.pdf</t>
  </si>
  <si>
    <t>Melting_Curves/meltCurve_B4DRL9_CHM.pdf</t>
  </si>
  <si>
    <t>Melting_Curves/meltCurve_B4DRN8_ZDHHC20.pdf</t>
  </si>
  <si>
    <t>Melting_Curves/meltCurve_B4DS52_TXNDC15.pdf</t>
  </si>
  <si>
    <t>Melting_Curves/meltCurve_B4DSD4_C9orf41.pdf</t>
  </si>
  <si>
    <t>Melting_Curves/meltCurve_B4DSJ8_RNGTT.pdf</t>
  </si>
  <si>
    <t>Melting_Curves/meltCurve_B4DSS5_KIAA0513.pdf</t>
  </si>
  <si>
    <t>Melting_Curves/meltCurve_B4DT77_ANXA7.pdf</t>
  </si>
  <si>
    <t>Melting_Curves/meltCurve_B4DTC3_HNRNPD.pdf</t>
  </si>
  <si>
    <t>Melting_Curves/meltCurve_B4DTZ6_SLC9A1.pdf</t>
  </si>
  <si>
    <t>Melting_Curves/meltCurve_B4DUE9_SERINC3.pdf</t>
  </si>
  <si>
    <t>Melting_Curves/meltCurve_B4DUS9_BPNT1.pdf</t>
  </si>
  <si>
    <t>Melting_Curves/meltCurve_B4DUV4_POFUT1.pdf</t>
  </si>
  <si>
    <t>Melting_Curves/meltCurve_B4DV96_RBKS.pdf</t>
  </si>
  <si>
    <t>Melting_Curves/meltCurve_B4DVE7_ANXA11.pdf</t>
  </si>
  <si>
    <t>Melting_Curves/meltCurve_B4DVY1_EIF3D.pdf</t>
  </si>
  <si>
    <t>Melting_Curves/meltCurve_B4DW75_EFEMP1.pdf</t>
  </si>
  <si>
    <t>Melting_Curves/meltCurve_B4DWI1_HACL1.pdf</t>
  </si>
  <si>
    <t>Melting_Curves/meltCurve_B4DWJ2_QARS.pdf</t>
  </si>
  <si>
    <t>Melting_Curves/meltCurve_B4DXZ6_FXR1.pdf</t>
  </si>
  <si>
    <t>Melting_Curves/meltCurve_B4DYB4_NUP35.pdf</t>
  </si>
  <si>
    <t>Melting_Curves/meltCurve_B4DZ23_GPR176.pdf</t>
  </si>
  <si>
    <t>Melting_Curves/meltCurve_B4DZH6_HDAC6.pdf</t>
  </si>
  <si>
    <t>Melting_Curves/meltCurve_B4E072_ACAA1.pdf</t>
  </si>
  <si>
    <t>Melting_Curves/meltCurve_B4E0T2_PEX5.pdf</t>
  </si>
  <si>
    <t>Melting_Curves/meltCurve_B4E1F4_EDEM2.pdf</t>
  </si>
  <si>
    <t>Melting_Curves/meltCurve_B4E1M0_MSANTD2.pdf</t>
  </si>
  <si>
    <t>Melting_Curves/meltCurve_B4E1N1_ARMC6.pdf</t>
  </si>
  <si>
    <t>Melting_Curves/meltCurve_B4E1Q4_RIOK3.pdf</t>
  </si>
  <si>
    <t>Melting_Curves/meltCurve_B4E1Q6_SLC35B3.pdf</t>
  </si>
  <si>
    <t>Melting_Curves/meltCurve_B4E1S6_SDC4.pdf</t>
  </si>
  <si>
    <t>Melting_Curves/meltCurve_B4E241_SFRS3.pdf</t>
  </si>
  <si>
    <t>Melting_Curves/meltCurve_B4E2S7_LAMP2.pdf</t>
  </si>
  <si>
    <t>Melting_Curves/meltCurve_B4E2V5_STOM.pdf</t>
  </si>
  <si>
    <t>Melting_Curves/meltCurve_B4E2W0_HADHB.pdf</t>
  </si>
  <si>
    <t>Melting_Curves/meltCurve_B4E2X3_METTL13.pdf</t>
  </si>
  <si>
    <t>Melting_Curves/meltCurve_B4E358_CTTN.pdf</t>
  </si>
  <si>
    <t>Melting_Curves/meltCurve_B4E3E5_DVL3.pdf</t>
  </si>
  <si>
    <t>Melting_Curves/meltCurve_B4E3Q1_CLSTN1.pdf</t>
  </si>
  <si>
    <t>Melting_Curves/meltCurve_B5MC53_MPV17.pdf</t>
  </si>
  <si>
    <t>Melting_Curves/meltCurve_B5MCD7_SYNGR1.pdf</t>
  </si>
  <si>
    <t>Melting_Curves/meltCurve_B5MD23_TSPAN9.pdf</t>
  </si>
  <si>
    <t>Melting_Curves/meltCurve_B5MDE0_RFT1.pdf</t>
  </si>
  <si>
    <t>Melting_Curves/meltCurve_B5MDU6_C2orf43.pdf</t>
  </si>
  <si>
    <t>Melting_Curves/meltCurve_B7WPE2_EML3.pdf</t>
  </si>
  <si>
    <t>Melting_Curves/meltCurve_B7WPG3_HNRPLL.pdf</t>
  </si>
  <si>
    <t>Melting_Curves/meltCurve_B7Z1I4_NTM.pdf</t>
  </si>
  <si>
    <t>Melting_Curves/meltCurve_B7Z254_PDIA6.pdf</t>
  </si>
  <si>
    <t>Melting_Curves/meltCurve_B7Z2B2_MFSD8.pdf</t>
  </si>
  <si>
    <t>Melting_Curves/meltCurve_B7Z2C3_PPM1F.pdf</t>
  </si>
  <si>
    <t>Melting_Curves/meltCurve_B7Z2L7_TOM1L2.pdf</t>
  </si>
  <si>
    <t>Melting_Curves/meltCurve_B7Z2Y2_COG2.pdf</t>
  </si>
  <si>
    <t>Melting_Curves/meltCurve_B7Z317_TSPAN5.pdf</t>
  </si>
  <si>
    <t>Melting_Curves/meltCurve_B7Z3I9_ALAD.pdf</t>
  </si>
  <si>
    <t>Melting_Curves/meltCurve_B7Z463_NPEPPS.pdf</t>
  </si>
  <si>
    <t>Melting_Curves/meltCurve_B7Z493_FGD4.pdf</t>
  </si>
  <si>
    <t>Melting_Curves/meltCurve_B7Z4K6_DNASE2.pdf</t>
  </si>
  <si>
    <t>Melting_Curves/meltCurve_B7Z4M2_WBP4.pdf</t>
  </si>
  <si>
    <t>Melting_Curves/meltCurve_B7Z4W5_CCBL1.pdf</t>
  </si>
  <si>
    <t>Melting_Curves/meltCurve_B7Z5G4_STMN3.pdf</t>
  </si>
  <si>
    <t>Melting_Curves/meltCurve_B7Z5W1_F11R.pdf</t>
  </si>
  <si>
    <t>Melting_Curves/meltCurve_B7Z5X7_WARS2.pdf</t>
  </si>
  <si>
    <t>Melting_Curves/meltCurve_B7Z662_SLC27A1.pdf</t>
  </si>
  <si>
    <t>Melting_Curves/meltCurve_B7Z6B8_DECR1.pdf</t>
  </si>
  <si>
    <t>Melting_Curves/meltCurve_B7Z729_SMPDL3A.pdf</t>
  </si>
  <si>
    <t>Melting_Curves/meltCurve_B7Z765_DSE.pdf</t>
  </si>
  <si>
    <t>Melting_Curves/meltCurve_B7Z779_TMEM106A.pdf</t>
  </si>
  <si>
    <t>Melting_Curves/meltCurve_B7Z817_DHCR24.pdf</t>
  </si>
  <si>
    <t>Melting_Curves/meltCurve_B7Z831_GPRC5B.pdf</t>
  </si>
  <si>
    <t>Melting_Curves/meltCurve_B7Z9I3_ATP6AP2.pdf</t>
  </si>
  <si>
    <t>Melting_Curves/meltCurve_B7Z9S8_ATP1B1.pdf</t>
  </si>
  <si>
    <t>Melting_Curves/meltCurve_B7ZBB8_PPP1R3G.pdf</t>
  </si>
  <si>
    <t>Melting_Curves/meltCurve_B7ZC38_SH3GLB2.pdf</t>
  </si>
  <si>
    <t>Melting_Curves/meltCurve_B7ZKK9_PPP2R5E.pdf</t>
  </si>
  <si>
    <t>Melting_Curves/meltCurve_B7ZKM0_SART3.pdf</t>
  </si>
  <si>
    <t>Melting_Curves/meltCurve_B7ZKQ9_SCARB1.pdf</t>
  </si>
  <si>
    <t>Melting_Curves/meltCurve_B7ZL88_COX18.pdf</t>
  </si>
  <si>
    <t>Melting_Curves/meltCurve_B7ZLZ2_EDEM3.pdf</t>
  </si>
  <si>
    <t>Melting_Curves/meltCurve_B7ZMI4_MPDZ.pdf</t>
  </si>
  <si>
    <t>Melting_Curves/meltCurve_B8ZZD4_TAX1BP1.pdf</t>
  </si>
  <si>
    <t>Melting_Curves/meltCurve_B8ZZF5_EVA1A.pdf</t>
  </si>
  <si>
    <t>Melting_Curves/meltCurve_B8ZZJ1_FAM126A.pdf</t>
  </si>
  <si>
    <t>Melting_Curves/meltCurve_B8ZZK4_RPL31.pdf</t>
  </si>
  <si>
    <t>Melting_Curves/meltCurve_B8ZZN3_STK16.pdf</t>
  </si>
  <si>
    <t>Melting_Curves/meltCurve_B8ZZN6_SUMO1.pdf</t>
  </si>
  <si>
    <t>Melting_Curves/meltCurve_B8ZZQ6_PTMA.pdf</t>
  </si>
  <si>
    <t>Melting_Curves/meltCurve_B8ZZY2_AGFG1.pdf</t>
  </si>
  <si>
    <t>Melting_Curves/meltCurve_B9A018_USP39.pdf</t>
  </si>
  <si>
    <t>Melting_Curves/meltCurve_B9A054_RHBDD1.pdf</t>
  </si>
  <si>
    <t>Melting_Curves/meltCurve_B9A057_COA5.pdf</t>
  </si>
  <si>
    <t>Melting_Curves/meltCurve_B9A067_IMMT.pdf</t>
  </si>
  <si>
    <t>Melting_Curves/meltCurve_B9EGH5_PLCB2.pdf</t>
  </si>
  <si>
    <t>Melting_Curves/meltCurve_C0H5Y7_BAK1.pdf</t>
  </si>
  <si>
    <t>Melting_Curves/meltCurve_C4AMC7_WASH3P.pdf</t>
  </si>
  <si>
    <t>Melting_Curves/meltCurve_C9IYC4_C3orf18.pdf</t>
  </si>
  <si>
    <t>Melting_Curves/meltCurve_C9J0I9_ZC3HC1.pdf</t>
  </si>
  <si>
    <t>Melting_Curves/meltCurve_C9J0J0_CCDC126.pdf</t>
  </si>
  <si>
    <t>Melting_Curves/meltCurve_C9J0J7_PFN2.pdf</t>
  </si>
  <si>
    <t>Melting_Curves/meltCurve_C9J0K6_SRI.pdf</t>
  </si>
  <si>
    <t>Melting_Curves/meltCurve_C9J1D9_IL1RAP.pdf</t>
  </si>
  <si>
    <t>Melting_Curves/meltCurve_C9J1K8_MEGF9.pdf</t>
  </si>
  <si>
    <t>Melting_Curves/meltCurve_C9J1R1_IKBKG.pdf</t>
  </si>
  <si>
    <t>Melting_Curves/meltCurve_C9J212_UBE2F.pdf</t>
  </si>
  <si>
    <t>Melting_Curves/meltCurve_C9J2P0_UBE2E1.pdf</t>
  </si>
  <si>
    <t>Melting_Curves/meltCurve_C9J2U4_TAMM41.pdf</t>
  </si>
  <si>
    <t>Melting_Curves/meltCurve_C9J366_IQCJ_SCHIP1.pdf</t>
  </si>
  <si>
    <t>Melting_Curves/meltCurve_C9J5C3_PDCD10.pdf</t>
  </si>
  <si>
    <t>Melting_Curves/meltCurve_C9J6A7_RPE.pdf</t>
  </si>
  <si>
    <t>Melting_Curves/meltCurve_C9J6N9_UFD1L.pdf</t>
  </si>
  <si>
    <t>Melting_Curves/meltCurve_C9J6Q8_TMEM98.pdf</t>
  </si>
  <si>
    <t>Melting_Curves/meltCurve_C9J712_PFN2.pdf</t>
  </si>
  <si>
    <t>Melting_Curves/meltCurve_C9J719_EBP.pdf</t>
  </si>
  <si>
    <t>Melting_Curves/meltCurve_C9J7I2_C16orf62.pdf</t>
  </si>
  <si>
    <t>Melting_Curves/meltCurve_C9J7K9_PLSCR1.pdf</t>
  </si>
  <si>
    <t>Melting_Curves/meltCurve_C9J8B8_HDAC10.pdf</t>
  </si>
  <si>
    <t>Melting_Curves/meltCurve_C9J9K3_RPSA.pdf</t>
  </si>
  <si>
    <t>Melting_Curves/meltCurve_C9JA08_NMD3.pdf</t>
  </si>
  <si>
    <t>Melting_Curves/meltCurve_C9JA28_SSR3.pdf</t>
  </si>
  <si>
    <t>Melting_Curves/meltCurve_C9JAB2_SRSF7.pdf</t>
  </si>
  <si>
    <t>Melting_Curves/meltCurve_C9JB13_BSDC1.pdf</t>
  </si>
  <si>
    <t>Melting_Curves/meltCurve_C9JBB3_TFPI.pdf</t>
  </si>
  <si>
    <t>Melting_Curves/meltCurve_C9JBG5_SIDT2.pdf</t>
  </si>
  <si>
    <t>Melting_Curves/meltCurve_C9JBL1_SPCS1.pdf</t>
  </si>
  <si>
    <t>Melting_Curves/meltCurve_C9JCC6_DRAP1.pdf</t>
  </si>
  <si>
    <t>Melting_Curves/meltCurve_C9JCN8_FOSL2.pdf</t>
  </si>
  <si>
    <t>Melting_Curves/meltCurve_C9JDS9_TUBA4A.pdf</t>
  </si>
  <si>
    <t>Melting_Curves/meltCurve_C9JE12_TMUB1.pdf</t>
  </si>
  <si>
    <t>Melting_Curves/meltCurve_C9JE98_NCOR2.pdf</t>
  </si>
  <si>
    <t>Melting_Curves/meltCurve_C9JEL3_EIF4E2.pdf</t>
  </si>
  <si>
    <t>Melting_Curves/meltCurve_C9JEX3_MTMR2.pdf</t>
  </si>
  <si>
    <t>Melting_Curves/meltCurve_C9JEZ4_CDC42EP3.pdf</t>
  </si>
  <si>
    <t>Melting_Curves/meltCurve_C9JF58_OSCP1.pdf</t>
  </si>
  <si>
    <t>Melting_Curves/meltCurve_C9JFB2_YIPF1.pdf</t>
  </si>
  <si>
    <t>Melting_Curves/meltCurve_C9JFE4_GPS1.pdf</t>
  </si>
  <si>
    <t>Melting_Curves/meltCurve_C9JFK9_BAG3.pdf</t>
  </si>
  <si>
    <t>Melting_Curves/meltCurve_C9JFR7_CYCS.pdf</t>
  </si>
  <si>
    <t>Melting_Curves/meltCurve_C9JG41_ITM2C.pdf</t>
  </si>
  <si>
    <t>Melting_Curves/meltCurve_C9JG97_AAMP.pdf</t>
  </si>
  <si>
    <t>Melting_Curves/meltCurve_C9JGY1_CBWD1.pdf</t>
  </si>
  <si>
    <t>Melting_Curves/meltCurve_C9JIF9_APEH.pdf</t>
  </si>
  <si>
    <t>Melting_Curves/meltCurve_C9JJV6_MYADM.pdf</t>
  </si>
  <si>
    <t>Melting_Curves/meltCurve_C9JLU1_POLR2H.pdf</t>
  </si>
  <si>
    <t>Melting_Curves/meltCurve_C9JLV4_APAF1.pdf</t>
  </si>
  <si>
    <t>Melting_Curves/meltCurve_C9JM82_SEPT5.pdf</t>
  </si>
  <si>
    <t>Melting_Curves/meltCurve_C9JN15_PPIG.pdf</t>
  </si>
  <si>
    <t>Melting_Curves/meltCurve_C9JNA8_IP6K1.pdf</t>
  </si>
  <si>
    <t>Melting_Curves/meltCurve_C9JNE2_OARD1.pdf</t>
  </si>
  <si>
    <t>Melting_Curves/meltCurve_C9JP85_NRF1.pdf</t>
  </si>
  <si>
    <t>Melting_Curves/meltCurve_C9JPX5_STARD3NL.pdf</t>
  </si>
  <si>
    <t>Melting_Curves/meltCurve_C9JQ41_CCDC58.pdf</t>
  </si>
  <si>
    <t>Melting_Curves/meltCurve_C9JQB1_NME6.pdf</t>
  </si>
  <si>
    <t>Melting_Curves/meltCurve_C9JQD4_PPIH.pdf</t>
  </si>
  <si>
    <t>Melting_Curves/meltCurve_C9JQV3_STK11IP.pdf</t>
  </si>
  <si>
    <t>Melting_Curves/meltCurve_C9JRY4_SEC22A.pdf</t>
  </si>
  <si>
    <t>Melting_Curves/meltCurve_C9JRZ6_CHCHD3.pdf</t>
  </si>
  <si>
    <t>Melting_Curves/meltCurve_C9JSZ2_SLC46A1.pdf</t>
  </si>
  <si>
    <t>Melting_Curves/meltCurve_C9JUF0_EIF4A2.pdf</t>
  </si>
  <si>
    <t>Melting_Curves/meltCurve_C9JV49_HARS2.pdf</t>
  </si>
  <si>
    <t>Melting_Curves/meltCurve_C9JVH1_VOPP1.pdf</t>
  </si>
  <si>
    <t>Melting_Curves/meltCurve_C9JVN9_L2HGDH.pdf</t>
  </si>
  <si>
    <t>Melting_Curves/meltCurve_C9JX83_MPHOSPH10.pdf</t>
  </si>
  <si>
    <t>Melting_Curves/meltCurve_C9JXB8_RPL24.pdf</t>
  </si>
  <si>
    <t>Melting_Curves/meltCurve_C9JXK9_LPP.pdf</t>
  </si>
  <si>
    <t>Melting_Curves/meltCurve_C9JYM0_POP7.pdf</t>
  </si>
  <si>
    <t>Melting_Curves/meltCurve_C9JYN0_SYPL1.pdf</t>
  </si>
  <si>
    <t>Melting_Curves/meltCurve_C9JYY6_NRCAM.pdf</t>
  </si>
  <si>
    <t>Melting_Curves/meltCurve_C9JZB0_INPP5K.pdf</t>
  </si>
  <si>
    <t>Melting_Curves/meltCurve_C9JZI1_RFC4.pdf</t>
  </si>
  <si>
    <t>Melting_Curves/meltCurve_C9JZY3_PCBP4.pdf</t>
  </si>
  <si>
    <t>Melting_Curves/meltCurve_C9JZY6_UBE2H.pdf</t>
  </si>
  <si>
    <t>Melting_Curves/meltCurve_C9K0J5_RAPH1.pdf</t>
  </si>
  <si>
    <t>Melting_Curves/meltCurve_C9K0X5_SNUPN.pdf</t>
  </si>
  <si>
    <t>Melting_Curves/meltCurve_D0FY33_BTN3A3.pdf</t>
  </si>
  <si>
    <t>Melting_Curves/meltCurve_D3DPN2_SDC3.pdf</t>
  </si>
  <si>
    <t>Melting_Curves/meltCurve_D3DQV9_EIF4G2.pdf</t>
  </si>
  <si>
    <t>Melting_Curves/meltCurve_D3DR31_IFIT1.pdf</t>
  </si>
  <si>
    <t>Melting_Curves/meltCurve_D3YTB1_RPL32.pdf</t>
  </si>
  <si>
    <t>Melting_Curves/meltCurve_D3YTG6_NDOR1.pdf</t>
  </si>
  <si>
    <t>Melting_Curves/meltCurve_D3YTI9_TAPBP.pdf</t>
  </si>
  <si>
    <t>Melting_Curves/meltCurve_D6R938_CAMK2D.pdf</t>
  </si>
  <si>
    <t>Melting_Curves/meltCurve_D6R991_MATR3.pdf</t>
  </si>
  <si>
    <t>Melting_Curves/meltCurve_D6R9X7_ERCC6.pdf</t>
  </si>
  <si>
    <t>Melting_Curves/meltCurve_D6R9Z7_COX7C.pdf</t>
  </si>
  <si>
    <t>Melting_Curves/meltCurve_D6RA26_PLRG1.pdf</t>
  </si>
  <si>
    <t>Melting_Curves/meltCurve_D6RB81_AMACR.pdf</t>
  </si>
  <si>
    <t>Melting_Curves/meltCurve_D6RBW1_EIF4E.pdf</t>
  </si>
  <si>
    <t>Melting_Curves/meltCurve_D6RCD0_HSD17B11.pdf</t>
  </si>
  <si>
    <t>Melting_Curves/meltCurve_D6RCM8_TNFAIP8.pdf</t>
  </si>
  <si>
    <t>Melting_Curves/meltCurve_D6RCP5_ARHGAP24.pdf</t>
  </si>
  <si>
    <t>Melting_Curves/meltCurve_D6RD47_RPS23.pdf</t>
  </si>
  <si>
    <t>Melting_Curves/meltCurve_D6RDX3_ATG10.pdf</t>
  </si>
  <si>
    <t>Melting_Curves/meltCurve_D6RDX7_EMB.pdf</t>
  </si>
  <si>
    <t>Melting_Curves/meltCurve_D6RE84_ALG13.pdf</t>
  </si>
  <si>
    <t>Melting_Curves/meltCurve_D6REB5_IDUA.pdf</t>
  </si>
  <si>
    <t>Melting_Curves/meltCurve_D6REL0_CDC42SE2.pdf</t>
  </si>
  <si>
    <t>Melting_Curves/meltCurve_D6REP5_GRAMD3.pdf</t>
  </si>
  <si>
    <t>Melting_Curves/meltCurve_D6RER8_SLC38A9.pdf</t>
  </si>
  <si>
    <t>Melting_Curves/meltCurve_D6REX3_SEC31A.pdf</t>
  </si>
  <si>
    <t>Melting_Curves/meltCurve_D6REX7_SPRY1.pdf</t>
  </si>
  <si>
    <t>Melting_Curves/meltCurve_D6RF48_STX18.pdf</t>
  </si>
  <si>
    <t>Melting_Curves/meltCurve_D6RF92_CXCL6.pdf</t>
  </si>
  <si>
    <t>Melting_Curves/meltCurve_D6RFG8_DCK.pdf</t>
  </si>
  <si>
    <t>Melting_Curves/meltCurve_D6RGG3_COL12A1.pdf</t>
  </si>
  <si>
    <t>Melting_Curves/meltCurve_D6RH20_MRPS27.pdf</t>
  </si>
  <si>
    <t>Melting_Curves/meltCurve_D6RHG7_SERINC5.pdf</t>
  </si>
  <si>
    <t>Melting_Curves/meltCurve_D6RHI7_CCNH.pdf</t>
  </si>
  <si>
    <t>Melting_Curves/meltCurve_D6RHI9_RNASET2.pdf</t>
  </si>
  <si>
    <t>Melting_Curves/meltCurve_D6RIE3_COX7A2.pdf</t>
  </si>
  <si>
    <t>Melting_Curves/meltCurve_D6RIF6_SLAIN2.pdf</t>
  </si>
  <si>
    <t>Melting_Curves/meltCurve_D6RIU2_CLDND1.pdf</t>
  </si>
  <si>
    <t>Melting_Curves/meltCurve_D6RIZ4_MFSD10.pdf</t>
  </si>
  <si>
    <t>Melting_Curves/meltCurve_D6RJ98_PIK3R4.pdf</t>
  </si>
  <si>
    <t>Melting_Curves/meltCurve_E2QRD0_VWA8.pdf</t>
  </si>
  <si>
    <t>Melting_Curves/meltCurve_E2QRG8_REEP5.pdf</t>
  </si>
  <si>
    <t>Melting_Curves/meltCurve_E5RFS7_FAM92A1.pdf</t>
  </si>
  <si>
    <t>Melting_Curves/meltCurve_E5RFU2_EPHX2.pdf</t>
  </si>
  <si>
    <t>Melting_Curves/meltCurve_E5RG17_TATDN1.pdf</t>
  </si>
  <si>
    <t>Melting_Curves/meltCurve_E5RG44_TRIQK.pdf</t>
  </si>
  <si>
    <t>Melting_Curves/meltCurve_E5RGX5_STMN2.pdf</t>
  </si>
  <si>
    <t>Melting_Curves/meltCurve_E5RGY0_DERL1.pdf</t>
  </si>
  <si>
    <t>Melting_Curves/meltCurve_E5RHG5_SLC36A1.pdf</t>
  </si>
  <si>
    <t>Melting_Curves/meltCurve_E5RHG8_TCEB1.pdf</t>
  </si>
  <si>
    <t>Melting_Curves/meltCurve_E5RHG9_UQCRB.pdf</t>
  </si>
  <si>
    <t>Melting_Curves/meltCurve_E5RHW0_TMEM66.pdf</t>
  </si>
  <si>
    <t>Melting_Curves/meltCurve_E5RIH5_TTI2.pdf</t>
  </si>
  <si>
    <t>Melting_Curves/meltCurve_E5RIP7_IMPA1.pdf</t>
  </si>
  <si>
    <t>Melting_Curves/meltCurve_E5RJ08_CHCHD7.pdf</t>
  </si>
  <si>
    <t>Melting_Curves/meltCurve_E5RJ26_PSEN2.pdf</t>
  </si>
  <si>
    <t>Melting_Curves/meltCurve_E5RJ29_PSD3.pdf</t>
  </si>
  <si>
    <t>Melting_Curves/meltCurve_E5RJ52_AP3M2.pdf</t>
  </si>
  <si>
    <t>Melting_Curves/meltCurve_E5RJ99_ZFAND1.pdf</t>
  </si>
  <si>
    <t>Melting_Curves/meltCurve_E5RJD2_DECR1.pdf</t>
  </si>
  <si>
    <t>Melting_Curves/meltCurve_E5RJR5_SKP1.pdf</t>
  </si>
  <si>
    <t>Melting_Curves/meltCurve_E5RJW2_LYNX1.pdf</t>
  </si>
  <si>
    <t>Melting_Curves/meltCurve_E5RK28_SGK3.pdf</t>
  </si>
  <si>
    <t>Melting_Curves/meltCurve_E5RK82_CETN3.pdf</t>
  </si>
  <si>
    <t>Melting_Curves/meltCurve_E7EM50_PIGG.pdf</t>
  </si>
  <si>
    <t>Melting_Curves/meltCurve_E7EM64_COPS6.pdf</t>
  </si>
  <si>
    <t>Melting_Curves/meltCurve_E7EMA9_ATHL1.pdf</t>
  </si>
  <si>
    <t>Melting_Curves/meltCurve_E7EMB6_DNPEP.pdf</t>
  </si>
  <si>
    <t>Melting_Curves/meltCurve_E7EMM4_ASAH1.pdf</t>
  </si>
  <si>
    <t>Melting_Curves/meltCurve_E7EN73_KIAA0319L.pdf</t>
  </si>
  <si>
    <t>Melting_Curves/meltCurve_E7ENA9_NCSTN.pdf</t>
  </si>
  <si>
    <t>Melting_Curves/meltCurve_E7ENC2_RIMS1.pdf</t>
  </si>
  <si>
    <t>Melting_Curves/meltCurve_E7ENF1_C12orf43.pdf</t>
  </si>
  <si>
    <t>Melting_Curves/meltCurve_E7ENK0_CALCOCO2.pdf</t>
  </si>
  <si>
    <t>Melting_Curves/meltCurve_E7EP72_C19orf25.pdf</t>
  </si>
  <si>
    <t>Melting_Curves/meltCurve_E7EPC6_CD44.pdf</t>
  </si>
  <si>
    <t>Melting_Curves/meltCurve_E7EPD0_TOM1.pdf</t>
  </si>
  <si>
    <t>Melting_Curves/meltCurve_E7EPL4_PDXDC1.pdf</t>
  </si>
  <si>
    <t>Melting_Curves/meltCurve_E7EPN9_PRRC2C.pdf</t>
  </si>
  <si>
    <t>Melting_Curves/meltCurve_E7EPP7_STXBP4.pdf</t>
  </si>
  <si>
    <t>Melting_Curves/meltCurve_E7EPR3_IFI16.pdf</t>
  </si>
  <si>
    <t>Melting_Curves/meltCurve_E7EPS8_PTPRM.pdf</t>
  </si>
  <si>
    <t>Melting_Curves/meltCurve_E7EPT4_NDUFV2.pdf</t>
  </si>
  <si>
    <t>Melting_Curves/meltCurve_E7EPV7_SNCA.pdf</t>
  </si>
  <si>
    <t>Melting_Curves/meltCurve_E7EPY1_TNIP1.pdf</t>
  </si>
  <si>
    <t>Melting_Curves/meltCurve_E7EQ45_AP5M1.pdf</t>
  </si>
  <si>
    <t>Melting_Curves/meltCurve_E7EQ69_NAA50.pdf</t>
  </si>
  <si>
    <t>Melting_Curves/meltCurve_E7EQB3_TSEN34.pdf</t>
  </si>
  <si>
    <t>Melting_Curves/meltCurve_E7EQL8_TUBGCP6.pdf</t>
  </si>
  <si>
    <t>Melting_Curves/meltCurve_E7EQR8_YIPF3.pdf</t>
  </si>
  <si>
    <t>Melting_Curves/meltCurve_E7EQT4_ACIN1.pdf</t>
  </si>
  <si>
    <t>Melting_Curves/meltCurve_E7ER32_MKL1.pdf</t>
  </si>
  <si>
    <t>Melting_Curves/meltCurve_E7ER60_SYNJ2.pdf</t>
  </si>
  <si>
    <t>Melting_Curves/meltCurve_E7ER77_ERMP1.pdf</t>
  </si>
  <si>
    <t>Melting_Curves/meltCurve_E7ER89_PAPSS2.pdf</t>
  </si>
  <si>
    <t>Melting_Curves/meltCurve_E7ERB7_GMIP.pdf</t>
  </si>
  <si>
    <t>Melting_Curves/meltCurve_E7ERC6_ATP2C1.pdf</t>
  </si>
  <si>
    <t>Melting_Curves/meltCurve_E7ERH1_TNS1.pdf</t>
  </si>
  <si>
    <t>Melting_Curves/meltCurve_E7ERJ0_ITSN1.pdf</t>
  </si>
  <si>
    <t>Melting_Curves/meltCurve_E7ERL6_MAST2.pdf</t>
  </si>
  <si>
    <t>Melting_Curves/meltCurve_E7ERS3_ZC3H18.pdf</t>
  </si>
  <si>
    <t>Melting_Curves/meltCurve_E7ES21_HEPH.pdf</t>
  </si>
  <si>
    <t>Melting_Curves/meltCurve_E7ES35_TTC38.pdf</t>
  </si>
  <si>
    <t>Melting_Curves/meltCurve_E7ES43_HSPA4L.pdf</t>
  </si>
  <si>
    <t>Melting_Curves/meltCurve_E7ES96_PSEN1.pdf</t>
  </si>
  <si>
    <t>Melting_Curves/meltCurve_E7ESK6_SDC2.pdf</t>
  </si>
  <si>
    <t>Melting_Curves/meltCurve_E7ESP4_ITGA2.pdf</t>
  </si>
  <si>
    <t>Melting_Curves/meltCurve_E7ESZ7_NDUFA10.pdf</t>
  </si>
  <si>
    <t>Melting_Curves/meltCurve_E7ET40_PLAU.pdf</t>
  </si>
  <si>
    <t>Melting_Curves/meltCurve_E7ETA6_PCM1.pdf</t>
  </si>
  <si>
    <t>Melting_Curves/meltCurve_E7ETC6_PDPN.pdf</t>
  </si>
  <si>
    <t>Melting_Curves/meltCurve_E7ETK0_RPS24.pdf</t>
  </si>
  <si>
    <t>Melting_Curves/meltCurve_E7ETU5_RBMS1.pdf</t>
  </si>
  <si>
    <t>Melting_Curves/meltCurve_E7ETW5_RCHY1.pdf</t>
  </si>
  <si>
    <t>Melting_Curves/meltCurve_E7ETZ4_BZW2.pdf</t>
  </si>
  <si>
    <t>Melting_Curves/meltCurve_E7EU05_CD36.pdf</t>
  </si>
  <si>
    <t>Melting_Curves/meltCurve_E7EU23_GDI2.pdf</t>
  </si>
  <si>
    <t>Melting_Curves/meltCurve_E7EU35_PITPNC1.pdf</t>
  </si>
  <si>
    <t>Melting_Curves/meltCurve_E7EU96_CSNK2A1.pdf</t>
  </si>
  <si>
    <t>Melting_Curves/meltCurve_E7EUC6_NAV3.pdf</t>
  </si>
  <si>
    <t>Melting_Curves/meltCurve_E7EUD0_DKK3.pdf</t>
  </si>
  <si>
    <t>Melting_Curves/meltCurve_E7EUM5_NUP54.pdf</t>
  </si>
  <si>
    <t>Melting_Curves/meltCurve_E7EUY0_PRKDC.pdf</t>
  </si>
  <si>
    <t>Melting_Curves/meltCurve_E7EUY3_PCCB.pdf</t>
  </si>
  <si>
    <t>Melting_Curves/meltCurve_E7EV01_CAPN5.pdf</t>
  </si>
  <si>
    <t>Melting_Curves/meltCurve_E7EV05_ZFAND2B.pdf</t>
  </si>
  <si>
    <t>Melting_Curves/meltCurve_E7EV71_LTBP1.pdf</t>
  </si>
  <si>
    <t>Melting_Curves/meltCurve_E7EVA0_MAP4.pdf</t>
  </si>
  <si>
    <t>Melting_Curves/meltCurve_E7EVC7_ATG16L1.pdf</t>
  </si>
  <si>
    <t>Melting_Curves/meltCurve_E7EVH9_HDHD1.pdf</t>
  </si>
  <si>
    <t>Melting_Curves/meltCurve_E7EVZ2_YWHAZ.pdf</t>
  </si>
  <si>
    <t>Melting_Curves/meltCurve_E7EW20_MYO6.pdf</t>
  </si>
  <si>
    <t>Melting_Curves/meltCurve_E7EW32_MON1B.pdf</t>
  </si>
  <si>
    <t>Melting_Curves/meltCurve_E7EW69_SEPT10.pdf</t>
  </si>
  <si>
    <t>Melting_Curves/meltCurve_E7EWC2_IQGAP2.pdf</t>
  </si>
  <si>
    <t>Melting_Curves/meltCurve_E7EWM3_ZMIZ2.pdf</t>
  </si>
  <si>
    <t>Melting_Curves/meltCurve_E7EWP0_NDUFB5.pdf</t>
  </si>
  <si>
    <t>Melting_Curves/meltCurve_E7EX01_MPP2.pdf</t>
  </si>
  <si>
    <t>Melting_Curves/meltCurve_E7EX17_EIF4B.pdf</t>
  </si>
  <si>
    <t>Melting_Curves/meltCurve_E7EX53_RPL15.pdf</t>
  </si>
  <si>
    <t>Melting_Curves/meltCurve_E7EX90_DCTN1.pdf</t>
  </si>
  <si>
    <t>Melting_Curves/meltCurve_E9PAR5_NCBP2.pdf</t>
  </si>
  <si>
    <t>Melting_Curves/meltCurve_E9PAU2_RAVER1.pdf</t>
  </si>
  <si>
    <t>Melting_Curves/meltCurve_E9PB09_HEATR5A.pdf</t>
  </si>
  <si>
    <t>Melting_Curves/meltCurve_E9PB61_ALYREF.pdf</t>
  </si>
  <si>
    <t>Melting_Curves/meltCurve_E9PBJ5_SDHA.pdf</t>
  </si>
  <si>
    <t>Melting_Curves/meltCurve_E9PBL8_COG1.pdf</t>
  </si>
  <si>
    <t>Melting_Curves/meltCurve_E9PBS1_PAICS.pdf</t>
  </si>
  <si>
    <t>Melting_Curves/meltCurve_E9PC15_AGK.pdf</t>
  </si>
  <si>
    <t>Melting_Curves/meltCurve_E9PC47_LIMK1.pdf</t>
  </si>
  <si>
    <t>Melting_Curves/meltCurve_E9PC74_EIF2B5.pdf</t>
  </si>
  <si>
    <t>Melting_Curves/meltCurve_E9PCJ7_UBR7.pdf</t>
  </si>
  <si>
    <t>Melting_Curves/meltCurve_E9PCN5_CNOT10.pdf</t>
  </si>
  <si>
    <t>Melting_Curves/meltCurve_E9PCV6_COL6A3.pdf</t>
  </si>
  <si>
    <t>Melting_Curves/meltCurve_E9PCW1_GOSR1.pdf</t>
  </si>
  <si>
    <t>Melting_Curves/meltCurve_E9PCY7_HNRNPH1.pdf</t>
  </si>
  <si>
    <t>Melting_Curves/meltCurve_E9PDF6_MYO1B.pdf</t>
  </si>
  <si>
    <t>Melting_Curves/meltCurve_E9PDJ1_CACNA1C.pdf</t>
  </si>
  <si>
    <t>Melting_Curves/meltCurve_E9PDN5_DMD.pdf</t>
  </si>
  <si>
    <t>Melting_Curves/meltCurve_E9PDX3_KIF13A.pdf</t>
  </si>
  <si>
    <t>Melting_Curves/meltCurve_E9PEE8_ITGB6.pdf</t>
  </si>
  <si>
    <t>Melting_Curves/meltCurve_E9PEH6_SGCE.pdf</t>
  </si>
  <si>
    <t>Melting_Curves/meltCurve_E9PEL9_SYNE1.pdf</t>
  </si>
  <si>
    <t>Melting_Curves/meltCurve_E9PEN8_XPO7.pdf</t>
  </si>
  <si>
    <t>Melting_Curves/meltCurve_E9PEP6_NRP1.pdf</t>
  </si>
  <si>
    <t>Melting_Curves/meltCurve_E9PER1_DIP2A.pdf</t>
  </si>
  <si>
    <t>Melting_Curves/meltCurve_E9PER6_PDPK1.pdf</t>
  </si>
  <si>
    <t>Melting_Curves/meltCurve_E9PEZ3_DIAPH1.pdf</t>
  </si>
  <si>
    <t>Melting_Curves/meltCurve_E9PF10_NUP155.pdf</t>
  </si>
  <si>
    <t>Melting_Curves/meltCurve_E9PF16_ACSF2.pdf</t>
  </si>
  <si>
    <t>Melting_Curves/meltCurve_E9PF18_HADH.pdf</t>
  </si>
  <si>
    <t>Melting_Curves/meltCurve_E9PF19_TBL2.pdf</t>
  </si>
  <si>
    <t>Melting_Curves/meltCurve_E9PFH7_MAPK8IP3.pdf</t>
  </si>
  <si>
    <t>Melting_Curves/meltCurve_E9PFK9_RABGEF1.pdf</t>
  </si>
  <si>
    <t>Melting_Curves/meltCurve_E9PFR3_PPP2R5D.pdf</t>
  </si>
  <si>
    <t>Melting_Curves/meltCurve_E9PG22_CEP97.pdf</t>
  </si>
  <si>
    <t>Melting_Curves/meltCurve_E9PG71_EPHA4.pdf</t>
  </si>
  <si>
    <t>Melting_Curves/meltCurve_E9PGC0_RASA1.pdf</t>
  </si>
  <si>
    <t>Melting_Curves/meltCurve_E9PGF5_TNS1.pdf</t>
  </si>
  <si>
    <t>Melting_Curves/meltCurve_E9PGN7_SERPING1.pdf</t>
  </si>
  <si>
    <t>Melting_Curves/meltCurve_E9PGQ0_SLC25A44.pdf</t>
  </si>
  <si>
    <t>Melting_Curves/meltCurve_E9PGT1_TSN.pdf</t>
  </si>
  <si>
    <t>Melting_Curves/meltCurve_E9PGT6_COPS8.pdf</t>
  </si>
  <si>
    <t>Melting_Curves/meltCurve_E9PH29_PRDX3.pdf</t>
  </si>
  <si>
    <t>Melting_Curves/meltCurve_E9PHA6_MSH2.pdf</t>
  </si>
  <si>
    <t>Melting_Curves/meltCurve_E9PHG5_CYP20A1.pdf</t>
  </si>
  <si>
    <t>Melting_Curves/meltCurve_E9PHH9_POLR3C.pdf</t>
  </si>
  <si>
    <t>Melting_Curves/meltCurve_E9PHK9_TCOF1.pdf</t>
  </si>
  <si>
    <t>Melting_Curves/meltCurve_E9PHV5_SSFA2.pdf</t>
  </si>
  <si>
    <t>Melting_Curves/meltCurve_E9PHY8_MROH1.pdf</t>
  </si>
  <si>
    <t>Melting_Curves/meltCurve_E9PI62_.pdf</t>
  </si>
  <si>
    <t>Melting_Curves/meltCurve_E9PIE3_PRKCDBP.pdf</t>
  </si>
  <si>
    <t>Melting_Curves/meltCurve_E9PIM6_THY1.pdf</t>
  </si>
  <si>
    <t>Melting_Curves/meltCurve_E9PJ64_PDE4DIP.pdf</t>
  </si>
  <si>
    <t>Melting_Curves/meltCurve_E9PJ67_CTSB.pdf</t>
  </si>
  <si>
    <t>Melting_Curves/meltCurve_E9PJ81_UBXN1.pdf</t>
  </si>
  <si>
    <t>Melting_Curves/meltCurve_E9PJA2_CSF1.pdf</t>
  </si>
  <si>
    <t>Melting_Curves/meltCurve_E9PJD7_CYHR1.pdf</t>
  </si>
  <si>
    <t>Melting_Curves/meltCurve_E9PJK1_CD81.pdf</t>
  </si>
  <si>
    <t>Melting_Curves/meltCurve_E9PK01_EEF1D.pdf</t>
  </si>
  <si>
    <t>Melting_Curves/meltCurve_E9PK67_PARP10.pdf</t>
  </si>
  <si>
    <t>Melting_Curves/meltCurve_E9PK91_BCLAF1.pdf</t>
  </si>
  <si>
    <t>Melting_Curves/meltCurve_E9PKF8_EIF4G2.pdf</t>
  </si>
  <si>
    <t>Melting_Curves/meltCurve_E9PKG1_PRMT1.pdf</t>
  </si>
  <si>
    <t>Melting_Curves/meltCurve_E9PKH2_SERPINH1.pdf</t>
  </si>
  <si>
    <t>Melting_Curves/meltCurve_E9PKN9_TP53I11.pdf</t>
  </si>
  <si>
    <t>Melting_Curves/meltCurve_E9PKT4_TMEM123.pdf</t>
  </si>
  <si>
    <t>Melting_Curves/meltCurve_E9PKV8_TTC9C.pdf</t>
  </si>
  <si>
    <t>Melting_Curves/meltCurve_E9PKZ0_RPL8.pdf</t>
  </si>
  <si>
    <t>Melting_Curves/meltCurve_E9PL01_SPCS2.pdf</t>
  </si>
  <si>
    <t>Melting_Curves/meltCurve_E9PL10_BTF3L4.pdf</t>
  </si>
  <si>
    <t>Melting_Curves/meltCurve_E9PL22_HYOU1.pdf</t>
  </si>
  <si>
    <t>Melting_Curves/meltCurve_E9PL33_EI24.pdf</t>
  </si>
  <si>
    <t>Melting_Curves/meltCurve_E9PL83_ADM.pdf</t>
  </si>
  <si>
    <t>Melting_Curves/meltCurve_E9PLG8_GPAA1.pdf</t>
  </si>
  <si>
    <t>Melting_Curves/meltCurve_E9PLK3_NPEPPS.pdf</t>
  </si>
  <si>
    <t>Melting_Curves/meltCurve_E9PLL6_RPL27A.pdf</t>
  </si>
  <si>
    <t>Melting_Curves/meltCurve_E9PM46_USP47.pdf</t>
  </si>
  <si>
    <t>Melting_Curves/meltCurve_E9PM92_C11orf58.pdf</t>
  </si>
  <si>
    <t>Melting_Curves/meltCurve_E9PME6_USF1.pdf</t>
  </si>
  <si>
    <t>Melting_Curves/meltCurve_E9PMH5_BIRC2.pdf</t>
  </si>
  <si>
    <t>Melting_Curves/meltCurve_E9PMI6_CLNS1A.pdf</t>
  </si>
  <si>
    <t>Melting_Curves/meltCurve_E9PMJ2_FAM118B.pdf</t>
  </si>
  <si>
    <t>Melting_Curves/meltCurve_E9PMM3_PEX16.pdf</t>
  </si>
  <si>
    <t>Melting_Curves/meltCurve_E9PMP7_LMO7.pdf</t>
  </si>
  <si>
    <t>Melting_Curves/meltCurve_E9PMQ6_HSF1.pdf</t>
  </si>
  <si>
    <t>Melting_Curves/meltCurve_E9PN58_SIRT3.pdf</t>
  </si>
  <si>
    <t>Melting_Curves/meltCurve_E9PNK6_TPD52L1.pdf</t>
  </si>
  <si>
    <t>Melting_Curves/meltCurve_E9PNV3_RDX.pdf</t>
  </si>
  <si>
    <t>Melting_Curves/meltCurve_E9PNX1_SERPINH1.pdf</t>
  </si>
  <si>
    <t>Melting_Curves/meltCurve_E9PPW7_NDUFS8.pdf</t>
  </si>
  <si>
    <t>Melting_Curves/meltCurve_E9PQ14_DPP3.pdf</t>
  </si>
  <si>
    <t>Melting_Curves/meltCurve_E9PQ61_ZC3H11A.pdf</t>
  </si>
  <si>
    <t>Melting_Curves/meltCurve_E9PQ91_SC5D.pdf</t>
  </si>
  <si>
    <t>Melting_Curves/meltCurve_E9PQW1_CARD16.pdf</t>
  </si>
  <si>
    <t>Melting_Curves/meltCurve_E9PQY2_PFDN4.pdf</t>
  </si>
  <si>
    <t>Melting_Curves/meltCurve_E9PR17_CD59.pdf</t>
  </si>
  <si>
    <t>Melting_Curves/meltCurve_E9PR30_FAU.pdf</t>
  </si>
  <si>
    <t>Melting_Curves/meltCurve_E9PR44_CRYAB.pdf</t>
  </si>
  <si>
    <t>Melting_Curves/meltCurve_E9PR54_CTSB.pdf</t>
  </si>
  <si>
    <t>Melting_Curves/meltCurve_E9PR76_MAF1.pdf</t>
  </si>
  <si>
    <t>Melting_Curves/meltCurve_E9PRF4_SETDB1.pdf</t>
  </si>
  <si>
    <t>Melting_Curves/meltCurve_E9PRM7_SLC22A18.pdf</t>
  </si>
  <si>
    <t>Melting_Curves/meltCurve_E9PRR8_EIF1AD.pdf</t>
  </si>
  <si>
    <t>Melting_Curves/meltCurve_E9PRU1_EFEMP2.pdf</t>
  </si>
  <si>
    <t>Melting_Curves/meltCurve_E9PS00_FADS3.pdf</t>
  </si>
  <si>
    <t>Melting_Curves/meltCurve_E9PS17_SCYL1.pdf</t>
  </si>
  <si>
    <t>Melting_Curves/meltCurve_E9PS38_NEDD8_MDP1.pdf</t>
  </si>
  <si>
    <t>Melting_Curves/meltCurve_E9PSI1_TM9SF1.pdf</t>
  </si>
  <si>
    <t>Melting_Curves/meltCurve_F2Z2B9_TUBGCP2.pdf</t>
  </si>
  <si>
    <t>Melting_Curves/meltCurve_F2Z2I2_PFKFB3.pdf</t>
  </si>
  <si>
    <t>Melting_Curves/meltCurve_F2Z2U8_MYH14.pdf</t>
  </si>
  <si>
    <t>Melting_Curves/meltCurve_F2Z2X4_XPO4.pdf</t>
  </si>
  <si>
    <t>Melting_Curves/meltCurve_F5GWF3_C1RL.pdf</t>
  </si>
  <si>
    <t>Melting_Curves/meltCurve_F5GWT4_WNK1.pdf</t>
  </si>
  <si>
    <t>Melting_Curves/meltCurve_F5GWU7_SMAD5.pdf</t>
  </si>
  <si>
    <t>Melting_Curves/meltCurve_F5GWY5_PODXL.pdf</t>
  </si>
  <si>
    <t>Melting_Curves/meltCurve_F5GXC8_SUCLA2.pdf</t>
  </si>
  <si>
    <t>Melting_Curves/meltCurve_F5GXE4_ATE1.pdf</t>
  </si>
  <si>
    <t>Melting_Curves/meltCurve_F5GXE7_LTBR.pdf</t>
  </si>
  <si>
    <t>Melting_Curves/meltCurve_F5GXI4_PTPRK.pdf</t>
  </si>
  <si>
    <t>Melting_Curves/meltCurve_F5GXK8_DNAJB11.pdf</t>
  </si>
  <si>
    <t>Melting_Curves/meltCurve_F5GXX5_DAD1.pdf</t>
  </si>
  <si>
    <t>Melting_Curves/meltCurve_F5GXZ7_CCDC53.pdf</t>
  </si>
  <si>
    <t>Melting_Curves/meltCurve_F5GY20_GPNMB.pdf</t>
  </si>
  <si>
    <t>Melting_Curves/meltCurve_F5GY98_HN1.pdf</t>
  </si>
  <si>
    <t>Melting_Curves/meltCurve_F5GY99_GALNT1.pdf</t>
  </si>
  <si>
    <t>Melting_Curves/meltCurve_F5GYG5_REXO2.pdf</t>
  </si>
  <si>
    <t>Melting_Curves/meltCurve_F5GYJ5_.pdf</t>
  </si>
  <si>
    <t>Melting_Curves/meltCurve_F5GYK2_STRN4.pdf</t>
  </si>
  <si>
    <t>Melting_Curves/meltCurve_F5GYN4_OTUB1.pdf</t>
  </si>
  <si>
    <t>Melting_Curves/meltCurve_F5GYQ1_ATP6V0D1.pdf</t>
  </si>
  <si>
    <t>Melting_Curves/meltCurve_F5GZ78_PXN.pdf</t>
  </si>
  <si>
    <t>Melting_Curves/meltCurve_F5GZ84_FARP2.pdf</t>
  </si>
  <si>
    <t>Melting_Curves/meltCurve_F5GZP3_TRIM59.pdf</t>
  </si>
  <si>
    <t>Melting_Curves/meltCurve_F5GZS0_DHX36.pdf</t>
  </si>
  <si>
    <t>Melting_Curves/meltCurve_F5GZS6_SLC3A2.pdf</t>
  </si>
  <si>
    <t>Melting_Curves/meltCurve_F5GZX9_FAM120B.pdf</t>
  </si>
  <si>
    <t>Melting_Curves/meltCurve_F5GZY7_GABARAPL1.pdf</t>
  </si>
  <si>
    <t>Melting_Curves/meltCurve_F5H012_TRIM21.pdf</t>
  </si>
  <si>
    <t>Melting_Curves/meltCurve_F5H061_TNFRSF1A.pdf</t>
  </si>
  <si>
    <t>Melting_Curves/meltCurve_F5H0K8_KSR1.pdf</t>
  </si>
  <si>
    <t>Melting_Curves/meltCurve_F5H0L8_SEC23IP.pdf</t>
  </si>
  <si>
    <t>Melting_Curves/meltCurve_F5H148_RRN3.pdf</t>
  </si>
  <si>
    <t>Melting_Curves/meltCurve_F5H1C6_FERMT3.pdf</t>
  </si>
  <si>
    <t>Melting_Curves/meltCurve_F5H1F3_FBLN2.pdf</t>
  </si>
  <si>
    <t>Melting_Curves/meltCurve_F5H1G9_ABI1.pdf</t>
  </si>
  <si>
    <t>Melting_Curves/meltCurve_F5H1H0_L1CAM.pdf</t>
  </si>
  <si>
    <t>Melting_Curves/meltCurve_F5H1M8_PCMTD1.pdf</t>
  </si>
  <si>
    <t>Melting_Curves/meltCurve_F5H1X8_LRBA.pdf</t>
  </si>
  <si>
    <t>Melting_Curves/meltCurve_F5H1Y4_GOPC.pdf</t>
  </si>
  <si>
    <t>Melting_Curves/meltCurve_F5H280_WSB2.pdf</t>
  </si>
  <si>
    <t>Melting_Curves/meltCurve_F5H2H5_ANKLE2.pdf</t>
  </si>
  <si>
    <t>Melting_Curves/meltCurve_F5H2J3_VMP1.pdf</t>
  </si>
  <si>
    <t>Melting_Curves/meltCurve_F5H2Q7_KIAA1715.pdf</t>
  </si>
  <si>
    <t>Melting_Curves/meltCurve_F5H2S7_DCTN2.pdf</t>
  </si>
  <si>
    <t>Melting_Curves/meltCurve_F5H2U8_HMGA2.pdf</t>
  </si>
  <si>
    <t>Melting_Curves/meltCurve_F5H2X3_NRP2.pdf</t>
  </si>
  <si>
    <t>Melting_Curves/meltCurve_F5H357_RBPMS.pdf</t>
  </si>
  <si>
    <t>Melting_Curves/meltCurve_F5H365_SEC23A.pdf</t>
  </si>
  <si>
    <t>Melting_Curves/meltCurve_F5H3B6_SHROOM2.pdf</t>
  </si>
  <si>
    <t>Melting_Curves/meltCurve_F5H3M3_MANSC1.pdf</t>
  </si>
  <si>
    <t>Melting_Curves/meltCurve_F5H442_TSG101.pdf</t>
  </si>
  <si>
    <t>Melting_Curves/meltCurve_F5H456_RRP12.pdf</t>
  </si>
  <si>
    <t>Melting_Curves/meltCurve_F5H4G7_KPNA6.pdf</t>
  </si>
  <si>
    <t>Melting_Curves/meltCurve_F5H4K0_WLS.pdf</t>
  </si>
  <si>
    <t>Melting_Curves/meltCurve_F5H4N4_PXMP2.pdf</t>
  </si>
  <si>
    <t>Melting_Curves/meltCurve_F5H4Q5_VPS37C.pdf</t>
  </si>
  <si>
    <t>Melting_Curves/meltCurve_F5H4R0_EVI5.pdf</t>
  </si>
  <si>
    <t>Melting_Curves/meltCurve_F5H4S8_NFATC1.pdf</t>
  </si>
  <si>
    <t>Melting_Curves/meltCurve_F5H523_KLHL42.pdf</t>
  </si>
  <si>
    <t>Melting_Curves/meltCurve_F5H533_AMPH.pdf</t>
  </si>
  <si>
    <t>Melting_Curves/meltCurve_F5H569_ATP6V0A1.pdf</t>
  </si>
  <si>
    <t>Melting_Curves/meltCurve_F5H577_BRK1.pdf</t>
  </si>
  <si>
    <t>Melting_Curves/meltCurve_F5H5D3_TUBA1C.pdf</t>
  </si>
  <si>
    <t>Melting_Curves/meltCurve_F5H5M7_IFNGR1.pdf</t>
  </si>
  <si>
    <t>Melting_Curves/meltCurve_F5H5N0_CDC42BPA.pdf</t>
  </si>
  <si>
    <t>Melting_Curves/meltCurve_F5H5P2_BCKDHA.pdf</t>
  </si>
  <si>
    <t>Melting_Curves/meltCurve_F5H5R8_NAT1.pdf</t>
  </si>
  <si>
    <t>Melting_Curves/meltCurve_F5H604_CLASP2.pdf</t>
  </si>
  <si>
    <t>Melting_Curves/meltCurve_F5H607_TUFT1.pdf</t>
  </si>
  <si>
    <t>Melting_Curves/meltCurve_F5H620_OXNAD1.pdf</t>
  </si>
  <si>
    <t>Melting_Curves/meltCurve_F5H6Z0_CDK17.pdf</t>
  </si>
  <si>
    <t>Melting_Curves/meltCurve_F5H721_WBP11.pdf</t>
  </si>
  <si>
    <t>Melting_Curves/meltCurve_F5H740_VDAC3.pdf</t>
  </si>
  <si>
    <t>Melting_Curves/meltCurve_F5H780_TXNRD1.pdf</t>
  </si>
  <si>
    <t>Melting_Curves/meltCurve_F5H7C4_MSRB3.pdf</t>
  </si>
  <si>
    <t>Melting_Curves/meltCurve_F5H7N9_MFGE8.pdf</t>
  </si>
  <si>
    <t>Melting_Curves/meltCurve_F5H801_OGDH.pdf</t>
  </si>
  <si>
    <t>Melting_Curves/meltCurve_F5H827_POMGNT1.pdf</t>
  </si>
  <si>
    <t>Melting_Curves/meltCurve_F5H843_SLC16A7.pdf</t>
  </si>
  <si>
    <t>Melting_Curves/meltCurve_F5H860_INPP4A.pdf</t>
  </si>
  <si>
    <t>Melting_Curves/meltCurve_F5H897_TRAP1.pdf</t>
  </si>
  <si>
    <t>Melting_Curves/meltCurve_F5H8H2_MVK.pdf</t>
  </si>
  <si>
    <t>Melting_Curves/meltCurve_F5H8J3_CLPTM1.pdf</t>
  </si>
  <si>
    <t>Melting_Curves/meltCurve_F6PQP6_EPN2.pdf</t>
  </si>
  <si>
    <t>Melting_Curves/meltCurve_F6T1Q0_PDE12.pdf</t>
  </si>
  <si>
    <t>Melting_Curves/meltCurve_F6TQG2_SMARCA1.pdf</t>
  </si>
  <si>
    <t>Melting_Curves/meltCurve_F6U1T9_PPP3R1.pdf</t>
  </si>
  <si>
    <t>Melting_Curves/meltCurve_F6WCX7_MAP2K7.pdf</t>
  </si>
  <si>
    <t>Melting_Curves/meltCurve_F6XY72_NME2.pdf</t>
  </si>
  <si>
    <t>Melting_Curves/meltCurve_F8VP89_EIF4B.pdf</t>
  </si>
  <si>
    <t>Melting_Curves/meltCurve_F8VPD4_CAD.pdf</t>
  </si>
  <si>
    <t>Melting_Curves/meltCurve_F8VQD4_C12orf75.pdf</t>
  </si>
  <si>
    <t>Melting_Curves/meltCurve_F8VQZ7_METAP2.pdf</t>
  </si>
  <si>
    <t>Melting_Curves/meltCurve_F8VSI3_DCN.pdf</t>
  </si>
  <si>
    <t>Melting_Curves/meltCurve_F8VSL3_NFYB.pdf</t>
  </si>
  <si>
    <t>Melting_Curves/meltCurve_F8VSZ4_PLXNA1.pdf</t>
  </si>
  <si>
    <t>Melting_Curves/meltCurve_F8VU90_FKBP11.pdf</t>
  </si>
  <si>
    <t>Melting_Curves/meltCurve_F8VUJ3_POC1B_GALNT4.pdf</t>
  </si>
  <si>
    <t>Melting_Curves/meltCurve_F8VV56_CD63.pdf</t>
  </si>
  <si>
    <t>Melting_Curves/meltCurve_F8VV59_NAP1L1.pdf</t>
  </si>
  <si>
    <t>Melting_Curves/meltCurve_F8VV64_TENC1.pdf</t>
  </si>
  <si>
    <t>Melting_Curves/meltCurve_F8VVA2_DDX23.pdf</t>
  </si>
  <si>
    <t>Melting_Curves/meltCurve_F8VVA7_COPZ1.pdf</t>
  </si>
  <si>
    <t>Melting_Curves/meltCurve_F8VW41_PACS2.pdf</t>
  </si>
  <si>
    <t>Melting_Curves/meltCurve_F8VW96_CSRP2.pdf</t>
  </si>
  <si>
    <t>Melting_Curves/meltCurve_F8VWA6_MON2.pdf</t>
  </si>
  <si>
    <t>Melting_Curves/meltCurve_F8VWE0_TSPAN31.pdf</t>
  </si>
  <si>
    <t>Melting_Curves/meltCurve_F8VXC8_SMARCC2.pdf</t>
  </si>
  <si>
    <t>Melting_Curves/meltCurve_F8VXG7_SCAF11.pdf</t>
  </si>
  <si>
    <t>Melting_Curves/meltCurve_F8VY35_NAP1L1.pdf</t>
  </si>
  <si>
    <t>Melting_Curves/meltCurve_F8VYN9_ARL1.pdf</t>
  </si>
  <si>
    <t>Melting_Curves/meltCurve_F8VYY5_DNAJC14.pdf</t>
  </si>
  <si>
    <t>Melting_Curves/meltCurve_F8VZ44_AAAS.pdf</t>
  </si>
  <si>
    <t>Melting_Curves/meltCurve_F8VZJ2_NACA.pdf</t>
  </si>
  <si>
    <t>Melting_Curves/meltCurve_F8W038_C17orf49.pdf</t>
  </si>
  <si>
    <t>Melting_Curves/meltCurve_F8W0Q9_PPHLN1.pdf</t>
  </si>
  <si>
    <t>Melting_Curves/meltCurve_F8W1P7_SLC11A2.pdf</t>
  </si>
  <si>
    <t>Melting_Curves/meltCurve_F8W1T6_RBMS2.pdf</t>
  </si>
  <si>
    <t>Melting_Curves/meltCurve_F8W689_RFX5.pdf</t>
  </si>
  <si>
    <t>Melting_Curves/meltCurve_F8W6D9_SENP6.pdf</t>
  </si>
  <si>
    <t>Melting_Curves/meltCurve_F8W6I7_HNRNPA1.pdf</t>
  </si>
  <si>
    <t>Melting_Curves/meltCurve_F8W6N8_TRIM5.pdf</t>
  </si>
  <si>
    <t>Melting_Curves/meltCurve_F8W717_EML1.pdf</t>
  </si>
  <si>
    <t>Melting_Curves/meltCurve_F8W726_UBAP2L.pdf</t>
  </si>
  <si>
    <t>Melting_Curves/meltCurve_F8W7D6_GPHN.pdf</t>
  </si>
  <si>
    <t>Melting_Curves/meltCurve_F8W7Q4_FAM162A.pdf</t>
  </si>
  <si>
    <t>Melting_Curves/meltCurve_F8W7S1_FAM73A.pdf</t>
  </si>
  <si>
    <t>Melting_Curves/meltCurve_F8W840_YTHDF1.pdf</t>
  </si>
  <si>
    <t>Melting_Curves/meltCurve_F8W8C2_VEZT.pdf</t>
  </si>
  <si>
    <t>Melting_Curves/meltCurve_F8W8I6_TIA1.pdf</t>
  </si>
  <si>
    <t>Melting_Curves/meltCurve_F8W8M9_UNC13B.pdf</t>
  </si>
  <si>
    <t>Melting_Curves/meltCurve_F8W8R3_POLD2.pdf</t>
  </si>
  <si>
    <t>Melting_Curves/meltCurve_F8W921_SCAP.pdf</t>
  </si>
  <si>
    <t>Melting_Curves/meltCurve_F8W930_IGF2BP2.pdf</t>
  </si>
  <si>
    <t>Melting_Curves/meltCurve_F8W9B4_RFC5.pdf</t>
  </si>
  <si>
    <t>Melting_Curves/meltCurve_F8W9E3_NRG1.pdf</t>
  </si>
  <si>
    <t>Melting_Curves/meltCurve_F8W9W2_GRK6.pdf</t>
  </si>
  <si>
    <t>Melting_Curves/meltCurve_F8WA11_CLASP1.pdf</t>
  </si>
  <si>
    <t>Melting_Curves/meltCurve_F8WA39_MTMR1.pdf</t>
  </si>
  <si>
    <t>Melting_Curves/meltCurve_F8WB74_SEPW1.pdf</t>
  </si>
  <si>
    <t>Melting_Curves/meltCurve_F8WBS5_RPL35A.pdf</t>
  </si>
  <si>
    <t>Melting_Curves/meltCurve_F8WC68_DOM3Z.pdf</t>
  </si>
  <si>
    <t>Melting_Curves/meltCurve_F8WD04_ATL1.pdf</t>
  </si>
  <si>
    <t>Melting_Curves/meltCurve_F8WDA4_PHC3.pdf</t>
  </si>
  <si>
    <t>Melting_Curves/meltCurve_F8WE91_DNMT3A.pdf</t>
  </si>
  <si>
    <t>Melting_Curves/meltCurve_F8WEC0_MMADHC.pdf</t>
  </si>
  <si>
    <t>Melting_Curves/meltCurve_F8WF48_SEC62.pdf</t>
  </si>
  <si>
    <t>Melting_Curves/meltCurve_F8WJN3_CPSF6.pdf</t>
  </si>
  <si>
    <t>Melting_Curves/meltCurve_G3V0I5_NDUFV1.pdf</t>
  </si>
  <si>
    <t>Melting_Curves/meltCurve_G3V169_CASP1.pdf</t>
  </si>
  <si>
    <t>Melting_Curves/meltCurve_G3V1A6_GSDMD.pdf</t>
  </si>
  <si>
    <t>Melting_Curves/meltCurve_G3V1B5_DSCAML1.pdf</t>
  </si>
  <si>
    <t>Melting_Curves/meltCurve_G3V1B8_SSSCA1.pdf</t>
  </si>
  <si>
    <t>Melting_Curves/meltCurve_G3V1K3_PON2.pdf</t>
  </si>
  <si>
    <t>Melting_Curves/meltCurve_G3V1L9_TJP1.pdf</t>
  </si>
  <si>
    <t>Melting_Curves/meltCurve_G3V1N2_HBA2.pdf</t>
  </si>
  <si>
    <t>Melting_Curves/meltCurve_G3V1P3_LOH12CR1.pdf</t>
  </si>
  <si>
    <t>Melting_Curves/meltCurve_G3V1R3_ZEB1.pdf</t>
  </si>
  <si>
    <t>Melting_Curves/meltCurve_G3V1R9_ISYNA1.pdf</t>
  </si>
  <si>
    <t>Melting_Curves/meltCurve_G3V1T4_NUP107.pdf</t>
  </si>
  <si>
    <t>Melting_Curves/meltCurve_G3V1U0_ATF7IP.pdf</t>
  </si>
  <si>
    <t>Melting_Curves/meltCurve_G3V1V0_MYL6.pdf</t>
  </si>
  <si>
    <t>Melting_Curves/meltCurve_G3V1Y1_ACTR6.pdf</t>
  </si>
  <si>
    <t>Melting_Curves/meltCurve_G3V203_RPL18.pdf</t>
  </si>
  <si>
    <t>Melting_Curves/meltCurve_G3V2F4_TDP1.pdf</t>
  </si>
  <si>
    <t>Melting_Curves/meltCurve_G3V2F7_TMEM189.pdf</t>
  </si>
  <si>
    <t>Melting_Curves/meltCurve_G3V2N3_PRRX1.pdf</t>
  </si>
  <si>
    <t>Melting_Curves/meltCurve_G3V2U7_ACYP1.pdf</t>
  </si>
  <si>
    <t>Melting_Curves/meltCurve_G3V3D2_SPATA7.pdf</t>
  </si>
  <si>
    <t>Melting_Curves/meltCurve_G3V3G9_DCAF8.pdf</t>
  </si>
  <si>
    <t>Melting_Curves/meltCurve_G3V3R7_ATXN3.pdf</t>
  </si>
  <si>
    <t>Melting_Curves/meltCurve_G3V4K3_VIPAS39.pdf</t>
  </si>
  <si>
    <t>Melting_Curves/meltCurve_G3V4P7_AP4S1.pdf</t>
  </si>
  <si>
    <t>Melting_Curves/meltCurve_G3V4T7_FRMD6.pdf</t>
  </si>
  <si>
    <t>Melting_Curves/meltCurve_G3V4U0_FBLN5.pdf</t>
  </si>
  <si>
    <t>Melting_Curves/meltCurve_G3V4W0_HNRNPC.pdf</t>
  </si>
  <si>
    <t>Melting_Curves/meltCurve_G3V511_LTBP2.pdf</t>
  </si>
  <si>
    <t>Melting_Curves/meltCurve_G3V560_NDUFA4L2.pdf</t>
  </si>
  <si>
    <t>Melting_Curves/meltCurve_G3V583_FAM177A1.pdf</t>
  </si>
  <si>
    <t>Melting_Curves/meltCurve_G3V599_CTAGE5.pdf</t>
  </si>
  <si>
    <t>Melting_Curves/meltCurve_G3V5I3_SERPINA3.pdf</t>
  </si>
  <si>
    <t>Melting_Curves/meltCurve_G3V5N8_ZFYVE1.pdf</t>
  </si>
  <si>
    <t>Melting_Curves/meltCurve_G3V5T0_GSTZ1.pdf</t>
  </si>
  <si>
    <t>Melting_Curves/meltCurve_G3V5T9_CDK2.pdf</t>
  </si>
  <si>
    <t>Melting_Curves/meltCurve_G3V5Z7_PSMA6.pdf</t>
  </si>
  <si>
    <t>Melting_Curves/meltCurve_G3XA81_TMEM48.pdf</t>
  </si>
  <si>
    <t>Melting_Curves/meltCurve_G3XAA0_ARID1B.pdf</t>
  </si>
  <si>
    <t>Melting_Curves/meltCurve_G3XAH6_PAPOLA.pdf</t>
  </si>
  <si>
    <t>Melting_Curves/meltCurve_G3XAI2_LAMB1.pdf</t>
  </si>
  <si>
    <t>Melting_Curves/meltCurve_G3XAJ1_RNASEH2B.pdf</t>
  </si>
  <si>
    <t>Melting_Curves/meltCurve_G3XAN4_TRAM1.pdf</t>
  </si>
  <si>
    <t>Melting_Curves/meltCurve_G3XAN8_TIMM8B.pdf</t>
  </si>
  <si>
    <t>Melting_Curves/meltCurve_G3XAP3_ABCB8.pdf</t>
  </si>
  <si>
    <t>Melting_Curves/meltCurve_G3XAP6_COMP.pdf</t>
  </si>
  <si>
    <t>Melting_Curves/meltCurve_G5E972_TMPO.pdf</t>
  </si>
  <si>
    <t>Melting_Curves/meltCurve_G5E994_GPR107.pdf</t>
  </si>
  <si>
    <t>Melting_Curves/meltCurve_G5E9A6_USP11.pdf</t>
  </si>
  <si>
    <t>Melting_Curves/meltCurve_G5E9C8_SOS1.pdf</t>
  </si>
  <si>
    <t>Melting_Curves/meltCurve_G5E9D4_ELP4.pdf</t>
  </si>
  <si>
    <t>Melting_Curves/meltCurve_G5EA30_CELF1.pdf</t>
  </si>
  <si>
    <t>Melting_Curves/meltCurve_G5EA42_TMOD2.pdf</t>
  </si>
  <si>
    <t>Melting_Curves/meltCurve_G5EA52_PDIA3.pdf</t>
  </si>
  <si>
    <t>Melting_Curves/meltCurve_G8JL86_COBLL1.pdf</t>
  </si>
  <si>
    <t>Melting_Curves/meltCurve_G8JL88_APOL1.pdf</t>
  </si>
  <si>
    <t>Melting_Curves/meltCurve_G8JLA2_MYL6.pdf</t>
  </si>
  <si>
    <t>Melting_Curves/meltCurve_G8JLB3_PUS1.pdf</t>
  </si>
  <si>
    <t>Melting_Curves/meltCurve_G8JLH5_SLC43A2.pdf</t>
  </si>
  <si>
    <t>Melting_Curves/meltCurve_G8JLI5_WDR45.pdf</t>
  </si>
  <si>
    <t>Melting_Curves/meltCurve_G8JLI6_LEPREL2.pdf</t>
  </si>
  <si>
    <t>Melting_Curves/meltCurve_G8JLK4_TACC1.pdf</t>
  </si>
  <si>
    <t>Melting_Curves/meltCurve_G8JLL2_PPT2.pdf</t>
  </si>
  <si>
    <t>Melting_Curves/meltCurve_G8JLL7_MVB12B.pdf</t>
  </si>
  <si>
    <t>Melting_Curves/meltCurve_G8JLM0_PRKAG2.pdf</t>
  </si>
  <si>
    <t>Melting_Curves/meltCurve_H0Y2M6_CLCN7.pdf</t>
  </si>
  <si>
    <t>Melting_Curves/meltCurve_H0Y327_MTHFD1L.pdf</t>
  </si>
  <si>
    <t>Melting_Curves/meltCurve_H0Y360_AMPD2.pdf</t>
  </si>
  <si>
    <t>Melting_Curves/meltCurve_H0Y4G9_MYD88.pdf</t>
  </si>
  <si>
    <t>Melting_Curves/meltCurve_H0Y4M8_ZNF185.pdf</t>
  </si>
  <si>
    <t>Melting_Curves/meltCurve_H0Y507_SH3PXD2A.pdf</t>
  </si>
  <si>
    <t>Melting_Curves/meltCurve_H0Y547_ATP11A.pdf</t>
  </si>
  <si>
    <t>Melting_Curves/meltCurve_H0Y5A1_PTGDS.pdf</t>
  </si>
  <si>
    <t>Melting_Curves/meltCurve_H0Y5B0_EPB41L2.pdf</t>
  </si>
  <si>
    <t>Melting_Curves/meltCurve_H0Y614_UFM1.pdf</t>
  </si>
  <si>
    <t>Melting_Curves/meltCurve_H0Y6A0_ARFGAP3.pdf</t>
  </si>
  <si>
    <t>Melting_Curves/meltCurve_H0Y6B2_SUSD1.pdf</t>
  </si>
  <si>
    <t>Melting_Curves/meltCurve_H0Y6C3_PYCRL.pdf</t>
  </si>
  <si>
    <t>Melting_Curves/meltCurve_H0Y7A7_CALM2.pdf</t>
  </si>
  <si>
    <t>Melting_Curves/meltCurve_H0Y7L2_DOCK7.pdf</t>
  </si>
  <si>
    <t>Melting_Curves/meltCurve_H0Y870_TMEM222.pdf</t>
  </si>
  <si>
    <t>Melting_Curves/meltCurve_H0Y8E6_MCM2.pdf</t>
  </si>
  <si>
    <t>Melting_Curves/meltCurve_H0Y8H1_CHIC2.pdf</t>
  </si>
  <si>
    <t>Melting_Curves/meltCurve_H0Y931_ANK2.pdf</t>
  </si>
  <si>
    <t>Melting_Curves/meltCurve_H0Y9B8_.pdf</t>
  </si>
  <si>
    <t>Melting_Curves/meltCurve_H0Y9Q7_CANX.pdf</t>
  </si>
  <si>
    <t>Melting_Curves/meltCurve_H0YA20_DGKQ.pdf</t>
  </si>
  <si>
    <t>Melting_Curves/meltCurve_H0YA52_PCBD2.pdf</t>
  </si>
  <si>
    <t>Melting_Curves/meltCurve_H0YAC1_KLKB1.pdf</t>
  </si>
  <si>
    <t>Melting_Curves/meltCurve_H0YAE0_C5orf24.pdf</t>
  </si>
  <si>
    <t>Melting_Curves/meltCurve_H0YAJ5_APBB2.pdf</t>
  </si>
  <si>
    <t>Melting_Curves/meltCurve_H0YAN8_ARHGEF10.pdf</t>
  </si>
  <si>
    <t>Melting_Curves/meltCurve_H0YAX0_ZDHHC14.pdf</t>
  </si>
  <si>
    <t>Melting_Curves/meltCurve_H0YBI6_TXNRD3.pdf</t>
  </si>
  <si>
    <t>Melting_Curves/meltCurve_H0YBP1_PTK2.pdf</t>
  </si>
  <si>
    <t>Melting_Curves/meltCurve_H0YBZ4_MTFR1.pdf</t>
  </si>
  <si>
    <t>Melting_Curves/meltCurve_H0YCI3_YAP1.pdf</t>
  </si>
  <si>
    <t>Melting_Curves/meltCurve_H0YCK3_ADAR.pdf</t>
  </si>
  <si>
    <t>Melting_Curves/meltCurve_H0YCQ5_NPEPPS.pdf</t>
  </si>
  <si>
    <t>Melting_Curves/meltCurve_H0YD93_RUFY2.pdf</t>
  </si>
  <si>
    <t>Melting_Curves/meltCurve_H0YDE5_KIAA1549L.pdf</t>
  </si>
  <si>
    <t>Melting_Curves/meltCurve_H0YDR5_SIGIRR.pdf</t>
  </si>
  <si>
    <t>Melting_Curves/meltCurve_H0YDT0_REPS1.pdf</t>
  </si>
  <si>
    <t>Melting_Curves/meltCurve_H0YDU8_PPP5C.pdf</t>
  </si>
  <si>
    <t>Melting_Curves/meltCurve_H0YEB6_SSSCA1.pdf</t>
  </si>
  <si>
    <t>Melting_Curves/meltCurve_H0YEL0_GEMIN2.pdf</t>
  </si>
  <si>
    <t>Melting_Curves/meltCurve_H0YEN5_RPS2.pdf</t>
  </si>
  <si>
    <t>Melting_Curves/meltCurve_H0YGA7_CADM1.pdf</t>
  </si>
  <si>
    <t>Melting_Curves/meltCurve_H0YGX7_ARHGDIB.pdf</t>
  </si>
  <si>
    <t>Melting_Curves/meltCurve_H0YHQ9_ARHGAP23.pdf</t>
  </si>
  <si>
    <t>Melting_Curves/meltCurve_H0YI08_MRVI1.pdf</t>
  </si>
  <si>
    <t>Melting_Curves/meltCurve_H0YI09_METTL7A.pdf</t>
  </si>
  <si>
    <t>Melting_Curves/meltCurve_H0YIE9_FBXO21.pdf</t>
  </si>
  <si>
    <t>Melting_Curves/meltCurve_H0YIV9_.pdf</t>
  </si>
  <si>
    <t>Melting_Curves/meltCurve_H0YJ34_FERMT2.pdf</t>
  </si>
  <si>
    <t>Melting_Curves/meltCurve_H0YJE0_CCDC85C.pdf</t>
  </si>
  <si>
    <t>Melting_Curves/meltCurve_H0YJL9_AJUBA.pdf</t>
  </si>
  <si>
    <t>Melting_Curves/meltCurve_H0YKW5_C15orf48.pdf</t>
  </si>
  <si>
    <t>Melting_Curves/meltCurve_H0YL33_ANXA2.pdf</t>
  </si>
  <si>
    <t>Melting_Curves/meltCurve_H0YLD8_SHF.pdf</t>
  </si>
  <si>
    <t>Melting_Curves/meltCurve_H0YLH9_IL16.pdf</t>
  </si>
  <si>
    <t>Melting_Curves/meltCurve_H0YMB3_GMPR2.pdf</t>
  </si>
  <si>
    <t>Melting_Curves/meltCurve_H0YMF4_RPL28.pdf</t>
  </si>
  <si>
    <t>Melting_Curves/meltCurve_H0YMG7_ALDH1A2.pdf</t>
  </si>
  <si>
    <t>Melting_Curves/meltCurve_H0YN78_C15orf57.pdf</t>
  </si>
  <si>
    <t>Melting_Curves/meltCurve_H0YNG3_SEC11A.pdf</t>
  </si>
  <si>
    <t>Melting_Curves/meltCurve_H0YNH5_DPH6.pdf</t>
  </si>
  <si>
    <t>Melting_Curves/meltCurve_H0YNH8_UACA.pdf</t>
  </si>
  <si>
    <t>Melting_Curves/meltCurve_H3BLU2_LSAMP.pdf</t>
  </si>
  <si>
    <t>Melting_Curves/meltCurve_H3BLV0_CD55.pdf</t>
  </si>
  <si>
    <t>Melting_Curves/meltCurve_H3BLZ2_DBNDD1.pdf</t>
  </si>
  <si>
    <t>Melting_Curves/meltCurve_H3BLZ8_DDX17.pdf</t>
  </si>
  <si>
    <t>Melting_Curves/meltCurve_H3BM14_NUB1.pdf</t>
  </si>
  <si>
    <t>Melting_Curves/meltCurve_H3BM67_NOL3.pdf</t>
  </si>
  <si>
    <t>Melting_Curves/meltCurve_H3BM91_COMMD4.pdf</t>
  </si>
  <si>
    <t>Melting_Curves/meltCurve_H3BMF2_JMJD8.pdf</t>
  </si>
  <si>
    <t>Melting_Curves/meltCurve_H3BMF4_SPNS1.pdf</t>
  </si>
  <si>
    <t>Melting_Curves/meltCurve_H3BMQ0_TSC2.pdf</t>
  </si>
  <si>
    <t>Melting_Curves/meltCurve_H3BNE3_BLOC1S6.pdf</t>
  </si>
  <si>
    <t>Melting_Curves/meltCurve_H3BP20_HEXA.pdf</t>
  </si>
  <si>
    <t>Melting_Curves/meltCurve_H3BP28_COQ7.pdf</t>
  </si>
  <si>
    <t>Melting_Curves/meltCurve_H3BP77_TK2.pdf</t>
  </si>
  <si>
    <t>Melting_Curves/meltCurve_H3BPC4_UBE2I.pdf</t>
  </si>
  <si>
    <t>Melting_Curves/meltCurve_H3BPE7_FUS.pdf</t>
  </si>
  <si>
    <t>Melting_Curves/meltCurve_H3BPG5_RNPS1.pdf</t>
  </si>
  <si>
    <t>Melting_Curves/meltCurve_H3BPS8_ALDOA.pdf</t>
  </si>
  <si>
    <t>Melting_Curves/meltCurve_H3BQ37_EDC3.pdf</t>
  </si>
  <si>
    <t>Melting_Curves/meltCurve_H3BQ52_ARPP19.pdf</t>
  </si>
  <si>
    <t>Melting_Curves/meltCurve_H3BQA0_SNAPC5.pdf</t>
  </si>
  <si>
    <t>Melting_Curves/meltCurve_H3BQF6_.pdf</t>
  </si>
  <si>
    <t>Melting_Curves/meltCurve_H3BQX6_MT3.pdf</t>
  </si>
  <si>
    <t>Melting_Curves/meltCurve_H3BQZ7_hCG_2044799.pdf</t>
  </si>
  <si>
    <t>Melting_Curves/meltCurve_H3BR94_DCTN5.pdf</t>
  </si>
  <si>
    <t>Melting_Curves/meltCurve_H3BRD1_UBE2I.pdf</t>
  </si>
  <si>
    <t>Melting_Curves/meltCurve_H3BRF9_ZFYVE19.pdf</t>
  </si>
  <si>
    <t>Melting_Curves/meltCurve_H3BRG4_UQCRC2.pdf</t>
  </si>
  <si>
    <t>Melting_Curves/meltCurve_H3BRL3_UBFD1.pdf</t>
  </si>
  <si>
    <t>Melting_Curves/meltCurve_H3BRN4_ABAT.pdf</t>
  </si>
  <si>
    <t>Melting_Curves/meltCurve_H3BRU1_FAM219B.pdf</t>
  </si>
  <si>
    <t>Melting_Curves/meltCurve_H3BRV0_EIF3C.pdf</t>
  </si>
  <si>
    <t>Melting_Curves/meltCurve_H3BRY6_VWA9.pdf</t>
  </si>
  <si>
    <t>Melting_Curves/meltCurve_H3BSM7_C16orf58.pdf</t>
  </si>
  <si>
    <t>Melting_Curves/meltCurve_H3BSS5_KCTD5.pdf</t>
  </si>
  <si>
    <t>Melting_Curves/meltCurve_H3BSW6_CTU2.pdf</t>
  </si>
  <si>
    <t>Melting_Curves/meltCurve_H3BTF5_METTL22.pdf</t>
  </si>
  <si>
    <t>Melting_Curves/meltCurve_H3BTL1_MAP1LC3B.pdf</t>
  </si>
  <si>
    <t>Melting_Curves/meltCurve_H3BTN5_PKM.pdf</t>
  </si>
  <si>
    <t>Melting_Curves/meltCurve_H3BTQ3_SLC19A1.pdf</t>
  </si>
  <si>
    <t>Melting_Curves/meltCurve_H3BTX0_.pdf</t>
  </si>
  <si>
    <t>Melting_Curves/meltCurve_H3BU49_ARL2BP.pdf</t>
  </si>
  <si>
    <t>Melting_Curves/meltCurve_H3BUQ2_OGFOD1.pdf</t>
  </si>
  <si>
    <t>Melting_Curves/meltCurve_H3BUR4_NOB1.pdf</t>
  </si>
  <si>
    <t>Melting_Curves/meltCurve_H3BUU9_CDH11.pdf</t>
  </si>
  <si>
    <t>Melting_Curves/meltCurve_H3BUY6_C16orf45.pdf</t>
  </si>
  <si>
    <t>Melting_Curves/meltCurve_H7BXD8_LGALS8.pdf</t>
  </si>
  <si>
    <t>Melting_Curves/meltCurve_H7BXH2_PPP6R3.pdf</t>
  </si>
  <si>
    <t>Melting_Curves/meltCurve_H7BXH9_METTL21A.pdf</t>
  </si>
  <si>
    <t>Melting_Curves/meltCurve_H7BXI1_ESYT2.pdf</t>
  </si>
  <si>
    <t>Melting_Curves/meltCurve_H7BXI5_ERGIC3.pdf</t>
  </si>
  <si>
    <t>Melting_Curves/meltCurve_H7BXP5_TPRN.pdf</t>
  </si>
  <si>
    <t>Melting_Curves/meltCurve_H7BXW7_MPC1.pdf</t>
  </si>
  <si>
    <t>Melting_Curves/meltCurve_H7BY58_PCMT1.pdf</t>
  </si>
  <si>
    <t>Melting_Curves/meltCurve_H7BY84_GTF3C5.pdf</t>
  </si>
  <si>
    <t>Melting_Curves/meltCurve_H7BYE5_WRB.pdf</t>
  </si>
  <si>
    <t>Melting_Curves/meltCurve_H7BYP4_SP140L.pdf</t>
  </si>
  <si>
    <t>Melting_Curves/meltCurve_H7BZ11_.pdf</t>
  </si>
  <si>
    <t>Melting_Curves/meltCurve_H7BZ94_P4HB.pdf</t>
  </si>
  <si>
    <t>Melting_Curves/meltCurve_H7BZH7_GTF3A.pdf</t>
  </si>
  <si>
    <t>Melting_Curves/meltCurve_H7BZJ3_PDIA3.pdf</t>
  </si>
  <si>
    <t>Melting_Curves/meltCurve_H7BZQ3_OTUD5.pdf</t>
  </si>
  <si>
    <t>Melting_Curves/meltCurve_H7BZQ8_AMY2A.pdf</t>
  </si>
  <si>
    <t>Melting_Curves/meltCurve_H7BZT4_.pdf</t>
  </si>
  <si>
    <t>Melting_Curves/meltCurve_H7C019_SUN1.pdf</t>
  </si>
  <si>
    <t>Melting_Curves/meltCurve_H7C0A2_BCL3.pdf</t>
  </si>
  <si>
    <t>Melting_Curves/meltCurve_H7C0G7_NHEJ1.pdf</t>
  </si>
  <si>
    <t>Melting_Curves/meltCurve_H7C0U0_PARL.pdf</t>
  </si>
  <si>
    <t>Melting_Curves/meltCurve_H7C0Z5_IL10RB.pdf</t>
  </si>
  <si>
    <t>Melting_Curves/meltCurve_H7C107_IQSEC1.pdf</t>
  </si>
  <si>
    <t>Melting_Curves/meltCurve_H7C137_RANBP1.pdf</t>
  </si>
  <si>
    <t>Melting_Curves/meltCurve_H7C1E4_AP1S1.pdf</t>
  </si>
  <si>
    <t>Melting_Curves/meltCurve_H7C1G1_TMEM87B.pdf</t>
  </si>
  <si>
    <t>Melting_Curves/meltCurve_H7C1I0_SLC35E1.pdf</t>
  </si>
  <si>
    <t>Melting_Curves/meltCurve_H7C1U3_CC2D1B.pdf</t>
  </si>
  <si>
    <t>Melting_Curves/meltCurve_H7C1U8_APOO.pdf</t>
  </si>
  <si>
    <t>Melting_Curves/meltCurve_H7C3D8_CMC1.pdf</t>
  </si>
  <si>
    <t>Melting_Curves/meltCurve_H7C4B9_MDFIC.pdf</t>
  </si>
  <si>
    <t>Melting_Curves/meltCurve_H7C4T5_MBNL1.pdf</t>
  </si>
  <si>
    <t>Melting_Curves/meltCurve_H7C585_FXN.pdf</t>
  </si>
  <si>
    <t>Melting_Curves/meltCurve_H7C5E4_XRN1.pdf</t>
  </si>
  <si>
    <t>Melting_Curves/meltCurve_H7C5F7_NDFIP2.pdf</t>
  </si>
  <si>
    <t>Melting_Curves/meltCurve_H7C5G1_IAH1.pdf</t>
  </si>
  <si>
    <t>Melting_Curves/meltCurve_H7C5H4_GPM6B.pdf</t>
  </si>
  <si>
    <t>Melting_Curves/meltCurve_H9KV44_EFR3A.pdf</t>
  </si>
  <si>
    <t>Melting_Curves/meltCurve_H9KV50_SEPN1.pdf</t>
  </si>
  <si>
    <t>Melting_Curves/meltCurve_H9KV65_SGIP1.pdf</t>
  </si>
  <si>
    <t>Melting_Curves/meltCurve_H9KVB8_MICU1.pdf</t>
  </si>
  <si>
    <t>Melting_Curves/meltCurve_I3L097_.pdf</t>
  </si>
  <si>
    <t>Melting_Curves/meltCurve_I3L0A4_WASH6P.pdf</t>
  </si>
  <si>
    <t>Melting_Curves/meltCurve_I3L0K1_GOSR2.pdf</t>
  </si>
  <si>
    <t>Melting_Curves/meltCurve_I3L0L6_RNF167.pdf</t>
  </si>
  <si>
    <t>Melting_Curves/meltCurve_I3L0N3_NSF.pdf</t>
  </si>
  <si>
    <t>Melting_Curves/meltCurve_I3L172_FAM195A.pdf</t>
  </si>
  <si>
    <t>Melting_Curves/meltCurve_I3L1B5_RPGRIP1L.pdf</t>
  </si>
  <si>
    <t>Melting_Curves/meltCurve_I3L1D5_ALOX15B.pdf</t>
  </si>
  <si>
    <t>Melting_Curves/meltCurve_I3L1D9_CTDNEP1.pdf</t>
  </si>
  <si>
    <t>Melting_Curves/meltCurve_I3L1H5_DPH1.pdf</t>
  </si>
  <si>
    <t>Melting_Curves/meltCurve_I3L1K6_MYL4.pdf</t>
  </si>
  <si>
    <t>Melting_Curves/meltCurve_I3L1P8_SLC25A11.pdf</t>
  </si>
  <si>
    <t>Melting_Curves/meltCurve_I3L1Q3_ELP5.pdf</t>
  </si>
  <si>
    <t>Melting_Curves/meltCurve_I3L2B0_CLUH.pdf</t>
  </si>
  <si>
    <t>Melting_Curves/meltCurve_I3L2J0_CIC.pdf</t>
  </si>
  <si>
    <t>Melting_Curves/meltCurve_I3L2J8_AZI1.pdf</t>
  </si>
  <si>
    <t>Melting_Curves/meltCurve_I3L2K5_ZC3H7A.pdf</t>
  </si>
  <si>
    <t>Melting_Curves/meltCurve_I3L2N2_DVL2.pdf</t>
  </si>
  <si>
    <t>Melting_Curves/meltCurve_I3L367_TOM1L1.pdf</t>
  </si>
  <si>
    <t>Melting_Curves/meltCurve_I3L397_EIF5A.pdf</t>
  </si>
  <si>
    <t>Melting_Curves/meltCurve_I3L3Y1_CRYM.pdf</t>
  </si>
  <si>
    <t>Melting_Curves/meltCurve_I3L448_ATPAF1.pdf</t>
  </si>
  <si>
    <t>Melting_Curves/meltCurve_I3L459_PITPNA.pdf</t>
  </si>
  <si>
    <t>Melting_Curves/meltCurve_I3L4Q0_FAM195B.pdf</t>
  </si>
  <si>
    <t>Melting_Curves/meltCurve_I3L4X3_NFKBIB.pdf</t>
  </si>
  <si>
    <t>Melting_Curves/meltCurve_I3NI03_P4HB.pdf</t>
  </si>
  <si>
    <t>Melting_Curves/meltCurve_I3NI23_TMEM159.pdf</t>
  </si>
  <si>
    <t>Melting_Curves/meltCurve_I6L894_ANK2.pdf</t>
  </si>
  <si>
    <t>Melting_Curves/meltCurve_J3KMY5_NPC2.pdf</t>
  </si>
  <si>
    <t>Melting_Curves/meltCurve_J3KMZ9_LDLR.pdf</t>
  </si>
  <si>
    <t>Melting_Curves/meltCurve_J3KN16_KIAA0368.pdf</t>
  </si>
  <si>
    <t>Melting_Curves/meltCurve_J3KN29_PSMD9.pdf</t>
  </si>
  <si>
    <t>Melting_Curves/meltCurve_J3KN59_BNIP2.pdf</t>
  </si>
  <si>
    <t>Melting_Curves/meltCurve_J3KN69_NCEH1.pdf</t>
  </si>
  <si>
    <t>Melting_Curves/meltCurve_J3KN75_TBC1D8B.pdf</t>
  </si>
  <si>
    <t>Melting_Curves/meltCurve_J3KN93_ANKRD44.pdf</t>
  </si>
  <si>
    <t>Melting_Curves/meltCurve_J3KNA0_OXA1L.pdf</t>
  </si>
  <si>
    <t>Melting_Curves/meltCurve_J3KND3_MYL6.pdf</t>
  </si>
  <si>
    <t>Melting_Curves/meltCurve_J3KNF4_CCS.pdf</t>
  </si>
  <si>
    <t>Melting_Curves/meltCurve_J3KNF5_CEP290.pdf</t>
  </si>
  <si>
    <t>Melting_Curves/meltCurve_J3KNF8_CYB5B.pdf</t>
  </si>
  <si>
    <t>Melting_Curves/meltCurve_J3KNI1_COG4.pdf</t>
  </si>
  <si>
    <t>Melting_Curves/meltCurve_J3KNL3_CHID1.pdf</t>
  </si>
  <si>
    <t>Melting_Curves/meltCurve_J3KNL6_SEC16A.pdf</t>
  </si>
  <si>
    <t>Melting_Curves/meltCurve_J3KNL7_FAM63B.pdf</t>
  </si>
  <si>
    <t>Melting_Curves/meltCurve_J3KNM9_FBXL7.pdf</t>
  </si>
  <si>
    <t>Melting_Curves/meltCurve_J3KNN7_BRAP.pdf</t>
  </si>
  <si>
    <t>Melting_Curves/meltCurve_J3KNQ4_PARVA.pdf</t>
  </si>
  <si>
    <t>Melting_Curves/meltCurve_J3KNR0_MARK3.pdf</t>
  </si>
  <si>
    <t>Melting_Curves/meltCurve_J3KNT4_FGFR1.pdf</t>
  </si>
  <si>
    <t>Melting_Curves/meltCurve_J3KNW4_FHL2.pdf</t>
  </si>
  <si>
    <t>Melting_Curves/meltCurve_J3KNX9_MYO18A.pdf</t>
  </si>
  <si>
    <t>Melting_Curves/meltCurve_J3KP15_SRSF2.pdf</t>
  </si>
  <si>
    <t>Melting_Curves/meltCurve_J3KP19_SIPA1L1.pdf</t>
  </si>
  <si>
    <t>Melting_Curves/meltCurve_J3KP22_PTPRA.pdf</t>
  </si>
  <si>
    <t>Melting_Curves/meltCurve_J3KP26_ANKRD46.pdf</t>
  </si>
  <si>
    <t>Melting_Curves/meltCurve_J3KP29_NUP98.pdf</t>
  </si>
  <si>
    <t>Melting_Curves/meltCurve_J3KP75_PHACTR2.pdf</t>
  </si>
  <si>
    <t>Melting_Curves/meltCurve_J3KPC8_SIK3.pdf</t>
  </si>
  <si>
    <t>Melting_Curves/meltCurve_J3KPG9_CSAD.pdf</t>
  </si>
  <si>
    <t>Melting_Curves/meltCurve_J3KPK1_SYNJ1.pdf</t>
  </si>
  <si>
    <t>Melting_Curves/meltCurve_J3KPP0_MRPL42.pdf</t>
  </si>
  <si>
    <t>Melting_Curves/meltCurve_J3KPP4_LUC7L3.pdf</t>
  </si>
  <si>
    <t>Melting_Curves/meltCurve_J3KPS0_DNAJB12.pdf</t>
  </si>
  <si>
    <t>Melting_Curves/meltCurve_J3KPT4_TRABD.pdf</t>
  </si>
  <si>
    <t>Melting_Curves/meltCurve_J3KPV7_MPST.pdf</t>
  </si>
  <si>
    <t>Melting_Curves/meltCurve_J3KPW7_HDAC2.pdf</t>
  </si>
  <si>
    <t>Melting_Curves/meltCurve_J3KPX7_PHB2.pdf</t>
  </si>
  <si>
    <t>Melting_Curves/meltCurve_J3KPX8_MAP1A.pdf</t>
  </si>
  <si>
    <t>Melting_Curves/meltCurve_J3KPY9_ANTXR2.pdf</t>
  </si>
  <si>
    <t>Melting_Curves/meltCurve_J3KQ06_TMEM45A.pdf</t>
  </si>
  <si>
    <t>Melting_Curves/meltCurve_J3KQ32_OLA1.pdf</t>
  </si>
  <si>
    <t>Melting_Curves/meltCurve_J3KQ34_COPS7B.pdf</t>
  </si>
  <si>
    <t>Melting_Curves/meltCurve_J3KQ48_PTRH2.pdf</t>
  </si>
  <si>
    <t>Melting_Curves/meltCurve_J3KQ88_C6orf203.pdf</t>
  </si>
  <si>
    <t>Melting_Curves/meltCurve_J3KQ98_PPP1R37.pdf</t>
  </si>
  <si>
    <t>Melting_Curves/meltCurve_J3KQB0_THUMPD1.pdf</t>
  </si>
  <si>
    <t>Melting_Curves/meltCurve_J3KQC3_SHANK2.pdf</t>
  </si>
  <si>
    <t>Melting_Curves/meltCurve_J3KQD0_FAM213B.pdf</t>
  </si>
  <si>
    <t>Melting_Curves/meltCurve_J3KQE5_RAN.pdf</t>
  </si>
  <si>
    <t>Melting_Curves/meltCurve_J3KQG4_GBA.pdf</t>
  </si>
  <si>
    <t>Melting_Curves/meltCurve_J3KQJ1_SUMF2.pdf</t>
  </si>
  <si>
    <t>Melting_Curves/meltCurve_J3KQL8_APOL2.pdf</t>
  </si>
  <si>
    <t>Melting_Curves/meltCurve_J3KQR7_CEP170B.pdf</t>
  </si>
  <si>
    <t>Melting_Curves/meltCurve_J3KQS6_BABAM1.pdf</t>
  </si>
  <si>
    <t>Melting_Curves/meltCurve_J3KQV0_CDKN1A.pdf</t>
  </si>
  <si>
    <t>Melting_Curves/meltCurve_J3KR35_CCDC12.pdf</t>
  </si>
  <si>
    <t>Melting_Curves/meltCurve_J3KR58_SEPHS2.pdf</t>
  </si>
  <si>
    <t>Melting_Curves/meltCurve_J3KR88_CORIN.pdf</t>
  </si>
  <si>
    <t>Melting_Curves/meltCurve_J3KR97_TBCD.pdf</t>
  </si>
  <si>
    <t>Melting_Curves/meltCurve_J3KRM8_CSNK1D.pdf</t>
  </si>
  <si>
    <t>Melting_Curves/meltCurve_J3KRP6_SS18.pdf</t>
  </si>
  <si>
    <t>Melting_Curves/meltCurve_J3KRW7_TMEM199.pdf</t>
  </si>
  <si>
    <t>Melting_Curves/meltCurve_J3KS05_CBX1.pdf</t>
  </si>
  <si>
    <t>Melting_Curves/meltCurve_J3KSL8_TRAPPC8.pdf</t>
  </si>
  <si>
    <t>Melting_Curves/meltCurve_J3KSS7_GGA3.pdf</t>
  </si>
  <si>
    <t>Melting_Curves/meltCurve_J3KSW2_POLI.pdf</t>
  </si>
  <si>
    <t>Melting_Curves/meltCurve_J3KT10_NUP85.pdf</t>
  </si>
  <si>
    <t>Melting_Curves/meltCurve_J3KTA4_DDX5.pdf</t>
  </si>
  <si>
    <t>Melting_Curves/meltCurve_J3KTL2_SRSF1.pdf</t>
  </si>
  <si>
    <t>Melting_Curves/meltCurve_J3KTN0_EIF4A1.pdf</t>
  </si>
  <si>
    <t>Melting_Curves/meltCurve_J3QK89_CHERP.pdf</t>
  </si>
  <si>
    <t>Melting_Curves/meltCurve_J3QKR3_PSMB3.pdf</t>
  </si>
  <si>
    <t>Melting_Curves/meltCurve_J3QL56_SCO1.pdf</t>
  </si>
  <si>
    <t>Melting_Curves/meltCurve_J3QL71_SCRN2.pdf</t>
  </si>
  <si>
    <t>Melting_Curves/meltCurve_J3QLB2_SLC39A11.pdf</t>
  </si>
  <si>
    <t>Melting_Curves/meltCurve_J3QLE5_SNRPN.pdf</t>
  </si>
  <si>
    <t>Melting_Curves/meltCurve_J3QLU9_ERBB2.pdf</t>
  </si>
  <si>
    <t>Melting_Curves/meltCurve_J3QQJ0_SAP30BP.pdf</t>
  </si>
  <si>
    <t>Melting_Curves/meltCurve_J3QQM5_LIMD2.pdf</t>
  </si>
  <si>
    <t>Melting_Curves/meltCurve_J3QQN7_GDPD1.pdf</t>
  </si>
  <si>
    <t>Melting_Curves/meltCurve_J3QQT2_RPL17.pdf</t>
  </si>
  <si>
    <t>Melting_Curves/meltCurve_J3QR07_YTHDC1.pdf</t>
  </si>
  <si>
    <t>Melting_Curves/meltCurve_J3QR29_CDK11B.pdf</t>
  </si>
  <si>
    <t>Melting_Curves/meltCurve_J3QRC3_NAT9.pdf</t>
  </si>
  <si>
    <t>Melting_Curves/meltCurve_J3QRD1_ALDH3A2.pdf</t>
  </si>
  <si>
    <t>Melting_Curves/meltCurve_J3QRS3_MYL12A.pdf</t>
  </si>
  <si>
    <t>Melting_Curves/meltCurve_J3QRS9_ZNF207.pdf</t>
  </si>
  <si>
    <t>Melting_Curves/meltCurve_J3QRU1_YES1.pdf</t>
  </si>
  <si>
    <t>Melting_Curves/meltCurve_J3QRU4_VAMP2.pdf</t>
  </si>
  <si>
    <t>Melting_Curves/meltCurve_J3QS68_RNF135.pdf</t>
  </si>
  <si>
    <t>Melting_Curves/meltCurve_J3QSW1_SAMD4A.pdf</t>
  </si>
  <si>
    <t>Melting_Curves/meltCurve_J3QT34_MAST4.pdf</t>
  </si>
  <si>
    <t>Melting_Curves/meltCurve_J3QT87_CRBN.pdf</t>
  </si>
  <si>
    <t>Melting_Curves/meltCurve_J3QTA2_BAG1.pdf</t>
  </si>
  <si>
    <t>Melting_Curves/meltCurve_J3QTA6_CHCHD6.pdf</t>
  </si>
  <si>
    <t>Melting_Curves/meltCurve_J9JID7_LMNB2.pdf</t>
  </si>
  <si>
    <t>Melting_Curves/meltCurve_J9JIE6_TMCO1.pdf</t>
  </si>
  <si>
    <t>Melting_Curves/meltCurve_J9JIE9_HYI.pdf</t>
  </si>
  <si>
    <t>Melting_Curves/meltCurve_J9JIG6_ARSG.pdf</t>
  </si>
  <si>
    <t>Melting_Curves/meltCurve_K4DI93_CUL4B.pdf</t>
  </si>
  <si>
    <t>Melting_Curves/meltCurve_K7EID0_MLX.pdf</t>
  </si>
  <si>
    <t>Melting_Curves/meltCurve_K7EIE9_PTPN2.pdf</t>
  </si>
  <si>
    <t>Melting_Curves/meltCurve_K7EIG1_CLUH.pdf</t>
  </si>
  <si>
    <t>Melting_Curves/meltCurve_K7EIN1_WBP2.pdf</t>
  </si>
  <si>
    <t>Melting_Curves/meltCurve_K7EIP7_YIPF2.pdf</t>
  </si>
  <si>
    <t>Melting_Curves/meltCurve_K7EIU8_SMAD4.pdf</t>
  </si>
  <si>
    <t>Melting_Curves/meltCurve_K7EJ78_RPS15.pdf</t>
  </si>
  <si>
    <t>Melting_Curves/meltCurve_K7EJH0_SPC24.pdf</t>
  </si>
  <si>
    <t>Melting_Curves/meltCurve_K7EJL1_AP1M1.pdf</t>
  </si>
  <si>
    <t>Melting_Curves/meltCurve_K7EK00_FAM210A.pdf</t>
  </si>
  <si>
    <t>Melting_Curves/meltCurve_K7EK07_H3F3B.pdf</t>
  </si>
  <si>
    <t>Melting_Curves/meltCurve_K7EK10_CAPNS1.pdf</t>
  </si>
  <si>
    <t>Melting_Curves/meltCurve_K7EK35_STAT5A.pdf</t>
  </si>
  <si>
    <t>Melting_Curves/meltCurve_K7EKE6_LONP1.pdf</t>
  </si>
  <si>
    <t>Melting_Curves/meltCurve_K7EKI8_PPL.pdf</t>
  </si>
  <si>
    <t>Melting_Curves/meltCurve_K7EKP8_ACOT7.pdf</t>
  </si>
  <si>
    <t>Melting_Curves/meltCurve_K7EKW3_TMUB2.pdf</t>
  </si>
  <si>
    <t>Melting_Curves/meltCurve_K7EL21_CAPS.pdf</t>
  </si>
  <si>
    <t>Melting_Curves/meltCurve_K7EL68_CDC37.pdf</t>
  </si>
  <si>
    <t>Melting_Curves/meltCurve_K7ELL7_PRKCSH.pdf</t>
  </si>
  <si>
    <t>Melting_Curves/meltCurve_K7ELY2_STX10.pdf</t>
  </si>
  <si>
    <t>Melting_Curves/meltCurve_K7EM02_KATNAL2.pdf</t>
  </si>
  <si>
    <t>Melting_Curves/meltCurve_K7EM09_TMEM205.pdf</t>
  </si>
  <si>
    <t>Melting_Curves/meltCurve_K7EM38_ACTG1.pdf</t>
  </si>
  <si>
    <t>Melting_Curves/meltCurve_K7EM88_UBALD1.pdf</t>
  </si>
  <si>
    <t>Melting_Curves/meltCurve_K7EN05_ELOF1.pdf</t>
  </si>
  <si>
    <t>Melting_Curves/meltCurve_K7EN08_NFIX.pdf</t>
  </si>
  <si>
    <t>Melting_Curves/meltCurve_K7ENF0_NARS.pdf</t>
  </si>
  <si>
    <t>Melting_Curves/meltCurve_K7ENL9_C18orf8.pdf</t>
  </si>
  <si>
    <t>Melting_Curves/meltCurve_K7ENR6_PSMG2.pdf</t>
  </si>
  <si>
    <t>Melting_Curves/meltCurve_K7EP32_UBXN6.pdf</t>
  </si>
  <si>
    <t>Melting_Curves/meltCurve_K7EP80_CAPNS1.pdf</t>
  </si>
  <si>
    <t>Melting_Curves/meltCurve_K7EPE7_VMP1.pdf</t>
  </si>
  <si>
    <t>Melting_Curves/meltCurve_K7EPW6_C16orf71.pdf</t>
  </si>
  <si>
    <t>Melting_Curves/meltCurve_K7EQG1_QPCTL.pdf</t>
  </si>
  <si>
    <t>Melting_Curves/meltCurve_K7EQG4_FXYD1.pdf</t>
  </si>
  <si>
    <t>Melting_Curves/meltCurve_K7EQX8_MXRA7.pdf</t>
  </si>
  <si>
    <t>Melting_Curves/meltCurve_K7ER00_FARSA.pdf</t>
  </si>
  <si>
    <t>Melting_Curves/meltCurve_K7ERF1_EIF3K.pdf</t>
  </si>
  <si>
    <t>Melting_Curves/meltCurve_K7ERG2_NKIRAS2.pdf</t>
  </si>
  <si>
    <t>Melting_Curves/meltCurve_K7ERV3_TK1.pdf</t>
  </si>
  <si>
    <t>Melting_Curves/meltCurve_K7ES02_BLMH.pdf</t>
  </si>
  <si>
    <t>Melting_Curves/meltCurve_K7ES54_FSTL3.pdf</t>
  </si>
  <si>
    <t>Melting_Curves/meltCurve_K7ES57_MFSD11.pdf</t>
  </si>
  <si>
    <t>Melting_Curves/meltCurve_K7ES84_FAM86A.pdf</t>
  </si>
  <si>
    <t>Melting_Curves/meltCurve_K7ESE6_G6PC3.pdf</t>
  </si>
  <si>
    <t>Melting_Curves/meltCurve_K7ESP4_DCAKD.pdf</t>
  </si>
  <si>
    <t>Melting_Curves/meltCurve_M0QXA7_WIZ.pdf</t>
  </si>
  <si>
    <t>Melting_Curves/meltCurve_M0QXT0_USF2.pdf</t>
  </si>
  <si>
    <t>Melting_Curves/meltCurve_M0QXX4_KPTN.pdf</t>
  </si>
  <si>
    <t>Melting_Curves/meltCurve_M0QXZ5_ZNF428.pdf</t>
  </si>
  <si>
    <t>Melting_Curves/meltCurve_M0QY17_BABAM1.pdf</t>
  </si>
  <si>
    <t>Melting_Curves/meltCurve_M0QY77_KXD1.pdf</t>
  </si>
  <si>
    <t>Melting_Curves/meltCurve_M0QY97_ZC3H4.pdf</t>
  </si>
  <si>
    <t>Melting_Curves/meltCurve_M0QYH5_MPV17L2.pdf</t>
  </si>
  <si>
    <t>Melting_Curves/meltCurve_M0QYM7_TUBB4A.pdf</t>
  </si>
  <si>
    <t>Melting_Curves/meltCurve_M0QYS1_RPL13A.pdf</t>
  </si>
  <si>
    <t>Melting_Curves/meltCurve_M0QZ22_SAMD4B.pdf</t>
  </si>
  <si>
    <t>Melting_Curves/meltCurve_M0QZH0_RCN3.pdf</t>
  </si>
  <si>
    <t>Melting_Curves/meltCurve_M0QZL8_JOSD2.pdf</t>
  </si>
  <si>
    <t>Melting_Curves/meltCurve_M0R042_TUBB4A.pdf</t>
  </si>
  <si>
    <t>Melting_Curves/meltCurve_M0R0F0_RPS5.pdf</t>
  </si>
  <si>
    <t>Melting_Curves/meltCurve_M0R0N4_AP2S1.pdf</t>
  </si>
  <si>
    <t>Melting_Curves/meltCurve_M0R150_.pdf</t>
  </si>
  <si>
    <t>Melting_Curves/meltCurve_M0R1G9_PSG5.pdf</t>
  </si>
  <si>
    <t>Melting_Curves/meltCurve_M0R2A0_EMC10.pdf</t>
  </si>
  <si>
    <t>Melting_Curves/meltCurve_M0R300_MYO9B.pdf</t>
  </si>
  <si>
    <t>Melting_Curves/meltCurve_M0R333_DMPK.pdf</t>
  </si>
  <si>
    <t>Melting_Curves/meltCurve_M0R366_FSD1.pdf</t>
  </si>
  <si>
    <t>Melting_Curves/meltCurve_M0R3D4_RABAC1.pdf</t>
  </si>
  <si>
    <t>Melting_Curves/meltCurve_O00116_AGPS.pdf</t>
  </si>
  <si>
    <t>Melting_Curves/meltCurve_O00139_2_KIF2A.pdf</t>
  </si>
  <si>
    <t>Melting_Curves/meltCurve_O00148_DDX39A.pdf</t>
  </si>
  <si>
    <t>Melting_Curves/meltCurve_O00151_PDLIM1.pdf</t>
  </si>
  <si>
    <t>Melting_Curves/meltCurve_O00154_4_ACOT7.pdf</t>
  </si>
  <si>
    <t>Melting_Curves/meltCurve_O00159_3_MYO1C.pdf</t>
  </si>
  <si>
    <t>Melting_Curves/meltCurve_O00161_SNAP23.pdf</t>
  </si>
  <si>
    <t>Melting_Curves/meltCurve_O00170_AIP.pdf</t>
  </si>
  <si>
    <t>Melting_Curves/meltCurve_O00178_GTPBP1.pdf</t>
  </si>
  <si>
    <t>Melting_Curves/meltCurve_O00186_STXBP3.pdf</t>
  </si>
  <si>
    <t>Melting_Curves/meltCurve_O00203_AP3B1.pdf</t>
  </si>
  <si>
    <t>Melting_Curves/meltCurve_O00213_2_APBB1.pdf</t>
  </si>
  <si>
    <t>Melting_Curves/meltCurve_O00220_TNFRSF10A.pdf</t>
  </si>
  <si>
    <t>Melting_Curves/meltCurve_O00221_NFKBIE.pdf</t>
  </si>
  <si>
    <t>Melting_Curves/meltCurve_O00231_PSMD11.pdf</t>
  </si>
  <si>
    <t>Melting_Curves/meltCurve_O00232_PSMD12.pdf</t>
  </si>
  <si>
    <t>Melting_Curves/meltCurve_O00244_ATOX1.pdf</t>
  </si>
  <si>
    <t>Melting_Curves/meltCurve_O00264_PGRMC1.pdf</t>
  </si>
  <si>
    <t>Melting_Curves/meltCurve_O00267_2_SUPT5H.pdf</t>
  </si>
  <si>
    <t>Melting_Curves/meltCurve_O00273_DFFA.pdf</t>
  </si>
  <si>
    <t>Melting_Curves/meltCurve_O00273_2_DFFA.pdf</t>
  </si>
  <si>
    <t>Melting_Curves/meltCurve_O00291_HIP1.pdf</t>
  </si>
  <si>
    <t>Melting_Curves/meltCurve_O00299_CLIC1.pdf</t>
  </si>
  <si>
    <t>Melting_Curves/meltCurve_O00300_TNFRSF11B.pdf</t>
  </si>
  <si>
    <t>Melting_Curves/meltCurve_O00308_2_WWP2.pdf</t>
  </si>
  <si>
    <t>Melting_Curves/meltCurve_O00330_PDHX.pdf</t>
  </si>
  <si>
    <t>Melting_Curves/meltCurve_O00391_QSOX1.pdf</t>
  </si>
  <si>
    <t>Melting_Curves/meltCurve_O00399_DCTN6.pdf</t>
  </si>
  <si>
    <t>Melting_Curves/meltCurve_O00400_SLC33A1.pdf</t>
  </si>
  <si>
    <t>Melting_Curves/meltCurve_O00401_WASL.pdf</t>
  </si>
  <si>
    <t>Melting_Curves/meltCurve_O00410_IPO5.pdf</t>
  </si>
  <si>
    <t>Melting_Curves/meltCurve_O00418_EEF2K.pdf</t>
  </si>
  <si>
    <t>Melting_Curves/meltCurve_O00429_DNM1L.pdf</t>
  </si>
  <si>
    <t>Melting_Curves/meltCurve_O00429_4_DNM1L.pdf</t>
  </si>
  <si>
    <t>Melting_Curves/meltCurve_O00442_RTCA.pdf</t>
  </si>
  <si>
    <t>Melting_Curves/meltCurve_O00443_PIK3C2A.pdf</t>
  </si>
  <si>
    <t>Melting_Curves/meltCurve_O00459_PIK3R2.pdf</t>
  </si>
  <si>
    <t>Melting_Curves/meltCurve_O00461_GOLIM4.pdf</t>
  </si>
  <si>
    <t>Melting_Curves/meltCurve_O00462_MANBA.pdf</t>
  </si>
  <si>
    <t>Melting_Curves/meltCurve_O00468_6_AGRN.pdf</t>
  </si>
  <si>
    <t>Melting_Curves/meltCurve_O00469_2_PLOD2.pdf</t>
  </si>
  <si>
    <t>Melting_Curves/meltCurve_O00471_EXOC5.pdf</t>
  </si>
  <si>
    <t>Melting_Curves/meltCurve_O00479_HMGN4.pdf</t>
  </si>
  <si>
    <t>Melting_Curves/meltCurve_O00483_NDUFA4.pdf</t>
  </si>
  <si>
    <t>Melting_Curves/meltCurve_O00487_PSMD14.pdf</t>
  </si>
  <si>
    <t>Melting_Curves/meltCurve_O00488_ZNF593.pdf</t>
  </si>
  <si>
    <t>Melting_Curves/meltCurve_O00499_6_BIN1.pdf</t>
  </si>
  <si>
    <t>Melting_Curves/meltCurve_O00505_KPNA3.pdf</t>
  </si>
  <si>
    <t>Melting_Curves/meltCurve_O00506_STK25.pdf</t>
  </si>
  <si>
    <t>Melting_Curves/meltCurve_O00512_BCL9.pdf</t>
  </si>
  <si>
    <t>Melting_Curves/meltCurve_O00534_VWA5A.pdf</t>
  </si>
  <si>
    <t>Melting_Curves/meltCurve_O00560_SDCBP.pdf</t>
  </si>
  <si>
    <t>Melting_Curves/meltCurve_O00567_NOP56.pdf</t>
  </si>
  <si>
    <t>Melting_Curves/meltCurve_O00571_DDX3X.pdf</t>
  </si>
  <si>
    <t>Melting_Curves/meltCurve_O00622_CYR61.pdf</t>
  </si>
  <si>
    <t>Melting_Curves/meltCurve_O00625_PIR.pdf</t>
  </si>
  <si>
    <t>Melting_Curves/meltCurve_O00629_KPNA4.pdf</t>
  </si>
  <si>
    <t>Melting_Curves/meltCurve_O00635_TRIM38.pdf</t>
  </si>
  <si>
    <t>Melting_Curves/meltCurve_O00743_PPP6C.pdf</t>
  </si>
  <si>
    <t>Melting_Curves/meltCurve_O00748_CES2.pdf</t>
  </si>
  <si>
    <t>Melting_Curves/meltCurve_O00754_2_MAN2B1.pdf</t>
  </si>
  <si>
    <t>Melting_Curves/meltCurve_O00764_PDXK.pdf</t>
  </si>
  <si>
    <t>Melting_Curves/meltCurve_O14495_PPAP2B.pdf</t>
  </si>
  <si>
    <t>Melting_Curves/meltCurve_O14497_ARID1A.pdf</t>
  </si>
  <si>
    <t>Melting_Curves/meltCurve_O14498_ISLR.pdf</t>
  </si>
  <si>
    <t>Melting_Curves/meltCurve_O14519_2_CDK2AP1.pdf</t>
  </si>
  <si>
    <t>Melting_Curves/meltCurve_O14524_2_TMEM194A.pdf</t>
  </si>
  <si>
    <t>Melting_Curves/meltCurve_O14531_DPYSL4.pdf</t>
  </si>
  <si>
    <t>Melting_Curves/meltCurve_O14545_TRAFD1.pdf</t>
  </si>
  <si>
    <t>Melting_Curves/meltCurve_O14558_HSPB6.pdf</t>
  </si>
  <si>
    <t>Melting_Curves/meltCurve_O14561_NDUFAB1.pdf</t>
  </si>
  <si>
    <t>Melting_Curves/meltCurve_O14579_COPE.pdf</t>
  </si>
  <si>
    <t>Melting_Curves/meltCurve_O14613_CDC42EP2.pdf</t>
  </si>
  <si>
    <t>Melting_Curves/meltCurve_O14617_4_AP3D1.pdf</t>
  </si>
  <si>
    <t>Melting_Curves/meltCurve_O14656_TOR1A.pdf</t>
  </si>
  <si>
    <t>Melting_Curves/meltCurve_O14657_TOR1B.pdf</t>
  </si>
  <si>
    <t>Melting_Curves/meltCurve_O14662_2_STX16.pdf</t>
  </si>
  <si>
    <t>Melting_Curves/meltCurve_O14672_ADAM10.pdf</t>
  </si>
  <si>
    <t>Melting_Curves/meltCurve_O14686_MLL2.pdf</t>
  </si>
  <si>
    <t>Melting_Curves/meltCurve_O14713_2_ITGB1BP1.pdf</t>
  </si>
  <si>
    <t>Melting_Curves/meltCurve_O14734_ACOT8.pdf</t>
  </si>
  <si>
    <t>Melting_Curves/meltCurve_O14737_PDCD5.pdf</t>
  </si>
  <si>
    <t>Melting_Curves/meltCurve_O14744_PRMT5.pdf</t>
  </si>
  <si>
    <t>Melting_Curves/meltCurve_O14745_SLC9A3R1.pdf</t>
  </si>
  <si>
    <t>Melting_Curves/meltCurve_O14756_HSD17B6.pdf</t>
  </si>
  <si>
    <t>Melting_Curves/meltCurve_O14763_2_TNFRSF10B.pdf</t>
  </si>
  <si>
    <t>Melting_Curves/meltCurve_O14772_FPGT.pdf</t>
  </si>
  <si>
    <t>Melting_Curves/meltCurve_O14773_TPP1.pdf</t>
  </si>
  <si>
    <t>Melting_Curves/meltCurve_O14776_2_TCERG1.pdf</t>
  </si>
  <si>
    <t>Melting_Curves/meltCurve_O14787_2_TNPO2.pdf</t>
  </si>
  <si>
    <t>Melting_Curves/meltCurve_O14807_MRAS.pdf</t>
  </si>
  <si>
    <t>Melting_Curves/meltCurve_O14818_PSMA7.pdf</t>
  </si>
  <si>
    <t>Melting_Curves/meltCurve_O14828_SCAMP3.pdf</t>
  </si>
  <si>
    <t>Melting_Curves/meltCurve_O14841_OPLAH.pdf</t>
  </si>
  <si>
    <t>Melting_Curves/meltCurve_O14867_BACH1.pdf</t>
  </si>
  <si>
    <t>Melting_Curves/meltCurve_O14879_IFIT3.pdf</t>
  </si>
  <si>
    <t>Melting_Curves/meltCurve_O14907_TAX1BP3.pdf</t>
  </si>
  <si>
    <t>Melting_Curves/meltCurve_O14908_GIPC1.pdf</t>
  </si>
  <si>
    <t>Melting_Curves/meltCurve_O14910_LIN7A.pdf</t>
  </si>
  <si>
    <t>Melting_Curves/meltCurve_O14920_IKBKB.pdf</t>
  </si>
  <si>
    <t>Melting_Curves/meltCurve_O14925_TIMM23.pdf</t>
  </si>
  <si>
    <t>Melting_Curves/meltCurve_O14929_HAT1.pdf</t>
  </si>
  <si>
    <t>Melting_Curves/meltCurve_O14933_UBE2L6.pdf</t>
  </si>
  <si>
    <t>Melting_Curves/meltCurve_O14936_3_CASK.pdf</t>
  </si>
  <si>
    <t>Melting_Curves/meltCurve_O14949_UQCRQ.pdf</t>
  </si>
  <si>
    <t>Melting_Curves/meltCurve_O14964_HGS.pdf</t>
  </si>
  <si>
    <t>Melting_Curves/meltCurve_O14966_RAB7L1.pdf</t>
  </si>
  <si>
    <t>Melting_Curves/meltCurve_O14967_CLGN.pdf</t>
  </si>
  <si>
    <t>Melting_Curves/meltCurve_O14974_PPP1R12A.pdf</t>
  </si>
  <si>
    <t>Melting_Curves/meltCurve_O14976_GAK.pdf</t>
  </si>
  <si>
    <t>Melting_Curves/meltCurve_O14979_HNRPDL.pdf</t>
  </si>
  <si>
    <t>Melting_Curves/meltCurve_O14980_XPO1.pdf</t>
  </si>
  <si>
    <t>Melting_Curves/meltCurve_O14981_BTAF1.pdf</t>
  </si>
  <si>
    <t>Melting_Curves/meltCurve_O15027_5_SEC16A.pdf</t>
  </si>
  <si>
    <t>Melting_Curves/meltCurve_O15031_PLXNB2.pdf</t>
  </si>
  <si>
    <t>Melting_Curves/meltCurve_O15037_KHNYN.pdf</t>
  </si>
  <si>
    <t>Melting_Curves/meltCurve_O15040_TECPR2.pdf</t>
  </si>
  <si>
    <t>Melting_Curves/meltCurve_O15061_SYNM.pdf</t>
  </si>
  <si>
    <t>Melting_Curves/meltCurve_O15063_KIAA0355.pdf</t>
  </si>
  <si>
    <t>Melting_Curves/meltCurve_O15066_KIF3B.pdf</t>
  </si>
  <si>
    <t>Melting_Curves/meltCurve_O15067_PFAS.pdf</t>
  </si>
  <si>
    <t>Melting_Curves/meltCurve_O15069_NACAD.pdf</t>
  </si>
  <si>
    <t>Melting_Curves/meltCurve_O15085_ARHGEF11.pdf</t>
  </si>
  <si>
    <t>Melting_Curves/meltCurve_O15111_CHUK.pdf</t>
  </si>
  <si>
    <t>Melting_Curves/meltCurve_O15116_LSM1.pdf</t>
  </si>
  <si>
    <t>Melting_Curves/meltCurve_O15118_NPC1.pdf</t>
  </si>
  <si>
    <t>Melting_Curves/meltCurve_O15120_AGPAT2.pdf</t>
  </si>
  <si>
    <t>Melting_Curves/meltCurve_O15121_DEGS1.pdf</t>
  </si>
  <si>
    <t>Melting_Curves/meltCurve_O15126_SCAMP1.pdf</t>
  </si>
  <si>
    <t>Melting_Curves/meltCurve_O15127_SCAMP2.pdf</t>
  </si>
  <si>
    <t>Melting_Curves/meltCurve_O15143_ARPC1B.pdf</t>
  </si>
  <si>
    <t>Melting_Curves/meltCurve_O15144_ARPC2.pdf</t>
  </si>
  <si>
    <t>Melting_Curves/meltCurve_O15145_ARPC3.pdf</t>
  </si>
  <si>
    <t>Melting_Curves/meltCurve_O15155_BET1.pdf</t>
  </si>
  <si>
    <t>Melting_Curves/meltCurve_O15160_POLR1C.pdf</t>
  </si>
  <si>
    <t>Melting_Curves/meltCurve_O15173_PGRMC2.pdf</t>
  </si>
  <si>
    <t>Melting_Curves/meltCurve_O15212_PFDN6.pdf</t>
  </si>
  <si>
    <t>Melting_Curves/meltCurve_O15217_GSTA4.pdf</t>
  </si>
  <si>
    <t>Melting_Curves/meltCurve_O15228_GNPAT.pdf</t>
  </si>
  <si>
    <t>Melting_Curves/meltCurve_O15234_CASC3.pdf</t>
  </si>
  <si>
    <t>Melting_Curves/meltCurve_O15240_VGF.pdf</t>
  </si>
  <si>
    <t>Melting_Curves/meltCurve_O15247_CLIC2.pdf</t>
  </si>
  <si>
    <t>Melting_Curves/meltCurve_O15254_2_ACOX3.pdf</t>
  </si>
  <si>
    <t>Melting_Curves/meltCurve_O15258_RER1.pdf</t>
  </si>
  <si>
    <t>Melting_Curves/meltCurve_O15269_SPTLC1.pdf</t>
  </si>
  <si>
    <t>Melting_Curves/meltCurve_O15270_SPTLC2.pdf</t>
  </si>
  <si>
    <t>Melting_Curves/meltCurve_O15294_3_OGT.pdf</t>
  </si>
  <si>
    <t>Melting_Curves/meltCurve_O15305_PMM2.pdf</t>
  </si>
  <si>
    <t>Melting_Curves/meltCurve_O15327_INPP4B.pdf</t>
  </si>
  <si>
    <t>Melting_Curves/meltCurve_O15344_MID1.pdf</t>
  </si>
  <si>
    <t>Melting_Curves/meltCurve_O15347_HMGB3.pdf</t>
  </si>
  <si>
    <t>Melting_Curves/meltCurve_O15355_PPM1G.pdf</t>
  </si>
  <si>
    <t>Melting_Curves/meltCurve_O15357_INPPL1.pdf</t>
  </si>
  <si>
    <t>Melting_Curves/meltCurve_O15382_BCAT2.pdf</t>
  </si>
  <si>
    <t>Melting_Curves/meltCurve_O15394_NCAM2.pdf</t>
  </si>
  <si>
    <t>Melting_Curves/meltCurve_O15397_IPO8.pdf</t>
  </si>
  <si>
    <t>Melting_Curves/meltCurve_O15400_2_STX7.pdf</t>
  </si>
  <si>
    <t>Melting_Curves/meltCurve_O15403_SLC16A6.pdf</t>
  </si>
  <si>
    <t>Melting_Curves/meltCurve_O15427_SLC16A3.pdf</t>
  </si>
  <si>
    <t>Melting_Curves/meltCurve_O15431_SLC31A1.pdf</t>
  </si>
  <si>
    <t>Melting_Curves/meltCurve_O15439_2_ABCC4.pdf</t>
  </si>
  <si>
    <t>Melting_Curves/meltCurve_O15446_CD3EAP.pdf</t>
  </si>
  <si>
    <t>Melting_Curves/meltCurve_O15460_P4HA2.pdf</t>
  </si>
  <si>
    <t>Melting_Curves/meltCurve_O15460_2_P4HA2.pdf</t>
  </si>
  <si>
    <t>Melting_Curves/meltCurve_O15498_YKT6.pdf</t>
  </si>
  <si>
    <t>Melting_Curves/meltCurve_O15511_ARPC5.pdf</t>
  </si>
  <si>
    <t>Melting_Curves/meltCurve_O15514_POLR2D.pdf</t>
  </si>
  <si>
    <t>Melting_Curves/meltCurve_O15541_RNF113A.pdf</t>
  </si>
  <si>
    <t>Melting_Curves/meltCurve_O43143_DHX15.pdf</t>
  </si>
  <si>
    <t>Melting_Curves/meltCurve_O43148_RNMT.pdf</t>
  </si>
  <si>
    <t>Melting_Curves/meltCurve_O43155_FLRT2.pdf</t>
  </si>
  <si>
    <t>Melting_Curves/meltCurve_O43157_2_PLXNB1.pdf</t>
  </si>
  <si>
    <t>Melting_Curves/meltCurve_O43164_2_PJA2.pdf</t>
  </si>
  <si>
    <t>Melting_Curves/meltCurve_O43172_2_PRPF4.pdf</t>
  </si>
  <si>
    <t>Melting_Curves/meltCurve_O43175_PHGDH.pdf</t>
  </si>
  <si>
    <t>Melting_Curves/meltCurve_O43181_NDUFS4.pdf</t>
  </si>
  <si>
    <t>Melting_Curves/meltCurve_O43182_4_ARHGAP6.pdf</t>
  </si>
  <si>
    <t>Melting_Curves/meltCurve_O43184_3_ADAM12.pdf</t>
  </si>
  <si>
    <t>Melting_Curves/meltCurve_O43237_DYNC1LI2.pdf</t>
  </si>
  <si>
    <t>Melting_Curves/meltCurve_O43242_PSMD3.pdf</t>
  </si>
  <si>
    <t>Melting_Curves/meltCurve_O43252_PAPSS1.pdf</t>
  </si>
  <si>
    <t>Melting_Curves/meltCurve_O43281_EFS.pdf</t>
  </si>
  <si>
    <t>Melting_Curves/meltCurve_O43290_SART1.pdf</t>
  </si>
  <si>
    <t>Melting_Curves/meltCurve_O43293_DAPK3.pdf</t>
  </si>
  <si>
    <t>Melting_Curves/meltCurve_O43294_2_TGFB1I1.pdf</t>
  </si>
  <si>
    <t>Melting_Curves/meltCurve_O43299_AP5Z1.pdf</t>
  </si>
  <si>
    <t>Melting_Curves/meltCurve_O43301_HSPA12A.pdf</t>
  </si>
  <si>
    <t>Melting_Curves/meltCurve_O43310_CTIF.pdf</t>
  </si>
  <si>
    <t>Melting_Curves/meltCurve_O43314_2_PPIP5K2.pdf</t>
  </si>
  <si>
    <t>Melting_Curves/meltCurve_O43318_2_MAP3K7.pdf</t>
  </si>
  <si>
    <t>Melting_Curves/meltCurve_O43325_LYRM1.pdf</t>
  </si>
  <si>
    <t>Melting_Curves/meltCurve_O43353_RIPK2.pdf</t>
  </si>
  <si>
    <t>Melting_Curves/meltCurve_O43396_TXNL1.pdf</t>
  </si>
  <si>
    <t>Melting_Curves/meltCurve_O43399_TPD52L2.pdf</t>
  </si>
  <si>
    <t>Melting_Curves/meltCurve_O43402_EMC8.pdf</t>
  </si>
  <si>
    <t>Melting_Curves/meltCurve_O43464_3_HTRA2.pdf</t>
  </si>
  <si>
    <t>Melting_Curves/meltCurve_O43488_AKR7A2.pdf</t>
  </si>
  <si>
    <t>Melting_Curves/meltCurve_O43493_2_TGOLN2.pdf</t>
  </si>
  <si>
    <t>Melting_Curves/meltCurve_O43504_LAMTOR5.pdf</t>
  </si>
  <si>
    <t>Melting_Curves/meltCurve_O43505_B3GNT1.pdf</t>
  </si>
  <si>
    <t>Melting_Curves/meltCurve_O43513_MED7.pdf</t>
  </si>
  <si>
    <t>Melting_Curves/meltCurve_O43516_WIPF1.pdf</t>
  </si>
  <si>
    <t>Melting_Curves/meltCurve_O43520_ATP8B1.pdf</t>
  </si>
  <si>
    <t>Melting_Curves/meltCurve_O43524_FOXO3.pdf</t>
  </si>
  <si>
    <t>Melting_Curves/meltCurve_O43567_RNF13.pdf</t>
  </si>
  <si>
    <t>Melting_Curves/meltCurve_O43583_DENR.pdf</t>
  </si>
  <si>
    <t>Melting_Curves/meltCurve_O43592_XPOT.pdf</t>
  </si>
  <si>
    <t>Melting_Curves/meltCurve_O43598_DNPH1.pdf</t>
  </si>
  <si>
    <t>Melting_Curves/meltCurve_O43615_TIMM44.pdf</t>
  </si>
  <si>
    <t>Melting_Curves/meltCurve_O43617_TRAPPC3.pdf</t>
  </si>
  <si>
    <t>Melting_Curves/meltCurve_O43617_2_TRAPPC3.pdf</t>
  </si>
  <si>
    <t>Melting_Curves/meltCurve_O43633_CHMP2A.pdf</t>
  </si>
  <si>
    <t>Melting_Curves/meltCurve_O43639_NCK2.pdf</t>
  </si>
  <si>
    <t>Melting_Curves/meltCurve_O43657_TSPAN6.pdf</t>
  </si>
  <si>
    <t>Melting_Curves/meltCurve_O43665_2_RGS10.pdf</t>
  </si>
  <si>
    <t>Melting_Curves/meltCurve_O43676_NDUFB3.pdf</t>
  </si>
  <si>
    <t>Melting_Curves/meltCurve_O43677_NDUFC1.pdf</t>
  </si>
  <si>
    <t>Melting_Curves/meltCurve_O43678_NDUFA2.pdf</t>
  </si>
  <si>
    <t>Melting_Curves/meltCurve_O43681_ASNA1.pdf</t>
  </si>
  <si>
    <t>Melting_Curves/meltCurve_O43684_BUB3.pdf</t>
  </si>
  <si>
    <t>Melting_Curves/meltCurve_O43707_ACTN4.pdf</t>
  </si>
  <si>
    <t>Melting_Curves/meltCurve_O43715_TRIAP1.pdf</t>
  </si>
  <si>
    <t>Melting_Curves/meltCurve_O43719_HTATSF1.pdf</t>
  </si>
  <si>
    <t>Melting_Curves/meltCurve_O43739_2_CYTH3.pdf</t>
  </si>
  <si>
    <t>Melting_Curves/meltCurve_O43752_STX6.pdf</t>
  </si>
  <si>
    <t>Melting_Curves/meltCurve_O43760_SYNGR2.pdf</t>
  </si>
  <si>
    <t>Melting_Curves/meltCurve_O43765_SGTA.pdf</t>
  </si>
  <si>
    <t>Melting_Curves/meltCurve_O43766_2_LIAS.pdf</t>
  </si>
  <si>
    <t>Melting_Curves/meltCurve_O43768_2_ENSA.pdf</t>
  </si>
  <si>
    <t>Melting_Curves/meltCurve_O43772_SLC25A20.pdf</t>
  </si>
  <si>
    <t>Melting_Curves/meltCurve_O43776_NARS.pdf</t>
  </si>
  <si>
    <t>Melting_Curves/meltCurve_O43805_SSNA1.pdf</t>
  </si>
  <si>
    <t>Melting_Curves/meltCurve_O43809_NUDT21.pdf</t>
  </si>
  <si>
    <t>Melting_Curves/meltCurve_O43813_LANCL1.pdf</t>
  </si>
  <si>
    <t>Melting_Curves/meltCurve_O43815_STRN.pdf</t>
  </si>
  <si>
    <t>Melting_Curves/meltCurve_O43818_RRP9.pdf</t>
  </si>
  <si>
    <t>Melting_Curves/meltCurve_O43819_SCO2.pdf</t>
  </si>
  <si>
    <t>Melting_Curves/meltCurve_O43820_4_HYAL3.pdf</t>
  </si>
  <si>
    <t>Melting_Curves/meltCurve_O43826_SLC37A4.pdf</t>
  </si>
  <si>
    <t>Melting_Curves/meltCurve_O43837_IDH3B.pdf</t>
  </si>
  <si>
    <t>Melting_Curves/meltCurve_O43852_CALU.pdf</t>
  </si>
  <si>
    <t>Melting_Curves/meltCurve_O43852_15_CALU.pdf</t>
  </si>
  <si>
    <t>Melting_Curves/meltCurve_O43852_2_CALU.pdf</t>
  </si>
  <si>
    <t>Melting_Curves/meltCurve_O43854_2_EDIL3.pdf</t>
  </si>
  <si>
    <t>Melting_Curves/meltCurve_O43865_AHCYL1.pdf</t>
  </si>
  <si>
    <t>Melting_Curves/meltCurve_O43896_KIF1C.pdf</t>
  </si>
  <si>
    <t>Melting_Curves/meltCurve_O43915_FIGF.pdf</t>
  </si>
  <si>
    <t>Melting_Curves/meltCurve_O43920_NDUFS5.pdf</t>
  </si>
  <si>
    <t>Melting_Curves/meltCurve_O43924_PDE6D.pdf</t>
  </si>
  <si>
    <t>Melting_Curves/meltCurve_O60220_TIMM8A.pdf</t>
  </si>
  <si>
    <t>Melting_Curves/meltCurve_O60234_GMFG.pdf</t>
  </si>
  <si>
    <t>Melting_Curves/meltCurve_O60239_SH3BP5.pdf</t>
  </si>
  <si>
    <t>Melting_Curves/meltCurve_O60256_PRPSAP2.pdf</t>
  </si>
  <si>
    <t>Melting_Curves/meltCurve_O60262_GNG7.pdf</t>
  </si>
  <si>
    <t>Melting_Curves/meltCurve_O60271_4_SPAG9.pdf</t>
  </si>
  <si>
    <t>Melting_Curves/meltCurve_O60271_9_SPAG9.pdf</t>
  </si>
  <si>
    <t>Melting_Curves/meltCurve_O60313_2_OPA1.pdf</t>
  </si>
  <si>
    <t>Melting_Curves/meltCurve_O60331_4_PIP5K1C.pdf</t>
  </si>
  <si>
    <t>Melting_Curves/meltCurve_O60333_2_KIF1B.pdf</t>
  </si>
  <si>
    <t>Melting_Curves/meltCurve_O60343_2_TBC1D4.pdf</t>
  </si>
  <si>
    <t>Melting_Curves/meltCurve_O60353_2_FZD6.pdf</t>
  </si>
  <si>
    <t>Melting_Curves/meltCurve_O60356_NUPR1.pdf</t>
  </si>
  <si>
    <t>Melting_Curves/meltCurve_O60361_NME2P1.pdf</t>
  </si>
  <si>
    <t>Melting_Curves/meltCurve_O60427_FADS1.pdf</t>
  </si>
  <si>
    <t>Melting_Curves/meltCurve_O60443_DFNA5.pdf</t>
  </si>
  <si>
    <t>Melting_Curves/meltCurve_O60449_3_LY75.pdf</t>
  </si>
  <si>
    <t>Melting_Curves/meltCurve_O60476_MAN1A2.pdf</t>
  </si>
  <si>
    <t>Melting_Curves/meltCurve_O60488_2_ACSL4.pdf</t>
  </si>
  <si>
    <t>Melting_Curves/meltCurve_O60493_SNX3.pdf</t>
  </si>
  <si>
    <t>Melting_Curves/meltCurve_O60502_MGEA5.pdf</t>
  </si>
  <si>
    <t>Melting_Curves/meltCurve_O60503_ADCY9.pdf</t>
  </si>
  <si>
    <t>Melting_Curves/meltCurve_O60504_2_SORBS3.pdf</t>
  </si>
  <si>
    <t>Melting_Curves/meltCurve_O60506_4_SYNCRIP.pdf</t>
  </si>
  <si>
    <t>Melting_Curves/meltCurve_O60507_TPST1.pdf</t>
  </si>
  <si>
    <t>Melting_Curves/meltCurve_O60513_B4GALT4.pdf</t>
  </si>
  <si>
    <t>Melting_Curves/meltCurve_O60524_4_NEMF.pdf</t>
  </si>
  <si>
    <t>Melting_Curves/meltCurve_O60547_2_GMDS.pdf</t>
  </si>
  <si>
    <t>Melting_Curves/meltCurve_O60551_NMT2.pdf</t>
  </si>
  <si>
    <t>Melting_Curves/meltCurve_O60565_2_GREM1.pdf</t>
  </si>
  <si>
    <t>Melting_Curves/meltCurve_O60568_PLOD3.pdf</t>
  </si>
  <si>
    <t>Melting_Curves/meltCurve_O60613_SEP15.pdf</t>
  </si>
  <si>
    <t>Melting_Curves/meltCurve_O60637_3_TSPAN3.pdf</t>
  </si>
  <si>
    <t>Melting_Curves/meltCurve_O60664_2_PLIN3.pdf</t>
  </si>
  <si>
    <t>Melting_Curves/meltCurve_O60671_RAD1.pdf</t>
  </si>
  <si>
    <t>Melting_Curves/meltCurve_O60701_UGDH.pdf</t>
  </si>
  <si>
    <t>Melting_Curves/meltCurve_O60704_TPST2.pdf</t>
  </si>
  <si>
    <t>Melting_Curves/meltCurve_O60711_LPXN.pdf</t>
  </si>
  <si>
    <t>Melting_Curves/meltCurve_O60716_5_CTNND1.pdf</t>
  </si>
  <si>
    <t>Melting_Curves/meltCurve_O60749_SNX2.pdf</t>
  </si>
  <si>
    <t>Melting_Curves/meltCurve_O60763_USO1.pdf</t>
  </si>
  <si>
    <t>Melting_Curves/meltCurve_O60828_PQBP1.pdf</t>
  </si>
  <si>
    <t>Melting_Curves/meltCurve_O60830_TIMM17B.pdf</t>
  </si>
  <si>
    <t>Melting_Curves/meltCurve_O60831_PRAF2.pdf</t>
  </si>
  <si>
    <t>Melting_Curves/meltCurve_O60841_EIF5B.pdf</t>
  </si>
  <si>
    <t>Melting_Curves/meltCurve_O60869_EDF1.pdf</t>
  </si>
  <si>
    <t>Melting_Curves/meltCurve_O60884_DNAJA2.pdf</t>
  </si>
  <si>
    <t>Melting_Curves/meltCurve_O60885_BRD4.pdf</t>
  </si>
  <si>
    <t>Melting_Curves/meltCurve_O60888_3_CUTA.pdf</t>
  </si>
  <si>
    <t>Melting_Curves/meltCurve_O60925_PFDN1.pdf</t>
  </si>
  <si>
    <t>Melting_Curves/meltCurve_O60927_PPP1R11.pdf</t>
  </si>
  <si>
    <t>Melting_Curves/meltCurve_O60934_NBN.pdf</t>
  </si>
  <si>
    <t>Melting_Curves/meltCurve_O75027_ABCB7.pdf</t>
  </si>
  <si>
    <t>Melting_Curves/meltCurve_O75037_3_KIF21B.pdf</t>
  </si>
  <si>
    <t>Melting_Curves/meltCurve_O75044_SRGAP2.pdf</t>
  </si>
  <si>
    <t>Melting_Curves/meltCurve_O75063_FAM20B.pdf</t>
  </si>
  <si>
    <t>Melting_Curves/meltCurve_O75071_EFCAB14.pdf</t>
  </si>
  <si>
    <t>Melting_Curves/meltCurve_O75083_WDR1.pdf</t>
  </si>
  <si>
    <t>Melting_Curves/meltCurve_O75084_FZD7.pdf</t>
  </si>
  <si>
    <t>Melting_Curves/meltCurve_O75095_2_MEGF6.pdf</t>
  </si>
  <si>
    <t>Melting_Curves/meltCurve_O75110_ATP9A.pdf</t>
  </si>
  <si>
    <t>Melting_Curves/meltCurve_O75113_N4BP1.pdf</t>
  </si>
  <si>
    <t>Melting_Curves/meltCurve_O75116_ROCK2.pdf</t>
  </si>
  <si>
    <t>Melting_Curves/meltCurve_O75131_CPNE3.pdf</t>
  </si>
  <si>
    <t>Melting_Curves/meltCurve_O75143_2_ATG13.pdf</t>
  </si>
  <si>
    <t>Melting_Curves/meltCurve_O75146_HIP1R.pdf</t>
  </si>
  <si>
    <t>Melting_Curves/meltCurve_O75150_3_RNF40.pdf</t>
  </si>
  <si>
    <t>Melting_Curves/meltCurve_O75155_CAND2.pdf</t>
  </si>
  <si>
    <t>Melting_Curves/meltCurve_O75157_2_TSC22D2.pdf</t>
  </si>
  <si>
    <t>Melting_Curves/meltCurve_O75165_DNAJC13.pdf</t>
  </si>
  <si>
    <t>Melting_Curves/meltCurve_O75170_4_PPP6R2.pdf</t>
  </si>
  <si>
    <t>Melting_Curves/meltCurve_O75175_2_CNOT3.pdf</t>
  </si>
  <si>
    <t>Melting_Curves/meltCurve_O75177_SS18L1.pdf</t>
  </si>
  <si>
    <t>Melting_Curves/meltCurve_O75179_2_ANKRD17.pdf</t>
  </si>
  <si>
    <t>Melting_Curves/meltCurve_O75191_XYLB.pdf</t>
  </si>
  <si>
    <t>Melting_Curves/meltCurve_O75208_COQ9.pdf</t>
  </si>
  <si>
    <t>Melting_Curves/meltCurve_O75223_GGCT.pdf</t>
  </si>
  <si>
    <t>Melting_Curves/meltCurve_O75298_2_RTN2.pdf</t>
  </si>
  <si>
    <t>Melting_Curves/meltCurve_O75312_ZNF259.pdf</t>
  </si>
  <si>
    <t>Melting_Curves/meltCurve_O75323_GBAS.pdf</t>
  </si>
  <si>
    <t>Melting_Curves/meltCurve_O75326_SEMA7A.pdf</t>
  </si>
  <si>
    <t>Melting_Curves/meltCurve_O75340_PDCD6.pdf</t>
  </si>
  <si>
    <t>Melting_Curves/meltCurve_O75347_TBCA.pdf</t>
  </si>
  <si>
    <t>Melting_Curves/meltCurve_O75348_ATP6V1G1.pdf</t>
  </si>
  <si>
    <t>Melting_Curves/meltCurve_O75351_VPS4B.pdf</t>
  </si>
  <si>
    <t>Melting_Curves/meltCurve_O75356_ENTPD5.pdf</t>
  </si>
  <si>
    <t>Melting_Curves/meltCurve_O75368_SH3BGRL.pdf</t>
  </si>
  <si>
    <t>Melting_Curves/meltCurve_O75369_8_FLNB.pdf</t>
  </si>
  <si>
    <t>Melting_Curves/meltCurve_O75376_2_NCOR1.pdf</t>
  </si>
  <si>
    <t>Melting_Curves/meltCurve_O75379_VAMP4.pdf</t>
  </si>
  <si>
    <t>Melting_Curves/meltCurve_O75380_NDUFS6.pdf</t>
  </si>
  <si>
    <t>Melting_Curves/meltCurve_O75381_2_PEX14.pdf</t>
  </si>
  <si>
    <t>Melting_Curves/meltCurve_O75386_TULP3.pdf</t>
  </si>
  <si>
    <t>Melting_Curves/meltCurve_O75391_SPAG7.pdf</t>
  </si>
  <si>
    <t>Melting_Curves/meltCurve_O75396_SEC22B.pdf</t>
  </si>
  <si>
    <t>Melting_Curves/meltCurve_O75400_2_PRPF40A.pdf</t>
  </si>
  <si>
    <t>Melting_Curves/meltCurve_O75420_GIGYF1.pdf</t>
  </si>
  <si>
    <t>Melting_Curves/meltCurve_O75427_LRCH4.pdf</t>
  </si>
  <si>
    <t>Melting_Curves/meltCurve_O75436_VPS26A.pdf</t>
  </si>
  <si>
    <t>Melting_Curves/meltCurve_O75438_NDUFB1.pdf</t>
  </si>
  <si>
    <t>Melting_Curves/meltCurve_O75439_PMPCB.pdf</t>
  </si>
  <si>
    <t>Melting_Curves/meltCurve_O75460_ERN1.pdf</t>
  </si>
  <si>
    <t>Melting_Curves/meltCurve_O75475_PSIP1.pdf</t>
  </si>
  <si>
    <t>Melting_Curves/meltCurve_O75489_NDUFS3.pdf</t>
  </si>
  <si>
    <t>Melting_Curves/meltCurve_O75503_CLN5.pdf</t>
  </si>
  <si>
    <t>Melting_Curves/meltCurve_O75506_HSBP1.pdf</t>
  </si>
  <si>
    <t>Melting_Curves/meltCurve_O75521_2_ECI2.pdf</t>
  </si>
  <si>
    <t>Melting_Curves/meltCurve_O75531_BANF1.pdf</t>
  </si>
  <si>
    <t>Melting_Curves/meltCurve_O75533_SF3B1.pdf</t>
  </si>
  <si>
    <t>Melting_Curves/meltCurve_O75534_CSDE1.pdf</t>
  </si>
  <si>
    <t>Melting_Curves/meltCurve_O75600_GCAT.pdf</t>
  </si>
  <si>
    <t>Melting_Curves/meltCurve_O75607_NPM3.pdf</t>
  </si>
  <si>
    <t>Melting_Curves/meltCurve_O75608_2_LYPLA1.pdf</t>
  </si>
  <si>
    <t>Melting_Curves/meltCurve_O75635_2_SERPINB7.pdf</t>
  </si>
  <si>
    <t>Melting_Curves/meltCurve_O75648_TRMU.pdf</t>
  </si>
  <si>
    <t>Melting_Curves/meltCurve_O75663_TIPRL.pdf</t>
  </si>
  <si>
    <t>Melting_Curves/meltCurve_O75688_PPM1B.pdf</t>
  </si>
  <si>
    <t>Melting_Curves/meltCurve_O75689_ADAP1.pdf</t>
  </si>
  <si>
    <t>Melting_Curves/meltCurve_O75695_RP2.pdf</t>
  </si>
  <si>
    <t>Melting_Curves/meltCurve_O75718_CRTAP.pdf</t>
  </si>
  <si>
    <t>Melting_Curves/meltCurve_O75746_SLC25A12.pdf</t>
  </si>
  <si>
    <t>Melting_Curves/meltCurve_O75781_PALM.pdf</t>
  </si>
  <si>
    <t>Melting_Curves/meltCurve_O75794_CDC123.pdf</t>
  </si>
  <si>
    <t>Melting_Curves/meltCurve_O75815_3_BCAR3.pdf</t>
  </si>
  <si>
    <t>Melting_Curves/meltCurve_O75818_2_RPP40.pdf</t>
  </si>
  <si>
    <t>Melting_Curves/meltCurve_O75821_EIF3G.pdf</t>
  </si>
  <si>
    <t>Melting_Curves/meltCurve_O75822_EIF3J.pdf</t>
  </si>
  <si>
    <t>Melting_Curves/meltCurve_O75828_CBR3.pdf</t>
  </si>
  <si>
    <t>Melting_Curves/meltCurve_O75832_PSMD10.pdf</t>
  </si>
  <si>
    <t>Melting_Curves/meltCurve_O75844_ZMPSTE24.pdf</t>
  </si>
  <si>
    <t>Melting_Curves/meltCurve_O75865_TRAPPC6A.pdf</t>
  </si>
  <si>
    <t>Melting_Curves/meltCurve_O75874_IDH1.pdf</t>
  </si>
  <si>
    <t>Melting_Curves/meltCurve_O75882_ATRN.pdf</t>
  </si>
  <si>
    <t>Melting_Curves/meltCurve_O75884_RBBP9.pdf</t>
  </si>
  <si>
    <t>Melting_Curves/meltCurve_O75886_STAM2.pdf</t>
  </si>
  <si>
    <t>Melting_Curves/meltCurve_O75891_ALDH1L1.pdf</t>
  </si>
  <si>
    <t>Melting_Curves/meltCurve_O75896_TUSC2.pdf</t>
  </si>
  <si>
    <t>Melting_Curves/meltCurve_O75911_DHRS3.pdf</t>
  </si>
  <si>
    <t>Melting_Curves/meltCurve_O75914_2_PAK3.pdf</t>
  </si>
  <si>
    <t>Melting_Curves/meltCurve_O75915_ARL6IP5.pdf</t>
  </si>
  <si>
    <t>Melting_Curves/meltCurve_O75934_BCAS2.pdf</t>
  </si>
  <si>
    <t>Melting_Curves/meltCurve_O75935_DCTN3.pdf</t>
  </si>
  <si>
    <t>Melting_Curves/meltCurve_O75937_DNAJC8.pdf</t>
  </si>
  <si>
    <t>Melting_Curves/meltCurve_O75940_SMNDC1.pdf</t>
  </si>
  <si>
    <t>Melting_Curves/meltCurve_O75947_ATP5H.pdf</t>
  </si>
  <si>
    <t>Melting_Curves/meltCurve_O75955_FLOT1.pdf</t>
  </si>
  <si>
    <t>Melting_Curves/meltCurve_O75962_4_TRIO.pdf</t>
  </si>
  <si>
    <t>Melting_Curves/meltCurve_O75964_ATP5L.pdf</t>
  </si>
  <si>
    <t>Melting_Curves/meltCurve_O75976_CPD.pdf</t>
  </si>
  <si>
    <t>Melting_Curves/meltCurve_O76003_GLRX3.pdf</t>
  </si>
  <si>
    <t>Melting_Curves/meltCurve_O76024_WFS1.pdf</t>
  </si>
  <si>
    <t>Melting_Curves/meltCurve_O76031_CLPX.pdf</t>
  </si>
  <si>
    <t>Melting_Curves/meltCurve_O76054_SEC14L2.pdf</t>
  </si>
  <si>
    <t>Melting_Curves/meltCurve_O76061_STC2.pdf</t>
  </si>
  <si>
    <t>Melting_Curves/meltCurve_O76070_SNCG.pdf</t>
  </si>
  <si>
    <t>Melting_Curves/meltCurve_O76071_CIAO1.pdf</t>
  </si>
  <si>
    <t>Melting_Curves/meltCurve_O76074_PDE5A.pdf</t>
  </si>
  <si>
    <t>Melting_Curves/meltCurve_O76080_ZFAND5.pdf</t>
  </si>
  <si>
    <t>Melting_Curves/meltCurve_O76095_2_JTB.pdf</t>
  </si>
  <si>
    <t>Melting_Curves/meltCurve_O94760_DDAH1.pdf</t>
  </si>
  <si>
    <t>Melting_Curves/meltCurve_O94763_URI1.pdf</t>
  </si>
  <si>
    <t>Melting_Curves/meltCurve_O94766_B3GAT3.pdf</t>
  </si>
  <si>
    <t>Melting_Curves/meltCurve_O94804_STK10.pdf</t>
  </si>
  <si>
    <t>Melting_Curves/meltCurve_O94826_TOMM70A.pdf</t>
  </si>
  <si>
    <t>Melting_Curves/meltCurve_O94829_IPO13.pdf</t>
  </si>
  <si>
    <t>Melting_Curves/meltCurve_O94830_DDHD2.pdf</t>
  </si>
  <si>
    <t>Melting_Curves/meltCurve_O94832_MYO1D.pdf</t>
  </si>
  <si>
    <t>Melting_Curves/meltCurve_O94851_5_MICAL2.pdf</t>
  </si>
  <si>
    <t>Melting_Curves/meltCurve_O94854_2_KIAA0754.pdf</t>
  </si>
  <si>
    <t>Melting_Curves/meltCurve_O94855_SEC24D.pdf</t>
  </si>
  <si>
    <t>Melting_Curves/meltCurve_O94856_9_NFASC.pdf</t>
  </si>
  <si>
    <t>Melting_Curves/meltCurve_O94864_2_SUPT7L.pdf</t>
  </si>
  <si>
    <t>Melting_Curves/meltCurve_O94874_UFL1.pdf</t>
  </si>
  <si>
    <t>Melting_Curves/meltCurve_O94885_SASH1.pdf</t>
  </si>
  <si>
    <t>Melting_Curves/meltCurve_O94886_TMEM63A.pdf</t>
  </si>
  <si>
    <t>Melting_Curves/meltCurve_O94888_UBXN7.pdf</t>
  </si>
  <si>
    <t>Melting_Curves/meltCurve_O94889_KLHL18.pdf</t>
  </si>
  <si>
    <t>Melting_Curves/meltCurve_O94903_PROSC.pdf</t>
  </si>
  <si>
    <t>Melting_Curves/meltCurve_O94905_ERLIN2.pdf</t>
  </si>
  <si>
    <t>Melting_Curves/meltCurve_O94919_ENDOD1.pdf</t>
  </si>
  <si>
    <t>Melting_Curves/meltCurve_O94921_CDK14.pdf</t>
  </si>
  <si>
    <t>Melting_Curves/meltCurve_O94966_7_USP19.pdf</t>
  </si>
  <si>
    <t>Melting_Curves/meltCurve_O94967_2_WDR47.pdf</t>
  </si>
  <si>
    <t>Melting_Curves/meltCurve_O94973_AP2A2.pdf</t>
  </si>
  <si>
    <t>Melting_Curves/meltCurve_O94992_HEXIM1.pdf</t>
  </si>
  <si>
    <t>Melting_Curves/meltCurve_O95050_2_INMT.pdf</t>
  </si>
  <si>
    <t>Melting_Curves/meltCurve_O95057_DIRAS1.pdf</t>
  </si>
  <si>
    <t>Melting_Curves/meltCurve_O95081_AGFG2.pdf</t>
  </si>
  <si>
    <t>Melting_Curves/meltCurve_O95084_PRSS23.pdf</t>
  </si>
  <si>
    <t>Melting_Curves/meltCurve_O95104_2_SCAF4.pdf</t>
  </si>
  <si>
    <t>Melting_Curves/meltCurve_O95136_S1PR2.pdf</t>
  </si>
  <si>
    <t>Melting_Curves/meltCurve_O95139_NDUFB6.pdf</t>
  </si>
  <si>
    <t>Melting_Curves/meltCurve_O95140_MFN2.pdf</t>
  </si>
  <si>
    <t>Melting_Curves/meltCurve_O95155_2_UBE4B.pdf</t>
  </si>
  <si>
    <t>Melting_Curves/meltCurve_O95159_ZFPL1.pdf</t>
  </si>
  <si>
    <t>Melting_Curves/meltCurve_O95167_NDUFA3.pdf</t>
  </si>
  <si>
    <t>Melting_Curves/meltCurve_O95182_NDUFA7.pdf</t>
  </si>
  <si>
    <t>Melting_Curves/meltCurve_O95183_VAMP5.pdf</t>
  </si>
  <si>
    <t>Melting_Curves/meltCurve_O95197_2_RTN3.pdf</t>
  </si>
  <si>
    <t>Melting_Curves/meltCurve_O95202_LETM1.pdf</t>
  </si>
  <si>
    <t>Melting_Curves/meltCurve_O95206_3_PCDH8.pdf</t>
  </si>
  <si>
    <t>Melting_Curves/meltCurve_O95218_2_ZRANB2.pdf</t>
  </si>
  <si>
    <t>Melting_Curves/meltCurve_O95219_SNX4.pdf</t>
  </si>
  <si>
    <t>Melting_Curves/meltCurve_O95231_VENTX.pdf</t>
  </si>
  <si>
    <t>Melting_Curves/meltCurve_O95273_CCNDBP1.pdf</t>
  </si>
  <si>
    <t>Melting_Curves/meltCurve_O95292_VAPB.pdf</t>
  </si>
  <si>
    <t>Melting_Curves/meltCurve_O95295_SNAPIN.pdf</t>
  </si>
  <si>
    <t>Melting_Curves/meltCurve_O95297_2_MPZL1.pdf</t>
  </si>
  <si>
    <t>Melting_Curves/meltCurve_O95298_2_NDUFC2.pdf</t>
  </si>
  <si>
    <t>Melting_Curves/meltCurve_O95302_FKBP9.pdf</t>
  </si>
  <si>
    <t>Melting_Curves/meltCurve_O95336_PGLS.pdf</t>
  </si>
  <si>
    <t>Melting_Curves/meltCurve_O95352_ATG7.pdf</t>
  </si>
  <si>
    <t>Melting_Curves/meltCurve_O95361_TRIM16.pdf</t>
  </si>
  <si>
    <t>Melting_Curves/meltCurve_O95365_ZBTB7A.pdf</t>
  </si>
  <si>
    <t>Melting_Curves/meltCurve_O95372_LYPLA2.pdf</t>
  </si>
  <si>
    <t>Melting_Curves/meltCurve_O95373_IPO7.pdf</t>
  </si>
  <si>
    <t>Melting_Curves/meltCurve_O95376_ARIH2.pdf</t>
  </si>
  <si>
    <t>Melting_Curves/meltCurve_O95388_WISP1.pdf</t>
  </si>
  <si>
    <t>Melting_Curves/meltCurve_O95394_3_PGM3.pdf</t>
  </si>
  <si>
    <t>Melting_Curves/meltCurve_O95396_MOCS3.pdf</t>
  </si>
  <si>
    <t>Melting_Curves/meltCurve_O95400_CD2BP2.pdf</t>
  </si>
  <si>
    <t>Melting_Curves/meltCurve_O95405_ZFYVE9.pdf</t>
  </si>
  <si>
    <t>Melting_Curves/meltCurve_O95425_SVIL.pdf</t>
  </si>
  <si>
    <t>Melting_Curves/meltCurve_O95429_2_BAG4.pdf</t>
  </si>
  <si>
    <t>Melting_Curves/meltCurve_O95433_AHSA1.pdf</t>
  </si>
  <si>
    <t>Melting_Curves/meltCurve_O95450_ADAMTS2.pdf</t>
  </si>
  <si>
    <t>Melting_Curves/meltCurve_O95453_2_PARN.pdf</t>
  </si>
  <si>
    <t>Melting_Curves/meltCurve_O95456_PSMG1.pdf</t>
  </si>
  <si>
    <t>Melting_Curves/meltCurve_O95470_SGPL1.pdf</t>
  </si>
  <si>
    <t>Melting_Curves/meltCurve_O95486_SEC24A.pdf</t>
  </si>
  <si>
    <t>Melting_Curves/meltCurve_O95487_2_SEC24B.pdf</t>
  </si>
  <si>
    <t>Melting_Curves/meltCurve_O95528_SLC2A10.pdf</t>
  </si>
  <si>
    <t>Melting_Curves/meltCurve_O95544_NADK.pdf</t>
  </si>
  <si>
    <t>Melting_Curves/meltCurve_O95551_TDP2.pdf</t>
  </si>
  <si>
    <t>Melting_Curves/meltCurve_O95571_ETHE1.pdf</t>
  </si>
  <si>
    <t>Melting_Curves/meltCurve_O95573_ACSL3.pdf</t>
  </si>
  <si>
    <t>Melting_Curves/meltCurve_O95628_3_CNOT4.pdf</t>
  </si>
  <si>
    <t>Melting_Curves/meltCurve_O95630_STAMBP.pdf</t>
  </si>
  <si>
    <t>Melting_Curves/meltCurve_O95671_2_ASMTL.pdf</t>
  </si>
  <si>
    <t>Melting_Curves/meltCurve_O95674_CDS2.pdf</t>
  </si>
  <si>
    <t>Melting_Curves/meltCurve_O95684_FGFR1OP.pdf</t>
  </si>
  <si>
    <t>Melting_Curves/meltCurve_O95716_RAB3D.pdf</t>
  </si>
  <si>
    <t>Melting_Curves/meltCurve_O95721_SNAP29.pdf</t>
  </si>
  <si>
    <t>Melting_Curves/meltCurve_O95747_OXSR1.pdf</t>
  </si>
  <si>
    <t>Melting_Curves/meltCurve_O95749_GGPS1.pdf</t>
  </si>
  <si>
    <t>Melting_Curves/meltCurve_O95777_NAA38.pdf</t>
  </si>
  <si>
    <t>Melting_Curves/meltCurve_O95782_2_AP2A1.pdf</t>
  </si>
  <si>
    <t>Melting_Curves/meltCurve_O95786_DDX58.pdf</t>
  </si>
  <si>
    <t>Melting_Curves/meltCurve_O95801_TTC4.pdf</t>
  </si>
  <si>
    <t>Melting_Curves/meltCurve_O95807_TMEM50A.pdf</t>
  </si>
  <si>
    <t>Melting_Curves/meltCurve_O95810_SDPR.pdf</t>
  </si>
  <si>
    <t>Melting_Curves/meltCurve_O95816_BAG2.pdf</t>
  </si>
  <si>
    <t>Melting_Curves/meltCurve_O95817_BAG3.pdf</t>
  </si>
  <si>
    <t>Melting_Curves/meltCurve_O95825_CRYZL1.pdf</t>
  </si>
  <si>
    <t>Melting_Curves/meltCurve_O95831_3_AIFM1.pdf</t>
  </si>
  <si>
    <t>Melting_Curves/meltCurve_O95833_CLIC3.pdf</t>
  </si>
  <si>
    <t>Melting_Curves/meltCurve_O95834_EML2.pdf</t>
  </si>
  <si>
    <t>Melting_Curves/meltCurve_O95848_NUDT14.pdf</t>
  </si>
  <si>
    <t>Melting_Curves/meltCurve_O95857_TSPAN13.pdf</t>
  </si>
  <si>
    <t>Melting_Curves/meltCurve_O95864_FADS2.pdf</t>
  </si>
  <si>
    <t>Melting_Curves/meltCurve_O95865_DDAH2.pdf</t>
  </si>
  <si>
    <t>Melting_Curves/meltCurve_O95873_C6orf47.pdf</t>
  </si>
  <si>
    <t>Melting_Curves/meltCurve_O95881_TXNDC12.pdf</t>
  </si>
  <si>
    <t>Melting_Curves/meltCurve_O95905_ECD.pdf</t>
  </si>
  <si>
    <t>Melting_Curves/meltCurve_O95926_SYF2.pdf</t>
  </si>
  <si>
    <t>Melting_Curves/meltCurve_O95965_ITGBL1.pdf</t>
  </si>
  <si>
    <t>Melting_Curves/meltCurve_O95980_RECK.pdf</t>
  </si>
  <si>
    <t>Melting_Curves/meltCurve_O95989_NUDT3.pdf</t>
  </si>
  <si>
    <t>Melting_Curves/meltCurve_O95999_BCL10.pdf</t>
  </si>
  <si>
    <t>Melting_Curves/meltCurve_O96000_NDUFB10.pdf</t>
  </si>
  <si>
    <t>Melting_Curves/meltCurve_O96007_MOCS2.pdf</t>
  </si>
  <si>
    <t>Melting_Curves/meltCurve_O96008_TOMM40.pdf</t>
  </si>
  <si>
    <t>Melting_Curves/meltCurve_O96011_PEX11B.pdf</t>
  </si>
  <si>
    <t>Melting_Curves/meltCurve_O96013_PAK4.pdf</t>
  </si>
  <si>
    <t>Melting_Curves/meltCurve_O96017_CHEK2.pdf</t>
  </si>
  <si>
    <t>Melting_Curves/meltCurve_O96019_ACTL6A.pdf</t>
  </si>
  <si>
    <t>Melting_Curves/meltCurve_O96033_MOCS2.pdf</t>
  </si>
  <si>
    <t>Melting_Curves/meltCurve_P00167_2_CYB5A.pdf</t>
  </si>
  <si>
    <t>Melting_Curves/meltCurve_P00325_ADH1B.pdf</t>
  </si>
  <si>
    <t>Melting_Curves/meltCurve_P00338_LDHA.pdf</t>
  </si>
  <si>
    <t>Melting_Curves/meltCurve_P00352_ALDH1A1.pdf</t>
  </si>
  <si>
    <t>Melting_Curves/meltCurve_P00367_GLUD1.pdf</t>
  </si>
  <si>
    <t>Melting_Curves/meltCurve_P00387_2_CYB5R3.pdf</t>
  </si>
  <si>
    <t>Melting_Curves/meltCurve_P00390_2_GSR.pdf</t>
  </si>
  <si>
    <t>Melting_Curves/meltCurve_P00403_MT_CO2.pdf</t>
  </si>
  <si>
    <t>Melting_Curves/meltCurve_P00441_SOD1.pdf</t>
  </si>
  <si>
    <t>Melting_Curves/meltCurve_P00491_PNP.pdf</t>
  </si>
  <si>
    <t>Melting_Curves/meltCurve_P00492_HPRT1.pdf</t>
  </si>
  <si>
    <t>Melting_Curves/meltCurve_P00505_GOT2.pdf</t>
  </si>
  <si>
    <t>Melting_Curves/meltCurve_P00519_ABL1.pdf</t>
  </si>
  <si>
    <t>Melting_Curves/meltCurve_P00533_EGFR.pdf</t>
  </si>
  <si>
    <t>Melting_Curves/meltCurve_P00558_PGK1.pdf</t>
  </si>
  <si>
    <t>Melting_Curves/meltCurve_P00736_C1R.pdf</t>
  </si>
  <si>
    <t>Melting_Curves/meltCurve_P00738_HP.pdf</t>
  </si>
  <si>
    <t>Melting_Curves/meltCurve_P00813_ADA.pdf</t>
  </si>
  <si>
    <t>Melting_Curves/meltCurve_P00966_ASS1.pdf</t>
  </si>
  <si>
    <t>Melting_Curves/meltCurve_P01023_A2M.pdf</t>
  </si>
  <si>
    <t>Melting_Curves/meltCurve_P01034_CST3.pdf</t>
  </si>
  <si>
    <t>Melting_Curves/meltCurve_P01111_NRAS.pdf</t>
  </si>
  <si>
    <t>Melting_Curves/meltCurve_P01112_HRAS.pdf</t>
  </si>
  <si>
    <t>Melting_Curves/meltCurve_P01116_2_KRAS.pdf</t>
  </si>
  <si>
    <t>Melting_Curves/meltCurve_P01137_TGFB1.pdf</t>
  </si>
  <si>
    <t>Melting_Curves/meltCurve_P02452_COL1A1.pdf</t>
  </si>
  <si>
    <t>Melting_Curves/meltCurve_P02458_COL2A1.pdf</t>
  </si>
  <si>
    <t>Melting_Curves/meltCurve_P02461_COL3A1.pdf</t>
  </si>
  <si>
    <t>Melting_Curves/meltCurve_P02462_2_COL4A1.pdf</t>
  </si>
  <si>
    <t>Melting_Curves/meltCurve_P02545_LMNA.pdf</t>
  </si>
  <si>
    <t>Melting_Curves/meltCurve_P02649_APOE.pdf</t>
  </si>
  <si>
    <t>Melting_Curves/meltCurve_P02652_APOA2.pdf</t>
  </si>
  <si>
    <t>Melting_Curves/meltCurve_P02751_17_FN1.pdf</t>
  </si>
  <si>
    <t>Melting_Curves/meltCurve_P02786_TFRC.pdf</t>
  </si>
  <si>
    <t>Melting_Curves/meltCurve_P02787_TF.pdf</t>
  </si>
  <si>
    <t>Melting_Curves/meltCurve_P02792_FTL.pdf</t>
  </si>
  <si>
    <t>Melting_Curves/meltCurve_P02794_FTH1.pdf</t>
  </si>
  <si>
    <t>Melting_Curves/meltCurve_P02795_MT2A.pdf</t>
  </si>
  <si>
    <t>Melting_Curves/meltCurve_P03928_MT_ATP8.pdf</t>
  </si>
  <si>
    <t>Melting_Curves/meltCurve_P03956_MMP1.pdf</t>
  </si>
  <si>
    <t>Melting_Curves/meltCurve_P04040_CAT.pdf</t>
  </si>
  <si>
    <t>Melting_Curves/meltCurve_P04062_3_GBA.pdf</t>
  </si>
  <si>
    <t>Melting_Curves/meltCurve_P04066_FUCA1.pdf</t>
  </si>
  <si>
    <t>Melting_Curves/meltCurve_P04075_ALDOA.pdf</t>
  </si>
  <si>
    <t>Melting_Curves/meltCurve_P04080_CSTB.pdf</t>
  </si>
  <si>
    <t>Melting_Curves/meltCurve_P04083_ANXA1.pdf</t>
  </si>
  <si>
    <t>Melting_Curves/meltCurve_P04181_OAT.pdf</t>
  </si>
  <si>
    <t>Melting_Curves/meltCurve_P04181_2_OAT.pdf</t>
  </si>
  <si>
    <t>Melting_Curves/meltCurve_P04217_A1BG.pdf</t>
  </si>
  <si>
    <t>Melting_Curves/meltCurve_P04350_TUBB4A.pdf</t>
  </si>
  <si>
    <t>Melting_Curves/meltCurve_P04406_GAPDH.pdf</t>
  </si>
  <si>
    <t>Melting_Curves/meltCurve_P04406_2_GAPDH.pdf</t>
  </si>
  <si>
    <t>Melting_Curves/meltCurve_P04424_ASL.pdf</t>
  </si>
  <si>
    <t>Melting_Curves/meltCurve_P04632_CAPNS1.pdf</t>
  </si>
  <si>
    <t>Melting_Curves/meltCurve_P04731_MT1A.pdf</t>
  </si>
  <si>
    <t>Melting_Curves/meltCurve_P04792_HSPB1.pdf</t>
  </si>
  <si>
    <t>Melting_Curves/meltCurve_P04843_RPN1.pdf</t>
  </si>
  <si>
    <t>Melting_Curves/meltCurve_P04844_2_RPN2.pdf</t>
  </si>
  <si>
    <t>Melting_Curves/meltCurve_P04899_GNAI2.pdf</t>
  </si>
  <si>
    <t>Melting_Curves/meltCurve_P04921_2_GYPC.pdf</t>
  </si>
  <si>
    <t>Melting_Curves/meltCurve_P05023_4_ATP1A1.pdf</t>
  </si>
  <si>
    <t>Melting_Curves/meltCurve_P05067_7_APP.pdf</t>
  </si>
  <si>
    <t>Melting_Curves/meltCurve_P05090_APOD.pdf</t>
  </si>
  <si>
    <t>Melting_Curves/meltCurve_P05091_ALDH2.pdf</t>
  </si>
  <si>
    <t>Melting_Curves/meltCurve_P05106_ITGB3.pdf</t>
  </si>
  <si>
    <t>Melting_Curves/meltCurve_P05114_HMGN1.pdf</t>
  </si>
  <si>
    <t>Melting_Curves/meltCurve_P05120_SERPINB2.pdf</t>
  </si>
  <si>
    <t>Melting_Curves/meltCurve_P05121_SERPINE1.pdf</t>
  </si>
  <si>
    <t>Melting_Curves/meltCurve_P05141_SLC25A5.pdf</t>
  </si>
  <si>
    <t>Melting_Curves/meltCurve_P05161_ISG15.pdf</t>
  </si>
  <si>
    <t>Melting_Curves/meltCurve_P05165_3_PCCA.pdf</t>
  </si>
  <si>
    <t>Melting_Curves/meltCurve_P05186_ALPL.pdf</t>
  </si>
  <si>
    <t>Melting_Curves/meltCurve_P05198_EIF2S1.pdf</t>
  </si>
  <si>
    <t>Melting_Curves/meltCurve_P05204_HMGN2.pdf</t>
  </si>
  <si>
    <t>Melting_Curves/meltCurve_P05362_ICAM1.pdf</t>
  </si>
  <si>
    <t>Melting_Curves/meltCurve_P05387_RPLP2.pdf</t>
  </si>
  <si>
    <t>Melting_Curves/meltCurve_P05388_RPLP0.pdf</t>
  </si>
  <si>
    <t>Melting_Curves/meltCurve_P05412_JUN.pdf</t>
  </si>
  <si>
    <t>Melting_Curves/meltCurve_P05413_FABP3.pdf</t>
  </si>
  <si>
    <t>Melting_Curves/meltCurve_P05455_SSB.pdf</t>
  </si>
  <si>
    <t>Melting_Curves/meltCurve_P05556_ITGB1.pdf</t>
  </si>
  <si>
    <t>Melting_Curves/meltCurve_P05997_COL5A2.pdf</t>
  </si>
  <si>
    <t>Melting_Curves/meltCurve_P06132_UROD.pdf</t>
  </si>
  <si>
    <t>Melting_Curves/meltCurve_P06241_FYN.pdf</t>
  </si>
  <si>
    <t>Melting_Curves/meltCurve_P06280_GLA.pdf</t>
  </si>
  <si>
    <t>Melting_Curves/meltCurve_P06396_2_GSN.pdf</t>
  </si>
  <si>
    <t>Melting_Curves/meltCurve_P06576_ATP5B.pdf</t>
  </si>
  <si>
    <t>Melting_Curves/meltCurve_P06733_ENO1.pdf</t>
  </si>
  <si>
    <t>Melting_Curves/meltCurve_P06737_2_PYGL.pdf</t>
  </si>
  <si>
    <t>Melting_Curves/meltCurve_P06744_GPI.pdf</t>
  </si>
  <si>
    <t>Melting_Curves/meltCurve_P06748_NPM1.pdf</t>
  </si>
  <si>
    <t>Melting_Curves/meltCurve_P06756_2_ITGAV.pdf</t>
  </si>
  <si>
    <t>Melting_Curves/meltCurve_P06756_3_ITGAV.pdf</t>
  </si>
  <si>
    <t>Melting_Curves/meltCurve_P07093_2_SERPINE2.pdf</t>
  </si>
  <si>
    <t>Melting_Curves/meltCurve_P07099_EPHX1.pdf</t>
  </si>
  <si>
    <t>Melting_Curves/meltCurve_P07108_DBI.pdf</t>
  </si>
  <si>
    <t>Melting_Curves/meltCurve_P07195_LDHB.pdf</t>
  </si>
  <si>
    <t>Melting_Curves/meltCurve_P07203_GPX1.pdf</t>
  </si>
  <si>
    <t>Melting_Curves/meltCurve_P07205_PGK2.pdf</t>
  </si>
  <si>
    <t>Melting_Curves/meltCurve_P07225_PROS1.pdf</t>
  </si>
  <si>
    <t>Melting_Curves/meltCurve_P07237_P4HB.pdf</t>
  </si>
  <si>
    <t>Melting_Curves/meltCurve_P07305_2_H1F0.pdf</t>
  </si>
  <si>
    <t>Melting_Curves/meltCurve_P07339_CTSD.pdf</t>
  </si>
  <si>
    <t>Melting_Curves/meltCurve_P07355_ANXA2.pdf</t>
  </si>
  <si>
    <t>Melting_Curves/meltCurve_P07384_CAPN1.pdf</t>
  </si>
  <si>
    <t>Melting_Curves/meltCurve_P07476_IVL.pdf</t>
  </si>
  <si>
    <t>Melting_Curves/meltCurve_P07585_DCN.pdf</t>
  </si>
  <si>
    <t>Melting_Curves/meltCurve_P07686_HEXB.pdf</t>
  </si>
  <si>
    <t>Melting_Curves/meltCurve_P07711_CTSL1.pdf</t>
  </si>
  <si>
    <t>Melting_Curves/meltCurve_P07737_PFN1.pdf</t>
  </si>
  <si>
    <t>Melting_Curves/meltCurve_P07738_BPGM.pdf</t>
  </si>
  <si>
    <t>Melting_Curves/meltCurve_P07741_APRT.pdf</t>
  </si>
  <si>
    <t>Melting_Curves/meltCurve_P07814_EPRS.pdf</t>
  </si>
  <si>
    <t>Melting_Curves/meltCurve_P07858_CTSB.pdf</t>
  </si>
  <si>
    <t>Melting_Curves/meltCurve_P07900_HSP90AA1.pdf</t>
  </si>
  <si>
    <t>Melting_Curves/meltCurve_P07902_GALT.pdf</t>
  </si>
  <si>
    <t>Melting_Curves/meltCurve_P07919_UQCRH.pdf</t>
  </si>
  <si>
    <t>Melting_Curves/meltCurve_P07954_2_FH.pdf</t>
  </si>
  <si>
    <t>Melting_Curves/meltCurve_P07996_THBS1.pdf</t>
  </si>
  <si>
    <t>Melting_Curves/meltCurve_P08107_HSPA1A.pdf</t>
  </si>
  <si>
    <t>Melting_Curves/meltCurve_P08123_COL1A2.pdf</t>
  </si>
  <si>
    <t>Melting_Curves/meltCurve_P08133_ANXA6.pdf</t>
  </si>
  <si>
    <t>Melting_Curves/meltCurve_P08237_PFKM.pdf</t>
  </si>
  <si>
    <t>Melting_Curves/meltCurve_P08238_HSP90AB1.pdf</t>
  </si>
  <si>
    <t>Melting_Curves/meltCurve_P08240_SRPR.pdf</t>
  </si>
  <si>
    <t>Melting_Curves/meltCurve_P08253_MMP2.pdf</t>
  </si>
  <si>
    <t>Melting_Curves/meltCurve_P08294_SOD3.pdf</t>
  </si>
  <si>
    <t>Melting_Curves/meltCurve_P08397_2_HMBS.pdf</t>
  </si>
  <si>
    <t>Melting_Curves/meltCurve_P08473_MME.pdf</t>
  </si>
  <si>
    <t>Melting_Curves/meltCurve_P08476_INHBA.pdf</t>
  </si>
  <si>
    <t>Melting_Curves/meltCurve_P08559_3_PDHA1.pdf</t>
  </si>
  <si>
    <t>Melting_Curves/meltCurve_P08572_COL4A2.pdf</t>
  </si>
  <si>
    <t>Melting_Curves/meltCurve_P08574_CYC1.pdf</t>
  </si>
  <si>
    <t>Melting_Curves/meltCurve_P08579_SNRPB2.pdf</t>
  </si>
  <si>
    <t>Melting_Curves/meltCurve_P08590_MYL3.pdf</t>
  </si>
  <si>
    <t>Melting_Curves/meltCurve_P08603_CFH.pdf</t>
  </si>
  <si>
    <t>Melting_Curves/meltCurve_P08621_2_SNRNP70.pdf</t>
  </si>
  <si>
    <t>Melting_Curves/meltCurve_P08648_ITGA5.pdf</t>
  </si>
  <si>
    <t>Melting_Curves/meltCurve_P08651_2_NFIC.pdf</t>
  </si>
  <si>
    <t>Melting_Curves/meltCurve_P08670_VIM.pdf</t>
  </si>
  <si>
    <t>Melting_Curves/meltCurve_P08754_GNAI3.pdf</t>
  </si>
  <si>
    <t>Melting_Curves/meltCurve_P08758_ANXA5.pdf</t>
  </si>
  <si>
    <t>Melting_Curves/meltCurve_P08842_STS.pdf</t>
  </si>
  <si>
    <t>Melting_Curves/meltCurve_P09012_SNRPA.pdf</t>
  </si>
  <si>
    <t>Melting_Curves/meltCurve_P09038_2_FGF2.pdf</t>
  </si>
  <si>
    <t>Melting_Curves/meltCurve_P09104_ENO2.pdf</t>
  </si>
  <si>
    <t>Melting_Curves/meltCurve_P09110_ACAA1.pdf</t>
  </si>
  <si>
    <t>Melting_Curves/meltCurve_P09132_SRP19.pdf</t>
  </si>
  <si>
    <t>Melting_Curves/meltCurve_P09211_GSTP1.pdf</t>
  </si>
  <si>
    <t>Melting_Curves/meltCurve_P09234_SNRPC.pdf</t>
  </si>
  <si>
    <t>Melting_Curves/meltCurve_P09382_LGALS1.pdf</t>
  </si>
  <si>
    <t>Melting_Curves/meltCurve_P09417_QDPR.pdf</t>
  </si>
  <si>
    <t>Melting_Curves/meltCurve_P09429_HMGB1.pdf</t>
  </si>
  <si>
    <t>Melting_Curves/meltCurve_P09486_SPARC.pdf</t>
  </si>
  <si>
    <t>Melting_Curves/meltCurve_P09496_2_CLTA.pdf</t>
  </si>
  <si>
    <t>Melting_Curves/meltCurve_P09497_2_CLTB.pdf</t>
  </si>
  <si>
    <t>Melting_Curves/meltCurve_P09525_ANXA4.pdf</t>
  </si>
  <si>
    <t>Melting_Curves/meltCurve_P09543_2_CNP.pdf</t>
  </si>
  <si>
    <t>Melting_Curves/meltCurve_P09601_HMOX1.pdf</t>
  </si>
  <si>
    <t>Melting_Curves/meltCurve_P09619_PDGFRB.pdf</t>
  </si>
  <si>
    <t>Melting_Curves/meltCurve_P09622_DLD.pdf</t>
  </si>
  <si>
    <t>Melting_Curves/meltCurve_P09661_SNRPA1.pdf</t>
  </si>
  <si>
    <t>Melting_Curves/meltCurve_P09668_CTSH.pdf</t>
  </si>
  <si>
    <t>Melting_Curves/meltCurve_P09669_COX6C.pdf</t>
  </si>
  <si>
    <t>Melting_Curves/meltCurve_P09874_PARP1.pdf</t>
  </si>
  <si>
    <t>Melting_Curves/meltCurve_P09936_UCHL1.pdf</t>
  </si>
  <si>
    <t>Melting_Curves/meltCurve_P09960_LTA4H.pdf</t>
  </si>
  <si>
    <t>Melting_Curves/meltCurve_P09972_ALDOC.pdf</t>
  </si>
  <si>
    <t>Melting_Curves/meltCurve_P0C7T5_ATXN1L.pdf</t>
  </si>
  <si>
    <t>Melting_Curves/meltCurve_P0CG12_CHTF8.pdf</t>
  </si>
  <si>
    <t>Melting_Curves/meltCurve_P0CG35_TMSB15B.pdf</t>
  </si>
  <si>
    <t>Melting_Curves/meltCurve_P0CG38_POTEI.pdf</t>
  </si>
  <si>
    <t>Melting_Curves/meltCurve_P0CG39_POTEJ.pdf</t>
  </si>
  <si>
    <t>Melting_Curves/meltCurve_P0CW22_RPS17L.pdf</t>
  </si>
  <si>
    <t>Melting_Curves/meltCurve_P0DJ93_SMIM13.pdf</t>
  </si>
  <si>
    <t>Melting_Curves/meltCurve_P10109_FDX1.pdf</t>
  </si>
  <si>
    <t>Melting_Curves/meltCurve_P10114_RAP2A.pdf</t>
  </si>
  <si>
    <t>Melting_Curves/meltCurve_P10124_SRGN.pdf</t>
  </si>
  <si>
    <t>Melting_Curves/meltCurve_P10155_TROVE2.pdf</t>
  </si>
  <si>
    <t>Melting_Curves/meltCurve_P10176_COX8A.pdf</t>
  </si>
  <si>
    <t>Melting_Curves/meltCurve_P10253_GAA.pdf</t>
  </si>
  <si>
    <t>Melting_Curves/meltCurve_P10301_RRAS.pdf</t>
  </si>
  <si>
    <t>Melting_Curves/meltCurve_P10398_ARAF.pdf</t>
  </si>
  <si>
    <t>Melting_Curves/meltCurve_P10515_DLAT.pdf</t>
  </si>
  <si>
    <t>Melting_Curves/meltCurve_P10586_2_PTPRF.pdf</t>
  </si>
  <si>
    <t>Melting_Curves/meltCurve_P10599_TXN.pdf</t>
  </si>
  <si>
    <t>Melting_Curves/meltCurve_P10606_COX5B.pdf</t>
  </si>
  <si>
    <t>Melting_Curves/meltCurve_P10619_CTSA.pdf</t>
  </si>
  <si>
    <t>Melting_Curves/meltCurve_P10620_MGST1.pdf</t>
  </si>
  <si>
    <t>Melting_Curves/meltCurve_P10636_MAPT.pdf</t>
  </si>
  <si>
    <t>Melting_Curves/meltCurve_P10644_PRKAR1A.pdf</t>
  </si>
  <si>
    <t>Melting_Curves/meltCurve_P10746_UROS.pdf</t>
  </si>
  <si>
    <t>Melting_Curves/meltCurve_P10768_ESD.pdf</t>
  </si>
  <si>
    <t>Melting_Curves/meltCurve_P10809_HSPD1.pdf</t>
  </si>
  <si>
    <t>Melting_Curves/meltCurve_P10909_4_CLU.pdf</t>
  </si>
  <si>
    <t>Melting_Curves/meltCurve_P10915_HAPLN1.pdf</t>
  </si>
  <si>
    <t>Melting_Curves/meltCurve_P11021_HSPA5.pdf</t>
  </si>
  <si>
    <t>Melting_Curves/meltCurve_P11047_LAMC1.pdf</t>
  </si>
  <si>
    <t>Melting_Curves/meltCurve_P11117_ACP2.pdf</t>
  </si>
  <si>
    <t>Melting_Curves/meltCurve_P11137_3_MAP2.pdf</t>
  </si>
  <si>
    <t>Melting_Curves/meltCurve_P11137_4_MAP2.pdf</t>
  </si>
  <si>
    <t>Melting_Curves/meltCurve_P11142_HSPA8.pdf</t>
  </si>
  <si>
    <t>Melting_Curves/meltCurve_P11166_SLC2A1.pdf</t>
  </si>
  <si>
    <t>Melting_Curves/meltCurve_P11169_SLC2A3.pdf</t>
  </si>
  <si>
    <t>Melting_Curves/meltCurve_P11172_UMPS.pdf</t>
  </si>
  <si>
    <t>Melting_Curves/meltCurve_P11177_2_PDHB.pdf</t>
  </si>
  <si>
    <t>Melting_Curves/meltCurve_P11182_DBT.pdf</t>
  </si>
  <si>
    <t>Melting_Curves/meltCurve_P11216_PYGB.pdf</t>
  </si>
  <si>
    <t>Melting_Curves/meltCurve_P11233_RALA.pdf</t>
  </si>
  <si>
    <t>Melting_Curves/meltCurve_P11234_RALB.pdf</t>
  </si>
  <si>
    <t>Melting_Curves/meltCurve_P11274_2_BCR.pdf</t>
  </si>
  <si>
    <t>Melting_Curves/meltCurve_P11279_LAMP1.pdf</t>
  </si>
  <si>
    <t>Melting_Curves/meltCurve_P11387_TOP1.pdf</t>
  </si>
  <si>
    <t>Melting_Curves/meltCurve_P11413_G6PD.pdf</t>
  </si>
  <si>
    <t>Melting_Curves/meltCurve_P11441_UBL4A.pdf</t>
  </si>
  <si>
    <t>Melting_Curves/meltCurve_P11498_PC.pdf</t>
  </si>
  <si>
    <t>Melting_Curves/meltCurve_P11586_MTHFD1.pdf</t>
  </si>
  <si>
    <t>Melting_Curves/meltCurve_P11717_IGF2R.pdf</t>
  </si>
  <si>
    <t>Melting_Curves/meltCurve_P11766_ADH5.pdf</t>
  </si>
  <si>
    <t>Melting_Curves/meltCurve_P11802_CDK4.pdf</t>
  </si>
  <si>
    <t>Melting_Curves/meltCurve_P11831_SRF.pdf</t>
  </si>
  <si>
    <t>Melting_Curves/meltCurve_P11908_PRPS2.pdf</t>
  </si>
  <si>
    <t>Melting_Curves/meltCurve_P11940_2_PABPC1.pdf</t>
  </si>
  <si>
    <t>Melting_Curves/meltCurve_P12004_PCNA.pdf</t>
  </si>
  <si>
    <t>Melting_Curves/meltCurve_P12081_HARS.pdf</t>
  </si>
  <si>
    <t>Melting_Curves/meltCurve_P12107_3_COL11A1.pdf</t>
  </si>
  <si>
    <t>Melting_Curves/meltCurve_P12109_COL6A1.pdf</t>
  </si>
  <si>
    <t>Melting_Curves/meltCurve_P12110_COL6A2.pdf</t>
  </si>
  <si>
    <t>Melting_Curves/meltCurve_P12110_2_COL6A2.pdf</t>
  </si>
  <si>
    <t>Melting_Curves/meltCurve_P12111_COL6A3.pdf</t>
  </si>
  <si>
    <t>Melting_Curves/meltCurve_P12235_SLC25A4.pdf</t>
  </si>
  <si>
    <t>Melting_Curves/meltCurve_P12236_SLC25A6.pdf</t>
  </si>
  <si>
    <t>Melting_Curves/meltCurve_P12268_IMPDH2.pdf</t>
  </si>
  <si>
    <t>Melting_Curves/meltCurve_P12270_TPR.pdf</t>
  </si>
  <si>
    <t>Melting_Curves/meltCurve_P12277_CKB.pdf</t>
  </si>
  <si>
    <t>Melting_Curves/meltCurve_P12429_ANXA3.pdf</t>
  </si>
  <si>
    <t>Melting_Curves/meltCurve_P12532_CKMT1A.pdf</t>
  </si>
  <si>
    <t>Melting_Curves/meltCurve_P12814_2_ACTN1.pdf</t>
  </si>
  <si>
    <t>Melting_Curves/meltCurve_P12821_2_ACE.pdf</t>
  </si>
  <si>
    <t>Melting_Curves/meltCurve_P12931_SRC.pdf</t>
  </si>
  <si>
    <t>Melting_Curves/meltCurve_P12955_PEPD.pdf</t>
  </si>
  <si>
    <t>Melting_Curves/meltCurve_P12956_XRCC6.pdf</t>
  </si>
  <si>
    <t>Melting_Curves/meltCurve_P13010_XRCC5.pdf</t>
  </si>
  <si>
    <t>Melting_Curves/meltCurve_P13073_COX4I1.pdf</t>
  </si>
  <si>
    <t>Melting_Curves/meltCurve_P13196_ALAS1.pdf</t>
  </si>
  <si>
    <t>Melting_Curves/meltCurve_P13489_RNH1.pdf</t>
  </si>
  <si>
    <t>Melting_Curves/meltCurve_P13498_CYBA.pdf</t>
  </si>
  <si>
    <t>Melting_Curves/meltCurve_P13611_VCAN.pdf</t>
  </si>
  <si>
    <t>Melting_Curves/meltCurve_P13612_ITGA4.pdf</t>
  </si>
  <si>
    <t>Melting_Curves/meltCurve_P13639_EEF2.pdf</t>
  </si>
  <si>
    <t>Melting_Curves/meltCurve_P13667_PDIA4.pdf</t>
  </si>
  <si>
    <t>Melting_Curves/meltCurve_P13674_P4HA1.pdf</t>
  </si>
  <si>
    <t>Melting_Curves/meltCurve_P13674_2_P4HA1.pdf</t>
  </si>
  <si>
    <t>Melting_Curves/meltCurve_P13693_TPT1.pdf</t>
  </si>
  <si>
    <t>Melting_Curves/meltCurve_P13726_F3.pdf</t>
  </si>
  <si>
    <t>Melting_Curves/meltCurve_P13746_2_HLA_A.pdf</t>
  </si>
  <si>
    <t>Melting_Curves/meltCurve_P13797_PLS3.pdf</t>
  </si>
  <si>
    <t>Melting_Curves/meltCurve_P13804_ETFA.pdf</t>
  </si>
  <si>
    <t>Melting_Curves/meltCurve_P13861_PRKAR2A.pdf</t>
  </si>
  <si>
    <t>Melting_Curves/meltCurve_P13929_2_ENO3.pdf</t>
  </si>
  <si>
    <t>Melting_Curves/meltCurve_P13984_GTF2F2.pdf</t>
  </si>
  <si>
    <t>Melting_Curves/meltCurve_P13995_MTHFD2.pdf</t>
  </si>
  <si>
    <t>Melting_Curves/meltCurve_P14174_MIF.pdf</t>
  </si>
  <si>
    <t>Melting_Curves/meltCurve_P14209_3_CD99.pdf</t>
  </si>
  <si>
    <t>Melting_Curves/meltCurve_P14324_2_FDPS.pdf</t>
  </si>
  <si>
    <t>Melting_Curves/meltCurve_P14384_CPM.pdf</t>
  </si>
  <si>
    <t>Melting_Curves/meltCurve_P14550_AKR1A1.pdf</t>
  </si>
  <si>
    <t>Melting_Curves/meltCurve_P14618_PKM.pdf</t>
  </si>
  <si>
    <t>Melting_Curves/meltCurve_P14621_ACYP2.pdf</t>
  </si>
  <si>
    <t>Melting_Curves/meltCurve_P14625_HSP90B1.pdf</t>
  </si>
  <si>
    <t>Melting_Curves/meltCurve_P14649_MYL6B.pdf</t>
  </si>
  <si>
    <t>Melting_Curves/meltCurve_P14735_IDE.pdf</t>
  </si>
  <si>
    <t>Melting_Curves/meltCurve_P14854_COX6B1.pdf</t>
  </si>
  <si>
    <t>Melting_Curves/meltCurve_P14866_HNRNPL.pdf</t>
  </si>
  <si>
    <t>Melting_Curves/meltCurve_P14868_DARS.pdf</t>
  </si>
  <si>
    <t>Melting_Curves/meltCurve_P14923_JUP.pdf</t>
  </si>
  <si>
    <t>Melting_Curves/meltCurve_P14927_UQCRB.pdf</t>
  </si>
  <si>
    <t>Melting_Curves/meltCurve_P15056_BRAF.pdf</t>
  </si>
  <si>
    <t>Melting_Curves/meltCurve_P15090_FABP4.pdf</t>
  </si>
  <si>
    <t>Melting_Curves/meltCurve_P15104_GLUL.pdf</t>
  </si>
  <si>
    <t>Melting_Curves/meltCurve_P15121_AKR1B1.pdf</t>
  </si>
  <si>
    <t>Melting_Curves/meltCurve_P15144_ANPEP.pdf</t>
  </si>
  <si>
    <t>Melting_Curves/meltCurve_P15151_3_PVR.pdf</t>
  </si>
  <si>
    <t>Melting_Curves/meltCurve_P15170_2_GSPT1.pdf</t>
  </si>
  <si>
    <t>Melting_Curves/meltCurve_P15289_ARSA.pdf</t>
  </si>
  <si>
    <t>Melting_Curves/meltCurve_P15289_2_ARSA.pdf</t>
  </si>
  <si>
    <t>Melting_Curves/meltCurve_P15291_2_B4GALT1.pdf</t>
  </si>
  <si>
    <t>Melting_Curves/meltCurve_P15311_EZR.pdf</t>
  </si>
  <si>
    <t>Melting_Curves/meltCurve_P15374_UCHL3.pdf</t>
  </si>
  <si>
    <t>Melting_Curves/meltCurve_P15407_FOSL1.pdf</t>
  </si>
  <si>
    <t>Melting_Curves/meltCurve_P15529_15_CD46.pdf</t>
  </si>
  <si>
    <t>Melting_Curves/meltCurve_P15529_7_CD46.pdf</t>
  </si>
  <si>
    <t>Melting_Curves/meltCurve_P15531_NME1.pdf</t>
  </si>
  <si>
    <t>Melting_Curves/meltCurve_P15586_GNS.pdf</t>
  </si>
  <si>
    <t>Melting_Curves/meltCurve_P15848_ARSB.pdf</t>
  </si>
  <si>
    <t>Melting_Curves/meltCurve_P15882_CHN1.pdf</t>
  </si>
  <si>
    <t>Melting_Curves/meltCurve_P15924_DSP.pdf</t>
  </si>
  <si>
    <t>Melting_Curves/meltCurve_P15927_RPA2.pdf</t>
  </si>
  <si>
    <t>Melting_Curves/meltCurve_P16035_TIMP2.pdf</t>
  </si>
  <si>
    <t>Melting_Curves/meltCurve_P16152_CBR1.pdf</t>
  </si>
  <si>
    <t>Melting_Curves/meltCurve_P16219_ACADS.pdf</t>
  </si>
  <si>
    <t>Melting_Curves/meltCurve_P16234_PDGFRA.pdf</t>
  </si>
  <si>
    <t>Melting_Curves/meltCurve_P16260_SLC25A16.pdf</t>
  </si>
  <si>
    <t>Melting_Curves/meltCurve_P16278_3_GLB1.pdf</t>
  </si>
  <si>
    <t>Melting_Curves/meltCurve_P16298_PPP3CB.pdf</t>
  </si>
  <si>
    <t>Melting_Curves/meltCurve_P16333_NCK1.pdf</t>
  </si>
  <si>
    <t>Melting_Curves/meltCurve_P16383_GCFC2.pdf</t>
  </si>
  <si>
    <t>Melting_Curves/meltCurve_P16401_HIST1H1B.pdf</t>
  </si>
  <si>
    <t>Melting_Curves/meltCurve_P16403_HIST1H1C.pdf</t>
  </si>
  <si>
    <t>Melting_Curves/meltCurve_P16435_POR.pdf</t>
  </si>
  <si>
    <t>Melting_Curves/meltCurve_P16455_MGMT.pdf</t>
  </si>
  <si>
    <t>Melting_Curves/meltCurve_P16591_3_FER.pdf</t>
  </si>
  <si>
    <t>Melting_Curves/meltCurve_P16615_ATP2A2.pdf</t>
  </si>
  <si>
    <t>Melting_Curves/meltCurve_P16930_FAH.pdf</t>
  </si>
  <si>
    <t>Melting_Curves/meltCurve_P16949_STMN1.pdf</t>
  </si>
  <si>
    <t>Melting_Curves/meltCurve_P16989_2_YBX3.pdf</t>
  </si>
  <si>
    <t>Melting_Curves/meltCurve_P17050_NAGA.pdf</t>
  </si>
  <si>
    <t>Melting_Curves/meltCurve_P17066_HSPA6.pdf</t>
  </si>
  <si>
    <t>Melting_Curves/meltCurve_P17081_RHOQ.pdf</t>
  </si>
  <si>
    <t>Melting_Curves/meltCurve_P17096_2_HMGA1.pdf</t>
  </si>
  <si>
    <t>Melting_Curves/meltCurve_P17152_TMEM11.pdf</t>
  </si>
  <si>
    <t>Melting_Curves/meltCurve_P17174_GOT1.pdf</t>
  </si>
  <si>
    <t>Melting_Curves/meltCurve_P17252_PRKCA.pdf</t>
  </si>
  <si>
    <t>Melting_Curves/meltCurve_P17275_JUNB.pdf</t>
  </si>
  <si>
    <t>Melting_Curves/meltCurve_P17301_ITGA2.pdf</t>
  </si>
  <si>
    <t>Melting_Curves/meltCurve_P17302_GJA1.pdf</t>
  </si>
  <si>
    <t>Melting_Curves/meltCurve_P17342_2_NPR3.pdf</t>
  </si>
  <si>
    <t>Melting_Curves/meltCurve_P17405_4_SMPD1.pdf</t>
  </si>
  <si>
    <t>Melting_Curves/meltCurve_P17535_JUND.pdf</t>
  </si>
  <si>
    <t>Melting_Curves/meltCurve_P17568_NDUFB7.pdf</t>
  </si>
  <si>
    <t>Melting_Curves/meltCurve_P17612_PRKACA.pdf</t>
  </si>
  <si>
    <t>Melting_Curves/meltCurve_P17655_CAPN2.pdf</t>
  </si>
  <si>
    <t>Melting_Curves/meltCurve_P17661_DES.pdf</t>
  </si>
  <si>
    <t>Melting_Curves/meltCurve_P17812_CTPS1.pdf</t>
  </si>
  <si>
    <t>Melting_Curves/meltCurve_P17813_2_ENG.pdf</t>
  </si>
  <si>
    <t>Melting_Curves/meltCurve_P17858_PFKL.pdf</t>
  </si>
  <si>
    <t>Melting_Curves/meltCurve_P17900_GM2A.pdf</t>
  </si>
  <si>
    <t>Melting_Curves/meltCurve_P17931_LGALS3.pdf</t>
  </si>
  <si>
    <t>Melting_Curves/meltCurve_P17936_IGFBP3.pdf</t>
  </si>
  <si>
    <t>Melting_Curves/meltCurve_P17987_TCP1.pdf</t>
  </si>
  <si>
    <t>Melting_Curves/meltCurve_P18031_PTPN1.pdf</t>
  </si>
  <si>
    <t>Melting_Curves/meltCurve_P18065_IGFBP2.pdf</t>
  </si>
  <si>
    <t>Melting_Curves/meltCurve_P18084_ITGB5.pdf</t>
  </si>
  <si>
    <t>Melting_Curves/meltCurve_P18085_ARF4.pdf</t>
  </si>
  <si>
    <t>Melting_Curves/meltCurve_P18124_RPL7.pdf</t>
  </si>
  <si>
    <t>Melting_Curves/meltCurve_P18146_EGR1.pdf</t>
  </si>
  <si>
    <t>Melting_Curves/meltCurve_P18615_NELFE.pdf</t>
  </si>
  <si>
    <t>Melting_Curves/meltCurve_P18669_PGAM1.pdf</t>
  </si>
  <si>
    <t>Melting_Curves/meltCurve_P18754_RCC1.pdf</t>
  </si>
  <si>
    <t>Melting_Curves/meltCurve_P18827_SDC1.pdf</t>
  </si>
  <si>
    <t>Melting_Curves/meltCurve_P18846_ATF1.pdf</t>
  </si>
  <si>
    <t>Melting_Curves/meltCurve_P18859_ATP5J.pdf</t>
  </si>
  <si>
    <t>Melting_Curves/meltCurve_P19021_PAM.pdf</t>
  </si>
  <si>
    <t>Melting_Curves/meltCurve_P19338_NCL.pdf</t>
  </si>
  <si>
    <t>Melting_Curves/meltCurve_P19367_HK1.pdf</t>
  </si>
  <si>
    <t>Melting_Curves/meltCurve_P19525_2_EIF2AK2.pdf</t>
  </si>
  <si>
    <t>Melting_Curves/meltCurve_P19532_TFE3.pdf</t>
  </si>
  <si>
    <t>Melting_Curves/meltCurve_P19623_SRM.pdf</t>
  </si>
  <si>
    <t>Melting_Curves/meltCurve_P19784_CSNK2A2.pdf</t>
  </si>
  <si>
    <t>Melting_Curves/meltCurve_P19838_NFKB1.pdf</t>
  </si>
  <si>
    <t>Melting_Curves/meltCurve_P19883_2_FST.pdf</t>
  </si>
  <si>
    <t>Melting_Curves/meltCurve_P19971_TYMP.pdf</t>
  </si>
  <si>
    <t>Melting_Curves/meltCurve_P20020_6_ATP2B1.pdf</t>
  </si>
  <si>
    <t>Melting_Curves/meltCurve_P20042_EIF2S2.pdf</t>
  </si>
  <si>
    <t>Melting_Curves/meltCurve_P20290_BTF3.pdf</t>
  </si>
  <si>
    <t>Melting_Curves/meltCurve_P20290_2_BTF3.pdf</t>
  </si>
  <si>
    <t>Melting_Curves/meltCurve_P20336_RAB3A.pdf</t>
  </si>
  <si>
    <t>Melting_Curves/meltCurve_P20337_RAB3B.pdf</t>
  </si>
  <si>
    <t>Melting_Curves/meltCurve_P20338_RAB4A.pdf</t>
  </si>
  <si>
    <t>Melting_Curves/meltCurve_P20618_PSMB1.pdf</t>
  </si>
  <si>
    <t>Melting_Curves/meltCurve_P20645_M6PR.pdf</t>
  </si>
  <si>
    <t>Melting_Curves/meltCurve_P20674_COX5A.pdf</t>
  </si>
  <si>
    <t>Melting_Curves/meltCurve_P20700_LMNB1.pdf</t>
  </si>
  <si>
    <t>Melting_Curves/meltCurve_P20908_COL5A1.pdf</t>
  </si>
  <si>
    <t>Melting_Curves/meltCurve_P20933_AGA.pdf</t>
  </si>
  <si>
    <t>Melting_Curves/meltCurve_P20962_PTMS.pdf</t>
  </si>
  <si>
    <t>Melting_Curves/meltCurve_P21266_GSTM3.pdf</t>
  </si>
  <si>
    <t>Melting_Curves/meltCurve_P21281_ATP6V1B2.pdf</t>
  </si>
  <si>
    <t>Melting_Curves/meltCurve_P21283_ATP6V1C1.pdf</t>
  </si>
  <si>
    <t>Melting_Curves/meltCurve_P21291_CSRP1.pdf</t>
  </si>
  <si>
    <t>Melting_Curves/meltCurve_P21333_2_FLNA.pdf</t>
  </si>
  <si>
    <t>Melting_Curves/meltCurve_P21359_2_NF1.pdf</t>
  </si>
  <si>
    <t>Melting_Curves/meltCurve_P21397_MAOA.pdf</t>
  </si>
  <si>
    <t>Melting_Curves/meltCurve_P21399_ACO1.pdf</t>
  </si>
  <si>
    <t>Melting_Curves/meltCurve_P21583_2_KITLG.pdf</t>
  </si>
  <si>
    <t>Melting_Curves/meltCurve_P21589_NT5E.pdf</t>
  </si>
  <si>
    <t>Melting_Curves/meltCurve_P21796_VDAC1.pdf</t>
  </si>
  <si>
    <t>Melting_Curves/meltCurve_P21912_SDHB.pdf</t>
  </si>
  <si>
    <t>Melting_Curves/meltCurve_P21964_2_COMT.pdf</t>
  </si>
  <si>
    <t>Melting_Curves/meltCurve_P21980_TGM2.pdf</t>
  </si>
  <si>
    <t>Melting_Curves/meltCurve_P22033_MUT.pdf</t>
  </si>
  <si>
    <t>Melting_Curves/meltCurve_P22059_OSBP.pdf</t>
  </si>
  <si>
    <t>Melting_Curves/meltCurve_P22102_GART.pdf</t>
  </si>
  <si>
    <t>Melting_Curves/meltCurve_P22304_IDS.pdf</t>
  </si>
  <si>
    <t>Melting_Curves/meltCurve_P22307_SCP2.pdf</t>
  </si>
  <si>
    <t>Melting_Curves/meltCurve_P22307_2_SCP2.pdf</t>
  </si>
  <si>
    <t>Melting_Curves/meltCurve_P22314_UBA1.pdf</t>
  </si>
  <si>
    <t>Melting_Curves/meltCurve_P22413_ENPP1.pdf</t>
  </si>
  <si>
    <t>Melting_Curves/meltCurve_P22466_GAL.pdf</t>
  </si>
  <si>
    <t>Melting_Curves/meltCurve_P22570_FDXR.pdf</t>
  </si>
  <si>
    <t>Melting_Curves/meltCurve_P22626_HNRNPA2B1.pdf</t>
  </si>
  <si>
    <t>Melting_Curves/meltCurve_P22676_CALB2.pdf</t>
  </si>
  <si>
    <t>Melting_Curves/meltCurve_P22681_CBL.pdf</t>
  </si>
  <si>
    <t>Melting_Curves/meltCurve_P22692_IGFBP4.pdf</t>
  </si>
  <si>
    <t>Melting_Curves/meltCurve_P22694_PRKACB.pdf</t>
  </si>
  <si>
    <t>Melting_Curves/meltCurve_P22830_FECH.pdf</t>
  </si>
  <si>
    <t>Melting_Curves/meltCurve_P23141_3_CES1.pdf</t>
  </si>
  <si>
    <t>Melting_Curves/meltCurve_P23142_FBLN1.pdf</t>
  </si>
  <si>
    <t>Melting_Curves/meltCurve_P23142_4_FBLN1.pdf</t>
  </si>
  <si>
    <t>Melting_Curves/meltCurve_P23193_TCEA1.pdf</t>
  </si>
  <si>
    <t>Melting_Curves/meltCurve_P23219_3_PTGS1.pdf</t>
  </si>
  <si>
    <t>Melting_Curves/meltCurve_P23246_SFPQ.pdf</t>
  </si>
  <si>
    <t>Melting_Curves/meltCurve_P23258_TUBG1.pdf</t>
  </si>
  <si>
    <t>Melting_Curves/meltCurve_P23284_PPIB.pdf</t>
  </si>
  <si>
    <t>Melting_Curves/meltCurve_P23368_ME2.pdf</t>
  </si>
  <si>
    <t>Melting_Curves/meltCurve_P23381_WARS.pdf</t>
  </si>
  <si>
    <t>Melting_Curves/meltCurve_P23396_RPS3.pdf</t>
  </si>
  <si>
    <t>Melting_Curves/meltCurve_P23434_GCSH.pdf</t>
  </si>
  <si>
    <t>Melting_Curves/meltCurve_P23470_2_PTPRG.pdf</t>
  </si>
  <si>
    <t>Melting_Curves/meltCurve_P23497_SP100.pdf</t>
  </si>
  <si>
    <t>Melting_Curves/meltCurve_P23508_2_MCC.pdf</t>
  </si>
  <si>
    <t>Melting_Curves/meltCurve_P23526_AHCY.pdf</t>
  </si>
  <si>
    <t>Melting_Curves/meltCurve_P23528_CFL1.pdf</t>
  </si>
  <si>
    <t>Melting_Curves/meltCurve_P23634_8_ATP2B4.pdf</t>
  </si>
  <si>
    <t>Melting_Curves/meltCurve_P23743_DGKA.pdf</t>
  </si>
  <si>
    <t>Melting_Curves/meltCurve_P23786_CPT2.pdf</t>
  </si>
  <si>
    <t>Melting_Curves/meltCurve_P23919_DTYMK.pdf</t>
  </si>
  <si>
    <t>Melting_Curves/meltCurve_P23921_RRM1.pdf</t>
  </si>
  <si>
    <t>Melting_Curves/meltCurve_P24043_LAMA2.pdf</t>
  </si>
  <si>
    <t>Melting_Curves/meltCurve_P24310_COX7A1.pdf</t>
  </si>
  <si>
    <t>Melting_Curves/meltCurve_P24385_CCND1.pdf</t>
  </si>
  <si>
    <t>Melting_Curves/meltCurve_P24534_EEF1B2.pdf</t>
  </si>
  <si>
    <t>Melting_Curves/meltCurve_P24592_IGFBP6.pdf</t>
  </si>
  <si>
    <t>Melting_Curves/meltCurve_P24593_IGFBP5.pdf</t>
  </si>
  <si>
    <t>Melting_Curves/meltCurve_P24666_ACP1.pdf</t>
  </si>
  <si>
    <t>Melting_Curves/meltCurve_P24666_2_ACP1.pdf</t>
  </si>
  <si>
    <t>Melting_Curves/meltCurve_P24752_ACAT1.pdf</t>
  </si>
  <si>
    <t>Melting_Curves/meltCurve_P24821_4_TNC.pdf</t>
  </si>
  <si>
    <t>Melting_Curves/meltCurve_P24844_MYL9.pdf</t>
  </si>
  <si>
    <t>Melting_Curves/meltCurve_P24928_POLR2A.pdf</t>
  </si>
  <si>
    <t>Melting_Curves/meltCurve_P25054_2_APC.pdf</t>
  </si>
  <si>
    <t>Melting_Curves/meltCurve_P25098_ADRBK1.pdf</t>
  </si>
  <si>
    <t>Melting_Curves/meltCurve_P25116_F2R.pdf</t>
  </si>
  <si>
    <t>Melting_Curves/meltCurve_P25398_RPS12.pdf</t>
  </si>
  <si>
    <t>Melting_Curves/meltCurve_P25445_6_FAS.pdf</t>
  </si>
  <si>
    <t>Melting_Curves/meltCurve_P25685_DNAJB1.pdf</t>
  </si>
  <si>
    <t>Melting_Curves/meltCurve_P25686_DNAJB2.pdf</t>
  </si>
  <si>
    <t>Melting_Curves/meltCurve_P25705_ATP5A1.pdf</t>
  </si>
  <si>
    <t>Melting_Curves/meltCurve_P25774_2_CTSS.pdf</t>
  </si>
  <si>
    <t>Melting_Curves/meltCurve_P25786_PSMA1.pdf</t>
  </si>
  <si>
    <t>Melting_Curves/meltCurve_P25787_PSMA2.pdf</t>
  </si>
  <si>
    <t>Melting_Curves/meltCurve_P25788_2_PSMA3.pdf</t>
  </si>
  <si>
    <t>Melting_Curves/meltCurve_P25789_PSMA4.pdf</t>
  </si>
  <si>
    <t>Melting_Curves/meltCurve_P26006_ITGA3.pdf</t>
  </si>
  <si>
    <t>Melting_Curves/meltCurve_P26022_PTX3.pdf</t>
  </si>
  <si>
    <t>Melting_Curves/meltCurve_P26038_MSN.pdf</t>
  </si>
  <si>
    <t>Melting_Curves/meltCurve_P26196_DDX6.pdf</t>
  </si>
  <si>
    <t>Melting_Curves/meltCurve_P26373_RPL13.pdf</t>
  </si>
  <si>
    <t>Melting_Curves/meltCurve_P26374_CHML.pdf</t>
  </si>
  <si>
    <t>Melting_Curves/meltCurve_P26440_IVD.pdf</t>
  </si>
  <si>
    <t>Melting_Curves/meltCurve_P26447_S100A4.pdf</t>
  </si>
  <si>
    <t>Melting_Curves/meltCurve_P26572_MGAT1.pdf</t>
  </si>
  <si>
    <t>Melting_Curves/meltCurve_P26583_HMGB2.pdf</t>
  </si>
  <si>
    <t>Melting_Curves/meltCurve_P26599_PTBP1.pdf</t>
  </si>
  <si>
    <t>Melting_Curves/meltCurve_P26639_TARS.pdf</t>
  </si>
  <si>
    <t>Melting_Curves/meltCurve_P26641_EEF1G.pdf</t>
  </si>
  <si>
    <t>Melting_Curves/meltCurve_P26885_FKBP2.pdf</t>
  </si>
  <si>
    <t>Melting_Curves/meltCurve_P27144_AK4.pdf</t>
  </si>
  <si>
    <t>Melting_Curves/meltCurve_P27338_MAOB.pdf</t>
  </si>
  <si>
    <t>Melting_Curves/meltCurve_P27348_YWHAQ.pdf</t>
  </si>
  <si>
    <t>Melting_Curves/meltCurve_P27361_MAPK3.pdf</t>
  </si>
  <si>
    <t>Melting_Curves/meltCurve_P27487_DPP4.pdf</t>
  </si>
  <si>
    <t>Melting_Curves/meltCurve_P27540_2_ARNT.pdf</t>
  </si>
  <si>
    <t>Melting_Curves/meltCurve_P27635_RPL10.pdf</t>
  </si>
  <si>
    <t>Melting_Curves/meltCurve_P27658_COL8A1.pdf</t>
  </si>
  <si>
    <t>Melting_Curves/meltCurve_P27694_RPA1.pdf</t>
  </si>
  <si>
    <t>Melting_Curves/meltCurve_P27695_APEX1.pdf</t>
  </si>
  <si>
    <t>Melting_Curves/meltCurve_P27797_CALR.pdf</t>
  </si>
  <si>
    <t>Melting_Curves/meltCurve_P27816_5_MAP4.pdf</t>
  </si>
  <si>
    <t>Melting_Curves/meltCurve_P27824_CANX.pdf</t>
  </si>
  <si>
    <t>Melting_Curves/meltCurve_P27986_3_PIK3R1.pdf</t>
  </si>
  <si>
    <t>Melting_Curves/meltCurve_P28062_2_PSMB8.pdf</t>
  </si>
  <si>
    <t>Melting_Curves/meltCurve_P28066_PSMA5.pdf</t>
  </si>
  <si>
    <t>Melting_Curves/meltCurve_P28070_PSMB4.pdf</t>
  </si>
  <si>
    <t>Melting_Curves/meltCurve_P28072_PSMB6.pdf</t>
  </si>
  <si>
    <t>Melting_Curves/meltCurve_P28074_PSMB5.pdf</t>
  </si>
  <si>
    <t>Melting_Curves/meltCurve_P28161_GSTM2.pdf</t>
  </si>
  <si>
    <t>Melting_Curves/meltCurve_P28300_LOX.pdf</t>
  </si>
  <si>
    <t>Melting_Curves/meltCurve_P28331_NDUFS1.pdf</t>
  </si>
  <si>
    <t>Melting_Curves/meltCurve_P28482_MAPK1.pdf</t>
  </si>
  <si>
    <t>Melting_Curves/meltCurve_P28715_ERCC5.pdf</t>
  </si>
  <si>
    <t>Melting_Curves/meltCurve_P28799_GRN.pdf</t>
  </si>
  <si>
    <t>Melting_Curves/meltCurve_P28838_2_LAP3.pdf</t>
  </si>
  <si>
    <t>Melting_Curves/meltCurve_P28845_HSD11B1.pdf</t>
  </si>
  <si>
    <t>Melting_Curves/meltCurve_P29034_S100A2.pdf</t>
  </si>
  <si>
    <t>Melting_Curves/meltCurve_P29083_GTF2E1.pdf</t>
  </si>
  <si>
    <t>Melting_Curves/meltCurve_P29218_IMPA1.pdf</t>
  </si>
  <si>
    <t>Melting_Curves/meltCurve_P29279_CTGF.pdf</t>
  </si>
  <si>
    <t>Melting_Curves/meltCurve_P29317_EPHA2.pdf</t>
  </si>
  <si>
    <t>Melting_Curves/meltCurve_P29323_2_EPHB2.pdf</t>
  </si>
  <si>
    <t>Melting_Curves/meltCurve_P29353_6_SHC1.pdf</t>
  </si>
  <si>
    <t>Melting_Curves/meltCurve_P29373_CRABP2.pdf</t>
  </si>
  <si>
    <t>Melting_Curves/meltCurve_P29401_TKT.pdf</t>
  </si>
  <si>
    <t>Melting_Curves/meltCurve_P29536_2_LMOD1.pdf</t>
  </si>
  <si>
    <t>Melting_Curves/meltCurve_P29590_PML.pdf</t>
  </si>
  <si>
    <t>Melting_Curves/meltCurve_P29966_MARCKS.pdf</t>
  </si>
  <si>
    <t>Melting_Curves/meltCurve_P29992_GNA11.pdf</t>
  </si>
  <si>
    <t>Melting_Curves/meltCurve_P30038_ALDH4A1.pdf</t>
  </si>
  <si>
    <t>Melting_Curves/meltCurve_P30039_PBLD.pdf</t>
  </si>
  <si>
    <t>Melting_Curves/meltCurve_P30040_ERP29.pdf</t>
  </si>
  <si>
    <t>Melting_Curves/meltCurve_P30041_PRDX6.pdf</t>
  </si>
  <si>
    <t>Melting_Curves/meltCurve_P30042_C21orf33.pdf</t>
  </si>
  <si>
    <t>Melting_Curves/meltCurve_P30043_BLVRB.pdf</t>
  </si>
  <si>
    <t>Melting_Curves/meltCurve_P30044_2_PRDX5.pdf</t>
  </si>
  <si>
    <t>Melting_Curves/meltCurve_P30046_DDT.pdf</t>
  </si>
  <si>
    <t>Melting_Curves/meltCurve_P30049_ATP5D.pdf</t>
  </si>
  <si>
    <t>Melting_Curves/meltCurve_P30050_RPL12.pdf</t>
  </si>
  <si>
    <t>Melting_Curves/meltCurve_P30084_ECHS1.pdf</t>
  </si>
  <si>
    <t>Melting_Curves/meltCurve_P30085_CMPK1.pdf</t>
  </si>
  <si>
    <t>Melting_Curves/meltCurve_P30086_PEBP1.pdf</t>
  </si>
  <si>
    <t>Melting_Curves/meltCurve_P30153_PPP2R1A.pdf</t>
  </si>
  <si>
    <t>Melting_Curves/meltCurve_P30154_4_PPP2R1B.pdf</t>
  </si>
  <si>
    <t>Melting_Curves/meltCurve_P30405_PPIF.pdf</t>
  </si>
  <si>
    <t>Melting_Curves/meltCurve_P30411_2_BDKRB2.pdf</t>
  </si>
  <si>
    <t>Melting_Curves/meltCurve_P30419_NMT1.pdf</t>
  </si>
  <si>
    <t>Melting_Curves/meltCurve_P30504_HLA_C.pdf</t>
  </si>
  <si>
    <t>Melting_Curves/meltCurve_P30519_HMOX2.pdf</t>
  </si>
  <si>
    <t>Melting_Curves/meltCurve_P30520_ADSS.pdf</t>
  </si>
  <si>
    <t>Melting_Curves/meltCurve_P30530_2_AXL.pdf</t>
  </si>
  <si>
    <t>Melting_Curves/meltCurve_P30533_LRPAP1.pdf</t>
  </si>
  <si>
    <t>Melting_Curves/meltCurve_P30566_ADSL.pdf</t>
  </si>
  <si>
    <t>Melting_Curves/meltCurve_P30613_2_PKLR.pdf</t>
  </si>
  <si>
    <t>Melting_Curves/meltCurve_P30622_2_CLIP1.pdf</t>
  </si>
  <si>
    <t>Melting_Curves/meltCurve_P30711_GSTT1.pdf</t>
  </si>
  <si>
    <t>Melting_Curves/meltCurve_P30740_SERPINB1.pdf</t>
  </si>
  <si>
    <t>Melting_Curves/meltCurve_P30825_SLC7A1.pdf</t>
  </si>
  <si>
    <t>Melting_Curves/meltCurve_P30837_ALDH1B1.pdf</t>
  </si>
  <si>
    <t>Melting_Curves/meltCurve_P31150_GDI1.pdf</t>
  </si>
  <si>
    <t>Melting_Curves/meltCurve_P31153_MAT2A.pdf</t>
  </si>
  <si>
    <t>Melting_Curves/meltCurve_P31321_PRKAR1B.pdf</t>
  </si>
  <si>
    <t>Melting_Curves/meltCurve_P31327_CPS1.pdf</t>
  </si>
  <si>
    <t>Melting_Curves/meltCurve_P31689_DNAJA1.pdf</t>
  </si>
  <si>
    <t>Melting_Curves/meltCurve_P31749_AKT1.pdf</t>
  </si>
  <si>
    <t>Melting_Curves/meltCurve_P31751_AKT2.pdf</t>
  </si>
  <si>
    <t>Melting_Curves/meltCurve_P31930_UQCRC1.pdf</t>
  </si>
  <si>
    <t>Melting_Curves/meltCurve_P31937_HIBADH.pdf</t>
  </si>
  <si>
    <t>Melting_Curves/meltCurve_P31939_ATIC.pdf</t>
  </si>
  <si>
    <t>Melting_Curves/meltCurve_P31942_2_HNRNPH3.pdf</t>
  </si>
  <si>
    <t>Melting_Curves/meltCurve_P31946_YWHAB.pdf</t>
  </si>
  <si>
    <t>Melting_Curves/meltCurve_P31946_2_YWHAB.pdf</t>
  </si>
  <si>
    <t>Melting_Curves/meltCurve_P31947_2_SFN.pdf</t>
  </si>
  <si>
    <t>Melting_Curves/meltCurve_P31948_STIP1.pdf</t>
  </si>
  <si>
    <t>Melting_Curves/meltCurve_P31949_S100A11.pdf</t>
  </si>
  <si>
    <t>Melting_Curves/meltCurve_P32119_PRDX2.pdf</t>
  </si>
  <si>
    <t>Melting_Curves/meltCurve_P32189_1_GK.pdf</t>
  </si>
  <si>
    <t>Melting_Curves/meltCurve_P32320_CDA.pdf</t>
  </si>
  <si>
    <t>Melting_Curves/meltCurve_P32321_2_DCTD.pdf</t>
  </si>
  <si>
    <t>Melting_Curves/meltCurve_P32322_PYCR1.pdf</t>
  </si>
  <si>
    <t>Melting_Curves/meltCurve_P32418_2_SLC8A1.pdf</t>
  </si>
  <si>
    <t>Melting_Curves/meltCurve_P32455_GBP1.pdf</t>
  </si>
  <si>
    <t>Melting_Curves/meltCurve_P32456_GBP2.pdf</t>
  </si>
  <si>
    <t>Melting_Curves/meltCurve_P32856_3_STX2.pdf</t>
  </si>
  <si>
    <t>Melting_Curves/meltCurve_P32929_CTH.pdf</t>
  </si>
  <si>
    <t>Melting_Curves/meltCurve_P32969_RPL9.pdf</t>
  </si>
  <si>
    <t>Melting_Curves/meltCurve_P33121_ACSL1.pdf</t>
  </si>
  <si>
    <t>Melting_Curves/meltCurve_P33176_KIF5B.pdf</t>
  </si>
  <si>
    <t>Melting_Curves/meltCurve_P33240_2_CSTF2.pdf</t>
  </si>
  <si>
    <t>Melting_Curves/meltCurve_P33241_2_LSP1.pdf</t>
  </si>
  <si>
    <t>Melting_Curves/meltCurve_P33316_DUT.pdf</t>
  </si>
  <si>
    <t>Melting_Curves/meltCurve_P33527_ABCC1.pdf</t>
  </si>
  <si>
    <t>Melting_Curves/meltCurve_P33764_S100A3.pdf</t>
  </si>
  <si>
    <t>Melting_Curves/meltCurve_P33897_ABCD1.pdf</t>
  </si>
  <si>
    <t>Melting_Curves/meltCurve_P33908_MAN1A1.pdf</t>
  </si>
  <si>
    <t>Melting_Curves/meltCurve_P34059_GALNS.pdf</t>
  </si>
  <si>
    <t>Melting_Curves/meltCurve_P34896_2_SHMT1.pdf</t>
  </si>
  <si>
    <t>Melting_Curves/meltCurve_P34897_3_SHMT2.pdf</t>
  </si>
  <si>
    <t>Melting_Curves/meltCurve_P34910_EVI2B.pdf</t>
  </si>
  <si>
    <t>Melting_Curves/meltCurve_P34932_HSPA4.pdf</t>
  </si>
  <si>
    <t>Melting_Curves/meltCurve_P34949_MPI.pdf</t>
  </si>
  <si>
    <t>Melting_Curves/meltCurve_P35052_GPC1.pdf</t>
  </si>
  <si>
    <t>Melting_Curves/meltCurve_P35221_CTNNA1.pdf</t>
  </si>
  <si>
    <t>Melting_Curves/meltCurve_P35232_PHB.pdf</t>
  </si>
  <si>
    <t>Melting_Curves/meltCurve_P35237_SERPINB6.pdf</t>
  </si>
  <si>
    <t>Melting_Curves/meltCurve_P35240_5_NF2.pdf</t>
  </si>
  <si>
    <t>Melting_Curves/meltCurve_P35241_RDX.pdf</t>
  </si>
  <si>
    <t>Melting_Curves/meltCurve_P35244_RPA3.pdf</t>
  </si>
  <si>
    <t>Melting_Curves/meltCurve_P35250_RFC2.pdf</t>
  </si>
  <si>
    <t>Melting_Curves/meltCurve_P35268_RPL22.pdf</t>
  </si>
  <si>
    <t>Melting_Curves/meltCurve_P35269_GTF2F1.pdf</t>
  </si>
  <si>
    <t>Melting_Curves/meltCurve_P35270_SPR.pdf</t>
  </si>
  <si>
    <t>Melting_Curves/meltCurve_P35354_PTGS2.pdf</t>
  </si>
  <si>
    <t>Melting_Curves/meltCurve_P35398_2_RORA.pdf</t>
  </si>
  <si>
    <t>Melting_Curves/meltCurve_P35442_THBS2.pdf</t>
  </si>
  <si>
    <t>Melting_Curves/meltCurve_P35520_CBS.pdf</t>
  </si>
  <si>
    <t>Melting_Curves/meltCurve_P35555_FBN1.pdf</t>
  </si>
  <si>
    <t>Melting_Curves/meltCurve_P35556_FBN2.pdf</t>
  </si>
  <si>
    <t>Melting_Curves/meltCurve_P35568_IRS1.pdf</t>
  </si>
  <si>
    <t>Melting_Curves/meltCurve_P35579_MYH9.pdf</t>
  </si>
  <si>
    <t>Melting_Curves/meltCurve_P35580_MYH10.pdf</t>
  </si>
  <si>
    <t>Melting_Curves/meltCurve_P35606_COPB2.pdf</t>
  </si>
  <si>
    <t>Melting_Curves/meltCurve_P35611_ADD1.pdf</t>
  </si>
  <si>
    <t>Melting_Curves/meltCurve_P35613_2_BSG.pdf</t>
  </si>
  <si>
    <t>Melting_Curves/meltCurve_P35625_TIMP3.pdf</t>
  </si>
  <si>
    <t>Melting_Curves/meltCurve_P35658_2_NUP214.pdf</t>
  </si>
  <si>
    <t>Melting_Curves/meltCurve_P35754_GLRX.pdf</t>
  </si>
  <si>
    <t>Melting_Curves/meltCurve_P35790_2_CHKA.pdf</t>
  </si>
  <si>
    <t>Melting_Curves/meltCurve_P35813_PPM1A.pdf</t>
  </si>
  <si>
    <t>Melting_Curves/meltCurve_P35998_PSMC2.pdf</t>
  </si>
  <si>
    <t>Melting_Curves/meltCurve_P36021_SLC16A2.pdf</t>
  </si>
  <si>
    <t>Melting_Curves/meltCurve_P36404_ARL2.pdf</t>
  </si>
  <si>
    <t>Melting_Curves/meltCurve_P36405_ARL3.pdf</t>
  </si>
  <si>
    <t>Melting_Curves/meltCurve_P36507_MAP2K2.pdf</t>
  </si>
  <si>
    <t>Melting_Curves/meltCurve_P36543_ATP6V1E1.pdf</t>
  </si>
  <si>
    <t>Melting_Curves/meltCurve_P36551_CPOX.pdf</t>
  </si>
  <si>
    <t>Melting_Curves/meltCurve_P36578_RPL4.pdf</t>
  </si>
  <si>
    <t>Melting_Curves/meltCurve_P36639_4_NUDT1.pdf</t>
  </si>
  <si>
    <t>Melting_Curves/meltCurve_P36871_PGM1.pdf</t>
  </si>
  <si>
    <t>Melting_Curves/meltCurve_P36873_PPP1CC.pdf</t>
  </si>
  <si>
    <t>Melting_Curves/meltCurve_P36915_GNL1.pdf</t>
  </si>
  <si>
    <t>Melting_Curves/meltCurve_P36955_SERPINF1.pdf</t>
  </si>
  <si>
    <t>Melting_Curves/meltCurve_P36957_DLST.pdf</t>
  </si>
  <si>
    <t>Melting_Curves/meltCurve_P36959_GMPR.pdf</t>
  </si>
  <si>
    <t>Melting_Curves/meltCurve_P36969_2_GPX4.pdf</t>
  </si>
  <si>
    <t>Melting_Curves/meltCurve_P37108_SRP14.pdf</t>
  </si>
  <si>
    <t>Melting_Curves/meltCurve_P37173_TGFBR2.pdf</t>
  </si>
  <si>
    <t>Melting_Curves/meltCurve_P37198_NUP62.pdf</t>
  </si>
  <si>
    <t>Melting_Curves/meltCurve_P37235_HPCAL1.pdf</t>
  </si>
  <si>
    <t>Melting_Curves/meltCurve_P37268_FDFT1.pdf</t>
  </si>
  <si>
    <t>Melting_Curves/meltCurve_P37802_TAGLN2.pdf</t>
  </si>
  <si>
    <t>Melting_Curves/meltCurve_P37837_TALDO1.pdf</t>
  </si>
  <si>
    <t>Melting_Curves/meltCurve_P38117_ETFB.pdf</t>
  </si>
  <si>
    <t>Melting_Curves/meltCurve_P38159_RBMX.pdf</t>
  </si>
  <si>
    <t>Melting_Curves/meltCurve_P38435_GGCX.pdf</t>
  </si>
  <si>
    <t>Melting_Curves/meltCurve_P38606_ATP6V1A.pdf</t>
  </si>
  <si>
    <t>Melting_Curves/meltCurve_P38646_HSPA9.pdf</t>
  </si>
  <si>
    <t>Melting_Curves/meltCurve_P38919_EIF4A3.pdf</t>
  </si>
  <si>
    <t>Melting_Curves/meltCurve_P39019_RPS19.pdf</t>
  </si>
  <si>
    <t>Melting_Curves/meltCurve_P39023_RPL3.pdf</t>
  </si>
  <si>
    <t>Melting_Curves/meltCurve_P39059_COL15A1.pdf</t>
  </si>
  <si>
    <t>Melting_Curves/meltCurve_P39060_2_COL18A1.pdf</t>
  </si>
  <si>
    <t>Melting_Curves/meltCurve_P39656_DDOST.pdf</t>
  </si>
  <si>
    <t>Melting_Curves/meltCurve_P39687_ANP32A.pdf</t>
  </si>
  <si>
    <t>Melting_Curves/meltCurve_P39748_FEN1.pdf</t>
  </si>
  <si>
    <t>Melting_Curves/meltCurve_P40121_CAPG.pdf</t>
  </si>
  <si>
    <t>Melting_Curves/meltCurve_P40189_IL6ST.pdf</t>
  </si>
  <si>
    <t>Melting_Curves/meltCurve_P40222_TXLNA.pdf</t>
  </si>
  <si>
    <t>Melting_Curves/meltCurve_P40227_CCT6A.pdf</t>
  </si>
  <si>
    <t>Melting_Curves/meltCurve_P40261_NNMT.pdf</t>
  </si>
  <si>
    <t>Melting_Curves/meltCurve_P40306_PSMB10.pdf</t>
  </si>
  <si>
    <t>Melting_Curves/meltCurve_P40763_STAT3.pdf</t>
  </si>
  <si>
    <t>Melting_Curves/meltCurve_P40818_USP8.pdf</t>
  </si>
  <si>
    <t>Melting_Curves/meltCurve_P40925_MDH1.pdf</t>
  </si>
  <si>
    <t>Melting_Curves/meltCurve_P40926_MDH2.pdf</t>
  </si>
  <si>
    <t>Melting_Curves/meltCurve_P40939_HADHA.pdf</t>
  </si>
  <si>
    <t>Melting_Curves/meltCurve_P41091_EIF2S3.pdf</t>
  </si>
  <si>
    <t>Melting_Curves/meltCurve_P41134_2_ID1.pdf</t>
  </si>
  <si>
    <t>Melting_Curves/meltCurve_P41208_CETN2.pdf</t>
  </si>
  <si>
    <t>Melting_Curves/meltCurve_P41214_EIF2D.pdf</t>
  </si>
  <si>
    <t>Melting_Curves/meltCurve_P41221_2_WNT5A.pdf</t>
  </si>
  <si>
    <t>Melting_Curves/meltCurve_P41223_BUD31.pdf</t>
  </si>
  <si>
    <t>Melting_Curves/meltCurve_P41226_UBA7.pdf</t>
  </si>
  <si>
    <t>Melting_Curves/meltCurve_P41227_2_NAA10.pdf</t>
  </si>
  <si>
    <t>Melting_Curves/meltCurve_P41240_CSK.pdf</t>
  </si>
  <si>
    <t>Melting_Curves/meltCurve_P41250_GARS.pdf</t>
  </si>
  <si>
    <t>Melting_Curves/meltCurve_P41252_IARS.pdf</t>
  </si>
  <si>
    <t>Melting_Curves/meltCurve_P41567_EIF1.pdf</t>
  </si>
  <si>
    <t>Melting_Curves/meltCurve_P41743_PRKCI.pdf</t>
  </si>
  <si>
    <t>Melting_Curves/meltCurve_P42025_ACTR1B.pdf</t>
  </si>
  <si>
    <t>Melting_Curves/meltCurve_P42126_2_ECI1.pdf</t>
  </si>
  <si>
    <t>Melting_Curves/meltCurve_P42167_2_TMPO.pdf</t>
  </si>
  <si>
    <t>Melting_Curves/meltCurve_P42224_STAT1.pdf</t>
  </si>
  <si>
    <t>Melting_Curves/meltCurve_P42226_STAT6.pdf</t>
  </si>
  <si>
    <t>Melting_Curves/meltCurve_P42285_SKIV2L2.pdf</t>
  </si>
  <si>
    <t>Melting_Curves/meltCurve_P42330_AKR1C3.pdf</t>
  </si>
  <si>
    <t>Melting_Curves/meltCurve_P42331_6_ARHGAP25.pdf</t>
  </si>
  <si>
    <t>Melting_Curves/meltCurve_P42336_PIK3CA.pdf</t>
  </si>
  <si>
    <t>Melting_Curves/meltCurve_P42345_MTOR.pdf</t>
  </si>
  <si>
    <t>Melting_Curves/meltCurve_P42566_EPS15.pdf</t>
  </si>
  <si>
    <t>Melting_Curves/meltCurve_P42574_CASP3.pdf</t>
  </si>
  <si>
    <t>Melting_Curves/meltCurve_P42575_CASP2.pdf</t>
  </si>
  <si>
    <t>Melting_Curves/meltCurve_P42684_7_ABL2.pdf</t>
  </si>
  <si>
    <t>Melting_Curves/meltCurve_P42704_LRPPRC.pdf</t>
  </si>
  <si>
    <t>Melting_Curves/meltCurve_P42765_ACAA2.pdf</t>
  </si>
  <si>
    <t>Melting_Curves/meltCurve_P42766_RPL35.pdf</t>
  </si>
  <si>
    <t>Melting_Curves/meltCurve_P42771_CDKN2A.pdf</t>
  </si>
  <si>
    <t>Melting_Curves/meltCurve_P42773_CDKN2C.pdf</t>
  </si>
  <si>
    <t>Melting_Curves/meltCurve_P42785_PRCP.pdf</t>
  </si>
  <si>
    <t>Melting_Curves/meltCurve_P42892_3_ECE1.pdf</t>
  </si>
  <si>
    <t>Melting_Curves/meltCurve_P43003_2_SLC1A3.pdf</t>
  </si>
  <si>
    <t>Melting_Curves/meltCurve_P43005_SLC1A1.pdf</t>
  </si>
  <si>
    <t>Melting_Curves/meltCurve_P43007_SLC1A4.pdf</t>
  </si>
  <si>
    <t>Melting_Curves/meltCurve_P43034_PAFAH1B1.pdf</t>
  </si>
  <si>
    <t>Melting_Curves/meltCurve_P43121_MCAM.pdf</t>
  </si>
  <si>
    <t>Melting_Curves/meltCurve_P43155_2_CRAT.pdf</t>
  </si>
  <si>
    <t>Melting_Curves/meltCurve_P43234_CTSO.pdf</t>
  </si>
  <si>
    <t>Melting_Curves/meltCurve_P43235_CTSK.pdf</t>
  </si>
  <si>
    <t>Melting_Curves/meltCurve_P43304_GPD2.pdf</t>
  </si>
  <si>
    <t>Melting_Curves/meltCurve_P43304_2_GPD2.pdf</t>
  </si>
  <si>
    <t>Melting_Curves/meltCurve_P43307_SSR1.pdf</t>
  </si>
  <si>
    <t>Melting_Curves/meltCurve_P43378_PTPN9.pdf</t>
  </si>
  <si>
    <t>Melting_Curves/meltCurve_P43487_RANBP1.pdf</t>
  </si>
  <si>
    <t>Melting_Curves/meltCurve_P43490_NAMPT.pdf</t>
  </si>
  <si>
    <t>Melting_Curves/meltCurve_P43686_PSMC4.pdf</t>
  </si>
  <si>
    <t>Melting_Curves/meltCurve_P43897_TSFM.pdf</t>
  </si>
  <si>
    <t>Melting_Curves/meltCurve_P45877_PPIC.pdf</t>
  </si>
  <si>
    <t>Melting_Curves/meltCurve_P45880_VDAC2.pdf</t>
  </si>
  <si>
    <t>Melting_Curves/meltCurve_P45954_ACADSB.pdf</t>
  </si>
  <si>
    <t>Melting_Curves/meltCurve_P45973_CBX5.pdf</t>
  </si>
  <si>
    <t>Melting_Curves/meltCurve_P45974_2_USP5.pdf</t>
  </si>
  <si>
    <t>Melting_Curves/meltCurve_P45983_3_MAPK8.pdf</t>
  </si>
  <si>
    <t>Melting_Curves/meltCurve_P45984_2_MAPK9.pdf</t>
  </si>
  <si>
    <t>Melting_Curves/meltCurve_P45985_MAP2K4.pdf</t>
  </si>
  <si>
    <t>Melting_Curves/meltCurve_P46060_RANGAP1.pdf</t>
  </si>
  <si>
    <t>Melting_Curves/meltCurve_P46063_RECQL.pdf</t>
  </si>
  <si>
    <t>Melting_Curves/meltCurve_P46087_2_NOP2.pdf</t>
  </si>
  <si>
    <t>Melting_Curves/meltCurve_P46108_CRK.pdf</t>
  </si>
  <si>
    <t>Melting_Curves/meltCurve_P46109_CRKL.pdf</t>
  </si>
  <si>
    <t>Melting_Curves/meltCurve_P46199_MTIF2.pdf</t>
  </si>
  <si>
    <t>Melting_Curves/meltCurve_P46439_GSTM5.pdf</t>
  </si>
  <si>
    <t>Melting_Curves/meltCurve_P46527_CDKN1B.pdf</t>
  </si>
  <si>
    <t>Melting_Curves/meltCurve_P46734_MAP2K3.pdf</t>
  </si>
  <si>
    <t>Melting_Curves/meltCurve_P46734_2_MAP2K3.pdf</t>
  </si>
  <si>
    <t>Melting_Curves/meltCurve_P46736_2_BRCC3.pdf</t>
  </si>
  <si>
    <t>Melting_Curves/meltCurve_P46777_RPL5.pdf</t>
  </si>
  <si>
    <t>Melting_Curves/meltCurve_P46778_RPL21.pdf</t>
  </si>
  <si>
    <t>Melting_Curves/meltCurve_P46781_RPS9.pdf</t>
  </si>
  <si>
    <t>Melting_Curves/meltCurve_P46783_RPS10.pdf</t>
  </si>
  <si>
    <t>Melting_Curves/meltCurve_P46821_MAP1B.pdf</t>
  </si>
  <si>
    <t>Melting_Curves/meltCurve_P46926_GNPDA1.pdf</t>
  </si>
  <si>
    <t>Melting_Curves/meltCurve_P46934_4_NEDD4.pdf</t>
  </si>
  <si>
    <t>Melting_Curves/meltCurve_P46939_UTRN.pdf</t>
  </si>
  <si>
    <t>Melting_Curves/meltCurve_P46940_IQGAP1.pdf</t>
  </si>
  <si>
    <t>Melting_Curves/meltCurve_P46976_2_GYG1.pdf</t>
  </si>
  <si>
    <t>Melting_Curves/meltCurve_P46977_STT3A.pdf</t>
  </si>
  <si>
    <t>Melting_Curves/meltCurve_P47224_RABIF.pdf</t>
  </si>
  <si>
    <t>Melting_Curves/meltCurve_P47712_PLA2G4A.pdf</t>
  </si>
  <si>
    <t>Melting_Curves/meltCurve_P47755_CAPZA2.pdf</t>
  </si>
  <si>
    <t>Melting_Curves/meltCurve_P47756_CAPZB.pdf</t>
  </si>
  <si>
    <t>Melting_Curves/meltCurve_P47756_2_CAPZB.pdf</t>
  </si>
  <si>
    <t>Melting_Curves/meltCurve_P47813_EIF1AX.pdf</t>
  </si>
  <si>
    <t>Melting_Curves/meltCurve_P47895_ALDH1A3.pdf</t>
  </si>
  <si>
    <t>Melting_Curves/meltCurve_P47914_RPL29.pdf</t>
  </si>
  <si>
    <t>Melting_Curves/meltCurve_P47974_ZFP36L2.pdf</t>
  </si>
  <si>
    <t>Melting_Curves/meltCurve_P47985_UQCRFS1.pdf</t>
  </si>
  <si>
    <t>Melting_Curves/meltCurve_P48029_SLC6A8.pdf</t>
  </si>
  <si>
    <t>Melting_Curves/meltCurve_P48047_ATP5O.pdf</t>
  </si>
  <si>
    <t>Melting_Curves/meltCurve_P48059_3_LIMS1.pdf</t>
  </si>
  <si>
    <t>Melting_Curves/meltCurve_P48060_GLIPR1.pdf</t>
  </si>
  <si>
    <t>Melting_Curves/meltCurve_P48147_PREP.pdf</t>
  </si>
  <si>
    <t>Melting_Curves/meltCurve_P48163_ME1.pdf</t>
  </si>
  <si>
    <t>Melting_Curves/meltCurve_P48444_ARCN1.pdf</t>
  </si>
  <si>
    <t>Melting_Curves/meltCurve_P48449_LSS.pdf</t>
  </si>
  <si>
    <t>Melting_Curves/meltCurve_P48506_GCLC.pdf</t>
  </si>
  <si>
    <t>Melting_Curves/meltCurve_P48507_GCLM.pdf</t>
  </si>
  <si>
    <t>Melting_Curves/meltCurve_P48634_PRRC2A.pdf</t>
  </si>
  <si>
    <t>Melting_Curves/meltCurve_P48637_GSS.pdf</t>
  </si>
  <si>
    <t>Melting_Curves/meltCurve_P48643_CCT5.pdf</t>
  </si>
  <si>
    <t>Melting_Curves/meltCurve_P48681_NES.pdf</t>
  </si>
  <si>
    <t>Melting_Curves/meltCurve_P48723_HSPA13.pdf</t>
  </si>
  <si>
    <t>Melting_Curves/meltCurve_P48735_IDH2.pdf</t>
  </si>
  <si>
    <t>Melting_Curves/meltCurve_P48739_PITPNB.pdf</t>
  </si>
  <si>
    <t>Melting_Curves/meltCurve_P48740_4_MASP1.pdf</t>
  </si>
  <si>
    <t>Melting_Curves/meltCurve_P48960_2_CD97.pdf</t>
  </si>
  <si>
    <t>Melting_Curves/meltCurve_P49006_MARCKSL1.pdf</t>
  </si>
  <si>
    <t>Melting_Curves/meltCurve_P49069_CAMLG.pdf</t>
  </si>
  <si>
    <t>Melting_Curves/meltCurve_P49137_MAPKAPK2.pdf</t>
  </si>
  <si>
    <t>Melting_Curves/meltCurve_P49189_ALDH9A1.pdf</t>
  </si>
  <si>
    <t>Melting_Curves/meltCurve_P49207_RPL34.pdf</t>
  </si>
  <si>
    <t>Melting_Curves/meltCurve_P49247_RPIA.pdf</t>
  </si>
  <si>
    <t>Melting_Curves/meltCurve_P49257_LMAN1.pdf</t>
  </si>
  <si>
    <t>Melting_Curves/meltCurve_P49321_NASP.pdf</t>
  </si>
  <si>
    <t>Melting_Curves/meltCurve_P49327_FASN.pdf</t>
  </si>
  <si>
    <t>Melting_Curves/meltCurve_P49354_FNTA.pdf</t>
  </si>
  <si>
    <t>Melting_Curves/meltCurve_P49356_FNTB.pdf</t>
  </si>
  <si>
    <t>Melting_Curves/meltCurve_P49366_DHPS.pdf</t>
  </si>
  <si>
    <t>Melting_Curves/meltCurve_P49368_CCT3.pdf</t>
  </si>
  <si>
    <t>Melting_Curves/meltCurve_P49407_2_ARRB1.pdf</t>
  </si>
  <si>
    <t>Melting_Curves/meltCurve_P49411_TUFM.pdf</t>
  </si>
  <si>
    <t>Melting_Curves/meltCurve_P49419_2_ALDH7A1.pdf</t>
  </si>
  <si>
    <t>Melting_Curves/meltCurve_P49427_CDC34.pdf</t>
  </si>
  <si>
    <t>Melting_Curves/meltCurve_P49441_INPP1.pdf</t>
  </si>
  <si>
    <t>Melting_Curves/meltCurve_P49458_SRP9.pdf</t>
  </si>
  <si>
    <t>Melting_Curves/meltCurve_P49459_UBE2A.pdf</t>
  </si>
  <si>
    <t>Melting_Curves/meltCurve_P49585_PCYT1A.pdf</t>
  </si>
  <si>
    <t>Melting_Curves/meltCurve_P49588_AARS.pdf</t>
  </si>
  <si>
    <t>Melting_Curves/meltCurve_P49589_3_CARS.pdf</t>
  </si>
  <si>
    <t>Melting_Curves/meltCurve_P49591_SARS.pdf</t>
  </si>
  <si>
    <t>Melting_Curves/meltCurve_P49662_CASP4.pdf</t>
  </si>
  <si>
    <t>Melting_Curves/meltCurve_P49721_PSMB2.pdf</t>
  </si>
  <si>
    <t>Melting_Curves/meltCurve_P49748_2_ACADVL.pdf</t>
  </si>
  <si>
    <t>Melting_Curves/meltCurve_P49750_4_YLPM1.pdf</t>
  </si>
  <si>
    <t>Melting_Curves/meltCurve_P49753_ACOT2.pdf</t>
  </si>
  <si>
    <t>Melting_Curves/meltCurve_P49755_TMED10.pdf</t>
  </si>
  <si>
    <t>Melting_Curves/meltCurve_P49756_RBM25.pdf</t>
  </si>
  <si>
    <t>Melting_Curves/meltCurve_P49757_4_NUMB.pdf</t>
  </si>
  <si>
    <t>Melting_Curves/meltCurve_P49770_EIF2B2.pdf</t>
  </si>
  <si>
    <t>Melting_Curves/meltCurve_P49773_HINT1.pdf</t>
  </si>
  <si>
    <t>Melting_Curves/meltCurve_P49790_NUP153.pdf</t>
  </si>
  <si>
    <t>Melting_Curves/meltCurve_P49792_RANBP2.pdf</t>
  </si>
  <si>
    <t>Melting_Curves/meltCurve_P49796_1_RGS3.pdf</t>
  </si>
  <si>
    <t>Melting_Curves/meltCurve_P49840_GSK3A.pdf</t>
  </si>
  <si>
    <t>Melting_Curves/meltCurve_P49841_GSK3B.pdf</t>
  </si>
  <si>
    <t>Melting_Curves/meltCurve_P49902_NT5C2.pdf</t>
  </si>
  <si>
    <t>Melting_Curves/meltCurve_P49903_SEPHS1.pdf</t>
  </si>
  <si>
    <t>Melting_Curves/meltCurve_P49914_MTHFS.pdf</t>
  </si>
  <si>
    <t>Melting_Curves/meltCurve_P49915_GMPS.pdf</t>
  </si>
  <si>
    <t>Melting_Curves/meltCurve_P49959_MRE11A.pdf</t>
  </si>
  <si>
    <t>Melting_Curves/meltCurve_P50135_HNMT.pdf</t>
  </si>
  <si>
    <t>Melting_Curves/meltCurve_P50148_GNAQ.pdf</t>
  </si>
  <si>
    <t>Melting_Curves/meltCurve_P50151_GNG10.pdf</t>
  </si>
  <si>
    <t>Melting_Curves/meltCurve_P50213_IDH3A.pdf</t>
  </si>
  <si>
    <t>Melting_Curves/meltCurve_P50224_SULT1A3.pdf</t>
  </si>
  <si>
    <t>Melting_Curves/meltCurve_P50225_SULT1A1.pdf</t>
  </si>
  <si>
    <t>Melting_Curves/meltCurve_P50238_CRIP1.pdf</t>
  </si>
  <si>
    <t>Melting_Curves/meltCurve_P50281_MMP14.pdf</t>
  </si>
  <si>
    <t>Melting_Curves/meltCurve_P50336_PPOX.pdf</t>
  </si>
  <si>
    <t>Melting_Curves/meltCurve_P50402_EMD.pdf</t>
  </si>
  <si>
    <t>Melting_Curves/meltCurve_P50416_CPT1A.pdf</t>
  </si>
  <si>
    <t>Melting_Curves/meltCurve_P50452_SERPINB8.pdf</t>
  </si>
  <si>
    <t>Melting_Curves/meltCurve_P50453_SERPINB9.pdf</t>
  </si>
  <si>
    <t>Melting_Curves/meltCurve_P50454_SERPINH1.pdf</t>
  </si>
  <si>
    <t>Melting_Curves/meltCurve_P50479_PDLIM4.pdf</t>
  </si>
  <si>
    <t>Melting_Curves/meltCurve_P50502_ST13.pdf</t>
  </si>
  <si>
    <t>Melting_Curves/meltCurve_P50552_VASP.pdf</t>
  </si>
  <si>
    <t>Melting_Curves/meltCurve_P50579_METAP2.pdf</t>
  </si>
  <si>
    <t>Melting_Curves/meltCurve_P50583_NUDT2.pdf</t>
  </si>
  <si>
    <t>Melting_Curves/meltCurve_P50613_CDK7.pdf</t>
  </si>
  <si>
    <t>Melting_Curves/meltCurve_P50747_HLCS.pdf</t>
  </si>
  <si>
    <t>Melting_Curves/meltCurve_P50748_KNTC1.pdf</t>
  </si>
  <si>
    <t>Melting_Curves/meltCurve_P50749_RASSF2.pdf</t>
  </si>
  <si>
    <t>Melting_Curves/meltCurve_P50895_BCAM.pdf</t>
  </si>
  <si>
    <t>Melting_Curves/meltCurve_P50897_PPT1.pdf</t>
  </si>
  <si>
    <t>Melting_Curves/meltCurve_P50914_RPL14.pdf</t>
  </si>
  <si>
    <t>Melting_Curves/meltCurve_P50990_CCT8.pdf</t>
  </si>
  <si>
    <t>Melting_Curves/meltCurve_P50991_CCT4.pdf</t>
  </si>
  <si>
    <t>Melting_Curves/meltCurve_P51116_FXR2.pdf</t>
  </si>
  <si>
    <t>Melting_Curves/meltCurve_P51148_RAB5C.pdf</t>
  </si>
  <si>
    <t>Melting_Curves/meltCurve_P51149_RAB7A.pdf</t>
  </si>
  <si>
    <t>Melting_Curves/meltCurve_P51151_RAB9A.pdf</t>
  </si>
  <si>
    <t>Melting_Curves/meltCurve_P51153_RAB13.pdf</t>
  </si>
  <si>
    <t>Melting_Curves/meltCurve_P51157_RAB28.pdf</t>
  </si>
  <si>
    <t>Melting_Curves/meltCurve_P51159_2_RAB27A.pdf</t>
  </si>
  <si>
    <t>Melting_Curves/meltCurve_P51178_PLCD1.pdf</t>
  </si>
  <si>
    <t>Melting_Curves/meltCurve_P51397_DAP.pdf</t>
  </si>
  <si>
    <t>Melting_Curves/meltCurve_P51452_DUSP3.pdf</t>
  </si>
  <si>
    <t>Melting_Curves/meltCurve_P51513_4_NOVA1.pdf</t>
  </si>
  <si>
    <t>Melting_Curves/meltCurve_P51531_2_SMARCA2.pdf</t>
  </si>
  <si>
    <t>Melting_Curves/meltCurve_P51553_IDH3G.pdf</t>
  </si>
  <si>
    <t>Melting_Curves/meltCurve_P51570_GALK1.pdf</t>
  </si>
  <si>
    <t>Melting_Curves/meltCurve_P51571_SSR4.pdf</t>
  </si>
  <si>
    <t>Melting_Curves/meltCurve_P51572_BCAP31.pdf</t>
  </si>
  <si>
    <t>Melting_Curves/meltCurve_P51580_TPMT.pdf</t>
  </si>
  <si>
    <t>Melting_Curves/meltCurve_P51608_MECP2.pdf</t>
  </si>
  <si>
    <t>Melting_Curves/meltCurve_P51610_2_HCFC1.pdf</t>
  </si>
  <si>
    <t>Melting_Curves/meltCurve_P51659_HSD17B4.pdf</t>
  </si>
  <si>
    <t>Melting_Curves/meltCurve_P51665_PSMD7.pdf</t>
  </si>
  <si>
    <t>Melting_Curves/meltCurve_P51668_UBE2D1.pdf</t>
  </si>
  <si>
    <t>Melting_Curves/meltCurve_P51687_SUOX.pdf</t>
  </si>
  <si>
    <t>Melting_Curves/meltCurve_P51688_SGSH.pdf</t>
  </si>
  <si>
    <t>Melting_Curves/meltCurve_P51692_STAT5B.pdf</t>
  </si>
  <si>
    <t>Melting_Curves/meltCurve_P51790_4_CLCN3.pdf</t>
  </si>
  <si>
    <t>Melting_Curves/meltCurve_P51795_CLCN5.pdf</t>
  </si>
  <si>
    <t>Melting_Curves/meltCurve_P51805_PLXNA3.pdf</t>
  </si>
  <si>
    <t>Melting_Curves/meltCurve_P51809_VAMP7.pdf</t>
  </si>
  <si>
    <t>Melting_Curves/meltCurve_P51812_RPS6KA3.pdf</t>
  </si>
  <si>
    <t>Melting_Curves/meltCurve_P51857_2_AKR1D1.pdf</t>
  </si>
  <si>
    <t>Melting_Curves/meltCurve_P51858_HDGF.pdf</t>
  </si>
  <si>
    <t>Melting_Curves/meltCurve_P51884_LUM.pdf</t>
  </si>
  <si>
    <t>Melting_Curves/meltCurve_P51911_CNN1.pdf</t>
  </si>
  <si>
    <t>Melting_Curves/meltCurve_P51948_2_MNAT1.pdf</t>
  </si>
  <si>
    <t>Melting_Curves/meltCurve_P51970_NDUFA8.pdf</t>
  </si>
  <si>
    <t>Melting_Curves/meltCurve_P51991_HNRNPA3.pdf</t>
  </si>
  <si>
    <t>Melting_Curves/meltCurve_P52272_2_HNRNPM.pdf</t>
  </si>
  <si>
    <t>Melting_Curves/meltCurve_P52292_KPNA2.pdf</t>
  </si>
  <si>
    <t>Melting_Curves/meltCurve_P52294_KPNA1.pdf</t>
  </si>
  <si>
    <t>Melting_Curves/meltCurve_P52306_RAP1GDS1.pdf</t>
  </si>
  <si>
    <t>Melting_Curves/meltCurve_P52306_4_RAP1GDS1.pdf</t>
  </si>
  <si>
    <t>Melting_Curves/meltCurve_P52565_ARHGDIA.pdf</t>
  </si>
  <si>
    <t>Melting_Curves/meltCurve_P52597_HNRNPF.pdf</t>
  </si>
  <si>
    <t>Melting_Curves/meltCurve_P52630_4_STAT2.pdf</t>
  </si>
  <si>
    <t>Melting_Curves/meltCurve_P52655_GTF2A1.pdf</t>
  </si>
  <si>
    <t>Melting_Curves/meltCurve_P52657_GTF2A2.pdf</t>
  </si>
  <si>
    <t>Melting_Curves/meltCurve_P52735_3_VAV2.pdf</t>
  </si>
  <si>
    <t>Melting_Curves/meltCurve_P52758_HRSP12.pdf</t>
  </si>
  <si>
    <t>Melting_Curves/meltCurve_P52788_SMS.pdf</t>
  </si>
  <si>
    <t>Melting_Curves/meltCurve_P52789_HK2.pdf</t>
  </si>
  <si>
    <t>Melting_Curves/meltCurve_P52799_EFNB2.pdf</t>
  </si>
  <si>
    <t>Melting_Curves/meltCurve_P52815_MRPL12.pdf</t>
  </si>
  <si>
    <t>Melting_Curves/meltCurve_P52848_NDST1.pdf</t>
  </si>
  <si>
    <t>Melting_Curves/meltCurve_P52888_THOP1.pdf</t>
  </si>
  <si>
    <t>Melting_Curves/meltCurve_P52907_CAPZA1.pdf</t>
  </si>
  <si>
    <t>Melting_Curves/meltCurve_P52943_CRIP2.pdf</t>
  </si>
  <si>
    <t>Melting_Curves/meltCurve_P53004_BLVRA.pdf</t>
  </si>
  <si>
    <t>Melting_Curves/meltCurve_P53007_SLC25A1.pdf</t>
  </si>
  <si>
    <t>Melting_Curves/meltCurve_P53365_ARFIP2.pdf</t>
  </si>
  <si>
    <t>Melting_Curves/meltCurve_P53367_ARFIP1.pdf</t>
  </si>
  <si>
    <t>Melting_Curves/meltCurve_P53367_2_ARFIP1.pdf</t>
  </si>
  <si>
    <t>Melting_Curves/meltCurve_P53370_NUDT6.pdf</t>
  </si>
  <si>
    <t>Melting_Curves/meltCurve_P53384_2_NUBP1.pdf</t>
  </si>
  <si>
    <t>Melting_Curves/meltCurve_P53396_ACLY.pdf</t>
  </si>
  <si>
    <t>Melting_Curves/meltCurve_P53582_METAP1.pdf</t>
  </si>
  <si>
    <t>Melting_Curves/meltCurve_P53597_SUCLG1.pdf</t>
  </si>
  <si>
    <t>Melting_Curves/meltCurve_P53602_MVD.pdf</t>
  </si>
  <si>
    <t>Melting_Curves/meltCurve_P53609_PGGT1B.pdf</t>
  </si>
  <si>
    <t>Melting_Curves/meltCurve_P53611_RABGGTB.pdf</t>
  </si>
  <si>
    <t>Melting_Curves/meltCurve_P53618_COPB1.pdf</t>
  </si>
  <si>
    <t>Melting_Curves/meltCurve_P53621_COPA.pdf</t>
  </si>
  <si>
    <t>Melting_Curves/meltCurve_P53634_CTSC.pdf</t>
  </si>
  <si>
    <t>Melting_Curves/meltCurve_P53675_2_CLTCL1.pdf</t>
  </si>
  <si>
    <t>Melting_Curves/meltCurve_P53701_HCCS.pdf</t>
  </si>
  <si>
    <t>Melting_Curves/meltCurve_P53778_MAPK12.pdf</t>
  </si>
  <si>
    <t>Melting_Curves/meltCurve_P53794_SLC5A3.pdf</t>
  </si>
  <si>
    <t>Melting_Curves/meltCurve_P53801_PTTG1IP.pdf</t>
  </si>
  <si>
    <t>Melting_Curves/meltCurve_P53803_POLR2K.pdf</t>
  </si>
  <si>
    <t>Melting_Curves/meltCurve_P53814_5_SMTN.pdf</t>
  </si>
  <si>
    <t>Melting_Curves/meltCurve_P53985_SLC16A1.pdf</t>
  </si>
  <si>
    <t>Melting_Curves/meltCurve_P53990_2_IST1.pdf</t>
  </si>
  <si>
    <t>Melting_Curves/meltCurve_P53992_SEC24C.pdf</t>
  </si>
  <si>
    <t>Melting_Curves/meltCurve_P53999_SUB1.pdf</t>
  </si>
  <si>
    <t>Melting_Curves/meltCurve_P54136_RARS.pdf</t>
  </si>
  <si>
    <t>Melting_Curves/meltCurve_P54136_2_RARS.pdf</t>
  </si>
  <si>
    <t>Melting_Curves/meltCurve_P54253_ATXN1.pdf</t>
  </si>
  <si>
    <t>Melting_Curves/meltCurve_P54259_ATN1.pdf</t>
  </si>
  <si>
    <t>Melting_Curves/meltCurve_P54577_YARS.pdf</t>
  </si>
  <si>
    <t>Melting_Curves/meltCurve_P54578_USP14.pdf</t>
  </si>
  <si>
    <t>Melting_Curves/meltCurve_P54619_2_PRKAG1.pdf</t>
  </si>
  <si>
    <t>Melting_Curves/meltCurve_P54646_PRKAA2.pdf</t>
  </si>
  <si>
    <t>Melting_Curves/meltCurve_P54652_HSPA2.pdf</t>
  </si>
  <si>
    <t>Melting_Curves/meltCurve_P54687_BCAT1.pdf</t>
  </si>
  <si>
    <t>Melting_Curves/meltCurve_P54707_ATP12A.pdf</t>
  </si>
  <si>
    <t>Melting_Curves/meltCurve_P54709_ATP1B3.pdf</t>
  </si>
  <si>
    <t>Melting_Curves/meltCurve_P54725_RAD23A.pdf</t>
  </si>
  <si>
    <t>Melting_Curves/meltCurve_P54727_RAD23B.pdf</t>
  </si>
  <si>
    <t>Melting_Curves/meltCurve_P54802_NAGLU.pdf</t>
  </si>
  <si>
    <t>Melting_Curves/meltCurve_P54803_GALC.pdf</t>
  </si>
  <si>
    <t>Melting_Curves/meltCurve_P54819_AK2.pdf</t>
  </si>
  <si>
    <t>Melting_Curves/meltCurve_P54886_2_ALDH18A1.pdf</t>
  </si>
  <si>
    <t>Melting_Curves/meltCurve_P54920_NAPA.pdf</t>
  </si>
  <si>
    <t>Melting_Curves/meltCurve_P54922_ADPRH.pdf</t>
  </si>
  <si>
    <t>Melting_Curves/meltCurve_P55010_EIF5.pdf</t>
  </si>
  <si>
    <t>Melting_Curves/meltCurve_P55011_3_SLC12A2.pdf</t>
  </si>
  <si>
    <t>Melting_Curves/meltCurve_P55036_PSMD4.pdf</t>
  </si>
  <si>
    <t>Melting_Curves/meltCurve_P55039_DRG2.pdf</t>
  </si>
  <si>
    <t>Melting_Curves/meltCurve_P55040_GEM.pdf</t>
  </si>
  <si>
    <t>Melting_Curves/meltCurve_P55042_RRAD.pdf</t>
  </si>
  <si>
    <t>Melting_Curves/meltCurve_P55060_3_CSE1L.pdf</t>
  </si>
  <si>
    <t>Melting_Curves/meltCurve_P55072_VCP.pdf</t>
  </si>
  <si>
    <t>Melting_Curves/meltCurve_P55081_MFAP1.pdf</t>
  </si>
  <si>
    <t>Melting_Curves/meltCurve_P55082_2_MFAP3.pdf</t>
  </si>
  <si>
    <t>Melting_Curves/meltCurve_P55145_MANF.pdf</t>
  </si>
  <si>
    <t>Melting_Curves/meltCurve_P55210_CASP7.pdf</t>
  </si>
  <si>
    <t>Melting_Curves/meltCurve_P55212_CASP6.pdf</t>
  </si>
  <si>
    <t>Melting_Curves/meltCurve_P55263_ADK.pdf</t>
  </si>
  <si>
    <t>Melting_Curves/meltCurve_P55268_LAMB2.pdf</t>
  </si>
  <si>
    <t>Melting_Curves/meltCurve_P55273_CDKN2D.pdf</t>
  </si>
  <si>
    <t>Melting_Curves/meltCurve_P55285_CDH6.pdf</t>
  </si>
  <si>
    <t>Melting_Curves/meltCurve_P55345_PRMT2.pdf</t>
  </si>
  <si>
    <t>Melting_Curves/meltCurve_P55735_SEC13.pdf</t>
  </si>
  <si>
    <t>Melting_Curves/meltCurve_P55789_GFER.pdf</t>
  </si>
  <si>
    <t>Melting_Curves/meltCurve_P55795_HNRNPH2.pdf</t>
  </si>
  <si>
    <t>Melting_Curves/meltCurve_P55808_XG.pdf</t>
  </si>
  <si>
    <t>Melting_Curves/meltCurve_P55809_OXCT1.pdf</t>
  </si>
  <si>
    <t>Melting_Curves/meltCurve_P55884_EIF3B.pdf</t>
  </si>
  <si>
    <t>Melting_Curves/meltCurve_P55899_FCGRT.pdf</t>
  </si>
  <si>
    <t>Melting_Curves/meltCurve_P55957_BID.pdf</t>
  </si>
  <si>
    <t>Melting_Curves/meltCurve_P56181_NDUFV3.pdf</t>
  </si>
  <si>
    <t>Melting_Curves/meltCurve_P56181_2_NDUFV3.pdf</t>
  </si>
  <si>
    <t>Melting_Curves/meltCurve_P56192_MARS.pdf</t>
  </si>
  <si>
    <t>Melting_Curves/meltCurve_P56199_ITGA1.pdf</t>
  </si>
  <si>
    <t>Melting_Curves/meltCurve_P56211_ARPP19.pdf</t>
  </si>
  <si>
    <t>Melting_Curves/meltCurve_P56277_CMC4.pdf</t>
  </si>
  <si>
    <t>Melting_Curves/meltCurve_P56377_AP1S2.pdf</t>
  </si>
  <si>
    <t>Melting_Curves/meltCurve_P56378_MP68.pdf</t>
  </si>
  <si>
    <t>Melting_Curves/meltCurve_P56381_ATP5E.pdf</t>
  </si>
  <si>
    <t>Melting_Curves/meltCurve_P56385_ATP5I.pdf</t>
  </si>
  <si>
    <t>Melting_Curves/meltCurve_P56524_HDAC4.pdf</t>
  </si>
  <si>
    <t>Melting_Curves/meltCurve_P56537_EIF6.pdf</t>
  </si>
  <si>
    <t>Melting_Curves/meltCurve_P56545_2_CTBP2.pdf</t>
  </si>
  <si>
    <t>Melting_Curves/meltCurve_P56589_PEX3.pdf</t>
  </si>
  <si>
    <t>Melting_Curves/meltCurve_P56817_4_BACE1.pdf</t>
  </si>
  <si>
    <t>Melting_Curves/meltCurve_P56937_3_HSD17B7.pdf</t>
  </si>
  <si>
    <t>Melting_Curves/meltCurve_P56945_5_BCAR1.pdf</t>
  </si>
  <si>
    <t>Melting_Curves/meltCurve_P56962_STX17.pdf</t>
  </si>
  <si>
    <t>Melting_Curves/meltCurve_P57060_RWDD2B.pdf</t>
  </si>
  <si>
    <t>Melting_Curves/meltCurve_P57076_C21orf59.pdf</t>
  </si>
  <si>
    <t>Melting_Curves/meltCurve_P57077_4_MAP3K7CL.pdf</t>
  </si>
  <si>
    <t>Melting_Curves/meltCurve_P57081_2_WDR4.pdf</t>
  </si>
  <si>
    <t>Melting_Curves/meltCurve_P57088_TMEM33.pdf</t>
  </si>
  <si>
    <t>Melting_Curves/meltCurve_P57105_SYNJ2BP.pdf</t>
  </si>
  <si>
    <t>Melting_Curves/meltCurve_P57737_3_CORO7.pdf</t>
  </si>
  <si>
    <t>Melting_Curves/meltCurve_P57768_SNX16.pdf</t>
  </si>
  <si>
    <t>Melting_Curves/meltCurve_P57772_EEFSEC.pdf</t>
  </si>
  <si>
    <t>Melting_Curves/meltCurve_P58004_SESN2.pdf</t>
  </si>
  <si>
    <t>Melting_Curves/meltCurve_P58546_MTPN.pdf</t>
  </si>
  <si>
    <t>Melting_Curves/meltCurve_P59768_GNG2.pdf</t>
  </si>
  <si>
    <t>Melting_Curves/meltCurve_P60059_SEC61G.pdf</t>
  </si>
  <si>
    <t>Melting_Curves/meltCurve_P60174_1_TPI1.pdf</t>
  </si>
  <si>
    <t>Melting_Curves/meltCurve_P60174_4_TPI1.pdf</t>
  </si>
  <si>
    <t>Melting_Curves/meltCurve_P60228_EIF3E.pdf</t>
  </si>
  <si>
    <t>Melting_Curves/meltCurve_P60468_SEC61B.pdf</t>
  </si>
  <si>
    <t>Melting_Curves/meltCurve_P60484_PTEN.pdf</t>
  </si>
  <si>
    <t>Melting_Curves/meltCurve_P60510_PPP4C.pdf</t>
  </si>
  <si>
    <t>Melting_Curves/meltCurve_P60520_GABARAPL2.pdf</t>
  </si>
  <si>
    <t>Melting_Curves/meltCurve_P60602_ROMO1.pdf</t>
  </si>
  <si>
    <t>Melting_Curves/meltCurve_P60604_2_UBE2G2.pdf</t>
  </si>
  <si>
    <t>Melting_Curves/meltCurve_P60763_RAC3.pdf</t>
  </si>
  <si>
    <t>Melting_Curves/meltCurve_P60842_EIF4A1.pdf</t>
  </si>
  <si>
    <t>Melting_Curves/meltCurve_P60866_RPS20.pdf</t>
  </si>
  <si>
    <t>Melting_Curves/meltCurve_P60880_2_SNAP25.pdf</t>
  </si>
  <si>
    <t>Melting_Curves/meltCurve_P60891_PRPS1.pdf</t>
  </si>
  <si>
    <t>Melting_Curves/meltCurve_P60896_SHFM1.pdf</t>
  </si>
  <si>
    <t>Melting_Curves/meltCurve_P60903_S100A10.pdf</t>
  </si>
  <si>
    <t>Melting_Curves/meltCurve_P60953_CDC42.pdf</t>
  </si>
  <si>
    <t>Melting_Curves/meltCurve_P60953_1_CDC42.pdf</t>
  </si>
  <si>
    <t>Melting_Curves/meltCurve_P60981_DSTN.pdf</t>
  </si>
  <si>
    <t>Melting_Curves/meltCurve_P60983_GMFB.pdf</t>
  </si>
  <si>
    <t>Melting_Curves/meltCurve_P61006_RAB8A.pdf</t>
  </si>
  <si>
    <t>Melting_Curves/meltCurve_P61009_SPCS3.pdf</t>
  </si>
  <si>
    <t>Melting_Curves/meltCurve_P61011_SRP54.pdf</t>
  </si>
  <si>
    <t>Melting_Curves/meltCurve_P61018_RAB4B.pdf</t>
  </si>
  <si>
    <t>Melting_Curves/meltCurve_P61019_RAB2A.pdf</t>
  </si>
  <si>
    <t>Melting_Curves/meltCurve_P61020_RAB5B.pdf</t>
  </si>
  <si>
    <t>Melting_Curves/meltCurve_P61026_RAB10.pdf</t>
  </si>
  <si>
    <t>Melting_Curves/meltCurve_P61077_UBE2D3.pdf</t>
  </si>
  <si>
    <t>Melting_Curves/meltCurve_P61081_UBE2M.pdf</t>
  </si>
  <si>
    <t>Melting_Curves/meltCurve_P61086_UBE2K.pdf</t>
  </si>
  <si>
    <t>Melting_Curves/meltCurve_P61088_UBE2N.pdf</t>
  </si>
  <si>
    <t>Melting_Curves/meltCurve_P61106_RAB14.pdf</t>
  </si>
  <si>
    <t>Melting_Curves/meltCurve_P61158_ACTR3.pdf</t>
  </si>
  <si>
    <t>Melting_Curves/meltCurve_P61160_ACTR2.pdf</t>
  </si>
  <si>
    <t>Melting_Curves/meltCurve_P61163_ACTR1A.pdf</t>
  </si>
  <si>
    <t>Melting_Curves/meltCurve_P61201_COPS2.pdf</t>
  </si>
  <si>
    <t>Melting_Curves/meltCurve_P61218_POLR2F.pdf</t>
  </si>
  <si>
    <t>Melting_Curves/meltCurve_P61221_ABCE1.pdf</t>
  </si>
  <si>
    <t>Melting_Curves/meltCurve_P61224_RAP1B.pdf</t>
  </si>
  <si>
    <t>Melting_Curves/meltCurve_P61225_RAP2B.pdf</t>
  </si>
  <si>
    <t>Melting_Curves/meltCurve_P61244_2_MAX.pdf</t>
  </si>
  <si>
    <t>Melting_Curves/meltCurve_P61247_RPS3A.pdf</t>
  </si>
  <si>
    <t>Melting_Curves/meltCurve_P61254_RPL26.pdf</t>
  </si>
  <si>
    <t>Melting_Curves/meltCurve_P61289_PSME3.pdf</t>
  </si>
  <si>
    <t>Melting_Curves/meltCurve_P61326_MAGOH.pdf</t>
  </si>
  <si>
    <t>Melting_Curves/meltCurve_P61586_RHOA.pdf</t>
  </si>
  <si>
    <t>Melting_Curves/meltCurve_P61587_RND3.pdf</t>
  </si>
  <si>
    <t>Melting_Curves/meltCurve_P61601_NCALD.pdf</t>
  </si>
  <si>
    <t>Melting_Curves/meltCurve_P61604_HSPE1.pdf</t>
  </si>
  <si>
    <t>Melting_Curves/meltCurve_P61758_VBP1.pdf</t>
  </si>
  <si>
    <t>Melting_Curves/meltCurve_P61764_STXBP1.pdf</t>
  </si>
  <si>
    <t>Melting_Curves/meltCurve_P61769_B2M.pdf</t>
  </si>
  <si>
    <t>Melting_Curves/meltCurve_P61812_TGFB2.pdf</t>
  </si>
  <si>
    <t>Melting_Curves/meltCurve_P61925_PKIA.pdf</t>
  </si>
  <si>
    <t>Melting_Curves/meltCurve_P61927_RPL37.pdf</t>
  </si>
  <si>
    <t>Melting_Curves/meltCurve_P61952_GNG11.pdf</t>
  </si>
  <si>
    <t>Melting_Curves/meltCurve_P61960_2_UFM1.pdf</t>
  </si>
  <si>
    <t>Melting_Curves/meltCurve_P61962_DCAF7.pdf</t>
  </si>
  <si>
    <t>Melting_Curves/meltCurve_P61964_WDR5.pdf</t>
  </si>
  <si>
    <t>Melting_Curves/meltCurve_P61970_NUTF2.pdf</t>
  </si>
  <si>
    <t>Melting_Curves/meltCurve_P61978_3_HNRNPK.pdf</t>
  </si>
  <si>
    <t>Melting_Curves/meltCurve_P61981_YWHAG.pdf</t>
  </si>
  <si>
    <t>Melting_Curves/meltCurve_P62070_RRAS2.pdf</t>
  </si>
  <si>
    <t>Melting_Curves/meltCurve_P62072_TIMM10.pdf</t>
  </si>
  <si>
    <t>Melting_Curves/meltCurve_P62081_RPS7.pdf</t>
  </si>
  <si>
    <t>Melting_Curves/meltCurve_P62136_PPP1CA.pdf</t>
  </si>
  <si>
    <t>Melting_Curves/meltCurve_P62140_PPP1CB.pdf</t>
  </si>
  <si>
    <t>Melting_Curves/meltCurve_P62166_NCS1.pdf</t>
  </si>
  <si>
    <t>Melting_Curves/meltCurve_P62191_PSMC1.pdf</t>
  </si>
  <si>
    <t>Melting_Curves/meltCurve_P62195_2_PSMC5.pdf</t>
  </si>
  <si>
    <t>Melting_Curves/meltCurve_P62241_RPS8.pdf</t>
  </si>
  <si>
    <t>Melting_Curves/meltCurve_P62249_RPS16.pdf</t>
  </si>
  <si>
    <t>Melting_Curves/meltCurve_P62253_UBE2G1.pdf</t>
  </si>
  <si>
    <t>Melting_Curves/meltCurve_P62258_YWHAE.pdf</t>
  </si>
  <si>
    <t>Melting_Curves/meltCurve_P62263_RPS14.pdf</t>
  </si>
  <si>
    <t>Melting_Curves/meltCurve_P62269_RPS18.pdf</t>
  </si>
  <si>
    <t>Melting_Curves/meltCurve_P62273_RPS29.pdf</t>
  </si>
  <si>
    <t>Melting_Curves/meltCurve_P62277_RPS13.pdf</t>
  </si>
  <si>
    <t>Melting_Curves/meltCurve_P62280_RPS11.pdf</t>
  </si>
  <si>
    <t>Melting_Curves/meltCurve_P62304_SNRPE.pdf</t>
  </si>
  <si>
    <t>Melting_Curves/meltCurve_P62306_SNRPF.pdf</t>
  </si>
  <si>
    <t>Melting_Curves/meltCurve_P62308_SNRPG.pdf</t>
  </si>
  <si>
    <t>Melting_Curves/meltCurve_P62310_LSM3.pdf</t>
  </si>
  <si>
    <t>Melting_Curves/meltCurve_P62312_LSM6.pdf</t>
  </si>
  <si>
    <t>Melting_Curves/meltCurve_P62314_SNRPD1.pdf</t>
  </si>
  <si>
    <t>Melting_Curves/meltCurve_P62316_SNRPD2.pdf</t>
  </si>
  <si>
    <t>Melting_Curves/meltCurve_P62328_TMSB4X.pdf</t>
  </si>
  <si>
    <t>Melting_Curves/meltCurve_P62330_ARF6.pdf</t>
  </si>
  <si>
    <t>Melting_Curves/meltCurve_P62333_PSMC6.pdf</t>
  </si>
  <si>
    <t>Melting_Curves/meltCurve_P62380_TBPL1.pdf</t>
  </si>
  <si>
    <t>Melting_Curves/meltCurve_P62424_RPL7A.pdf</t>
  </si>
  <si>
    <t>Melting_Curves/meltCurve_P62487_POLR2G.pdf</t>
  </si>
  <si>
    <t>Melting_Curves/meltCurve_P62495_ETF1.pdf</t>
  </si>
  <si>
    <t>Melting_Curves/meltCurve_P62633_4_CNBP.pdf</t>
  </si>
  <si>
    <t>Melting_Curves/meltCurve_P62701_RPS4X.pdf</t>
  </si>
  <si>
    <t>Melting_Curves/meltCurve_P62714_PPP2CB.pdf</t>
  </si>
  <si>
    <t>Melting_Curves/meltCurve_P62736_ACTA2.pdf</t>
  </si>
  <si>
    <t>Melting_Curves/meltCurve_P62745_RHOB.pdf</t>
  </si>
  <si>
    <t>Melting_Curves/meltCurve_P62750_RPL23A.pdf</t>
  </si>
  <si>
    <t>Melting_Curves/meltCurve_P62753_RPS6.pdf</t>
  </si>
  <si>
    <t>Melting_Curves/meltCurve_P62805_HIST1H4A.pdf</t>
  </si>
  <si>
    <t>Melting_Curves/meltCurve_P62820_RAB1A.pdf</t>
  </si>
  <si>
    <t>Melting_Curves/meltCurve_P62829_RPL23.pdf</t>
  </si>
  <si>
    <t>Melting_Curves/meltCurve_P62834_RAP1A.pdf</t>
  </si>
  <si>
    <t>Melting_Curves/meltCurve_P62851_RPS25.pdf</t>
  </si>
  <si>
    <t>Melting_Curves/meltCurve_P62857_RPS28.pdf</t>
  </si>
  <si>
    <t>Melting_Curves/meltCurve_P62873_GNB1.pdf</t>
  </si>
  <si>
    <t>Melting_Curves/meltCurve_P62877_RBX1.pdf</t>
  </si>
  <si>
    <t>Melting_Curves/meltCurve_P62888_RPL30.pdf</t>
  </si>
  <si>
    <t>Melting_Curves/meltCurve_P62906_RPL10A.pdf</t>
  </si>
  <si>
    <t>Melting_Curves/meltCurve_P62913_2_RPL11.pdf</t>
  </si>
  <si>
    <t>Melting_Curves/meltCurve_P62937_PPIA.pdf</t>
  </si>
  <si>
    <t>Melting_Curves/meltCurve_P62942_FKBP1A.pdf</t>
  </si>
  <si>
    <t>Melting_Curves/meltCurve_P62979_RPS27A.pdf</t>
  </si>
  <si>
    <t>Melting_Curves/meltCurve_P62987_UBA52.pdf</t>
  </si>
  <si>
    <t>Melting_Curves/meltCurve_P62993_GRB2.pdf</t>
  </si>
  <si>
    <t>Melting_Curves/meltCurve_P62995_3_TRA2B.pdf</t>
  </si>
  <si>
    <t>Melting_Curves/meltCurve_P63000_RAC1.pdf</t>
  </si>
  <si>
    <t>Melting_Curves/meltCurve_P63010_AP2B1.pdf</t>
  </si>
  <si>
    <t>Melting_Curves/meltCurve_P63092_GNAS.pdf</t>
  </si>
  <si>
    <t>Melting_Curves/meltCurve_P63096_GNAI1.pdf</t>
  </si>
  <si>
    <t>Melting_Curves/meltCurve_P63104_YWHAZ.pdf</t>
  </si>
  <si>
    <t>Melting_Curves/meltCurve_P63146_UBE2B.pdf</t>
  </si>
  <si>
    <t>Melting_Curves/meltCurve_P63151_PPP2R2A.pdf</t>
  </si>
  <si>
    <t>Melting_Curves/meltCurve_P63167_DYNLL1.pdf</t>
  </si>
  <si>
    <t>Melting_Curves/meltCurve_P63173_RPL38.pdf</t>
  </si>
  <si>
    <t>Melting_Curves/meltCurve_P63218_GNG5.pdf</t>
  </si>
  <si>
    <t>Melting_Curves/meltCurve_P63244_GNB2L1.pdf</t>
  </si>
  <si>
    <t>Melting_Curves/meltCurve_P67809_YBX1.pdf</t>
  </si>
  <si>
    <t>Melting_Curves/meltCurve_P67936_TPM4.pdf</t>
  </si>
  <si>
    <t>Melting_Curves/meltCurve_P67936_2_TPM4.pdf</t>
  </si>
  <si>
    <t>Melting_Curves/meltCurve_P68036_UBE2L3.pdf</t>
  </si>
  <si>
    <t>Melting_Curves/meltCurve_P68104_EEF1A1.pdf</t>
  </si>
  <si>
    <t>Melting_Curves/meltCurve_P68106_2_FKBP1B.pdf</t>
  </si>
  <si>
    <t>Melting_Curves/meltCurve_P68371_TUBB4B.pdf</t>
  </si>
  <si>
    <t>Melting_Curves/meltCurve_P68402_PAFAH1B2.pdf</t>
  </si>
  <si>
    <t>Melting_Curves/meltCurve_P68871_HBB.pdf</t>
  </si>
  <si>
    <t>Melting_Curves/meltCurve_P69905_HBA1.pdf</t>
  </si>
  <si>
    <t>Melting_Curves/meltCurve_P78310_CXADR.pdf</t>
  </si>
  <si>
    <t>Melting_Curves/meltCurve_P78318_IGBP1.pdf</t>
  </si>
  <si>
    <t>Melting_Curves/meltCurve_P78324_SIRPA.pdf</t>
  </si>
  <si>
    <t>Melting_Curves/meltCurve_P78330_PSPH.pdf</t>
  </si>
  <si>
    <t>Melting_Curves/meltCurve_P78347_2_GTF2I.pdf</t>
  </si>
  <si>
    <t>Melting_Curves/meltCurve_P78356_PIP4K2B.pdf</t>
  </si>
  <si>
    <t>Melting_Curves/meltCurve_P78371_CCT2.pdf</t>
  </si>
  <si>
    <t>Melting_Curves/meltCurve_P78406_RAE1.pdf</t>
  </si>
  <si>
    <t>Melting_Curves/meltCurve_P78417_GSTO1.pdf</t>
  </si>
  <si>
    <t>Melting_Curves/meltCurve_P78536_ADAM17.pdf</t>
  </si>
  <si>
    <t>Melting_Curves/meltCurve_P78537_BLOC1S1.pdf</t>
  </si>
  <si>
    <t>Melting_Curves/meltCurve_P78539_4_SRPX.pdf</t>
  </si>
  <si>
    <t>Melting_Curves/meltCurve_P78552_IL13RA1.pdf</t>
  </si>
  <si>
    <t>Melting_Curves/meltCurve_P80217_IFI35.pdf</t>
  </si>
  <si>
    <t>Melting_Curves/meltCurve_P80297_MT1X.pdf</t>
  </si>
  <si>
    <t>Melting_Curves/meltCurve_P80303_NUCB2.pdf</t>
  </si>
  <si>
    <t>Melting_Curves/meltCurve_P80723_BASP1.pdf</t>
  </si>
  <si>
    <t>Melting_Curves/meltCurve_P81605_DCD.pdf</t>
  </si>
  <si>
    <t>Melting_Curves/meltCurve_P82094_TMF1.pdf</t>
  </si>
  <si>
    <t>Melting_Curves/meltCurve_P82909_MRPS36.pdf</t>
  </si>
  <si>
    <t>Melting_Curves/meltCurve_P82932_MRPS6.pdf</t>
  </si>
  <si>
    <t>Melting_Curves/meltCurve_P82979_SARNP.pdf</t>
  </si>
  <si>
    <t>Melting_Curves/meltCurve_P83111_LACTB.pdf</t>
  </si>
  <si>
    <t>Melting_Curves/meltCurve_P83436_COG7.pdf</t>
  </si>
  <si>
    <t>Melting_Curves/meltCurve_P84022_SMAD3.pdf</t>
  </si>
  <si>
    <t>Melting_Curves/meltCurve_P84077_ARF1.pdf</t>
  </si>
  <si>
    <t>Melting_Curves/meltCurve_P84085_ARF5.pdf</t>
  </si>
  <si>
    <t>Melting_Curves/meltCurve_P84090_ERH.pdf</t>
  </si>
  <si>
    <t>Melting_Curves/meltCurve_P84095_RHOG.pdf</t>
  </si>
  <si>
    <t>Melting_Curves/meltCurve_P84098_RPL19.pdf</t>
  </si>
  <si>
    <t>Melting_Curves/meltCurve_P84101_4_SERF2.pdf</t>
  </si>
  <si>
    <t>Melting_Curves/meltCurve_P84157_MXRA7.pdf</t>
  </si>
  <si>
    <t>Melting_Curves/meltCurve_P84157_3_MXRA7.pdf</t>
  </si>
  <si>
    <t>Melting_Curves/meltCurve_P85037_FOXK1.pdf</t>
  </si>
  <si>
    <t>Melting_Curves/meltCurve_P98082_3_DAB2.pdf</t>
  </si>
  <si>
    <t>Melting_Curves/meltCurve_P98155_2_VLDLR.pdf</t>
  </si>
  <si>
    <t>Melting_Curves/meltCurve_P98160_HSPG2.pdf</t>
  </si>
  <si>
    <t>Melting_Curves/meltCurve_P98170_XIAP.pdf</t>
  </si>
  <si>
    <t>Melting_Curves/meltCurve_P98172_EFNB1.pdf</t>
  </si>
  <si>
    <t>Melting_Curves/meltCurve_P98173_FAM3A.pdf</t>
  </si>
  <si>
    <t>Melting_Curves/meltCurve_P98175_2_RBM10.pdf</t>
  </si>
  <si>
    <t>Melting_Curves/meltCurve_P98179_RBM3.pdf</t>
  </si>
  <si>
    <t>Melting_Curves/meltCurve_Q00013_2_MPP1.pdf</t>
  </si>
  <si>
    <t>Melting_Curves/meltCurve_Q00059_TFAM.pdf</t>
  </si>
  <si>
    <t>Melting_Curves/meltCurve_Q00169_PITPNA.pdf</t>
  </si>
  <si>
    <t>Melting_Curves/meltCurve_Q00325_2_SLC25A3.pdf</t>
  </si>
  <si>
    <t>Melting_Curves/meltCurve_Q00341_HDLBP.pdf</t>
  </si>
  <si>
    <t>Melting_Curves/meltCurve_Q00534_CDK6.pdf</t>
  </si>
  <si>
    <t>Melting_Curves/meltCurve_Q00535_CDK5.pdf</t>
  </si>
  <si>
    <t>Melting_Curves/meltCurve_Q00536_CDK16.pdf</t>
  </si>
  <si>
    <t>Melting_Curves/meltCurve_Q00577_PURA.pdf</t>
  </si>
  <si>
    <t>Melting_Curves/meltCurve_Q00587_2_CDC42EP1.pdf</t>
  </si>
  <si>
    <t>Melting_Curves/meltCurve_Q00610_2_CLTC.pdf</t>
  </si>
  <si>
    <t>Melting_Curves/meltCurve_Q00653_4_NFKB2.pdf</t>
  </si>
  <si>
    <t>Melting_Curves/meltCurve_Q00688_FKBP3.pdf</t>
  </si>
  <si>
    <t>Melting_Curves/meltCurve_Q00765_REEP5.pdf</t>
  </si>
  <si>
    <t>Melting_Curves/meltCurve_Q00796_SORD.pdf</t>
  </si>
  <si>
    <t>Melting_Curves/meltCurve_Q00839_2_HNRNPU.pdf</t>
  </si>
  <si>
    <t>Melting_Curves/meltCurve_Q00978_IRF9.pdf</t>
  </si>
  <si>
    <t>Melting_Curves/meltCurve_Q01082_SPTBN1.pdf</t>
  </si>
  <si>
    <t>Melting_Curves/meltCurve_Q01085_2_TIAL1.pdf</t>
  </si>
  <si>
    <t>Melting_Curves/meltCurve_Q01105_SET.pdf</t>
  </si>
  <si>
    <t>Melting_Curves/meltCurve_Q01167_FOXK2.pdf</t>
  </si>
  <si>
    <t>Melting_Curves/meltCurve_Q01415_GALK2.pdf</t>
  </si>
  <si>
    <t>Melting_Curves/meltCurve_Q01459_CTBS.pdf</t>
  </si>
  <si>
    <t>Melting_Curves/meltCurve_Q01469_FABP5.pdf</t>
  </si>
  <si>
    <t>Melting_Curves/meltCurve_Q01518_2_CAP1.pdf</t>
  </si>
  <si>
    <t>Melting_Curves/meltCurve_Q01581_HMGCS1.pdf</t>
  </si>
  <si>
    <t>Melting_Curves/meltCurve_Q01650_SLC7A5.pdf</t>
  </si>
  <si>
    <t>Melting_Curves/meltCurve_Q01658_DR1.pdf</t>
  </si>
  <si>
    <t>Melting_Curves/meltCurve_Q01813_PFKP.pdf</t>
  </si>
  <si>
    <t>Melting_Curves/meltCurve_Q01850_CDR2.pdf</t>
  </si>
  <si>
    <t>Melting_Curves/meltCurve_Q01968_OCRL.pdf</t>
  </si>
  <si>
    <t>Melting_Curves/meltCurve_Q01970_PLCB3.pdf</t>
  </si>
  <si>
    <t>Melting_Curves/meltCurve_Q01974_ROR2.pdf</t>
  </si>
  <si>
    <t>Melting_Curves/meltCurve_Q01995_TAGLN.pdf</t>
  </si>
  <si>
    <t>Melting_Curves/meltCurve_Q02083_2_NAAA.pdf</t>
  </si>
  <si>
    <t>Melting_Curves/meltCurve_Q02127_DHODH.pdf</t>
  </si>
  <si>
    <t>Melting_Curves/meltCurve_Q02156_PRKCE.pdf</t>
  </si>
  <si>
    <t>Melting_Curves/meltCurve_Q02252_ALDH6A1.pdf</t>
  </si>
  <si>
    <t>Melting_Curves/meltCurve_Q02318_CYP27A1.pdf</t>
  </si>
  <si>
    <t>Melting_Curves/meltCurve_Q02338_BDH1.pdf</t>
  </si>
  <si>
    <t>Melting_Curves/meltCurve_Q02383_SEMG2.pdf</t>
  </si>
  <si>
    <t>Melting_Curves/meltCurve_Q02388_2_COL7A1.pdf</t>
  </si>
  <si>
    <t>Melting_Curves/meltCurve_Q02410_APBA1.pdf</t>
  </si>
  <si>
    <t>Melting_Curves/meltCurve_Q02413_DSG1.pdf</t>
  </si>
  <si>
    <t>Melting_Curves/meltCurve_Q02543_RPL18A.pdf</t>
  </si>
  <si>
    <t>Melting_Curves/meltCurve_Q02750_MAP2K1.pdf</t>
  </si>
  <si>
    <t>Melting_Curves/meltCurve_Q02790_FKBP4.pdf</t>
  </si>
  <si>
    <t>Melting_Curves/meltCurve_Q02809_PLOD1.pdf</t>
  </si>
  <si>
    <t>Melting_Curves/meltCurve_Q02818_NUCB1.pdf</t>
  </si>
  <si>
    <t>Melting_Curves/meltCurve_Q02878_RPL6.pdf</t>
  </si>
  <si>
    <t>Melting_Curves/meltCurve_Q02952_3_AKAP12.pdf</t>
  </si>
  <si>
    <t>Melting_Curves/meltCurve_Q03001_DST.pdf</t>
  </si>
  <si>
    <t>Melting_Curves/meltCurve_Q03001_3_DST.pdf</t>
  </si>
  <si>
    <t>Melting_Curves/meltCurve_Q03013_GSTM4.pdf</t>
  </si>
  <si>
    <t>Melting_Curves/meltCurve_Q03113_GNA12.pdf</t>
  </si>
  <si>
    <t>Melting_Curves/meltCurve_Q03135_CAV1.pdf</t>
  </si>
  <si>
    <t>Melting_Curves/meltCurve_Q03154_ACY1.pdf</t>
  </si>
  <si>
    <t>Melting_Curves/meltCurve_Q03169_TNFAIP2.pdf</t>
  </si>
  <si>
    <t>Melting_Curves/meltCurve_Q03393_PTS.pdf</t>
  </si>
  <si>
    <t>Melting_Curves/meltCurve_Q03405_PLAUR.pdf</t>
  </si>
  <si>
    <t>Melting_Curves/meltCurve_Q03519_TAP2.pdf</t>
  </si>
  <si>
    <t>Melting_Curves/meltCurve_Q04446_GBE1.pdf</t>
  </si>
  <si>
    <t>Melting_Curves/meltCurve_Q04656_5_ATP7A.pdf</t>
  </si>
  <si>
    <t>Melting_Curves/meltCurve_Q04721_NOTCH2.pdf</t>
  </si>
  <si>
    <t>Melting_Curves/meltCurve_Q04724_TLE1.pdf</t>
  </si>
  <si>
    <t>Melting_Curves/meltCurve_Q04760_GLO1.pdf</t>
  </si>
  <si>
    <t>Melting_Curves/meltCurve_Q04771_ACVR1.pdf</t>
  </si>
  <si>
    <t>Melting_Curves/meltCurve_Q04828_AKR1C1.pdf</t>
  </si>
  <si>
    <t>Melting_Curves/meltCurve_Q04917_YWHAH.pdf</t>
  </si>
  <si>
    <t>Melting_Curves/meltCurve_Q04941_PLP2.pdf</t>
  </si>
  <si>
    <t>Melting_Curves/meltCurve_Q05048_CSTF1.pdf</t>
  </si>
  <si>
    <t>Melting_Curves/meltCurve_Q05086_3_UBE3A.pdf</t>
  </si>
  <si>
    <t>Melting_Curves/meltCurve_Q05193_3_DNM1.pdf</t>
  </si>
  <si>
    <t>Melting_Curves/meltCurve_Q05209_PTPN12.pdf</t>
  </si>
  <si>
    <t>Melting_Curves/meltCurve_Q05519_2_SRSF11.pdf</t>
  </si>
  <si>
    <t>Melting_Curves/meltCurve_Q05639_EEF1A2.pdf</t>
  </si>
  <si>
    <t>Melting_Curves/meltCurve_Q05655_PRKCD.pdf</t>
  </si>
  <si>
    <t>Melting_Curves/meltCurve_Q05682_CALD1.pdf</t>
  </si>
  <si>
    <t>Melting_Curves/meltCurve_Q06124_PTPN11.pdf</t>
  </si>
  <si>
    <t>Melting_Curves/meltCurve_Q06136_KDSR.pdf</t>
  </si>
  <si>
    <t>Melting_Curves/meltCurve_Q06190_PPP2R3A.pdf</t>
  </si>
  <si>
    <t>Melting_Curves/meltCurve_Q06203_PPAT.pdf</t>
  </si>
  <si>
    <t>Melting_Curves/meltCurve_Q06210_2_GFPT1.pdf</t>
  </si>
  <si>
    <t>Melting_Curves/meltCurve_Q06278_AOX1.pdf</t>
  </si>
  <si>
    <t>Melting_Curves/meltCurve_Q06323_PSME1.pdf</t>
  </si>
  <si>
    <t>Melting_Curves/meltCurve_Q06330_RBPJ.pdf</t>
  </si>
  <si>
    <t>Melting_Curves/meltCurve_Q06481_3_APLP2.pdf</t>
  </si>
  <si>
    <t>Melting_Curves/meltCurve_Q06546_GABPA.pdf</t>
  </si>
  <si>
    <t>Melting_Curves/meltCurve_Q06830_PRDX1.pdf</t>
  </si>
  <si>
    <t>Melting_Curves/meltCurve_Q07021_C1QBP.pdf</t>
  </si>
  <si>
    <t>Melting_Curves/meltCurve_Q07065_CKAP4.pdf</t>
  </si>
  <si>
    <t>Melting_Curves/meltCurve_Q07092_2_COL16A1.pdf</t>
  </si>
  <si>
    <t>Melting_Curves/meltCurve_Q07352_ZFP36L1.pdf</t>
  </si>
  <si>
    <t>Melting_Curves/meltCurve_Q07507_DPT.pdf</t>
  </si>
  <si>
    <t>Melting_Curves/meltCurve_Q07666_KHDRBS1.pdf</t>
  </si>
  <si>
    <t>Melting_Curves/meltCurve_Q07812_5_BAX.pdf</t>
  </si>
  <si>
    <t>Melting_Curves/meltCurve_Q07820_2_MCL1.pdf</t>
  </si>
  <si>
    <t>Melting_Curves/meltCurve_Q07866_3_KLC1.pdf</t>
  </si>
  <si>
    <t>Melting_Curves/meltCurve_Q07866_6_KLC1.pdf</t>
  </si>
  <si>
    <t>Melting_Curves/meltCurve_Q07912_TNK2.pdf</t>
  </si>
  <si>
    <t>Melting_Curves/meltCurve_Q07954_LRP1.pdf</t>
  </si>
  <si>
    <t>Melting_Curves/meltCurve_Q07960_ARHGAP1.pdf</t>
  </si>
  <si>
    <t>Melting_Curves/meltCurve_Q08209_2_PPP3CA.pdf</t>
  </si>
  <si>
    <t>Melting_Curves/meltCurve_Q08257_CRYZ.pdf</t>
  </si>
  <si>
    <t>Melting_Curves/meltCurve_Q08357_SLC20A2.pdf</t>
  </si>
  <si>
    <t>Melting_Curves/meltCurve_Q08378_GOLGA3.pdf</t>
  </si>
  <si>
    <t>Melting_Curves/meltCurve_Q08379_GOLGA2.pdf</t>
  </si>
  <si>
    <t>Melting_Curves/meltCurve_Q08380_LGALS3BP.pdf</t>
  </si>
  <si>
    <t>Melting_Curves/meltCurve_Q08426_EHHADH.pdf</t>
  </si>
  <si>
    <t>Melting_Curves/meltCurve_Q08629_SPOCK1.pdf</t>
  </si>
  <si>
    <t>Melting_Curves/meltCurve_Q08722_CD47.pdf</t>
  </si>
  <si>
    <t>Melting_Curves/meltCurve_Q08752_PPID.pdf</t>
  </si>
  <si>
    <t>Melting_Curves/meltCurve_Q08AD1_2_CAMSAP2.pdf</t>
  </si>
  <si>
    <t>Melting_Curves/meltCurve_Q08AE8_2_SPIRE1.pdf</t>
  </si>
  <si>
    <t>Melting_Curves/meltCurve_Q08AF3_SLFN5.pdf</t>
  </si>
  <si>
    <t>Melting_Curves/meltCurve_Q08AG7_MZT1.pdf</t>
  </si>
  <si>
    <t>Melting_Curves/meltCurve_Q08AM6_VAC14.pdf</t>
  </si>
  <si>
    <t>Melting_Curves/meltCurve_Q08E86_KIAA0100.pdf</t>
  </si>
  <si>
    <t>Melting_Curves/meltCurve_Q08J23_NSUN2.pdf</t>
  </si>
  <si>
    <t>Melting_Curves/meltCurve_Q09028_3_RBBP4.pdf</t>
  </si>
  <si>
    <t>Melting_Curves/meltCurve_Q09161_NCBP1.pdf</t>
  </si>
  <si>
    <t>Melting_Curves/meltCurve_Q09328_MGAT5.pdf</t>
  </si>
  <si>
    <t>Melting_Curves/meltCurve_Q09666_AHNAK.pdf</t>
  </si>
  <si>
    <t>Melting_Curves/meltCurve_Q09666_2_AHNAK.pdf</t>
  </si>
  <si>
    <t>Melting_Curves/meltCurve_Q0JRZ9_FCHO2.pdf</t>
  </si>
  <si>
    <t>Melting_Curves/meltCurve_Q0PNE2_ELP6.pdf</t>
  </si>
  <si>
    <t>Melting_Curves/meltCurve_Q0VDF9_HSPA14.pdf</t>
  </si>
  <si>
    <t>Melting_Curves/meltCurve_Q0VDG4_SCRN3.pdf</t>
  </si>
  <si>
    <t>Melting_Curves/meltCurve_Q0VG06_FAAP100.pdf</t>
  </si>
  <si>
    <t>Melting_Curves/meltCurve_Q0VGL1_LAMTOR4.pdf</t>
  </si>
  <si>
    <t>Melting_Curves/meltCurve_Q0ZGT2_2_NEXN.pdf</t>
  </si>
  <si>
    <t>Melting_Curves/meltCurve_Q10469_MGAT2.pdf</t>
  </si>
  <si>
    <t>Melting_Curves/meltCurve_Q10471_GALNT2.pdf</t>
  </si>
  <si>
    <t>Melting_Curves/meltCurve_Q10567_2_AP1B1.pdf</t>
  </si>
  <si>
    <t>Melting_Curves/meltCurve_Q10567_3_AP1B1.pdf</t>
  </si>
  <si>
    <t>Melting_Curves/meltCurve_Q10713_PMPCA.pdf</t>
  </si>
  <si>
    <t>Melting_Curves/meltCurve_Q11206_3_ST3GAL4.pdf</t>
  </si>
  <si>
    <t>Melting_Curves/meltCurve_Q12765_SCRN1.pdf</t>
  </si>
  <si>
    <t>Melting_Curves/meltCurve_Q12768_KIAA0196.pdf</t>
  </si>
  <si>
    <t>Melting_Curves/meltCurve_Q12792_TWF1.pdf</t>
  </si>
  <si>
    <t>Melting_Curves/meltCurve_Q12797_ASPH.pdf</t>
  </si>
  <si>
    <t>Melting_Curves/meltCurve_Q12802_4_AKAP13.pdf</t>
  </si>
  <si>
    <t>Melting_Curves/meltCurve_Q12805_2_EFEMP1.pdf</t>
  </si>
  <si>
    <t>Melting_Curves/meltCurve_Q12841_FSTL1.pdf</t>
  </si>
  <si>
    <t>Melting_Curves/meltCurve_Q12846_STX4.pdf</t>
  </si>
  <si>
    <t>Melting_Curves/meltCurve_Q12849_GRSF1.pdf</t>
  </si>
  <si>
    <t>Melting_Curves/meltCurve_Q12874_SF3A3.pdf</t>
  </si>
  <si>
    <t>Melting_Curves/meltCurve_Q12882_DPYD.pdf</t>
  </si>
  <si>
    <t>Melting_Curves/meltCurve_Q12884_FAP.pdf</t>
  </si>
  <si>
    <t>Melting_Curves/meltCurve_Q12884_2_FAP.pdf</t>
  </si>
  <si>
    <t>Melting_Curves/meltCurve_Q12888_TP53BP1.pdf</t>
  </si>
  <si>
    <t>Melting_Curves/meltCurve_Q12893_TMEM115.pdf</t>
  </si>
  <si>
    <t>Melting_Curves/meltCurve_Q12904_AIMP1.pdf</t>
  </si>
  <si>
    <t>Melting_Curves/meltCurve_Q12905_ILF2.pdf</t>
  </si>
  <si>
    <t>Melting_Curves/meltCurve_Q12906_ILF3.pdf</t>
  </si>
  <si>
    <t>Melting_Curves/meltCurve_Q12907_LMAN2.pdf</t>
  </si>
  <si>
    <t>Melting_Curves/meltCurve_Q12923_2_PTPN13.pdf</t>
  </si>
  <si>
    <t>Melting_Curves/meltCurve_Q12929_EPS8.pdf</t>
  </si>
  <si>
    <t>Melting_Curves/meltCurve_Q12955_ANK3.pdf</t>
  </si>
  <si>
    <t>Melting_Curves/meltCurve_Q12959_5_DLG1.pdf</t>
  </si>
  <si>
    <t>Melting_Curves/meltCurve_Q12962_TAF10.pdf</t>
  </si>
  <si>
    <t>Melting_Curves/meltCurve_Q12965_MYO1E.pdf</t>
  </si>
  <si>
    <t>Melting_Curves/meltCurve_Q12972_PPP1R8.pdf</t>
  </si>
  <si>
    <t>Melting_Curves/meltCurve_Q12974_PTP4A2.pdf</t>
  </si>
  <si>
    <t>Melting_Curves/meltCurve_Q12979_4_ABR.pdf</t>
  </si>
  <si>
    <t>Melting_Curves/meltCurve_Q12981_BNIP1.pdf</t>
  </si>
  <si>
    <t>Melting_Curves/meltCurve_Q12996_CSTF3.pdf</t>
  </si>
  <si>
    <t>Melting_Curves/meltCurve_Q13011_ECH1.pdf</t>
  </si>
  <si>
    <t>Melting_Curves/meltCurve_Q13017_2_ARHGAP5.pdf</t>
  </si>
  <si>
    <t>Melting_Curves/meltCurve_Q13033_2_STRN3.pdf</t>
  </si>
  <si>
    <t>Melting_Curves/meltCurve_Q13043_STK4.pdf</t>
  </si>
  <si>
    <t>Melting_Curves/meltCurve_Q13045_FLII.pdf</t>
  </si>
  <si>
    <t>Melting_Curves/meltCurve_Q13057_COASY.pdf</t>
  </si>
  <si>
    <t>Melting_Curves/meltCurve_Q13107_2_USP4.pdf</t>
  </si>
  <si>
    <t>Melting_Curves/meltCurve_Q13126_MTAP.pdf</t>
  </si>
  <si>
    <t>Melting_Curves/meltCurve_Q13131_PRKAA1.pdf</t>
  </si>
  <si>
    <t>Melting_Curves/meltCurve_Q13136_PPFIA1.pdf</t>
  </si>
  <si>
    <t>Melting_Curves/meltCurve_Q13148_TARDBP.pdf</t>
  </si>
  <si>
    <t>Melting_Curves/meltCurve_Q13153_PAK1.pdf</t>
  </si>
  <si>
    <t>Melting_Curves/meltCurve_Q13158_FADD.pdf</t>
  </si>
  <si>
    <t>Melting_Curves/meltCurve_Q13162_PRDX4.pdf</t>
  </si>
  <si>
    <t>Melting_Curves/meltCurve_Q13164_MAPK7.pdf</t>
  </si>
  <si>
    <t>Melting_Curves/meltCurve_Q13177_PAK2.pdf</t>
  </si>
  <si>
    <t>Melting_Curves/meltCurve_Q13185_CBX3.pdf</t>
  </si>
  <si>
    <t>Melting_Curves/meltCurve_Q13188_STK3.pdf</t>
  </si>
  <si>
    <t>Melting_Curves/meltCurve_Q13190_STX5.pdf</t>
  </si>
  <si>
    <t>Melting_Curves/meltCurve_Q13200_PSMD2.pdf</t>
  </si>
  <si>
    <t>Melting_Curves/meltCurve_Q13217_DNAJC3.pdf</t>
  </si>
  <si>
    <t>Melting_Curves/meltCurve_Q13228_SELENBP1.pdf</t>
  </si>
  <si>
    <t>Melting_Curves/meltCurve_Q13232_NME3.pdf</t>
  </si>
  <si>
    <t>Melting_Curves/meltCurve_Q13242_SRSF9.pdf</t>
  </si>
  <si>
    <t>Melting_Curves/meltCurve_Q13243_3_SRSF5.pdf</t>
  </si>
  <si>
    <t>Melting_Curves/meltCurve_Q13247_3_SRSF6.pdf</t>
  </si>
  <si>
    <t>Melting_Curves/meltCurve_Q13263_TRIM28.pdf</t>
  </si>
  <si>
    <t>Melting_Curves/meltCurve_Q13277_2_STX3.pdf</t>
  </si>
  <si>
    <t>Melting_Curves/meltCurve_Q13283_G3BP1.pdf</t>
  </si>
  <si>
    <t>Melting_Curves/meltCurve_Q13287_NMI.pdf</t>
  </si>
  <si>
    <t>Melting_Curves/meltCurve_Q13308_PTK7.pdf</t>
  </si>
  <si>
    <t>Melting_Curves/meltCurve_Q13310_3_PABPC4.pdf</t>
  </si>
  <si>
    <t>Melting_Curves/meltCurve_Q13322_3_GRB10.pdf</t>
  </si>
  <si>
    <t>Melting_Curves/meltCurve_Q13325_IFIT5.pdf</t>
  </si>
  <si>
    <t>Melting_Curves/meltCurve_Q13336_SLC14A1.pdf</t>
  </si>
  <si>
    <t>Melting_Curves/meltCurve_Q13347_EIF3I.pdf</t>
  </si>
  <si>
    <t>Melting_Curves/meltCurve_Q13356_2_PPIL2.pdf</t>
  </si>
  <si>
    <t>Melting_Curves/meltCurve_Q13362_4_PPP2R5C.pdf</t>
  </si>
  <si>
    <t>Melting_Curves/meltCurve_Q13363_CTBP1.pdf</t>
  </si>
  <si>
    <t>Melting_Curves/meltCurve_Q13371_PDCL.pdf</t>
  </si>
  <si>
    <t>Melting_Curves/meltCurve_Q13409_6_DYNC1I2.pdf</t>
  </si>
  <si>
    <t>Melting_Curves/meltCurve_Q13418_ILK.pdf</t>
  </si>
  <si>
    <t>Melting_Curves/meltCurve_Q13423_NNT.pdf</t>
  </si>
  <si>
    <t>Melting_Curves/meltCurve_Q13424_SNTA1.pdf</t>
  </si>
  <si>
    <t>Melting_Curves/meltCurve_Q13425_SNTB2.pdf</t>
  </si>
  <si>
    <t>Melting_Curves/meltCurve_Q13432_UNC119.pdf</t>
  </si>
  <si>
    <t>Melting_Curves/meltCurve_Q13433_SLC39A6.pdf</t>
  </si>
  <si>
    <t>Melting_Curves/meltCurve_Q13435_SF3B2.pdf</t>
  </si>
  <si>
    <t>Melting_Curves/meltCurve_Q13438_4_OS9.pdf</t>
  </si>
  <si>
    <t>Melting_Curves/meltCurve_Q13439_3_GOLGA4.pdf</t>
  </si>
  <si>
    <t>Melting_Curves/meltCurve_Q13442_PDAP1.pdf</t>
  </si>
  <si>
    <t>Melting_Curves/meltCurve_Q13443_ADAM9.pdf</t>
  </si>
  <si>
    <t>Melting_Curves/meltCurve_Q13444_8_ADAM15.pdf</t>
  </si>
  <si>
    <t>Melting_Curves/meltCurve_Q13445_TMED1.pdf</t>
  </si>
  <si>
    <t>Melting_Curves/meltCurve_Q13451_FKBP5.pdf</t>
  </si>
  <si>
    <t>Melting_Curves/meltCurve_Q13464_ROCK1.pdf</t>
  </si>
  <si>
    <t>Melting_Curves/meltCurve_Q13480_2_GAB1.pdf</t>
  </si>
  <si>
    <t>Melting_Curves/meltCurve_Q13488_TCIRG1.pdf</t>
  </si>
  <si>
    <t>Melting_Curves/meltCurve_Q13492_3_PICALM.pdf</t>
  </si>
  <si>
    <t>Melting_Curves/meltCurve_Q13496_MTM1.pdf</t>
  </si>
  <si>
    <t>Melting_Curves/meltCurve_Q13501_SQSTM1.pdf</t>
  </si>
  <si>
    <t>Melting_Curves/meltCurve_Q13505_3_MTX1.pdf</t>
  </si>
  <si>
    <t>Melting_Curves/meltCurve_Q13509_TUBB3.pdf</t>
  </si>
  <si>
    <t>Melting_Curves/meltCurve_Q13526_PIN1.pdf</t>
  </si>
  <si>
    <t>Melting_Curves/meltCurve_Q13541_EIF4EBP1.pdf</t>
  </si>
  <si>
    <t>Melting_Curves/meltCurve_Q13542_EIF4EBP2.pdf</t>
  </si>
  <si>
    <t>Melting_Curves/meltCurve_Q13546_RIPK1.pdf</t>
  </si>
  <si>
    <t>Melting_Curves/meltCurve_Q13564_NAE1.pdf</t>
  </si>
  <si>
    <t>Melting_Curves/meltCurve_Q13572_ITPK1.pdf</t>
  </si>
  <si>
    <t>Melting_Curves/meltCurve_Q13573_SNW1.pdf</t>
  </si>
  <si>
    <t>Melting_Curves/meltCurve_Q13586_STIM1.pdf</t>
  </si>
  <si>
    <t>Melting_Curves/meltCurve_Q13595_2_TRA2A.pdf</t>
  </si>
  <si>
    <t>Melting_Curves/meltCurve_Q13596_SNX1.pdf</t>
  </si>
  <si>
    <t>Melting_Curves/meltCurve_Q13610_PWP1.pdf</t>
  </si>
  <si>
    <t>Melting_Curves/meltCurve_Q13616_CUL1.pdf</t>
  </si>
  <si>
    <t>Melting_Curves/meltCurve_Q13617_CUL2.pdf</t>
  </si>
  <si>
    <t>Melting_Curves/meltCurve_Q13618_2_CUL3.pdf</t>
  </si>
  <si>
    <t>Melting_Curves/meltCurve_Q13619_CUL4A.pdf</t>
  </si>
  <si>
    <t>Melting_Curves/meltCurve_Q13625_TP53BP2.pdf</t>
  </si>
  <si>
    <t>Melting_Curves/meltCurve_Q13630_TSTA3.pdf</t>
  </si>
  <si>
    <t>Melting_Curves/meltCurve_Q13636_RAB31.pdf</t>
  </si>
  <si>
    <t>Melting_Curves/meltCurve_Q13637_RAB32.pdf</t>
  </si>
  <si>
    <t>Melting_Curves/meltCurve_Q13641_TPBG.pdf</t>
  </si>
  <si>
    <t>Melting_Curves/meltCurve_Q13642_5_FHL1.pdf</t>
  </si>
  <si>
    <t>Melting_Curves/meltCurve_Q13643_FHL3.pdf</t>
  </si>
  <si>
    <t>Melting_Curves/meltCurve_Q13671_RIN1.pdf</t>
  </si>
  <si>
    <t>Melting_Curves/meltCurve_Q13683_3_ITGA7.pdf</t>
  </si>
  <si>
    <t>Melting_Curves/meltCurve_Q13724_MOGS.pdf</t>
  </si>
  <si>
    <t>Melting_Curves/meltCurve_Q13740_2_ALCAM.pdf</t>
  </si>
  <si>
    <t>Melting_Curves/meltCurve_Q13795_ARFRP1.pdf</t>
  </si>
  <si>
    <t>Melting_Curves/meltCurve_Q13813_SPTAN1.pdf</t>
  </si>
  <si>
    <t>Melting_Curves/meltCurve_Q13813_3_SPTAN1.pdf</t>
  </si>
  <si>
    <t>Melting_Curves/meltCurve_Q13825_AUH.pdf</t>
  </si>
  <si>
    <t>Melting_Curves/meltCurve_Q13868_EXOSC2.pdf</t>
  </si>
  <si>
    <t>Melting_Curves/meltCurve_Q13873_BMPR2.pdf</t>
  </si>
  <si>
    <t>Melting_Curves/meltCurve_Q13884_SNTB1.pdf</t>
  </si>
  <si>
    <t>Melting_Curves/meltCurve_Q13885_TUBB2A.pdf</t>
  </si>
  <si>
    <t>Melting_Curves/meltCurve_Q13895_BYSL.pdf</t>
  </si>
  <si>
    <t>Melting_Curves/meltCurve_Q13905_2_RAPGEF1.pdf</t>
  </si>
  <si>
    <t>Melting_Curves/meltCurve_Q13907_IDI1.pdf</t>
  </si>
  <si>
    <t>Melting_Curves/meltCurve_Q13951_2_CBFB.pdf</t>
  </si>
  <si>
    <t>Melting_Curves/meltCurve_Q13952_3_NFYC.pdf</t>
  </si>
  <si>
    <t>Melting_Curves/meltCurve_Q13976_2_PRKG1.pdf</t>
  </si>
  <si>
    <t>Melting_Curves/meltCurve_Q14008_2_CKAP5.pdf</t>
  </si>
  <si>
    <t>Melting_Curves/meltCurve_Q14011_CIRBP.pdf</t>
  </si>
  <si>
    <t>Melting_Curves/meltCurve_Q14012_CAMK1.pdf</t>
  </si>
  <si>
    <t>Melting_Curves/meltCurve_Q14019_COTL1.pdf</t>
  </si>
  <si>
    <t>Melting_Curves/meltCurve_Q14061_COX17.pdf</t>
  </si>
  <si>
    <t>Melting_Curves/meltCurve_Q14103_3_HNRNPD.pdf</t>
  </si>
  <si>
    <t>Melting_Curves/meltCurve_Q14108_SCARB2.pdf</t>
  </si>
  <si>
    <t>Melting_Curves/meltCurve_Q14112_2_NID2.pdf</t>
  </si>
  <si>
    <t>Melting_Curves/meltCurve_Q14114_4_LRP8.pdf</t>
  </si>
  <si>
    <t>Melting_Curves/meltCurve_Q14118_DAG1.pdf</t>
  </si>
  <si>
    <t>Melting_Curves/meltCurve_Q14123_2_PDE1C.pdf</t>
  </si>
  <si>
    <t>Melting_Curves/meltCurve_Q14139_UBE4A.pdf</t>
  </si>
  <si>
    <t>Melting_Curves/meltCurve_Q14151_SAFB2.pdf</t>
  </si>
  <si>
    <t>Melting_Curves/meltCurve_Q14152_EIF3A.pdf</t>
  </si>
  <si>
    <t>Melting_Curves/meltCurve_Q14157_UBAP2L.pdf</t>
  </si>
  <si>
    <t>Melting_Curves/meltCurve_Q14160_SCRIB.pdf</t>
  </si>
  <si>
    <t>Melting_Curves/meltCurve_Q14165_MLEC.pdf</t>
  </si>
  <si>
    <t>Melting_Curves/meltCurve_Q14166_TTLL12.pdf</t>
  </si>
  <si>
    <t>Melting_Curves/meltCurve_Q14185_DOCK1.pdf</t>
  </si>
  <si>
    <t>Melting_Curves/meltCurve_Q14195_2_DPYSL3.pdf</t>
  </si>
  <si>
    <t>Melting_Curves/meltCurve_Q14204_DYNC1H1.pdf</t>
  </si>
  <si>
    <t>Melting_Curves/meltCurve_Q14232_EIF2B1.pdf</t>
  </si>
  <si>
    <t>Melting_Curves/meltCurve_Q14240_2_EIF4A2.pdf</t>
  </si>
  <si>
    <t>Melting_Curves/meltCurve_Q14241_TCEB3.pdf</t>
  </si>
  <si>
    <t>Melting_Curves/meltCurve_Q14247_CTTN.pdf</t>
  </si>
  <si>
    <t>Melting_Curves/meltCurve_Q14247_2_CTTN.pdf</t>
  </si>
  <si>
    <t>Melting_Curves/meltCurve_Q14254_FLOT2.pdf</t>
  </si>
  <si>
    <t>Melting_Curves/meltCurve_Q14257_RCN2.pdf</t>
  </si>
  <si>
    <t>Melting_Curves/meltCurve_Q14258_TRIM25.pdf</t>
  </si>
  <si>
    <t>Melting_Curves/meltCurve_Q14315_FLNC.pdf</t>
  </si>
  <si>
    <t>Melting_Curves/meltCurve_Q14318_2_FKBP8.pdf</t>
  </si>
  <si>
    <t>Melting_Curves/meltCurve_Q14320_FAM50A.pdf</t>
  </si>
  <si>
    <t>Melting_Curves/meltCurve_Q14331_FRG1.pdf</t>
  </si>
  <si>
    <t>Melting_Curves/meltCurve_Q14332_FZD2.pdf</t>
  </si>
  <si>
    <t>Melting_Curves/meltCurve_Q14344_GNA13.pdf</t>
  </si>
  <si>
    <t>Melting_Curves/meltCurve_Q14353_GAMT.pdf</t>
  </si>
  <si>
    <t>Melting_Curves/meltCurve_Q14376_GALE.pdf</t>
  </si>
  <si>
    <t>Melting_Curves/meltCurve_Q14392_LRRC32.pdf</t>
  </si>
  <si>
    <t>Melting_Curves/meltCurve_Q14393_2_GAS6.pdf</t>
  </si>
  <si>
    <t>Melting_Curves/meltCurve_Q14444_2_CAPRIN1.pdf</t>
  </si>
  <si>
    <t>Melting_Curves/meltCurve_Q14498_3_RBM39.pdf</t>
  </si>
  <si>
    <t>Melting_Curves/meltCurve_Q14511_3_NEDD9.pdf</t>
  </si>
  <si>
    <t>Melting_Curves/meltCurve_Q14517_FAT1.pdf</t>
  </si>
  <si>
    <t>Melting_Curves/meltCurve_Q14520_2_HABP2.pdf</t>
  </si>
  <si>
    <t>Melting_Curves/meltCurve_Q14534_SQLE.pdf</t>
  </si>
  <si>
    <t>Melting_Curves/meltCurve_Q14554_PDIA5.pdf</t>
  </si>
  <si>
    <t>Melting_Curves/meltCurve_Q14642_INPP5A.pdf</t>
  </si>
  <si>
    <t>Melting_Curves/meltCurve_Q14651_PLS1.pdf</t>
  </si>
  <si>
    <t>Melting_Curves/meltCurve_Q14653_IRF3.pdf</t>
  </si>
  <si>
    <t>Melting_Curves/meltCurve_Q14657_LAGE3.pdf</t>
  </si>
  <si>
    <t>Melting_Curves/meltCurve_Q14669_3_TRIP12.pdf</t>
  </si>
  <si>
    <t>Melting_Curves/meltCurve_Q14676_4_MDC1.pdf</t>
  </si>
  <si>
    <t>Melting_Curves/meltCurve_Q14677_CLINT1.pdf</t>
  </si>
  <si>
    <t>Melting_Curves/meltCurve_Q14694_USP10.pdf</t>
  </si>
  <si>
    <t>Melting_Curves/meltCurve_Q14696_MESDC2.pdf</t>
  </si>
  <si>
    <t>Melting_Curves/meltCurve_Q14697_GANAB.pdf</t>
  </si>
  <si>
    <t>Melting_Curves/meltCurve_Q14697_2_GANAB.pdf</t>
  </si>
  <si>
    <t>Melting_Curves/meltCurve_Q14699_RFTN1.pdf</t>
  </si>
  <si>
    <t>Melting_Curves/meltCurve_Q14714_SSPN.pdf</t>
  </si>
  <si>
    <t>Melting_Curves/meltCurve_Q14739_LBR.pdf</t>
  </si>
  <si>
    <t>Melting_Curves/meltCurve_Q14764_MVP.pdf</t>
  </si>
  <si>
    <t>Melting_Curves/meltCurve_Q14789_2_GOLGB1.pdf</t>
  </si>
  <si>
    <t>Melting_Curves/meltCurve_Q14790_CASP8.pdf</t>
  </si>
  <si>
    <t>Melting_Curves/meltCurve_Q147X3_NAA30.pdf</t>
  </si>
  <si>
    <t>Melting_Curves/meltCurve_Q14847_LASP1.pdf</t>
  </si>
  <si>
    <t>Melting_Curves/meltCurve_Q14872_MTF1.pdf</t>
  </si>
  <si>
    <t>Melting_Curves/meltCurve_Q14914_2_PTGR1.pdf</t>
  </si>
  <si>
    <t>Melting_Curves/meltCurve_Q14934_13_NFATC4.pdf</t>
  </si>
  <si>
    <t>Melting_Curves/meltCurve_Q14964_RAB39A.pdf</t>
  </si>
  <si>
    <t>Melting_Curves/meltCurve_Q14966_ZNF638.pdf</t>
  </si>
  <si>
    <t>Melting_Curves/meltCurve_Q14974_KPNB1.pdf</t>
  </si>
  <si>
    <t>Melting_Curves/meltCurve_Q14978_NOLC1.pdf</t>
  </si>
  <si>
    <t>Melting_Curves/meltCurve_Q14980_NUMA1.pdf</t>
  </si>
  <si>
    <t>Melting_Curves/meltCurve_Q14BN4_2_SLMAP.pdf</t>
  </si>
  <si>
    <t>Melting_Curves/meltCurve_Q14C86_3_GAPVD1.pdf</t>
  </si>
  <si>
    <t>Melting_Curves/meltCurve_Q14CS0_UBXN2B.pdf</t>
  </si>
  <si>
    <t>Melting_Curves/meltCurve_Q14CX7_2_NAA25.pdf</t>
  </si>
  <si>
    <t>Melting_Curves/meltCurve_Q15006_EMC2.pdf</t>
  </si>
  <si>
    <t>Melting_Curves/meltCurve_Q15008_PSMD6.pdf</t>
  </si>
  <si>
    <t>Melting_Curves/meltCurve_Q15011_3_HERPUD1.pdf</t>
  </si>
  <si>
    <t>Melting_Curves/meltCurve_Q15012_LAPTM4A.pdf</t>
  </si>
  <si>
    <t>Melting_Curves/meltCurve_Q15018_FAM175B.pdf</t>
  </si>
  <si>
    <t>Melting_Curves/meltCurve_Q15024_EXOSC7.pdf</t>
  </si>
  <si>
    <t>Melting_Curves/meltCurve_Q15029_2_EFTUD2.pdf</t>
  </si>
  <si>
    <t>Melting_Curves/meltCurve_Q15031_LARS2.pdf</t>
  </si>
  <si>
    <t>Melting_Curves/meltCurve_Q15032_2_R3HDM1.pdf</t>
  </si>
  <si>
    <t>Melting_Curves/meltCurve_Q15036_SNX17.pdf</t>
  </si>
  <si>
    <t>Melting_Curves/meltCurve_Q15043_2_SLC39A14.pdf</t>
  </si>
  <si>
    <t>Melting_Curves/meltCurve_Q15046_KARS.pdf</t>
  </si>
  <si>
    <t>Melting_Curves/meltCurve_Q15056_EIF4H.pdf</t>
  </si>
  <si>
    <t>Melting_Curves/meltCurve_Q15056_2_EIF4H.pdf</t>
  </si>
  <si>
    <t>Melting_Curves/meltCurve_Q15057_ACAP2.pdf</t>
  </si>
  <si>
    <t>Melting_Curves/meltCurve_Q15061_WDR43.pdf</t>
  </si>
  <si>
    <t>Melting_Curves/meltCurve_Q15067_2_ACOX1.pdf</t>
  </si>
  <si>
    <t>Melting_Curves/meltCurve_Q15075_EEA1.pdf</t>
  </si>
  <si>
    <t>Melting_Curves/meltCurve_Q15102_PAFAH1B3.pdf</t>
  </si>
  <si>
    <t>Melting_Curves/meltCurve_Q15113_PCOLCE.pdf</t>
  </si>
  <si>
    <t>Melting_Curves/meltCurve_Q15118_PDK1.pdf</t>
  </si>
  <si>
    <t>Melting_Curves/meltCurve_Q15119_PDK2.pdf</t>
  </si>
  <si>
    <t>Melting_Curves/meltCurve_Q15121_PEA15.pdf</t>
  </si>
  <si>
    <t>Melting_Curves/meltCurve_Q15124_PGM5.pdf</t>
  </si>
  <si>
    <t>Melting_Curves/meltCurve_Q15126_PMVK.pdf</t>
  </si>
  <si>
    <t>Melting_Curves/meltCurve_Q15139_PRKD1.pdf</t>
  </si>
  <si>
    <t>Melting_Curves/meltCurve_Q15147_PLCB4.pdf</t>
  </si>
  <si>
    <t>Melting_Curves/meltCurve_Q15149_PLEC.pdf</t>
  </si>
  <si>
    <t>Melting_Curves/meltCurve_Q15149_3_PLEC.pdf</t>
  </si>
  <si>
    <t>Melting_Curves/meltCurve_Q15149_4_PLEC.pdf</t>
  </si>
  <si>
    <t>Melting_Curves/meltCurve_Q15149_8_PLEC.pdf</t>
  </si>
  <si>
    <t>Melting_Curves/meltCurve_Q15155_NOMO1.pdf</t>
  </si>
  <si>
    <t>Melting_Curves/meltCurve_Q15170_2_TCEAL1.pdf</t>
  </si>
  <si>
    <t>Melting_Curves/meltCurve_Q15172_PPP2R5A.pdf</t>
  </si>
  <si>
    <t>Melting_Curves/meltCurve_Q15173_2_PPP2R5B.pdf</t>
  </si>
  <si>
    <t>Melting_Curves/meltCurve_Q15181_PPA1.pdf</t>
  </si>
  <si>
    <t>Melting_Curves/meltCurve_Q15208_STK38.pdf</t>
  </si>
  <si>
    <t>Melting_Curves/meltCurve_Q15223_PVRL1.pdf</t>
  </si>
  <si>
    <t>Melting_Curves/meltCurve_Q15233_2_NONO.pdf</t>
  </si>
  <si>
    <t>Melting_Curves/meltCurve_Q15274_QPRT.pdf</t>
  </si>
  <si>
    <t>Melting_Curves/meltCurve_Q15276_RABEP1.pdf</t>
  </si>
  <si>
    <t>Melting_Curves/meltCurve_Q15283_2_RASA2.pdf</t>
  </si>
  <si>
    <t>Melting_Curves/meltCurve_Q15286_RAB35.pdf</t>
  </si>
  <si>
    <t>Melting_Curves/meltCurve_Q15291_2_RBBP5.pdf</t>
  </si>
  <si>
    <t>Melting_Curves/meltCurve_Q15293_RCN1.pdf</t>
  </si>
  <si>
    <t>Melting_Curves/meltCurve_Q15311_RALBP1.pdf</t>
  </si>
  <si>
    <t>Melting_Curves/meltCurve_Q15334_LLGL1.pdf</t>
  </si>
  <si>
    <t>Melting_Curves/meltCurve_Q15363_TMED2.pdf</t>
  </si>
  <si>
    <t>Melting_Curves/meltCurve_Q15365_PCBP1.pdf</t>
  </si>
  <si>
    <t>Melting_Curves/meltCurve_Q15370_TCEB2.pdf</t>
  </si>
  <si>
    <t>Melting_Curves/meltCurve_Q15382_RHEB.pdf</t>
  </si>
  <si>
    <t>Melting_Curves/meltCurve_Q15386_UBE3C.pdf</t>
  </si>
  <si>
    <t>Melting_Curves/meltCurve_Q15393_SF3B3.pdf</t>
  </si>
  <si>
    <t>Melting_Curves/meltCurve_Q15404_RSU1.pdf</t>
  </si>
  <si>
    <t>Melting_Curves/meltCurve_Q15417_CNN3.pdf</t>
  </si>
  <si>
    <t>Melting_Curves/meltCurve_Q15424_SAFB.pdf</t>
  </si>
  <si>
    <t>Melting_Curves/meltCurve_Q15427_SF3B4.pdf</t>
  </si>
  <si>
    <t>Melting_Curves/meltCurve_Q15428_SF3A2.pdf</t>
  </si>
  <si>
    <t>Melting_Curves/meltCurve_Q15435_PPP1R7.pdf</t>
  </si>
  <si>
    <t>Melting_Curves/meltCurve_Q15437_SEC23B.pdf</t>
  </si>
  <si>
    <t>Melting_Curves/meltCurve_Q15438_2_CYTH1.pdf</t>
  </si>
  <si>
    <t>Melting_Curves/meltCurve_Q15459_SF3A1.pdf</t>
  </si>
  <si>
    <t>Melting_Curves/meltCurve_Q15464_SHB.pdf</t>
  </si>
  <si>
    <t>Melting_Curves/meltCurve_Q15493_RGN.pdf</t>
  </si>
  <si>
    <t>Melting_Curves/meltCurve_Q15506_SPA17.pdf</t>
  </si>
  <si>
    <t>Melting_Curves/meltCurve_Q15526_2_SURF1.pdf</t>
  </si>
  <si>
    <t>Melting_Curves/meltCurve_Q15545_TAF7.pdf</t>
  </si>
  <si>
    <t>Melting_Curves/meltCurve_Q15555_4_MAPRE2.pdf</t>
  </si>
  <si>
    <t>Melting_Curves/meltCurve_Q15582_TGFBI.pdf</t>
  </si>
  <si>
    <t>Melting_Curves/meltCurve_Q15599_SLC9A3R2.pdf</t>
  </si>
  <si>
    <t>Melting_Curves/meltCurve_Q15628_TRADD.pdf</t>
  </si>
  <si>
    <t>Melting_Curves/meltCurve_Q15637_5_SF1.pdf</t>
  </si>
  <si>
    <t>Melting_Curves/meltCurve_Q15642_TRIP10.pdf</t>
  </si>
  <si>
    <t>Melting_Curves/meltCurve_Q15642_2_TRIP10.pdf</t>
  </si>
  <si>
    <t>Melting_Curves/meltCurve_Q15643_TRIP11.pdf</t>
  </si>
  <si>
    <t>Melting_Curves/meltCurve_Q15645_TRIP13.pdf</t>
  </si>
  <si>
    <t>Melting_Curves/meltCurve_Q15650_TRIP4.pdf</t>
  </si>
  <si>
    <t>Melting_Curves/meltCurve_Q15654_TRIP6.pdf</t>
  </si>
  <si>
    <t>Melting_Curves/meltCurve_Q15691_MAPRE1.pdf</t>
  </si>
  <si>
    <t>Melting_Curves/meltCurve_Q15714_TSC22D1.pdf</t>
  </si>
  <si>
    <t>Melting_Curves/meltCurve_Q15717_ELAVL1.pdf</t>
  </si>
  <si>
    <t>Melting_Curves/meltCurve_Q15738_NSDHL.pdf</t>
  </si>
  <si>
    <t>Melting_Curves/meltCurve_Q15742_3_NAB2.pdf</t>
  </si>
  <si>
    <t>Melting_Curves/meltCurve_Q15743_GPR68.pdf</t>
  </si>
  <si>
    <t>Melting_Curves/meltCurve_Q15746_6_MYLK.pdf</t>
  </si>
  <si>
    <t>Melting_Curves/meltCurve_Q15750_2_TAB1.pdf</t>
  </si>
  <si>
    <t>Melting_Curves/meltCurve_Q15758_SLC1A5.pdf</t>
  </si>
  <si>
    <t>Melting_Curves/meltCurve_Q15759_MAPK11.pdf</t>
  </si>
  <si>
    <t>Melting_Curves/meltCurve_Q15771_RAB30.pdf</t>
  </si>
  <si>
    <t>Melting_Curves/meltCurve_Q15785_TOMM34.pdf</t>
  </si>
  <si>
    <t>Melting_Curves/meltCurve_Q15796_2_SMAD2.pdf</t>
  </si>
  <si>
    <t>Melting_Curves/meltCurve_Q15800_MSMO1.pdf</t>
  </si>
  <si>
    <t>Melting_Curves/meltCurve_Q15814_TBCC.pdf</t>
  </si>
  <si>
    <t>Melting_Curves/meltCurve_Q15819_UBE2V2.pdf</t>
  </si>
  <si>
    <t>Melting_Curves/meltCurve_Q15831_2_STK11.pdf</t>
  </si>
  <si>
    <t>Melting_Curves/meltCurve_Q15833_2_STXBP2.pdf</t>
  </si>
  <si>
    <t>Melting_Curves/meltCurve_Q15834_CCDC85B.pdf</t>
  </si>
  <si>
    <t>Melting_Curves/meltCurve_Q15836_VAMP3.pdf</t>
  </si>
  <si>
    <t>Melting_Curves/meltCurve_Q15847_ADIRF.pdf</t>
  </si>
  <si>
    <t>Melting_Curves/meltCurve_Q15904_ATP6AP1.pdf</t>
  </si>
  <si>
    <t>Melting_Curves/meltCurve_Q15907_RAB11B.pdf</t>
  </si>
  <si>
    <t>Melting_Curves/meltCurve_Q15942_ZYX.pdf</t>
  </si>
  <si>
    <t>Melting_Curves/meltCurve_Q16082_HSPB2.pdf</t>
  </si>
  <si>
    <t>Melting_Curves/meltCurve_Q16134_ETFDH.pdf</t>
  </si>
  <si>
    <t>Melting_Curves/meltCurve_Q16143_SNCB.pdf</t>
  </si>
  <si>
    <t>Melting_Curves/meltCurve_Q16181_SEPT7.pdf</t>
  </si>
  <si>
    <t>Melting_Curves/meltCurve_Q16186_ADRM1.pdf</t>
  </si>
  <si>
    <t>Melting_Curves/meltCurve_Q16204_CCDC6.pdf</t>
  </si>
  <si>
    <t>Melting_Curves/meltCurve_Q16222_3_UAP1.pdf</t>
  </si>
  <si>
    <t>Melting_Curves/meltCurve_Q16254_E2F4.pdf</t>
  </si>
  <si>
    <t>Melting_Curves/meltCurve_Q16270_2_IGFBP7.pdf</t>
  </si>
  <si>
    <t>Melting_Curves/meltCurve_Q16352_INA.pdf</t>
  </si>
  <si>
    <t>Melting_Curves/meltCurve_Q16363_2_LAMA4.pdf</t>
  </si>
  <si>
    <t>Melting_Curves/meltCurve_Q16401_2_PSMD5.pdf</t>
  </si>
  <si>
    <t>Melting_Curves/meltCurve_Q16512_PKN1.pdf</t>
  </si>
  <si>
    <t>Melting_Curves/meltCurve_Q16513_PKN2.pdf</t>
  </si>
  <si>
    <t>Melting_Curves/meltCurve_Q16531_DDB1.pdf</t>
  </si>
  <si>
    <t>Melting_Curves/meltCurve_Q16539_MAPK14.pdf</t>
  </si>
  <si>
    <t>Melting_Curves/meltCurve_Q16543_CDC37.pdf</t>
  </si>
  <si>
    <t>Melting_Curves/meltCurve_Q16555_DPYSL2.pdf</t>
  </si>
  <si>
    <t>Melting_Curves/meltCurve_Q16566_CAMK4.pdf</t>
  </si>
  <si>
    <t>Melting_Curves/meltCurve_Q16585_SGCB.pdf</t>
  </si>
  <si>
    <t>Melting_Curves/meltCurve_Q16610_ECM1.pdf</t>
  </si>
  <si>
    <t>Melting_Curves/meltCurve_Q16619_2_CTF1.pdf</t>
  </si>
  <si>
    <t>Melting_Curves/meltCurve_Q16625_5_OCLN.pdf</t>
  </si>
  <si>
    <t>Melting_Curves/meltCurve_Q16626_MEA1.pdf</t>
  </si>
  <si>
    <t>Melting_Curves/meltCurve_Q16643_DBN1.pdf</t>
  </si>
  <si>
    <t>Melting_Curves/meltCurve_Q16644_MAPKAPK3.pdf</t>
  </si>
  <si>
    <t>Melting_Curves/meltCurve_Q16647_PTGIS.pdf</t>
  </si>
  <si>
    <t>Melting_Curves/meltCurve_Q16658_FSCN1.pdf</t>
  </si>
  <si>
    <t>Melting_Curves/meltCurve_Q16706_MAN2A1.pdf</t>
  </si>
  <si>
    <t>Melting_Curves/meltCurve_Q16718_NDUFA5.pdf</t>
  </si>
  <si>
    <t>Melting_Curves/meltCurve_Q16719_2_KYNU.pdf</t>
  </si>
  <si>
    <t>Melting_Curves/meltCurve_Q16740_CLPP.pdf</t>
  </si>
  <si>
    <t>Melting_Curves/meltCurve_Q16762_TST.pdf</t>
  </si>
  <si>
    <t>Melting_Curves/meltCurve_Q16763_UBE2S.pdf</t>
  </si>
  <si>
    <t>Melting_Curves/meltCurve_Q16778_HIST2H2BE.pdf</t>
  </si>
  <si>
    <t>Melting_Curves/meltCurve_Q16799_RTN1.pdf</t>
  </si>
  <si>
    <t>Melting_Curves/meltCurve_Q16822_PCK2.pdf</t>
  </si>
  <si>
    <t>Melting_Curves/meltCurve_Q16825_PTPN21.pdf</t>
  </si>
  <si>
    <t>Melting_Curves/meltCurve_Q16831_UPP1.pdf</t>
  </si>
  <si>
    <t>Melting_Curves/meltCurve_Q16832_DDR2.pdf</t>
  </si>
  <si>
    <t>Melting_Curves/meltCurve_Q16850_CYP51A1.pdf</t>
  </si>
  <si>
    <t>Melting_Curves/meltCurve_Q16851_UGP2.pdf</t>
  </si>
  <si>
    <t>Melting_Curves/meltCurve_Q16854_DGUOK.pdf</t>
  </si>
  <si>
    <t>Melting_Curves/meltCurve_Q16864_ATP6V1F.pdf</t>
  </si>
  <si>
    <t>Melting_Curves/meltCurve_Q17R31_2_TATDN3.pdf</t>
  </si>
  <si>
    <t>Melting_Curves/meltCurve_Q1RMZ1_C7orf60.pdf</t>
  </si>
  <si>
    <t>Melting_Curves/meltCurve_Q27J81_INF2.pdf</t>
  </si>
  <si>
    <t>Melting_Curves/meltCurve_Q29RF7_PDS5A.pdf</t>
  </si>
  <si>
    <t>Melting_Curves/meltCurve_Q2M1Z3_ARHGAP31.pdf</t>
  </si>
  <si>
    <t>Melting_Curves/meltCurve_Q2M2I8_2_AAK1.pdf</t>
  </si>
  <si>
    <t>Melting_Curves/meltCurve_Q2NL98_VMAC.pdf</t>
  </si>
  <si>
    <t>Melting_Curves/meltCurve_Q2T9J0_2_TYSND1.pdf</t>
  </si>
  <si>
    <t>Melting_Curves/meltCurve_Q2TAA5_ALG11.pdf</t>
  </si>
  <si>
    <t>Melting_Curves/meltCurve_Q2TAL8_QRICH1.pdf</t>
  </si>
  <si>
    <t>Melting_Curves/meltCurve_Q2TAM5_RELA.pdf</t>
  </si>
  <si>
    <t>Melting_Curves/meltCurve_Q2TAY7_SMU1.pdf</t>
  </si>
  <si>
    <t>Melting_Curves/meltCurve_Q2VPS2_STX1B.pdf</t>
  </si>
  <si>
    <t>Melting_Curves/meltCurve_Q30201_5_HFE.pdf</t>
  </si>
  <si>
    <t>Melting_Curves/meltCurve_Q32MZ4_3_LRRFIP1.pdf</t>
  </si>
  <si>
    <t>Melting_Curves/meltCurve_Q32MZ4_4_LRRFIP1.pdf</t>
  </si>
  <si>
    <t>Melting_Curves/meltCurve_Q32P28_LEPRE1.pdf</t>
  </si>
  <si>
    <t>Melting_Curves/meltCurve_Q32P41_TRMT5.pdf</t>
  </si>
  <si>
    <t>Melting_Curves/meltCurve_Q32Q12_NME1_NME2.pdf</t>
  </si>
  <si>
    <t>Melting_Curves/meltCurve_Q3B726_TWISTNB.pdf</t>
  </si>
  <si>
    <t>Melting_Curves/meltCurve_Q3KQU3_2_MAP7D1.pdf</t>
  </si>
  <si>
    <t>Melting_Curves/meltCurve_Q3KQV9_UAP1L1.pdf</t>
  </si>
  <si>
    <t>Melting_Curves/meltCurve_Q3KQZ1_3_SLC25A35.pdf</t>
  </si>
  <si>
    <t>Melting_Curves/meltCurve_Q3KRA6_C2orf76.pdf</t>
  </si>
  <si>
    <t>Melting_Curves/meltCurve_Q3KRA9_ALKBH6.pdf</t>
  </si>
  <si>
    <t>Melting_Curves/meltCurve_Q3LXA3_DAK.pdf</t>
  </si>
  <si>
    <t>Melting_Curves/meltCurve_Q3MHD2_LSM12.pdf</t>
  </si>
  <si>
    <t>Melting_Curves/meltCurve_Q3MIT2_PUS10.pdf</t>
  </si>
  <si>
    <t>Melting_Curves/meltCurve_Q3SXM5_HSDL1.pdf</t>
  </si>
  <si>
    <t>Melting_Curves/meltCurve_Q3SY69_ALDH1L2.pdf</t>
  </si>
  <si>
    <t>Melting_Curves/meltCurve_Q3T906_GNPTAB.pdf</t>
  </si>
  <si>
    <t>Melting_Curves/meltCurve_Q3V6T2_4_CCDC88A.pdf</t>
  </si>
  <si>
    <t>Melting_Curves/meltCurve_Q3YEC7_RABL6.pdf</t>
  </si>
  <si>
    <t>Melting_Curves/meltCurve_Q3ZCM7_TUBB8.pdf</t>
  </si>
  <si>
    <t>Melting_Curves/meltCurve_Q3ZCQ8_TIMM50.pdf</t>
  </si>
  <si>
    <t>Melting_Curves/meltCurve_Q3ZCW2_LGALSL.pdf</t>
  </si>
  <si>
    <t>Melting_Curves/meltCurve_Q495W5_2_FUT11.pdf</t>
  </si>
  <si>
    <t>Melting_Curves/meltCurve_Q49AH0_2_CDNF.pdf</t>
  </si>
  <si>
    <t>Melting_Curves/meltCurve_Q49AR2_C5orf22.pdf</t>
  </si>
  <si>
    <t>Melting_Curves/meltCurve_Q49B96_COX19.pdf</t>
  </si>
  <si>
    <t>Melting_Curves/meltCurve_Q4G0F5_VPS26B.pdf</t>
  </si>
  <si>
    <t>Melting_Curves/meltCurve_Q4G0I0_CCSMST1.pdf</t>
  </si>
  <si>
    <t>Melting_Curves/meltCurve_Q4G0N4_NADKD1.pdf</t>
  </si>
  <si>
    <t>Melting_Curves/meltCurve_Q4G0P3_HYDIN.pdf</t>
  </si>
  <si>
    <t>Melting_Curves/meltCurve_Q4G0X4_KCTD21.pdf</t>
  </si>
  <si>
    <t>Melting_Curves/meltCurve_Q4G148_2_GXYLT1.pdf</t>
  </si>
  <si>
    <t>Melting_Curves/meltCurve_Q4G176_ACSF3.pdf</t>
  </si>
  <si>
    <t>Melting_Curves/meltCurve_Q4J6C6_4_PREPL.pdf</t>
  </si>
  <si>
    <t>Melting_Curves/meltCurve_Q4KMP7_TBC1D10B.pdf</t>
  </si>
  <si>
    <t>Melting_Curves/meltCurve_Q4KMQ2_3_ANO6.pdf</t>
  </si>
  <si>
    <t>Melting_Curves/meltCurve_Q4KWH8_3_PLCH1.pdf</t>
  </si>
  <si>
    <t>Melting_Curves/meltCurve_Q4L180_3_FILIP1L.pdf</t>
  </si>
  <si>
    <t>Melting_Curves/meltCurve_Q4LDE5_SVEP1.pdf</t>
  </si>
  <si>
    <t>Melting_Curves/meltCurve_Q4LDG9_DNAL1.pdf</t>
  </si>
  <si>
    <t>Melting_Curves/meltCurve_Q4V328_GRIPAP1.pdf</t>
  </si>
  <si>
    <t>Melting_Curves/meltCurve_Q4V9L6_TMEM119.pdf</t>
  </si>
  <si>
    <t>Melting_Curves/meltCurve_Q4VC05_BCL7A.pdf</t>
  </si>
  <si>
    <t>Melting_Curves/meltCurve_Q4VXL4_TACC2.pdf</t>
  </si>
  <si>
    <t>Melting_Curves/meltCurve_Q4VXZ8_DECR2.pdf</t>
  </si>
  <si>
    <t>Melting_Curves/meltCurve_Q4ZIN3_2_TMEM259.pdf</t>
  </si>
  <si>
    <t>Melting_Curves/meltCurve_Q52LD8_RFTN2.pdf</t>
  </si>
  <si>
    <t>Melting_Curves/meltCurve_Q52LJ0_2_FAM98B.pdf</t>
  </si>
  <si>
    <t>Melting_Curves/meltCurve_Q52LW3_ARHGAP29.pdf</t>
  </si>
  <si>
    <t>Melting_Curves/meltCurve_Q53EL6_2_PDCD4.pdf</t>
  </si>
  <si>
    <t>Melting_Curves/meltCurve_Q53EP0_FNDC3B.pdf</t>
  </si>
  <si>
    <t>Melting_Curves/meltCurve_Q53F39_MPPE1.pdf</t>
  </si>
  <si>
    <t>Melting_Curves/meltCurve_Q53FA7_TP53I3.pdf</t>
  </si>
  <si>
    <t>Melting_Curves/meltCurve_Q53FP2_TMEM35.pdf</t>
  </si>
  <si>
    <t>Melting_Curves/meltCurve_Q53FT3_C11orf73.pdf</t>
  </si>
  <si>
    <t>Melting_Curves/meltCurve_Q53GA4_PHLDA2.pdf</t>
  </si>
  <si>
    <t>Melting_Curves/meltCurve_Q53GG5_2_PDLIM3.pdf</t>
  </si>
  <si>
    <t>Melting_Curves/meltCurve_Q53GQ0_HSD17B12.pdf</t>
  </si>
  <si>
    <t>Melting_Curves/meltCurve_Q53H82_LACTB2.pdf</t>
  </si>
  <si>
    <t>Melting_Curves/meltCurve_Q53HV7_SMUG1.pdf</t>
  </si>
  <si>
    <t>Melting_Curves/meltCurve_Q53QV2_LBH.pdf</t>
  </si>
  <si>
    <t>Melting_Curves/meltCurve_Q53S33_BOLA3.pdf</t>
  </si>
  <si>
    <t>Melting_Curves/meltCurve_Q53T59_HS1BP3.pdf</t>
  </si>
  <si>
    <t>Melting_Curves/meltCurve_Q53TN4_3_CYBRD1.pdf</t>
  </si>
  <si>
    <t>Melting_Curves/meltCurve_Q53TS8_4_ALS2CR11.pdf</t>
  </si>
  <si>
    <t>Melting_Curves/meltCurve_Q53XA7_DKFZp686F13224.pdf</t>
  </si>
  <si>
    <t>Melting_Curves/meltCurve_Q562R1_ACTBL2.pdf</t>
  </si>
  <si>
    <t>Melting_Curves/meltCurve_Q567Q0_PPIA.pdf</t>
  </si>
  <si>
    <t>Melting_Curves/meltCurve_Q569H4_PRR16.pdf</t>
  </si>
  <si>
    <t>Melting_Curves/meltCurve_Q56VL3_OCIAD2.pdf</t>
  </si>
  <si>
    <t>Melting_Curves/meltCurve_Q587I9_SFT2D3.pdf</t>
  </si>
  <si>
    <t>Melting_Curves/meltCurve_Q58DX5_NAALADL2.pdf</t>
  </si>
  <si>
    <t>Melting_Curves/meltCurve_Q58FF8_HSP90AB2P.pdf</t>
  </si>
  <si>
    <t>Melting_Curves/meltCurve_Q58FG1_HSP90AA4P.pdf</t>
  </si>
  <si>
    <t>Melting_Curves/meltCurve_Q58WW2_3_DCAF6.pdf</t>
  </si>
  <si>
    <t>Melting_Curves/meltCurve_Q59GN2_RPL39P5.pdf</t>
  </si>
  <si>
    <t>Melting_Curves/meltCurve_Q5BJH7_6_YIF1B.pdf</t>
  </si>
  <si>
    <t>Melting_Curves/meltCurve_Q5BKU9_OXLD1.pdf</t>
  </si>
  <si>
    <t>Melting_Curves/meltCurve_Q5D1E8_ZC3H12A.pdf</t>
  </si>
  <si>
    <t>Melting_Curves/meltCurve_Q5EBL4_RILPL1.pdf</t>
  </si>
  <si>
    <t>Melting_Curves/meltCurve_Q5EBL8_PDZD11.pdf</t>
  </si>
  <si>
    <t>Melting_Curves/meltCurve_Q5GJ75_TNFAIP8L3.pdf</t>
  </si>
  <si>
    <t>Melting_Curves/meltCurve_Q5GLZ8_2_HERC4.pdf</t>
  </si>
  <si>
    <t>Melting_Curves/meltCurve_Q5H937_PKIG.pdf</t>
  </si>
  <si>
    <t>Melting_Curves/meltCurve_Q5H993_DCBLD1.pdf</t>
  </si>
  <si>
    <t>Melting_Curves/meltCurve_Q5H9A7_TIMP1.pdf</t>
  </si>
  <si>
    <t>Melting_Curves/meltCurve_Q5HYI7_MTX3.pdf</t>
  </si>
  <si>
    <t>Melting_Curves/meltCurve_Q5HYI8_RABL3.pdf</t>
  </si>
  <si>
    <t>Melting_Curves/meltCurve_Q5HYK3_COQ5.pdf</t>
  </si>
  <si>
    <t>Melting_Curves/meltCurve_Q5HYK7_SH3D19.pdf</t>
  </si>
  <si>
    <t>Melting_Curves/meltCurve_Q5JP53_TUBB.pdf</t>
  </si>
  <si>
    <t>Melting_Curves/meltCurve_Q5JPE7_2_NOMO2.pdf</t>
  </si>
  <si>
    <t>Melting_Curves/meltCurve_Q5JPH6_EARS2.pdf</t>
  </si>
  <si>
    <t>Melting_Curves/meltCurve_Q5JPI9_METTL10.pdf</t>
  </si>
  <si>
    <t>Melting_Curves/meltCurve_Q5JQ13_VCL.pdf</t>
  </si>
  <si>
    <t>Melting_Curves/meltCurve_Q5JQQ4_DPCD.pdf</t>
  </si>
  <si>
    <t>Melting_Curves/meltCurve_Q5JR01_EEF1A1.pdf</t>
  </si>
  <si>
    <t>Melting_Curves/meltCurve_Q5JR08_RHOC.pdf</t>
  </si>
  <si>
    <t>Melting_Curves/meltCurve_Q5JRA6_MIA3.pdf</t>
  </si>
  <si>
    <t>Melting_Curves/meltCurve_Q5JRG1_NUPL1.pdf</t>
  </si>
  <si>
    <t>Melting_Curves/meltCurve_Q5JRI1_SRSF10.pdf</t>
  </si>
  <si>
    <t>Melting_Curves/meltCurve_Q5JRX3_PITRM1.pdf</t>
  </si>
  <si>
    <t>Melting_Curves/meltCurve_Q5JS37_NHLRC3.pdf</t>
  </si>
  <si>
    <t>Melting_Curves/meltCurve_Q5JS54_PSMG4.pdf</t>
  </si>
  <si>
    <t>Melting_Curves/meltCurve_Q5JSB6_TFDP1.pdf</t>
  </si>
  <si>
    <t>Melting_Curves/meltCurve_Q5JSH3_2_WDR44.pdf</t>
  </si>
  <si>
    <t>Melting_Curves/meltCurve_Q5JSK7_HMGN5.pdf</t>
  </si>
  <si>
    <t>Melting_Curves/meltCurve_Q5JSZ5_PRRC2B.pdf</t>
  </si>
  <si>
    <t>Melting_Curves/meltCurve_Q5JT25_2_RAB41.pdf</t>
  </si>
  <si>
    <t>Melting_Curves/meltCurve_Q5JTD0_2_TJAP1.pdf</t>
  </si>
  <si>
    <t>Melting_Curves/meltCurve_Q5JTJ3_3_COA6.pdf</t>
  </si>
  <si>
    <t>Melting_Curves/meltCurve_Q5JTV1_GMEB2.pdf</t>
  </si>
  <si>
    <t>Melting_Curves/meltCurve_Q5JTV8_TOR1AIP1.pdf</t>
  </si>
  <si>
    <t>Melting_Curves/meltCurve_Q5JTZ9_AARS2.pdf</t>
  </si>
  <si>
    <t>Melting_Curves/meltCurve_Q5JU21_FPGS.pdf</t>
  </si>
  <si>
    <t>Melting_Curves/meltCurve_Q5JU69_TOR2A.pdf</t>
  </si>
  <si>
    <t>Melting_Curves/meltCurve_Q5JU85_IQSEC2.pdf</t>
  </si>
  <si>
    <t>Melting_Curves/meltCurve_Q5JV73_FRMPD3.pdf</t>
  </si>
  <si>
    <t>Melting_Curves/meltCurve_Q5JVF3_3_PCID2.pdf</t>
  </si>
  <si>
    <t>Melting_Curves/meltCurve_Q5JVS0_HABP4.pdf</t>
  </si>
  <si>
    <t>Melting_Curves/meltCurve_Q5JVZ5_ELMO2.pdf</t>
  </si>
  <si>
    <t>Melting_Curves/meltCurve_Q5JW30_STAU1.pdf</t>
  </si>
  <si>
    <t>Melting_Curves/meltCurve_Q5JWB9_TMEM230.pdf</t>
  </si>
  <si>
    <t>Melting_Curves/meltCurve_Q5JXX2_MORF4L2.pdf</t>
  </si>
  <si>
    <t>Melting_Curves/meltCurve_Q5JYT7_KIAA1755.pdf</t>
  </si>
  <si>
    <t>Melting_Curves/meltCurve_Q5JZH3_SNX21.pdf</t>
  </si>
  <si>
    <t>Melting_Curves/meltCurve_Q5K4L6_SLC27A3.pdf</t>
  </si>
  <si>
    <t>Melting_Curves/meltCurve_Q5K651_SAMD9.pdf</t>
  </si>
  <si>
    <t>Melting_Curves/meltCurve_Q5KU26_COLEC12.pdf</t>
  </si>
  <si>
    <t>Melting_Curves/meltCurve_Q5M775_4_SPECC1.pdf</t>
  </si>
  <si>
    <t>Melting_Curves/meltCurve_Q5MIZ7_3_SMEK2.pdf</t>
  </si>
  <si>
    <t>Melting_Curves/meltCurve_Q5MNZ6_WDR45B.pdf</t>
  </si>
  <si>
    <t>Melting_Curves/meltCurve_Q5MNZ9_2_WIPI1.pdf</t>
  </si>
  <si>
    <t>Melting_Curves/meltCurve_Q5NDL2_EOGT.pdf</t>
  </si>
  <si>
    <t>Melting_Curves/meltCurve_Q5QJ74_TBCEL.pdf</t>
  </si>
  <si>
    <t>Melting_Curves/meltCurve_Q5QNY5_PEX19.pdf</t>
  </si>
  <si>
    <t>Melting_Curves/meltCurve_Q5QNZ2_ATP5F1.pdf</t>
  </si>
  <si>
    <t>Melting_Curves/meltCurve_Q5QP56_BCL2L1.pdf</t>
  </si>
  <si>
    <t>Melting_Curves/meltCurve_Q5QPK2_DPM1.pdf</t>
  </si>
  <si>
    <t>Melting_Curves/meltCurve_Q5QPM7_PSMF1.pdf</t>
  </si>
  <si>
    <t>Melting_Curves/meltCurve_Q5R372_4_RABGAP1L.pdf</t>
  </si>
  <si>
    <t>Melting_Curves/meltCurve_Q5R372_7_RABGAP1L.pdf</t>
  </si>
  <si>
    <t>Melting_Curves/meltCurve_Q5R3E4_MAPK13.pdf</t>
  </si>
  <si>
    <t>Melting_Curves/meltCurve_Q5RI15_COX20.pdf</t>
  </si>
  <si>
    <t>Melting_Curves/meltCurve_Q5RKV6_EXOSC6.pdf</t>
  </si>
  <si>
    <t>Melting_Curves/meltCurve_Q5SNW6_MTHFR.pdf</t>
  </si>
  <si>
    <t>Melting_Curves/meltCurve_Q5SPY9_NPDC1.pdf</t>
  </si>
  <si>
    <t>Melting_Curves/meltCurve_Q5SQU3_PRKG1.pdf</t>
  </si>
  <si>
    <t>Melting_Curves/meltCurve_Q5SR50_PIK3CD.pdf</t>
  </si>
  <si>
    <t>Melting_Curves/meltCurve_Q5SR56_HIATL1.pdf</t>
  </si>
  <si>
    <t>Melting_Curves/meltCurve_Q5SRE7_2_PHYHD1.pdf</t>
  </si>
  <si>
    <t>Melting_Curves/meltCurve_Q5SRN5_HLA_A.pdf</t>
  </si>
  <si>
    <t>Melting_Curves/meltCurve_Q5SRQ6_CSNK2B.pdf</t>
  </si>
  <si>
    <t>Melting_Curves/meltCurve_Q5SVK8_DNMBP.pdf</t>
  </si>
  <si>
    <t>Melting_Curves/meltCurve_Q5SW96_LDLRAP1.pdf</t>
  </si>
  <si>
    <t>Melting_Curves/meltCurve_Q5SWX3_CAMK2G.pdf</t>
  </si>
  <si>
    <t>Melting_Curves/meltCurve_Q5SWX8_ODR4.pdf</t>
  </si>
  <si>
    <t>Melting_Curves/meltCurve_Q5SXM8_DNLZ.pdf</t>
  </si>
  <si>
    <t>Melting_Curves/meltCurve_Q5SYE7_2_NHSL1.pdf</t>
  </si>
  <si>
    <t>Melting_Curves/meltCurve_Q5SZE2_CERS2.pdf</t>
  </si>
  <si>
    <t>Melting_Curves/meltCurve_Q5T0D9_TPRG1L.pdf</t>
  </si>
  <si>
    <t>Melting_Curves/meltCurve_Q5T0N5_3_FNBP1L.pdf</t>
  </si>
  <si>
    <t>Melting_Curves/meltCurve_Q5T0S4_PPT1.pdf</t>
  </si>
  <si>
    <t>Melting_Curves/meltCurve_Q5T123_SH3BGRL3.pdf</t>
  </si>
  <si>
    <t>Melting_Curves/meltCurve_Q5T160_RARS2.pdf</t>
  </si>
  <si>
    <t>Melting_Curves/meltCurve_Q5T171_PYGO2.pdf</t>
  </si>
  <si>
    <t>Melting_Curves/meltCurve_Q5T179_CKS1B.pdf</t>
  </si>
  <si>
    <t>Melting_Curves/meltCurve_Q5T1C6_THEM4.pdf</t>
  </si>
  <si>
    <t>Melting_Curves/meltCurve_Q5T1M5_FKBP15.pdf</t>
  </si>
  <si>
    <t>Melting_Curves/meltCurve_Q5T1N9_GPSM2.pdf</t>
  </si>
  <si>
    <t>Melting_Curves/meltCurve_Q5T1V6_DDX59.pdf</t>
  </si>
  <si>
    <t>Melting_Curves/meltCurve_Q5T1Z4_PUM1.pdf</t>
  </si>
  <si>
    <t>Melting_Curves/meltCurve_Q5T2E6_C10orf76.pdf</t>
  </si>
  <si>
    <t>Melting_Curves/meltCurve_Q5T3F8_TMEM63B.pdf</t>
  </si>
  <si>
    <t>Melting_Curves/meltCurve_Q5T3J3_2_LRIF1.pdf</t>
  </si>
  <si>
    <t>Melting_Curves/meltCurve_Q5T3U5_2_ABCC10.pdf</t>
  </si>
  <si>
    <t>Melting_Curves/meltCurve_Q5T440_IBA57.pdf</t>
  </si>
  <si>
    <t>Melting_Curves/meltCurve_Q5T4B2_CERCAM.pdf</t>
  </si>
  <si>
    <t>Melting_Curves/meltCurve_Q5T4F4_2_ZFYVE27.pdf</t>
  </si>
  <si>
    <t>Melting_Curves/meltCurve_Q5T4K5_CRTC2.pdf</t>
  </si>
  <si>
    <t>Melting_Curves/meltCurve_Q5T4P9_PLEKHO1.pdf</t>
  </si>
  <si>
    <t>Melting_Curves/meltCurve_Q5T4S7_3_UBR4.pdf</t>
  </si>
  <si>
    <t>Melting_Curves/meltCurve_Q5T4U5_ACADM.pdf</t>
  </si>
  <si>
    <t>Melting_Curves/meltCurve_Q5T593_FAM219A.pdf</t>
  </si>
  <si>
    <t>Melting_Curves/meltCurve_Q5T5C0_STXBP5.pdf</t>
  </si>
  <si>
    <t>Melting_Curves/meltCurve_Q5T5U3_ARHGAP21.pdf</t>
  </si>
  <si>
    <t>Melting_Curves/meltCurve_Q5T5Y3_2_CAMSAP1.pdf</t>
  </si>
  <si>
    <t>Melting_Curves/meltCurve_Q5T6F2_UBAP2.pdf</t>
  </si>
  <si>
    <t>Melting_Curves/meltCurve_Q5T6J7_IDNK.pdf</t>
  </si>
  <si>
    <t>Melting_Curves/meltCurve_Q5T6V5_C9orf64.pdf</t>
  </si>
  <si>
    <t>Melting_Curves/meltCurve_Q5T7M9_FAM69A.pdf</t>
  </si>
  <si>
    <t>Melting_Curves/meltCurve_Q5T7V8_GORAB.pdf</t>
  </si>
  <si>
    <t>Melting_Curves/meltCurve_Q5T8C6_CDC16.pdf</t>
  </si>
  <si>
    <t>Melting_Curves/meltCurve_Q5T8D3_2_ACBD5.pdf</t>
  </si>
  <si>
    <t>Melting_Curves/meltCurve_Q5T8I0_COX6A1P2.pdf</t>
  </si>
  <si>
    <t>Melting_Curves/meltCurve_Q5T8M7_ACTA1.pdf</t>
  </si>
  <si>
    <t>Melting_Curves/meltCurve_Q5T8N1_NUP133.pdf</t>
  </si>
  <si>
    <t>Melting_Curves/meltCurve_Q5T8P6_2_RBM26.pdf</t>
  </si>
  <si>
    <t>Melting_Curves/meltCurve_Q5T8T7_MED22.pdf</t>
  </si>
  <si>
    <t>Melting_Curves/meltCurve_Q5T8U5_SURF4.pdf</t>
  </si>
  <si>
    <t>Melting_Curves/meltCurve_Q5T9B7_AK1.pdf</t>
  </si>
  <si>
    <t>Melting_Curves/meltCurve_Q5T9P7_PRPF18.pdf</t>
  </si>
  <si>
    <t>Melting_Curves/meltCurve_Q5TBP9_LSM14B.pdf</t>
  </si>
  <si>
    <t>Melting_Curves/meltCurve_Q5TBU2_ADIRF.pdf</t>
  </si>
  <si>
    <t>Melting_Curves/meltCurve_Q5TC82_2_RC3H1.pdf</t>
  </si>
  <si>
    <t>Melting_Curves/meltCurve_Q5TC84_OGFRL1.pdf</t>
  </si>
  <si>
    <t>Melting_Curves/meltCurve_Q5TD07_NQO2.pdf</t>
  </si>
  <si>
    <t>Melting_Curves/meltCurve_Q5TDH0_DDI2.pdf</t>
  </si>
  <si>
    <t>Melting_Curves/meltCurve_Q5TEA3_C20orf194.pdf</t>
  </si>
  <si>
    <t>Melting_Curves/meltCurve_Q5TEE2_HDAC1.pdf</t>
  </si>
  <si>
    <t>Melting_Curves/meltCurve_Q5TEU4_NDUFAF5.pdf</t>
  </si>
  <si>
    <t>Melting_Curves/meltCurve_Q5TFE4_NT5DC1.pdf</t>
  </si>
  <si>
    <t>Melting_Curves/meltCurve_Q5TGL8_PXDC1.pdf</t>
  </si>
  <si>
    <t>Melting_Curves/meltCurve_Q5TGY1_TMCO4.pdf</t>
  </si>
  <si>
    <t>Melting_Curves/meltCurve_Q5TIE1_SLC19A2.pdf</t>
  </si>
  <si>
    <t>Melting_Curves/meltCurve_Q5TIH2_SFT2D2.pdf</t>
  </si>
  <si>
    <t>Melting_Curves/meltCurve_Q5TZA2_CROCC.pdf</t>
  </si>
  <si>
    <t>Melting_Curves/meltCurve_Q5U5Q3_MEX3C.pdf</t>
  </si>
  <si>
    <t>Melting_Curves/meltCurve_Q5U5X0_LYRM7.pdf</t>
  </si>
  <si>
    <t>Melting_Curves/meltCurve_Q5VIR6_4_VPS53.pdf</t>
  </si>
  <si>
    <t>Melting_Curves/meltCurve_Q5VSL9_STRIP1.pdf</t>
  </si>
  <si>
    <t>Melting_Curves/meltCurve_Q5VST6_ABHD17B.pdf</t>
  </si>
  <si>
    <t>Melting_Curves/meltCurve_Q5VT52_2_RPRD2.pdf</t>
  </si>
  <si>
    <t>Melting_Curves/meltCurve_Q5VT94_GHITM.pdf</t>
  </si>
  <si>
    <t>Melting_Curves/meltCurve_Q5VTR2_RNF20.pdf</t>
  </si>
  <si>
    <t>Melting_Curves/meltCurve_Q5VU97_CACHD1.pdf</t>
  </si>
  <si>
    <t>Melting_Curves/meltCurve_Q5VUA4_ZNF318.pdf</t>
  </si>
  <si>
    <t>Melting_Curves/meltCurve_Q5VUB5_FAM171A1.pdf</t>
  </si>
  <si>
    <t>Melting_Curves/meltCurve_Q5VUJ6_2_LRCH2.pdf</t>
  </si>
  <si>
    <t>Melting_Curves/meltCurve_Q5VUM1_C6orf57.pdf</t>
  </si>
  <si>
    <t>Melting_Curves/meltCurve_Q5VV89_MGST3.pdf</t>
  </si>
  <si>
    <t>Melting_Curves/meltCurve_Q5VVD7_PLEKHM2.pdf</t>
  </si>
  <si>
    <t>Melting_Curves/meltCurve_Q5VVQ6_2_YOD1.pdf</t>
  </si>
  <si>
    <t>Melting_Curves/meltCurve_Q5VVW5_SLC2A8.pdf</t>
  </si>
  <si>
    <t>Melting_Curves/meltCurve_Q5VW32_BROX.pdf</t>
  </si>
  <si>
    <t>Melting_Curves/meltCurve_Q5VW36_FOCAD.pdf</t>
  </si>
  <si>
    <t>Melting_Curves/meltCurve_Q5VWC4_PSMD4.pdf</t>
  </si>
  <si>
    <t>Melting_Curves/meltCurve_Q5VWJ9_SNX30.pdf</t>
  </si>
  <si>
    <t>Melting_Curves/meltCurve_Q5VWQ8_2_DAB2IP.pdf</t>
  </si>
  <si>
    <t>Melting_Curves/meltCurve_Q5VWU8_PARD3.pdf</t>
  </si>
  <si>
    <t>Melting_Curves/meltCurve_Q5VWZ2_LYPLAL1.pdf</t>
  </si>
  <si>
    <t>Melting_Curves/meltCurve_Q5VY43_PEAR1.pdf</t>
  </si>
  <si>
    <t>Melting_Curves/meltCurve_Q5VYS8_2_ZCCHC6.pdf</t>
  </si>
  <si>
    <t>Melting_Curves/meltCurve_Q5VYX0_2_RNLS.pdf</t>
  </si>
  <si>
    <t>Melting_Curves/meltCurve_Q5VZE5_NAA35.pdf</t>
  </si>
  <si>
    <t>Melting_Curves/meltCurve_Q5VZI3_2_C9orf91.pdf</t>
  </si>
  <si>
    <t>Melting_Curves/meltCurve_Q5VZK9_LRRC16A.pdf</t>
  </si>
  <si>
    <t>Melting_Curves/meltCurve_Q5VZZ6_CELF2.pdf</t>
  </si>
  <si>
    <t>Melting_Curves/meltCurve_Q5W0A2_ITM2B.pdf</t>
  </si>
  <si>
    <t>Melting_Curves/meltCurve_Q5W0V3_FAM160B1.pdf</t>
  </si>
  <si>
    <t>Melting_Curves/meltCurve_Q5W111_SPRYD7.pdf</t>
  </si>
  <si>
    <t>Melting_Curves/meltCurve_Q5W145_NDUFB8.pdf</t>
  </si>
  <si>
    <t>Melting_Curves/meltCurve_Q5XKP0_QIL1.pdf</t>
  </si>
  <si>
    <t>Melting_Curves/meltCurve_Q5XPI4_RNF123.pdf</t>
  </si>
  <si>
    <t>Melting_Curves/meltCurve_Q5XUX1_3_FBXW9.pdf</t>
  </si>
  <si>
    <t>Melting_Curves/meltCurve_Q5ZPR3_CD276.pdf</t>
  </si>
  <si>
    <t>Melting_Curves/meltCurve_Q63HN8_RNF213.pdf</t>
  </si>
  <si>
    <t>Melting_Curves/meltCurve_Q63HQ0_AP1AR.pdf</t>
  </si>
  <si>
    <t>Melting_Curves/meltCurve_Q63ZY3_3_KANK2.pdf</t>
  </si>
  <si>
    <t>Melting_Curves/meltCurve_Q641Q2_FAM21A.pdf</t>
  </si>
  <si>
    <t>Melting_Curves/meltCurve_Q66K14_2_TBC1D9B.pdf</t>
  </si>
  <si>
    <t>Melting_Curves/meltCurve_Q66LE6_PPP2R2D.pdf</t>
  </si>
  <si>
    <t>Melting_Curves/meltCurve_Q66PJ3_ARL6IP4.pdf</t>
  </si>
  <si>
    <t>Melting_Curves/meltCurve_Q674X7_3_KAZN.pdf</t>
  </si>
  <si>
    <t>Melting_Curves/meltCurve_Q68CQ7_GLT8D1.pdf</t>
  </si>
  <si>
    <t>Melting_Curves/meltCurve_Q68CZ2_TNS3.pdf</t>
  </si>
  <si>
    <t>Melting_Curves/meltCurve_Q68D91_MBLAC2.pdf</t>
  </si>
  <si>
    <t>Melting_Curves/meltCurve_Q68DH5_LMBRD2.pdf</t>
  </si>
  <si>
    <t>Melting_Curves/meltCurve_Q68DM5_DKFZp781L1143.pdf</t>
  </si>
  <si>
    <t>Melting_Curves/meltCurve_Q68E01_2_INTS3.pdf</t>
  </si>
  <si>
    <t>Melting_Curves/meltCurve_Q68EM7_6_ARHGAP17.pdf</t>
  </si>
  <si>
    <t>Melting_Curves/meltCurve_Q69YN2_3_CWF19L1.pdf</t>
  </si>
  <si>
    <t>Melting_Curves/meltCurve_Q69YQ0_2_SPECC1L.pdf</t>
  </si>
  <si>
    <t>Melting_Curves/meltCurve_Q69YU5_C12orf73.pdf</t>
  </si>
  <si>
    <t>Melting_Curves/meltCurve_Q6AZY7_2_SCARA3.pdf</t>
  </si>
  <si>
    <t>Melting_Curves/meltCurve_Q6BCY4_CYB5R2.pdf</t>
  </si>
  <si>
    <t>Melting_Curves/meltCurve_Q6DD88_ATL3.pdf</t>
  </si>
  <si>
    <t>Melting_Curves/meltCurve_Q6DHV7_ADAL.pdf</t>
  </si>
  <si>
    <t>Melting_Curves/meltCurve_Q6DKJ4_NXN.pdf</t>
  </si>
  <si>
    <t>Melting_Curves/meltCurve_Q6DKK2_TTC19.pdf</t>
  </si>
  <si>
    <t>Melting_Curves/meltCurve_Q6DU44_HLA_E.pdf</t>
  </si>
  <si>
    <t>Melting_Curves/meltCurve_Q6EEV4_2_POLR2M.pdf</t>
  </si>
  <si>
    <t>Melting_Curves/meltCurve_Q6EMK4_VASN.pdf</t>
  </si>
  <si>
    <t>Melting_Curves/meltCurve_Q6FI81_3_CIAPIN1.pdf</t>
  </si>
  <si>
    <t>Melting_Curves/meltCurve_Q6FIF0_2_ZFAND6.pdf</t>
  </si>
  <si>
    <t>Melting_Curves/meltCurve_Q6GMV2_SMYD5.pdf</t>
  </si>
  <si>
    <t>Melting_Curves/meltCurve_Q6GMV3_PTRHD1.pdf</t>
  </si>
  <si>
    <t>Melting_Curves/meltCurve_Q6GQQ9_OTUD7B.pdf</t>
  </si>
  <si>
    <t>Melting_Curves/meltCurve_Q6GYA4_SELS.pdf</t>
  </si>
  <si>
    <t>Melting_Curves/meltCurve_Q6I9Y2_THOC7.pdf</t>
  </si>
  <si>
    <t>Melting_Curves/meltCurve_Q6IA69_NADSYN1.pdf</t>
  </si>
  <si>
    <t>Melting_Curves/meltCurve_Q6IA86_3_ELP2.pdf</t>
  </si>
  <si>
    <t>Melting_Curves/meltCurve_Q6IAA8_LAMTOR1.pdf</t>
  </si>
  <si>
    <t>Melting_Curves/meltCurve_Q6IAN0_DHRS7B.pdf</t>
  </si>
  <si>
    <t>Melting_Curves/meltCurve_Q6IBS0_TWF2.pdf</t>
  </si>
  <si>
    <t>Melting_Curves/meltCurve_Q6ICB0_DESI1.pdf</t>
  </si>
  <si>
    <t>Melting_Curves/meltCurve_Q6ICG6_KIAA0930.pdf</t>
  </si>
  <si>
    <t>Melting_Curves/meltCurve_Q6ICJ4_Em_AP000351_3.pdf</t>
  </si>
  <si>
    <t>Melting_Curves/meltCurve_Q6ICL3_TANGO2.pdf</t>
  </si>
  <si>
    <t>Melting_Curves/meltCurve_Q6IN85_2_SMEK1.pdf</t>
  </si>
  <si>
    <t>Melting_Curves/meltCurve_Q6IQ22_RAB12.pdf</t>
  </si>
  <si>
    <t>Melting_Curves/meltCurve_Q6IQ49_3_SDE2.pdf</t>
  </si>
  <si>
    <t>Melting_Curves/meltCurve_Q6KC79_3_NIPBL.pdf</t>
  </si>
  <si>
    <t>Melting_Curves/meltCurve_Q6N022_TENM4.pdf</t>
  </si>
  <si>
    <t>Melting_Curves/meltCurve_Q6N063_OGFOD2.pdf</t>
  </si>
  <si>
    <t>Melting_Curves/meltCurve_Q6NSJ0_KIAA1161.pdf</t>
  </si>
  <si>
    <t>Melting_Curves/meltCurve_Q6NT16_SLC18B1.pdf</t>
  </si>
  <si>
    <t>Melting_Curves/meltCurve_Q6NT89_TRNP1.pdf</t>
  </si>
  <si>
    <t>Melting_Curves/meltCurve_Q6NTE8_C5orf45.pdf</t>
  </si>
  <si>
    <t>Melting_Curves/meltCurve_Q6NUK1_SLC25A24.pdf</t>
  </si>
  <si>
    <t>Melting_Curves/meltCurve_Q6NUK4_REEP3.pdf</t>
  </si>
  <si>
    <t>Melting_Curves/meltCurve_Q6NUM9_RETSAT.pdf</t>
  </si>
  <si>
    <t>Melting_Curves/meltCurve_Q6NUQ1_RINT1.pdf</t>
  </si>
  <si>
    <t>Melting_Curves/meltCurve_Q6NUQ4_2_TMEM214.pdf</t>
  </si>
  <si>
    <t>Melting_Curves/meltCurve_Q6NUS6_TCTN3.pdf</t>
  </si>
  <si>
    <t>Melting_Curves/meltCurve_Q6NVU6_UFSP1.pdf</t>
  </si>
  <si>
    <t>Melting_Curves/meltCurve_Q6NVY1_HIBCH.pdf</t>
  </si>
  <si>
    <t>Melting_Curves/meltCurve_Q6NXT1_ANKRD54.pdf</t>
  </si>
  <si>
    <t>Melting_Curves/meltCurve_Q6NXT6_TAPT1.pdf</t>
  </si>
  <si>
    <t>Melting_Curves/meltCurve_Q6NYC8_PPP1R18.pdf</t>
  </si>
  <si>
    <t>Melting_Curves/meltCurve_Q6NZ53_THOC3.pdf</t>
  </si>
  <si>
    <t>Melting_Curves/meltCurve_Q6NZI2_PTRF.pdf</t>
  </si>
  <si>
    <t>Melting_Curves/meltCurve_Q6NZY7_CDC42EP5.pdf</t>
  </si>
  <si>
    <t>Melting_Curves/meltCurve_Q6P179_ERAP2.pdf</t>
  </si>
  <si>
    <t>Melting_Curves/meltCurve_Q6P1J9_CDC73.pdf</t>
  </si>
  <si>
    <t>Melting_Curves/meltCurve_Q6P1L8_MRPL14.pdf</t>
  </si>
  <si>
    <t>Melting_Curves/meltCurve_Q6P1M0_SLC27A4.pdf</t>
  </si>
  <si>
    <t>Melting_Curves/meltCurve_Q6P1N0_2_CC2D1A.pdf</t>
  </si>
  <si>
    <t>Melting_Curves/meltCurve_Q6P1R4_DUS1L.pdf</t>
  </si>
  <si>
    <t>Melting_Curves/meltCurve_Q6P1X6_C8orf82.pdf</t>
  </si>
  <si>
    <t>Melting_Curves/meltCurve_Q6P2E9_EDC4.pdf</t>
  </si>
  <si>
    <t>Melting_Curves/meltCurve_Q6P2P2_PRMT10.pdf</t>
  </si>
  <si>
    <t>Melting_Curves/meltCurve_Q6P3W7_SCYL2.pdf</t>
  </si>
  <si>
    <t>Melting_Curves/meltCurve_Q6P3X3_TTC27.pdf</t>
  </si>
  <si>
    <t>Melting_Curves/meltCurve_Q6P4E1_CASC4.pdf</t>
  </si>
  <si>
    <t>Melting_Curves/meltCurve_Q6P4F2_FDX1L.pdf</t>
  </si>
  <si>
    <t>Melting_Curves/meltCurve_Q6P4I2_WDR73.pdf</t>
  </si>
  <si>
    <t>Melting_Curves/meltCurve_Q6P582_MZT2A.pdf</t>
  </si>
  <si>
    <t>Melting_Curves/meltCurve_Q6P587_FAHD1.pdf</t>
  </si>
  <si>
    <t>Melting_Curves/meltCurve_Q6P6B1_C8orf47.pdf</t>
  </si>
  <si>
    <t>Melting_Curves/meltCurve_Q6P995_FAM171B.pdf</t>
  </si>
  <si>
    <t>Melting_Curves/meltCurve_Q6P9B6_KIAA1609.pdf</t>
  </si>
  <si>
    <t>Melting_Curves/meltCurve_Q6PCE3_PGM2L1.pdf</t>
  </si>
  <si>
    <t>Melting_Curves/meltCurve_Q6PD74_AAGAB.pdf</t>
  </si>
  <si>
    <t>Melting_Curves/meltCurve_Q6PGP7_TTC37.pdf</t>
  </si>
  <si>
    <t>Melting_Curves/meltCurve_Q6PI48_DARS2.pdf</t>
  </si>
  <si>
    <t>Melting_Curves/meltCurve_Q6PI78_TMEM65.pdf</t>
  </si>
  <si>
    <t>Melting_Curves/meltCurve_Q6PII3_CCDC174.pdf</t>
  </si>
  <si>
    <t>Melting_Curves/meltCurve_Q6PII5_2_HAGHL.pdf</t>
  </si>
  <si>
    <t>Melting_Curves/meltCurve_Q6PJ69_TRIM65.pdf</t>
  </si>
  <si>
    <t>Melting_Curves/meltCurve_Q6PJT7_5_ZC3H14.pdf</t>
  </si>
  <si>
    <t>Melting_Curves/meltCurve_Q6PJW8_CNST.pdf</t>
  </si>
  <si>
    <t>Melting_Curves/meltCurve_Q6PK18_OGFOD3.pdf</t>
  </si>
  <si>
    <t>Melting_Curves/meltCurve_Q6PKG0_LARP1.pdf</t>
  </si>
  <si>
    <t>Melting_Curves/meltCurve_Q6PML9_SLC30A9.pdf</t>
  </si>
  <si>
    <t>Melting_Curves/meltCurve_Q6QHF9_2_PAOX.pdf</t>
  </si>
  <si>
    <t>Melting_Curves/meltCurve_Q6QNY0_BLOC1S3.pdf</t>
  </si>
  <si>
    <t>Melting_Curves/meltCurve_Q6QNY1_BLOC1S2.pdf</t>
  </si>
  <si>
    <t>Melting_Curves/meltCurve_Q6RW13_2_AGTRAP.pdf</t>
  </si>
  <si>
    <t>Melting_Curves/meltCurve_Q6UB28_METAP1D.pdf</t>
  </si>
  <si>
    <t>Melting_Curves/meltCurve_Q6UB35_MTHFD1L.pdf</t>
  </si>
  <si>
    <t>Melting_Curves/meltCurve_Q6ULP2_3_AFTPH.pdf</t>
  </si>
  <si>
    <t>Melting_Curves/meltCurve_Q6UN15_3_FIP1L1.pdf</t>
  </si>
  <si>
    <t>Melting_Curves/meltCurve_Q6UUV9_3_CRTC1.pdf</t>
  </si>
  <si>
    <t>Melting_Curves/meltCurve_Q6UVK1_CSPG4.pdf</t>
  </si>
  <si>
    <t>Melting_Curves/meltCurve_Q6UVY6_2_MOXD1.pdf</t>
  </si>
  <si>
    <t>Melting_Curves/meltCurve_Q6UW56_ATRAID.pdf</t>
  </si>
  <si>
    <t>Melting_Curves/meltCurve_Q6UW63_KDELC1.pdf</t>
  </si>
  <si>
    <t>Melting_Curves/meltCurve_Q6UWE0_LRSAM1.pdf</t>
  </si>
  <si>
    <t>Melting_Curves/meltCurve_Q6UWH4_FAM198B.pdf</t>
  </si>
  <si>
    <t>Melting_Curves/meltCurve_Q6UWJ1_3_TMCO3.pdf</t>
  </si>
  <si>
    <t>Melting_Curves/meltCurve_Q6UWP2_DHRS11.pdf</t>
  </si>
  <si>
    <t>Melting_Curves/meltCurve_Q6UWP7_3_LCLAT1.pdf</t>
  </si>
  <si>
    <t>Melting_Curves/meltCurve_Q6UWS5_PET117.pdf</t>
  </si>
  <si>
    <t>Melting_Curves/meltCurve_Q6UWU4_C6orf89.pdf</t>
  </si>
  <si>
    <t>Melting_Curves/meltCurve_Q6UX04_CWC27.pdf</t>
  </si>
  <si>
    <t>Melting_Curves/meltCurve_Q6UX15_2_LAYN.pdf</t>
  </si>
  <si>
    <t>Melting_Curves/meltCurve_Q6UX53_METTL7B.pdf</t>
  </si>
  <si>
    <t>Melting_Curves/meltCurve_Q6UX71_PLXDC2.pdf</t>
  </si>
  <si>
    <t>Melting_Curves/meltCurve_Q6UXD5_6_SEZ6L2.pdf</t>
  </si>
  <si>
    <t>Melting_Curves/meltCurve_Q6UXH1_4_CRELD2.pdf</t>
  </si>
  <si>
    <t>Melting_Curves/meltCurve_Q6UXH8_CCBE1.pdf</t>
  </si>
  <si>
    <t>Melting_Curves/meltCurve_Q6UXN9_WDR82.pdf</t>
  </si>
  <si>
    <t>Melting_Curves/meltCurve_Q6UXP7_FAM151B.pdf</t>
  </si>
  <si>
    <t>Melting_Curves/meltCurve_Q6UXV4_APOOL.pdf</t>
  </si>
  <si>
    <t>Melting_Curves/meltCurve_Q6UXY1_2_BAIAP2L2.pdf</t>
  </si>
  <si>
    <t>Melting_Curves/meltCurve_Q6V0I7_3_FAT4.pdf</t>
  </si>
  <si>
    <t>Melting_Curves/meltCurve_Q6V1P9_DCHS2.pdf</t>
  </si>
  <si>
    <t>Melting_Curves/meltCurve_Q6V1X1_2_DPP8.pdf</t>
  </si>
  <si>
    <t>Melting_Curves/meltCurve_Q6VY07_PACS1.pdf</t>
  </si>
  <si>
    <t>Melting_Curves/meltCurve_Q6WCQ1_MPRIP.pdf</t>
  </si>
  <si>
    <t>Melting_Curves/meltCurve_Q6WKZ4_RAB11FIP1.pdf</t>
  </si>
  <si>
    <t>Melting_Curves/meltCurve_Q6XQN6_NAPRT1.pdf</t>
  </si>
  <si>
    <t>Melting_Curves/meltCurve_Q6Y1H2_PTPLB.pdf</t>
  </si>
  <si>
    <t>Melting_Curves/meltCurve_Q6Y288_B3GALTL.pdf</t>
  </si>
  <si>
    <t>Melting_Curves/meltCurve_Q6Y7W6_4_GIGYF2.pdf</t>
  </si>
  <si>
    <t>Melting_Curves/meltCurve_Q6YHK3_CD109.pdf</t>
  </si>
  <si>
    <t>Melting_Curves/meltCurve_Q6YHU6_3_THADA.pdf</t>
  </si>
  <si>
    <t>Melting_Curves/meltCurve_Q6YN16_HSDL2.pdf</t>
  </si>
  <si>
    <t>Melting_Curves/meltCurve_Q6YP21_3_CCBL2.pdf</t>
  </si>
  <si>
    <t>Melting_Curves/meltCurve_Q6ZMG9_CERS6.pdf</t>
  </si>
  <si>
    <t>Melting_Curves/meltCurve_Q6ZMI0_PPP1R21.pdf</t>
  </si>
  <si>
    <t>Melting_Curves/meltCurve_Q6ZMZ3_2_SYNE3.pdf</t>
  </si>
  <si>
    <t>Melting_Curves/meltCurve_Q6ZNW5_GDPGP1.pdf</t>
  </si>
  <si>
    <t>Melting_Curves/meltCurve_Q6ZPD9_DPY19L3.pdf</t>
  </si>
  <si>
    <t>Melting_Curves/meltCurve_Q6ZRP7_QSOX2.pdf</t>
  </si>
  <si>
    <t>Melting_Curves/meltCurve_Q6ZS17_2_FAM65A.pdf</t>
  </si>
  <si>
    <t>Melting_Curves/meltCurve_Q6ZSJ8_C1orf122.pdf</t>
  </si>
  <si>
    <t>Melting_Curves/meltCurve_Q6ZSS7_MFSD6.pdf</t>
  </si>
  <si>
    <t>Melting_Curves/meltCurve_Q6ZT21_2_TMPPE.pdf</t>
  </si>
  <si>
    <t>Melting_Curves/meltCurve_Q6ZTN6_3_ANKRD13D.pdf</t>
  </si>
  <si>
    <t>Melting_Curves/meltCurve_Q6ZUS6_5_CCDC149.pdf</t>
  </si>
  <si>
    <t>Melting_Curves/meltCurve_Q6ZUT6_C15orf52.pdf</t>
  </si>
  <si>
    <t>Melting_Curves/meltCurve_Q6ZUX7_LHFPL2.pdf</t>
  </si>
  <si>
    <t>Melting_Curves/meltCurve_Q6ZVK8_NUDT18.pdf</t>
  </si>
  <si>
    <t>Melting_Curves/meltCurve_Q6ZVM7_TOM1L2.pdf</t>
  </si>
  <si>
    <t>Melting_Curves/meltCurve_Q6ZW49_4_PAXIP1.pdf</t>
  </si>
  <si>
    <t>Melting_Curves/meltCurve_Q6ZWT7_MBOAT2.pdf</t>
  </si>
  <si>
    <t>Melting_Curves/meltCurve_Q6ZXV5_2_TMTC3.pdf</t>
  </si>
  <si>
    <t>Melting_Curves/meltCurve_Q709C8_3_VPS13C.pdf</t>
  </si>
  <si>
    <t>Melting_Curves/meltCurve_Q709F0_ACAD11.pdf</t>
  </si>
  <si>
    <t>Melting_Curves/meltCurve_Q70E73_7_RAPH1.pdf</t>
  </si>
  <si>
    <t>Melting_Curves/meltCurve_Q70IA6_MOB2.pdf</t>
  </si>
  <si>
    <t>Melting_Curves/meltCurve_Q70UQ0_IKBIP.pdf</t>
  </si>
  <si>
    <t>Melting_Curves/meltCurve_Q70UQ0_4_IKBIP.pdf</t>
  </si>
  <si>
    <t>Melting_Curves/meltCurve_Q70Z53_2_FRA10AC1.pdf</t>
  </si>
  <si>
    <t>Melting_Curves/meltCurve_Q712K3_UBE2R2.pdf</t>
  </si>
  <si>
    <t>Melting_Curves/meltCurve_Q71TU5_CSNK1A1.pdf</t>
  </si>
  <si>
    <t>Melting_Curves/meltCurve_Q765P7_MTSS1L.pdf</t>
  </si>
  <si>
    <t>Melting_Curves/meltCurve_Q76M96_CCDC80.pdf</t>
  </si>
  <si>
    <t>Melting_Curves/meltCurve_Q7KYR7_5_BTN2A1.pdf</t>
  </si>
  <si>
    <t>Melting_Curves/meltCurve_Q7KZ85_SUPT6H.pdf</t>
  </si>
  <si>
    <t>Melting_Curves/meltCurve_Q7KZF4_SND1.pdf</t>
  </si>
  <si>
    <t>Melting_Curves/meltCurve_Q7L014_DDX46.pdf</t>
  </si>
  <si>
    <t>Melting_Curves/meltCurve_Q7L099_3_RUFY3.pdf</t>
  </si>
  <si>
    <t>Melting_Curves/meltCurve_Q7L0J3_2_SV2A.pdf</t>
  </si>
  <si>
    <t>Melting_Curves/meltCurve_Q7L0Y3_TRMT10C.pdf</t>
  </si>
  <si>
    <t>Melting_Curves/meltCurve_Q7L1Q6_BZW1.pdf</t>
  </si>
  <si>
    <t>Melting_Curves/meltCurve_Q7L1W4_LRRC8D.pdf</t>
  </si>
  <si>
    <t>Melting_Curves/meltCurve_Q7L211_ABHD13.pdf</t>
  </si>
  <si>
    <t>Melting_Curves/meltCurve_Q7L2H7_EIF3M.pdf</t>
  </si>
  <si>
    <t>Melting_Curves/meltCurve_Q7L2J0_MEPCE.pdf</t>
  </si>
  <si>
    <t>Melting_Curves/meltCurve_Q7L311_ARMCX2.pdf</t>
  </si>
  <si>
    <t>Melting_Curves/meltCurve_Q7L4I2_2_RSRC2.pdf</t>
  </si>
  <si>
    <t>Melting_Curves/meltCurve_Q7L576_CYFIP1.pdf</t>
  </si>
  <si>
    <t>Melting_Curves/meltCurve_Q7L592_NDUFAF7.pdf</t>
  </si>
  <si>
    <t>Melting_Curves/meltCurve_Q7L5D6_GET4.pdf</t>
  </si>
  <si>
    <t>Melting_Curves/meltCurve_Q7L5N7_LPCAT2.pdf</t>
  </si>
  <si>
    <t>Melting_Curves/meltCurve_Q7L5Y1_ENOSF1.pdf</t>
  </si>
  <si>
    <t>Melting_Curves/meltCurve_Q7L775_EPM2AIP1.pdf</t>
  </si>
  <si>
    <t>Melting_Curves/meltCurve_Q7L7V1_2_DHX32.pdf</t>
  </si>
  <si>
    <t>Melting_Curves/meltCurve_Q7L7X3_TAOK1.pdf</t>
  </si>
  <si>
    <t>Melting_Curves/meltCurve_Q7L8J4_SH3BP5L.pdf</t>
  </si>
  <si>
    <t>Melting_Curves/meltCurve_Q7LBC6_KDM3B.pdf</t>
  </si>
  <si>
    <t>Melting_Curves/meltCurve_Q7LBR1_CHMP1B.pdf</t>
  </si>
  <si>
    <t>Melting_Curves/meltCurve_Q7LG56_RRM2B.pdf</t>
  </si>
  <si>
    <t>Melting_Curves/meltCurve_Q7LGA3_HS2ST1.pdf</t>
  </si>
  <si>
    <t>Melting_Curves/meltCurve_Q7RTN6_6_STRADA.pdf</t>
  </si>
  <si>
    <t>Melting_Curves/meltCurve_Q7RTP0_NIPA1.pdf</t>
  </si>
  <si>
    <t>Melting_Curves/meltCurve_Q7RTP6_MICAL3.pdf</t>
  </si>
  <si>
    <t>Melting_Curves/meltCurve_Q7RTS9_DYM.pdf</t>
  </si>
  <si>
    <t>Melting_Curves/meltCurve_Q7RTV0_PHF5A.pdf</t>
  </si>
  <si>
    <t>Melting_Curves/meltCurve_Q7RTV5_AAED1.pdf</t>
  </si>
  <si>
    <t>Melting_Curves/meltCurve_Q7Z2K8_GPRIN1.pdf</t>
  </si>
  <si>
    <t>Melting_Curves/meltCurve_Q7Z2X4_4_PID1.pdf</t>
  </si>
  <si>
    <t>Melting_Curves/meltCurve_Q7Z2Z2_EFTUD1.pdf</t>
  </si>
  <si>
    <t>Melting_Curves/meltCurve_Q7Z388_DPY19L4.pdf</t>
  </si>
  <si>
    <t>Melting_Curves/meltCurve_Q7Z3B1_NEGR1.pdf</t>
  </si>
  <si>
    <t>Melting_Curves/meltCurve_Q7Z3D4_LYSMD3.pdf</t>
  </si>
  <si>
    <t>Melting_Curves/meltCurve_Q7Z3D6_2_C14orf159.pdf</t>
  </si>
  <si>
    <t>Melting_Curves/meltCurve_Q7Z3E2_C10orf118.pdf</t>
  </si>
  <si>
    <t>Melting_Curves/meltCurve_Q7Z3E5_ARMC9.pdf</t>
  </si>
  <si>
    <t>Melting_Curves/meltCurve_Q7Z3T8_ZFYVE16.pdf</t>
  </si>
  <si>
    <t>Melting_Curves/meltCurve_Q7Z417_NUFIP2.pdf</t>
  </si>
  <si>
    <t>Melting_Curves/meltCurve_Q7Z422_2_SZRD1.pdf</t>
  </si>
  <si>
    <t>Melting_Curves/meltCurve_Q7Z434_MAVS.pdf</t>
  </si>
  <si>
    <t>Melting_Curves/meltCurve_Q7Z449_CYP2U1.pdf</t>
  </si>
  <si>
    <t>Melting_Curves/meltCurve_Q7Z478_DHX29.pdf</t>
  </si>
  <si>
    <t>Melting_Curves/meltCurve_Q7Z4F1_LRP10.pdf</t>
  </si>
  <si>
    <t>Melting_Curves/meltCurve_Q7Z4G1_COMMD6.pdf</t>
  </si>
  <si>
    <t>Melting_Curves/meltCurve_Q7Z4G4_2_TRMT11.pdf</t>
  </si>
  <si>
    <t>Melting_Curves/meltCurve_Q7Z4H3_HDDC2.pdf</t>
  </si>
  <si>
    <t>Melting_Curves/meltCurve_Q7Z4H7_3_HAUS6.pdf</t>
  </si>
  <si>
    <t>Melting_Curves/meltCurve_Q7Z4H8_KDELC2.pdf</t>
  </si>
  <si>
    <t>Melting_Curves/meltCurve_Q7Z4I7_LIMS2.pdf</t>
  </si>
  <si>
    <t>Melting_Curves/meltCurve_Q7Z4Q2_HEATR3.pdf</t>
  </si>
  <si>
    <t>Melting_Curves/meltCurve_Q7Z4V5_HDGFRP2.pdf</t>
  </si>
  <si>
    <t>Melting_Curves/meltCurve_Q7Z4W1_DCXR.pdf</t>
  </si>
  <si>
    <t>Melting_Curves/meltCurve_Q7Z5G4_3_GOLGA7.pdf</t>
  </si>
  <si>
    <t>Melting_Curves/meltCurve_Q7Z5K2_WAPAL.pdf</t>
  </si>
  <si>
    <t>Melting_Curves/meltCurve_Q7Z5L2_2_R3HCC1L.pdf</t>
  </si>
  <si>
    <t>Melting_Curves/meltCurve_Q7Z5L7_PODN.pdf</t>
  </si>
  <si>
    <t>Melting_Curves/meltCurve_Q7Z5L9_2_IRF2BP2.pdf</t>
  </si>
  <si>
    <t>Melting_Curves/meltCurve_Q7Z5R6_APBB1IP.pdf</t>
  </si>
  <si>
    <t>Melting_Curves/meltCurve_Q7Z624_CAMKMT.pdf</t>
  </si>
  <si>
    <t>Melting_Curves/meltCurve_Q7Z6B0_2_CCDC91.pdf</t>
  </si>
  <si>
    <t>Melting_Curves/meltCurve_Q7Z6B7_SRGAP1.pdf</t>
  </si>
  <si>
    <t>Melting_Curves/meltCurve_Q7Z6E9_4_RBBP6.pdf</t>
  </si>
  <si>
    <t>Melting_Curves/meltCurve_Q7Z6J0_SH3RF1.pdf</t>
  </si>
  <si>
    <t>Melting_Curves/meltCurve_Q7Z6K3_PTAR1.pdf</t>
  </si>
  <si>
    <t>Melting_Curves/meltCurve_Q7Z6K5_C15orf38.pdf</t>
  </si>
  <si>
    <t>Melting_Curves/meltCurve_Q7Z6L1_TECPR1.pdf</t>
  </si>
  <si>
    <t>Melting_Curves/meltCurve_Q7Z6M1_RABEPK.pdf</t>
  </si>
  <si>
    <t>Melting_Curves/meltCurve_Q7Z6M3_MILR1.pdf</t>
  </si>
  <si>
    <t>Melting_Curves/meltCurve_Q7Z6M4_MTERFD2.pdf</t>
  </si>
  <si>
    <t>Melting_Curves/meltCurve_Q7Z6Z7_2_HUWE1.pdf</t>
  </si>
  <si>
    <t>Melting_Curves/meltCurve_Q7Z7A3_CTU1.pdf</t>
  </si>
  <si>
    <t>Melting_Curves/meltCurve_Q7Z7A4_PXK.pdf</t>
  </si>
  <si>
    <t>Melting_Curves/meltCurve_Q7Z7C8_TAF8.pdf</t>
  </si>
  <si>
    <t>Melting_Curves/meltCurve_Q7Z7E8_UBE2Q1.pdf</t>
  </si>
  <si>
    <t>Melting_Curves/meltCurve_Q7Z7F0_4_KIAA0907.pdf</t>
  </si>
  <si>
    <t>Melting_Curves/meltCurve_Q7Z7H5_3_TMED4.pdf</t>
  </si>
  <si>
    <t>Melting_Curves/meltCurve_Q7Z7J9_CAMK2N1.pdf</t>
  </si>
  <si>
    <t>Melting_Curves/meltCurve_Q7Z7L7_ZER1.pdf</t>
  </si>
  <si>
    <t>Melting_Curves/meltCurve_Q7Z7M9_GALNT5.pdf</t>
  </si>
  <si>
    <t>Melting_Curves/meltCurve_Q7Z7N9_TMEM179B.pdf</t>
  </si>
  <si>
    <t>Melting_Curves/meltCurve_Q86SF2_GALNT7.pdf</t>
  </si>
  <si>
    <t>Melting_Curves/meltCurve_Q86SJ2_AMIGO2.pdf</t>
  </si>
  <si>
    <t>Melting_Curves/meltCurve_Q86SQ0_PHLDB2.pdf</t>
  </si>
  <si>
    <t>Melting_Curves/meltCurve_Q86SQ7_SDCCAG8.pdf</t>
  </si>
  <si>
    <t>Melting_Curves/meltCurve_Q86SR1_GALNT10.pdf</t>
  </si>
  <si>
    <t>Melting_Curves/meltCurve_Q86SX6_GLRX5.pdf</t>
  </si>
  <si>
    <t>Melting_Curves/meltCurve_Q86SZ2_TRAPPC6B.pdf</t>
  </si>
  <si>
    <t>Melting_Curves/meltCurve_Q86T03_TMEM55B.pdf</t>
  </si>
  <si>
    <t>Melting_Curves/meltCurve_Q86T13_CLEC14A.pdf</t>
  </si>
  <si>
    <t>Melting_Curves/meltCurve_Q86TB9_4_PATL1.pdf</t>
  </si>
  <si>
    <t>Melting_Curves/meltCurve_Q86TG1_TMEM150A.pdf</t>
  </si>
  <si>
    <t>Melting_Curves/meltCurve_Q86TI0_2_TBC1D1.pdf</t>
  </si>
  <si>
    <t>Melting_Curves/meltCurve_Q86TI2_DPP9.pdf</t>
  </si>
  <si>
    <t>Melting_Curves/meltCurve_Q86TM6_2_SYVN1.pdf</t>
  </si>
  <si>
    <t>Melting_Curves/meltCurve_Q86TN4_TRPT1.pdf</t>
  </si>
  <si>
    <t>Melting_Curves/meltCurve_Q86TP1_PRUNE.pdf</t>
  </si>
  <si>
    <t>Melting_Curves/meltCurve_Q86TS9_3_MRPL52.pdf</t>
  </si>
  <si>
    <t>Melting_Curves/meltCurve_Q86TU7_SETD3.pdf</t>
  </si>
  <si>
    <t>Melting_Curves/meltCurve_Q86TV2_LGMN.pdf</t>
  </si>
  <si>
    <t>Melting_Curves/meltCurve_Q86TX2_ACOT1.pdf</t>
  </si>
  <si>
    <t>Melting_Curves/meltCurve_Q86U28_ISCA2.pdf</t>
  </si>
  <si>
    <t>Melting_Curves/meltCurve_Q86U44_METTL3.pdf</t>
  </si>
  <si>
    <t>Melting_Curves/meltCurve_Q86U70_3_LDB1.pdf</t>
  </si>
  <si>
    <t>Melting_Curves/meltCurve_Q86U90_YRDC.pdf</t>
  </si>
  <si>
    <t>Melting_Curves/meltCurve_Q86UE4_MTDH.pdf</t>
  </si>
  <si>
    <t>Melting_Curves/meltCurve_Q86UK7_2_ZNF598.pdf</t>
  </si>
  <si>
    <t>Melting_Curves/meltCurve_Q86UL3_AGPAT6.pdf</t>
  </si>
  <si>
    <t>Melting_Curves/meltCurve_Q86UP2_KTN1.pdf</t>
  </si>
  <si>
    <t>Melting_Curves/meltCurve_Q86UU0_4_BCL9L.pdf</t>
  </si>
  <si>
    <t>Melting_Curves/meltCurve_Q86UU1_2_PHLDB1.pdf</t>
  </si>
  <si>
    <t>Melting_Curves/meltCurve_Q86UV5_USP48.pdf</t>
  </si>
  <si>
    <t>Melting_Curves/meltCurve_Q86UY0_TXNDC5.pdf</t>
  </si>
  <si>
    <t>Melting_Curves/meltCurve_Q86UY8_2_NT5DC3.pdf</t>
  </si>
  <si>
    <t>Melting_Curves/meltCurve_Q86V21_AACS.pdf</t>
  </si>
  <si>
    <t>Melting_Curves/meltCurve_Q86V48_LUZP1.pdf</t>
  </si>
  <si>
    <t>Melting_Curves/meltCurve_Q86V85_GPR180.pdf</t>
  </si>
  <si>
    <t>Melting_Curves/meltCurve_Q86V87_FAM160B2.pdf</t>
  </si>
  <si>
    <t>Melting_Curves/meltCurve_Q86VG3_C11orf74.pdf</t>
  </si>
  <si>
    <t>Melting_Curves/meltCurve_Q86VN1_2_VPS36.pdf</t>
  </si>
  <si>
    <t>Melting_Curves/meltCurve_Q86VP6_CAND1.pdf</t>
  </si>
  <si>
    <t>Melting_Curves/meltCurve_Q86VQ1_GLCCI1.pdf</t>
  </si>
  <si>
    <t>Melting_Curves/meltCurve_Q86VQ2_WASF3.pdf</t>
  </si>
  <si>
    <t>Melting_Curves/meltCurve_Q86VR2_FAM134C.pdf</t>
  </si>
  <si>
    <t>Melting_Curves/meltCurve_Q86VS8_HOOK3.pdf</t>
  </si>
  <si>
    <t>Melting_Curves/meltCurve_Q86VW0_SESTD1.pdf</t>
  </si>
  <si>
    <t>Melting_Curves/meltCurve_Q86VW2_2_ARHGEF25.pdf</t>
  </si>
  <si>
    <t>Melting_Curves/meltCurve_Q86VX2_2_COMMD7.pdf</t>
  </si>
  <si>
    <t>Melting_Curves/meltCurve_Q86W34_AMZ2.pdf</t>
  </si>
  <si>
    <t>Melting_Curves/meltCurve_Q86W42_3_THOC6.pdf</t>
  </si>
  <si>
    <t>Melting_Curves/meltCurve_Q86W56_2_PARG.pdf</t>
  </si>
  <si>
    <t>Melting_Curves/meltCurve_Q86W92_2_PPFIBP1.pdf</t>
  </si>
  <si>
    <t>Melting_Curves/meltCurve_Q86WA6_2_BPHL.pdf</t>
  </si>
  <si>
    <t>Melting_Curves/meltCurve_Q86WA9_SLC26A11.pdf</t>
  </si>
  <si>
    <t>Melting_Curves/meltCurve_Q86WC4_OSTM1.pdf</t>
  </si>
  <si>
    <t>Melting_Curves/meltCurve_Q86WG5_SBF2.pdf</t>
  </si>
  <si>
    <t>Melting_Curves/meltCurve_Q86WN1_FCHSD1.pdf</t>
  </si>
  <si>
    <t>Melting_Curves/meltCurve_Q86WQ0_NR2C2AP.pdf</t>
  </si>
  <si>
    <t>Melting_Curves/meltCurve_Q86WR0_CCDC25.pdf</t>
  </si>
  <si>
    <t>Melting_Curves/meltCurve_Q86WV6_TMEM173.pdf</t>
  </si>
  <si>
    <t>Melting_Curves/meltCurve_Q86WV7_CCDC43.pdf</t>
  </si>
  <si>
    <t>Melting_Curves/meltCurve_Q86X02_CDR2L.pdf</t>
  </si>
  <si>
    <t>Melting_Curves/meltCurve_Q86X19_TMEM17.pdf</t>
  </si>
  <si>
    <t>Melting_Curves/meltCurve_Q86X27_RALGPS2.pdf</t>
  </si>
  <si>
    <t>Melting_Curves/meltCurve_Q86X55_1_CARM1.pdf</t>
  </si>
  <si>
    <t>Melting_Curves/meltCurve_Q86X76_2_NIT1.pdf</t>
  </si>
  <si>
    <t>Melting_Curves/meltCurve_Q86X83_COMMD2.pdf</t>
  </si>
  <si>
    <t>Melting_Curves/meltCurve_Q86XP3_DDX42.pdf</t>
  </si>
  <si>
    <t>Melting_Curves/meltCurve_Q86XZ4_SPATS2.pdf</t>
  </si>
  <si>
    <t>Melting_Curves/meltCurve_Q86Y07_4_VRK2.pdf</t>
  </si>
  <si>
    <t>Melting_Curves/meltCurve_Q86Y37_CACUL1.pdf</t>
  </si>
  <si>
    <t>Melting_Curves/meltCurve_Q86Y39_NDUFA11.pdf</t>
  </si>
  <si>
    <t>Melting_Curves/meltCurve_Q86Y56_HEATR2.pdf</t>
  </si>
  <si>
    <t>Melting_Curves/meltCurve_Q86Y82_STX12.pdf</t>
  </si>
  <si>
    <t>Melting_Curves/meltCurve_Q86YB8_ERO1LB.pdf</t>
  </si>
  <si>
    <t>Melting_Curves/meltCurve_Q86YH6_PDSS2.pdf</t>
  </si>
  <si>
    <t>Melting_Curves/meltCurve_Q86YJ6_4_THNSL2.pdf</t>
  </si>
  <si>
    <t>Melting_Curves/meltCurve_Q86YP4_2_GATAD2A.pdf</t>
  </si>
  <si>
    <t>Melting_Curves/meltCurve_Q86YQ8_CPNE8.pdf</t>
  </si>
  <si>
    <t>Melting_Curves/meltCurve_Q86YR5_4_GPSM1.pdf</t>
  </si>
  <si>
    <t>Melting_Curves/meltCurve_Q86YS6_RAB43.pdf</t>
  </si>
  <si>
    <t>Melting_Curves/meltCurve_Q86YV5_SGK223.pdf</t>
  </si>
  <si>
    <t>Melting_Curves/meltCurve_Q8IU85_2_CAMK1D.pdf</t>
  </si>
  <si>
    <t>Melting_Curves/meltCurve_Q8IUC6_TICAM1.pdf</t>
  </si>
  <si>
    <t>Melting_Curves/meltCurve_Q8IUD2_ERC1.pdf</t>
  </si>
  <si>
    <t>Melting_Curves/meltCurve_Q8IUH4_2_ZDHHC13.pdf</t>
  </si>
  <si>
    <t>Melting_Curves/meltCurve_Q8IUI8_CRLF3.pdf</t>
  </si>
  <si>
    <t>Melting_Curves/meltCurve_Q8IUR0_TRAPPC5.pdf</t>
  </si>
  <si>
    <t>Melting_Curves/meltCurve_Q8IUW5_RELL1.pdf</t>
  </si>
  <si>
    <t>Melting_Curves/meltCurve_Q8IUZ5_AGXT2L2.pdf</t>
  </si>
  <si>
    <t>Melting_Curves/meltCurve_Q8IV08_PLD3.pdf</t>
  </si>
  <si>
    <t>Melting_Curves/meltCurve_Q8IV20_LACC1.pdf</t>
  </si>
  <si>
    <t>Melting_Curves/meltCurve_Q8IV38_ANKMY2.pdf</t>
  </si>
  <si>
    <t>Melting_Curves/meltCurve_Q8IV50_LYSMD2.pdf</t>
  </si>
  <si>
    <t>Melting_Curves/meltCurve_Q8IVB5_LIX1L.pdf</t>
  </si>
  <si>
    <t>Melting_Curves/meltCurve_Q8IVD9_NUDCD3.pdf</t>
  </si>
  <si>
    <t>Melting_Curves/meltCurve_Q8IVF2_3_AHNAK2.pdf</t>
  </si>
  <si>
    <t>Melting_Curves/meltCurve_Q8IVH4_MMAA.pdf</t>
  </si>
  <si>
    <t>Melting_Curves/meltCurve_Q8IVL5_LEPREL1.pdf</t>
  </si>
  <si>
    <t>Melting_Curves/meltCurve_Q8IVM0_CCDC50.pdf</t>
  </si>
  <si>
    <t>Melting_Curves/meltCurve_Q8IVS2_MCAT.pdf</t>
  </si>
  <si>
    <t>Melting_Curves/meltCurve_Q8IW45_CARKD.pdf</t>
  </si>
  <si>
    <t>Melting_Curves/meltCurve_Q8IWA4_MFN1.pdf</t>
  </si>
  <si>
    <t>Melting_Curves/meltCurve_Q8IWA5_SLC44A2.pdf</t>
  </si>
  <si>
    <t>Melting_Curves/meltCurve_Q8IWB1_ITPRIP.pdf</t>
  </si>
  <si>
    <t>Melting_Curves/meltCurve_Q8IWB7_WDFY1.pdf</t>
  </si>
  <si>
    <t>Melting_Curves/meltCurve_Q8IWB9_TEX2.pdf</t>
  </si>
  <si>
    <t>Melting_Curves/meltCurve_Q8IWC1_2_MAP7D3.pdf</t>
  </si>
  <si>
    <t>Melting_Curves/meltCurve_Q8IWE2_FAM114A1.pdf</t>
  </si>
  <si>
    <t>Melting_Curves/meltCurve_Q8IWE4_DCUN1D3.pdf</t>
  </si>
  <si>
    <t>Melting_Curves/meltCurve_Q8IWJ2_GCC2.pdf</t>
  </si>
  <si>
    <t>Melting_Curves/meltCurve_Q8IWV7_UBR1.pdf</t>
  </si>
  <si>
    <t>Melting_Curves/meltCurve_Q8IWV8_4_UBR2.pdf</t>
  </si>
  <si>
    <t>Melting_Curves/meltCurve_Q8IWW8_2_ADHFE1.pdf</t>
  </si>
  <si>
    <t>Melting_Curves/meltCurve_Q8IWZ3_6_ANKHD1.pdf</t>
  </si>
  <si>
    <t>Melting_Curves/meltCurve_Q8IWZ8_SUGP1.pdf</t>
  </si>
  <si>
    <t>Melting_Curves/meltCurve_Q8IX04_UEVLD.pdf</t>
  </si>
  <si>
    <t>Melting_Curves/meltCurve_Q8IX12_2_CCAR1.pdf</t>
  </si>
  <si>
    <t>Melting_Curves/meltCurve_Q8IXB1_DNAJC10.pdf</t>
  </si>
  <si>
    <t>Melting_Curves/meltCurve_Q8IXI2_4_RHOT1.pdf</t>
  </si>
  <si>
    <t>Melting_Curves/meltCurve_Q8IXJ6_2_SIRT2.pdf</t>
  </si>
  <si>
    <t>Melting_Curves/meltCurve_Q8IXQ3_C9orf40.pdf</t>
  </si>
  <si>
    <t>Melting_Curves/meltCurve_Q8IXQ4_KIAA1704.pdf</t>
  </si>
  <si>
    <t>Melting_Curves/meltCurve_Q8IY17_3_PNPLA6.pdf</t>
  </si>
  <si>
    <t>Melting_Curves/meltCurve_Q8IY31_IFT20.pdf</t>
  </si>
  <si>
    <t>Melting_Curves/meltCurve_Q8IY33_MICALL2.pdf</t>
  </si>
  <si>
    <t>Melting_Curves/meltCurve_Q8IY95_2_TMEM192.pdf</t>
  </si>
  <si>
    <t>Melting_Curves/meltCurve_Q8IYB1_MB21D2.pdf</t>
  </si>
  <si>
    <t>Melting_Curves/meltCurve_Q8IYB5_3_SMAP1.pdf</t>
  </si>
  <si>
    <t>Melting_Curves/meltCurve_Q8IYB7_DIS3L2.pdf</t>
  </si>
  <si>
    <t>Melting_Curves/meltCurve_Q8IYB8_SUPV3L1.pdf</t>
  </si>
  <si>
    <t>Melting_Curves/meltCurve_Q8IYD1_GSPT2.pdf</t>
  </si>
  <si>
    <t>Melting_Curves/meltCurve_Q8IYE0_2_CCDC146.pdf</t>
  </si>
  <si>
    <t>Melting_Curves/meltCurve_Q8IYI6_EXOC8.pdf</t>
  </si>
  <si>
    <t>Melting_Curves/meltCurve_Q8IYM9_2_TRIM22.pdf</t>
  </si>
  <si>
    <t>Melting_Curves/meltCurve_Q8IYQ7_THNSL1.pdf</t>
  </si>
  <si>
    <t>Melting_Curves/meltCurve_Q8IYS2_KIAA2013.pdf</t>
  </si>
  <si>
    <t>Melting_Curves/meltCurve_Q8IYU2_HACE1.pdf</t>
  </si>
  <si>
    <t>Melting_Curves/meltCurve_Q8IYU8_MICU2.pdf</t>
  </si>
  <si>
    <t>Melting_Curves/meltCurve_Q8IZ07_ANKRD13A.pdf</t>
  </si>
  <si>
    <t>Melting_Curves/meltCurve_Q8IZ21_3_PHACTR4.pdf</t>
  </si>
  <si>
    <t>Melting_Curves/meltCurve_Q8IZ68_MTX2.pdf</t>
  </si>
  <si>
    <t>Melting_Curves/meltCurve_Q8IZ73_RPUSD2.pdf</t>
  </si>
  <si>
    <t>Melting_Curves/meltCurve_Q8IZ81_ELMOD2.pdf</t>
  </si>
  <si>
    <t>Melting_Curves/meltCurve_Q8IZ83_ALDH16A1.pdf</t>
  </si>
  <si>
    <t>Melting_Curves/meltCurve_Q8IZD4_DCP1B.pdf</t>
  </si>
  <si>
    <t>Melting_Curves/meltCurve_Q8IZE3_2_SCYL3.pdf</t>
  </si>
  <si>
    <t>Melting_Curves/meltCurve_Q8IZR5_3_CMTM4.pdf</t>
  </si>
  <si>
    <t>Melting_Curves/meltCurve_Q8IZV5_RDH10.pdf</t>
  </si>
  <si>
    <t>Melting_Curves/meltCurve_Q8N0T1_C8orf59.pdf</t>
  </si>
  <si>
    <t>Melting_Curves/meltCurve_Q8N0U8_VKORC1L1.pdf</t>
  </si>
  <si>
    <t>Melting_Curves/meltCurve_Q8N0W3_FUK.pdf</t>
  </si>
  <si>
    <t>Melting_Curves/meltCurve_Q8N0X4_CLYBL.pdf</t>
  </si>
  <si>
    <t>Melting_Curves/meltCurve_Q8N0X7_SPG20.pdf</t>
  </si>
  <si>
    <t>Melting_Curves/meltCurve_Q8N0Z6_TTC5.pdf</t>
  </si>
  <si>
    <t>Melting_Curves/meltCurve_Q8N108_17_MIER1.pdf</t>
  </si>
  <si>
    <t>Melting_Curves/meltCurve_Q8N111_CEND1.pdf</t>
  </si>
  <si>
    <t>Melting_Curves/meltCurve_Q8N122_RPTOR.pdf</t>
  </si>
  <si>
    <t>Melting_Curves/meltCurve_Q8N129_CNPY4.pdf</t>
  </si>
  <si>
    <t>Melting_Curves/meltCurve_Q8N130_SLC34A3.pdf</t>
  </si>
  <si>
    <t>Melting_Curves/meltCurve_Q8N142_ADSSL1.pdf</t>
  </si>
  <si>
    <t>Melting_Curves/meltCurve_Q8N163_2_KIAA1967.pdf</t>
  </si>
  <si>
    <t>Melting_Curves/meltCurve_Q8N183_NDUFAF2.pdf</t>
  </si>
  <si>
    <t>Melting_Curves/meltCurve_Q8N1A6_C4orf33.pdf</t>
  </si>
  <si>
    <t>Melting_Curves/meltCurve_Q8N1B4_VPS52.pdf</t>
  </si>
  <si>
    <t>Melting_Curves/meltCurve_Q8N1F7_NUP93.pdf</t>
  </si>
  <si>
    <t>Melting_Curves/meltCurve_Q8N1G2_FTSJD2.pdf</t>
  </si>
  <si>
    <t>Melting_Curves/meltCurve_Q8N1G4_LRRC47.pdf</t>
  </si>
  <si>
    <t>Melting_Curves/meltCurve_Q8N1Q1_CA13.pdf</t>
  </si>
  <si>
    <t>Melting_Curves/meltCurve_Q8N1S5_2_SLC39A11.pdf</t>
  </si>
  <si>
    <t>Melting_Curves/meltCurve_Q8N283_ANKRD35.pdf</t>
  </si>
  <si>
    <t>Melting_Curves/meltCurve_Q8N2F6_3_ARMC10.pdf</t>
  </si>
  <si>
    <t>Melting_Curves/meltCurve_Q8N2G8_3_GHDC.pdf</t>
  </si>
  <si>
    <t>Melting_Curves/meltCurve_Q8N2H3_PYROXD2.pdf</t>
  </si>
  <si>
    <t>Melting_Curves/meltCurve_Q8N2K0_ABHD12.pdf</t>
  </si>
  <si>
    <t>Melting_Curves/meltCurve_Q8N300_CCDC23.pdf</t>
  </si>
  <si>
    <t>Melting_Curves/meltCurve_Q8N335_GPD1L.pdf</t>
  </si>
  <si>
    <t>Melting_Curves/meltCurve_Q8N339_MT1M.pdf</t>
  </si>
  <si>
    <t>Melting_Curves/meltCurve_Q8N350_DOS.pdf</t>
  </si>
  <si>
    <t>Melting_Curves/meltCurve_Q8N357_SLC35F6.pdf</t>
  </si>
  <si>
    <t>Melting_Curves/meltCurve_Q8N392_ARHGAP18.pdf</t>
  </si>
  <si>
    <t>Melting_Curves/meltCurve_Q8N3C0_4_ASCC3.pdf</t>
  </si>
  <si>
    <t>Melting_Curves/meltCurve_Q8N3D4_EHBP1L1.pdf</t>
  </si>
  <si>
    <t>Melting_Curves/meltCurve_Q8N3F8_MICALL1.pdf</t>
  </si>
  <si>
    <t>Melting_Curves/meltCurve_Q8N3R9_MPP5.pdf</t>
  </si>
  <si>
    <t>Melting_Curves/meltCurve_Q8N3V7_2_SYNPO.pdf</t>
  </si>
  <si>
    <t>Melting_Curves/meltCurve_Q8N3X1_FNBP4.pdf</t>
  </si>
  <si>
    <t>Melting_Curves/meltCurve_Q8N465_D2HGDH.pdf</t>
  </si>
  <si>
    <t>Melting_Curves/meltCurve_Q8N474_SFRP1.pdf</t>
  </si>
  <si>
    <t>Melting_Curves/meltCurve_Q8N488_RYBP.pdf</t>
  </si>
  <si>
    <t>Melting_Curves/meltCurve_Q8N490_2_PNKD.pdf</t>
  </si>
  <si>
    <t>Melting_Curves/meltCurve_Q8N4B1_2_FAM109A.pdf</t>
  </si>
  <si>
    <t>Melting_Curves/meltCurve_Q8N4C8_MINK1.pdf</t>
  </si>
  <si>
    <t>Melting_Curves/meltCurve_Q8N4H5_TOMM5.pdf</t>
  </si>
  <si>
    <t>Melting_Curves/meltCurve_Q8N4P3_HDDC3.pdf</t>
  </si>
  <si>
    <t>Melting_Curves/meltCurve_Q8N4Q0_ZADH2.pdf</t>
  </si>
  <si>
    <t>Melting_Curves/meltCurve_Q8N4Q1_CHCHD4.pdf</t>
  </si>
  <si>
    <t>Melting_Curves/meltCurve_Q8N4V1_MMGT1.pdf</t>
  </si>
  <si>
    <t>Melting_Curves/meltCurve_Q8N556_AFAP1.pdf</t>
  </si>
  <si>
    <t>Melting_Curves/meltCurve_Q8N573_2_OXR1.pdf</t>
  </si>
  <si>
    <t>Melting_Curves/meltCurve_Q8N584_TTC39C.pdf</t>
  </si>
  <si>
    <t>Melting_Curves/meltCurve_Q8N5C8_2_TAB3.pdf</t>
  </si>
  <si>
    <t>Melting_Curves/meltCurve_Q8N5G0_2_SMIM20.pdf</t>
  </si>
  <si>
    <t>Melting_Curves/meltCurve_Q8N5G2_2_TMEM57.pdf</t>
  </si>
  <si>
    <t>Melting_Curves/meltCurve_Q8N5H3_4_FAM89B.pdf</t>
  </si>
  <si>
    <t>Melting_Curves/meltCurve_Q8N5I4_DHRSX.pdf</t>
  </si>
  <si>
    <t>Melting_Curves/meltCurve_Q8N5I9_C12orf45.pdf</t>
  </si>
  <si>
    <t>Melting_Curves/meltCurve_Q8N5J2_FAM63A.pdf</t>
  </si>
  <si>
    <t>Melting_Curves/meltCurve_Q8N5K1_CISD2.pdf</t>
  </si>
  <si>
    <t>Melting_Curves/meltCurve_Q8N5M1_ATPAF2.pdf</t>
  </si>
  <si>
    <t>Melting_Curves/meltCurve_Q8N5M9_JAGN1.pdf</t>
  </si>
  <si>
    <t>Melting_Curves/meltCurve_Q8N5N7_MRPL50.pdf</t>
  </si>
  <si>
    <t>Melting_Curves/meltCurve_Q8N5X7_EIF4E3.pdf</t>
  </si>
  <si>
    <t>Melting_Curves/meltCurve_Q8N5Z5_2_KCTD17.pdf</t>
  </si>
  <si>
    <t>Melting_Curves/meltCurve_Q8N668_COMMD1.pdf</t>
  </si>
  <si>
    <t>Melting_Curves/meltCurve_Q8N684_2_CPSF7.pdf</t>
  </si>
  <si>
    <t>Melting_Curves/meltCurve_Q8N697_SLC15A4.pdf</t>
  </si>
  <si>
    <t>Melting_Curves/meltCurve_Q8N6G6_2_ADAMTSL1.pdf</t>
  </si>
  <si>
    <t>Melting_Curves/meltCurve_Q8N6H7_ARFGAP2.pdf</t>
  </si>
  <si>
    <t>Melting_Curves/meltCurve_Q8N6M0_OTUD6B.pdf</t>
  </si>
  <si>
    <t>Melting_Curves/meltCurve_Q8N6N3_C1orf52.pdf</t>
  </si>
  <si>
    <t>Melting_Curves/meltCurve_Q8N6N7_ACBD7.pdf</t>
  </si>
  <si>
    <t>Melting_Curves/meltCurve_Q8N6Q8_METTL25.pdf</t>
  </si>
  <si>
    <t>Melting_Curves/meltCurve_Q8N6T3_ARFGAP1.pdf</t>
  </si>
  <si>
    <t>Melting_Curves/meltCurve_Q8N766_4_EMC1.pdf</t>
  </si>
  <si>
    <t>Melting_Curves/meltCurve_Q8N7R7_3_CCNYL1.pdf</t>
  </si>
  <si>
    <t>Melting_Curves/meltCurve_Q8N8J7_C4orf32.pdf</t>
  </si>
  <si>
    <t>Melting_Curves/meltCurve_Q8N8N7_PTGR2.pdf</t>
  </si>
  <si>
    <t>Melting_Curves/meltCurve_Q8N8R5_C2orf69.pdf</t>
  </si>
  <si>
    <t>Melting_Curves/meltCurve_Q8N8S7_2_ENAH.pdf</t>
  </si>
  <si>
    <t>Melting_Curves/meltCurve_Q8N954_GPATCH11.pdf</t>
  </si>
  <si>
    <t>Melting_Curves/meltCurve_Q8N999_C12orf29.pdf</t>
  </si>
  <si>
    <t>Melting_Curves/meltCurve_Q8N9A8_2_CNEP1R1.pdf</t>
  </si>
  <si>
    <t>Melting_Curves/meltCurve_Q8N9I9_DTX3.pdf</t>
  </si>
  <si>
    <t>Melting_Curves/meltCurve_Q8N9N2_2_ASCC1.pdf</t>
  </si>
  <si>
    <t>Melting_Curves/meltCurve_Q8N9N7_LRRC57.pdf</t>
  </si>
  <si>
    <t>Melting_Curves/meltCurve_Q8N9V3_2_WDSUB1.pdf</t>
  </si>
  <si>
    <t>Melting_Curves/meltCurve_Q8NB14_USP38.pdf</t>
  </si>
  <si>
    <t>Melting_Curves/meltCurve_Q8NB16_MLKL.pdf</t>
  </si>
  <si>
    <t>Melting_Curves/meltCurve_Q8NB37_PDDC1.pdf</t>
  </si>
  <si>
    <t>Melting_Curves/meltCurve_Q8NB46_ANKRD52.pdf</t>
  </si>
  <si>
    <t>Melting_Curves/meltCurve_Q8NB49_3_ATP11C.pdf</t>
  </si>
  <si>
    <t>Melting_Curves/meltCurve_Q8NBF2_NHLRC2.pdf</t>
  </si>
  <si>
    <t>Melting_Curves/meltCurve_Q8NBF6_AVL9.pdf</t>
  </si>
  <si>
    <t>Melting_Curves/meltCurve_Q8NBI5_SLC43A3.pdf</t>
  </si>
  <si>
    <t>Melting_Curves/meltCurve_Q8NBI6_XXYLT1.pdf</t>
  </si>
  <si>
    <t>Melting_Curves/meltCurve_Q8NBJ4_2_GOLM1.pdf</t>
  </si>
  <si>
    <t>Melting_Curves/meltCurve_Q8NBJ5_COLGALT1.pdf</t>
  </si>
  <si>
    <t>Melting_Curves/meltCurve_Q8NBK3_SUMF1.pdf</t>
  </si>
  <si>
    <t>Melting_Curves/meltCurve_Q8NBL1_POGLUT1.pdf</t>
  </si>
  <si>
    <t>Melting_Curves/meltCurve_Q8NBM8_PCYOX1L.pdf</t>
  </si>
  <si>
    <t>Melting_Curves/meltCurve_Q8NBN3_TMEM87A.pdf</t>
  </si>
  <si>
    <t>Melting_Curves/meltCurve_Q8NBN7_RDH13.pdf</t>
  </si>
  <si>
    <t>Melting_Curves/meltCurve_Q8NBU5_ATAD1.pdf</t>
  </si>
  <si>
    <t>Melting_Curves/meltCurve_Q8NBX0_SCCPDH.pdf</t>
  </si>
  <si>
    <t>Melting_Curves/meltCurve_Q8NC44_FAM134A.pdf</t>
  </si>
  <si>
    <t>Melting_Curves/meltCurve_Q8NC51_2_SERBP1.pdf</t>
  </si>
  <si>
    <t>Melting_Curves/meltCurve_Q8NC56_LEMD2.pdf</t>
  </si>
  <si>
    <t>Melting_Curves/meltCurve_Q8NC96_NECAP1.pdf</t>
  </si>
  <si>
    <t>Melting_Curves/meltCurve_Q8NCA5_2_FAM98A.pdf</t>
  </si>
  <si>
    <t>Melting_Curves/meltCurve_Q8NCC3_PLA2G15.pdf</t>
  </si>
  <si>
    <t>Melting_Curves/meltCurve_Q8NCC5_3_SLC37A3.pdf</t>
  </si>
  <si>
    <t>Melting_Curves/meltCurve_Q8NCE2_2_MTMR14.pdf</t>
  </si>
  <si>
    <t>Melting_Curves/meltCurve_Q8NCG7_4_DAGLB.pdf</t>
  </si>
  <si>
    <t>Melting_Curves/meltCurve_Q8NCH0_CHST14.pdf</t>
  </si>
  <si>
    <t>Melting_Curves/meltCurve_Q8NCL4_GALNT6.pdf</t>
  </si>
  <si>
    <t>Melting_Curves/meltCurve_Q8NCN5_PDPR.pdf</t>
  </si>
  <si>
    <t>Melting_Curves/meltCurve_Q8NCW5_APOA1BP.pdf</t>
  </si>
  <si>
    <t>Melting_Curves/meltCurve_Q8ND24_RNF214.pdf</t>
  </si>
  <si>
    <t>Melting_Curves/meltCurve_Q8ND30_PPFIBP2.pdf</t>
  </si>
  <si>
    <t>Melting_Curves/meltCurve_Q8ND56_2_LSM14A.pdf</t>
  </si>
  <si>
    <t>Melting_Curves/meltCurve_Q8ND76_3_CCNY.pdf</t>
  </si>
  <si>
    <t>Melting_Curves/meltCurve_Q8ND90_PNMA1.pdf</t>
  </si>
  <si>
    <t>Melting_Curves/meltCurve_Q8ND94_LRRN4CL.pdf</t>
  </si>
  <si>
    <t>Melting_Curves/meltCurve_Q8NDC0_MAPK1IP1L.pdf</t>
  </si>
  <si>
    <t>Melting_Curves/meltCurve_Q8NDH3_NPEPL1.pdf</t>
  </si>
  <si>
    <t>Melting_Curves/meltCurve_Q8NDI1_3_EHBP1.pdf</t>
  </si>
  <si>
    <t>Melting_Curves/meltCurve_Q8NDV7_6_TNRC6A.pdf</t>
  </si>
  <si>
    <t>Melting_Curves/meltCurve_Q8NE00_TMEM104.pdf</t>
  </si>
  <si>
    <t>Melting_Curves/meltCurve_Q8NE71_2_ABCF1.pdf</t>
  </si>
  <si>
    <t>Melting_Curves/meltCurve_Q8NE86_3_MCU.pdf</t>
  </si>
  <si>
    <t>Melting_Curves/meltCurve_Q8NEC7_GSTCD.pdf</t>
  </si>
  <si>
    <t>Melting_Curves/meltCurve_Q8NEL9_2_DDHD1.pdf</t>
  </si>
  <si>
    <t>Melting_Curves/meltCurve_Q8NEN9_PDZD8.pdf</t>
  </si>
  <si>
    <t>Melting_Curves/meltCurve_Q8NEU8_APPL2.pdf</t>
  </si>
  <si>
    <t>Melting_Curves/meltCurve_Q8NEW0_SLC30A7.pdf</t>
  </si>
  <si>
    <t>Melting_Curves/meltCurve_Q8NEY1_2_NAV1.pdf</t>
  </si>
  <si>
    <t>Melting_Curves/meltCurve_Q8NEZ2_2_VPS37A.pdf</t>
  </si>
  <si>
    <t>Melting_Curves/meltCurve_Q8NEZ5_FBXO22.pdf</t>
  </si>
  <si>
    <t>Melting_Curves/meltCurve_Q8NF37_LPCAT1.pdf</t>
  </si>
  <si>
    <t>Melting_Curves/meltCurve_Q8NFC6_BOD1L1.pdf</t>
  </si>
  <si>
    <t>Melting_Curves/meltCurve_Q8NFF5_2_FLAD1.pdf</t>
  </si>
  <si>
    <t>Melting_Curves/meltCurve_Q8NFH3_NUP43.pdf</t>
  </si>
  <si>
    <t>Melting_Curves/meltCurve_Q8NFH4_NUP37.pdf</t>
  </si>
  <si>
    <t>Melting_Curves/meltCurve_Q8NFI3_ENGASE.pdf</t>
  </si>
  <si>
    <t>Melting_Curves/meltCurve_Q8NFQ8_TOR1AIP2.pdf</t>
  </si>
  <si>
    <t>Melting_Curves/meltCurve_Q8NFU3_TSTD1.pdf</t>
  </si>
  <si>
    <t>Melting_Curves/meltCurve_Q8NFV4_ABHD11.pdf</t>
  </si>
  <si>
    <t>Melting_Curves/meltCurve_Q8NFX7_2_STXBP6.pdf</t>
  </si>
  <si>
    <t>Melting_Curves/meltCurve_Q8NFZ4_NLGN2.pdf</t>
  </si>
  <si>
    <t>Melting_Curves/meltCurve_Q8NFZ8_CADM4.pdf</t>
  </si>
  <si>
    <t>Melting_Curves/meltCurve_Q8NG27_3_PJA1.pdf</t>
  </si>
  <si>
    <t>Melting_Curves/meltCurve_Q8NG68_TTL.pdf</t>
  </si>
  <si>
    <t>Melting_Curves/meltCurve_Q8NHG7_SVIP.pdf</t>
  </si>
  <si>
    <t>Melting_Curves/meltCurve_Q8NHH9_ATL2.pdf</t>
  </si>
  <si>
    <t>Melting_Curves/meltCurve_Q8NHP8_PLBD2.pdf</t>
  </si>
  <si>
    <t>Melting_Curves/meltCurve_Q8NHQ8_2_RASSF8.pdf</t>
  </si>
  <si>
    <t>Melting_Curves/meltCurve_Q8NHU3_SGMS2.pdf</t>
  </si>
  <si>
    <t>Melting_Curves/meltCurve_Q8NHU6_TDRD7.pdf</t>
  </si>
  <si>
    <t>Melting_Curves/meltCurve_Q8NHV1_GIMAP7.pdf</t>
  </si>
  <si>
    <t>Melting_Curves/meltCurve_Q8NHV4_NEDD1.pdf</t>
  </si>
  <si>
    <t>Melting_Curves/meltCurve_Q8NHZ8_CDC26.pdf</t>
  </si>
  <si>
    <t>Melting_Curves/meltCurve_Q8NI08_2_NCOA7.pdf</t>
  </si>
  <si>
    <t>Melting_Curves/meltCurve_Q8NI22_2_MCFD2.pdf</t>
  </si>
  <si>
    <t>Melting_Curves/meltCurve_Q8NI37_PPTC7.pdf</t>
  </si>
  <si>
    <t>Melting_Curves/meltCurve_Q8TAA9_2_VANGL1.pdf</t>
  </si>
  <si>
    <t>Melting_Curves/meltCurve_Q8TAE8_GADD45GIP1.pdf</t>
  </si>
  <si>
    <t>Melting_Curves/meltCurve_Q8TAF3_WDR48.pdf</t>
  </si>
  <si>
    <t>Melting_Curves/meltCurve_Q8TAP6_2_CEP76.pdf</t>
  </si>
  <si>
    <t>Melting_Curves/meltCurve_Q8TAP8_PPP1R35.pdf</t>
  </si>
  <si>
    <t>Melting_Curves/meltCurve_Q8TAT6_NPLOC4.pdf</t>
  </si>
  <si>
    <t>Melting_Curves/meltCurve_Q8TB03_CXorf38.pdf</t>
  </si>
  <si>
    <t>Melting_Curves/meltCurve_Q8TB22_3_SPATA20.pdf</t>
  </si>
  <si>
    <t>Melting_Curves/meltCurve_Q8TB24_RIN3.pdf</t>
  </si>
  <si>
    <t>Melting_Curves/meltCurve_Q8TB36_2_GDAP1.pdf</t>
  </si>
  <si>
    <t>Melting_Curves/meltCurve_Q8TB37_NUBPL.pdf</t>
  </si>
  <si>
    <t>Melting_Curves/meltCurve_Q8TB40_ABHD4.pdf</t>
  </si>
  <si>
    <t>Melting_Curves/meltCurve_Q8TB61_3_SLC35B2.pdf</t>
  </si>
  <si>
    <t>Melting_Curves/meltCurve_Q8TB72_2_PUM2.pdf</t>
  </si>
  <si>
    <t>Melting_Curves/meltCurve_Q8TB96_ITFG1.pdf</t>
  </si>
  <si>
    <t>Melting_Curves/meltCurve_Q8TBA6_2_GOLGA5.pdf</t>
  </si>
  <si>
    <t>Melting_Curves/meltCurve_Q8TBB0_2_THAP6.pdf</t>
  </si>
  <si>
    <t>Melting_Curves/meltCurve_Q8TBB6_SLC7A14.pdf</t>
  </si>
  <si>
    <t>Melting_Curves/meltCurve_Q8TBC4_UBA3.pdf</t>
  </si>
  <si>
    <t>Melting_Curves/meltCurve_Q8TBC5_4_ZSCAN18.pdf</t>
  </si>
  <si>
    <t>Melting_Curves/meltCurve_Q8TBE9_NANP.pdf</t>
  </si>
  <si>
    <t>Melting_Curves/meltCurve_Q8TBN0_RAB3IL1.pdf</t>
  </si>
  <si>
    <t>Melting_Curves/meltCurve_Q8TBX8_PIP4K2C.pdf</t>
  </si>
  <si>
    <t>Melting_Curves/meltCurve_Q8TC07_2_TBC1D15.pdf</t>
  </si>
  <si>
    <t>Melting_Curves/meltCurve_Q8TC12_RDH11.pdf</t>
  </si>
  <si>
    <t>Melting_Curves/meltCurve_Q8TC71_2_SPATA18.pdf</t>
  </si>
  <si>
    <t>Melting_Curves/meltCurve_Q8TCA0_LRRC20.pdf</t>
  </si>
  <si>
    <t>Melting_Curves/meltCurve_Q8TCD1_C18orf32.pdf</t>
  </si>
  <si>
    <t>Melting_Curves/meltCurve_Q8TCD5_NT5C.pdf</t>
  </si>
  <si>
    <t>Melting_Curves/meltCurve_Q8TCE6_2_FAM45A.pdf</t>
  </si>
  <si>
    <t>Melting_Curves/meltCurve_Q8TCG2_PI4K2B.pdf</t>
  </si>
  <si>
    <t>Melting_Curves/meltCurve_Q8TCJ2_STT3B.pdf</t>
  </si>
  <si>
    <t>Melting_Curves/meltCurve_Q8TCS8_PNPT1.pdf</t>
  </si>
  <si>
    <t>Melting_Curves/meltCurve_Q8TCT9_5_HM13.pdf</t>
  </si>
  <si>
    <t>Melting_Curves/meltCurve_Q8TCX1_DYNC2LI1.pdf</t>
  </si>
  <si>
    <t>Melting_Curves/meltCurve_Q8TCZ2_6_CD99L2.pdf</t>
  </si>
  <si>
    <t>Melting_Curves/meltCurve_Q8TD16_BICD2.pdf</t>
  </si>
  <si>
    <t>Melting_Curves/meltCurve_Q8TD19_NEK9.pdf</t>
  </si>
  <si>
    <t>Melting_Curves/meltCurve_Q8TD30_GPT2.pdf</t>
  </si>
  <si>
    <t>Melting_Curves/meltCurve_Q8TD55_PLEKHO2.pdf</t>
  </si>
  <si>
    <t>Melting_Curves/meltCurve_Q8TDB4_MGARP.pdf</t>
  </si>
  <si>
    <t>Melting_Curves/meltCurve_Q8TDH9_BLOC1S5.pdf</t>
  </si>
  <si>
    <t>Melting_Curves/meltCurve_Q8TDM0_3_BCAS4.pdf</t>
  </si>
  <si>
    <t>Melting_Curves/meltCurve_Q8TDM6_DLG5.pdf</t>
  </si>
  <si>
    <t>Melting_Curves/meltCurve_Q8TDQ7_GNPDA2.pdf</t>
  </si>
  <si>
    <t>Melting_Curves/meltCurve_Q8TDX7_NEK7.pdf</t>
  </si>
  <si>
    <t>Melting_Curves/meltCurve_Q8TDY2_2_RB1CC1.pdf</t>
  </si>
  <si>
    <t>Melting_Curves/meltCurve_Q8TDY4_3_ASAP3.pdf</t>
  </si>
  <si>
    <t>Melting_Curves/meltCurve_Q8TDZ2_MICAL1.pdf</t>
  </si>
  <si>
    <t>Melting_Curves/meltCurve_Q8TE73_DNAH5.pdf</t>
  </si>
  <si>
    <t>Melting_Curves/meltCurve_Q8TE77_SSH3.pdf</t>
  </si>
  <si>
    <t>Melting_Curves/meltCurve_Q8TEA1_NSUN6.pdf</t>
  </si>
  <si>
    <t>Melting_Curves/meltCurve_Q8TEA8_DTD1.pdf</t>
  </si>
  <si>
    <t>Melting_Curves/meltCurve_Q8TED1_GPX8.pdf</t>
  </si>
  <si>
    <t>Melting_Curves/meltCurve_Q8TED4_3_SLC37A2.pdf</t>
  </si>
  <si>
    <t>Melting_Curves/meltCurve_Q8TEJ3_SH3RF3.pdf</t>
  </si>
  <si>
    <t>Melting_Curves/meltCurve_Q8TEQ0_2_SNX29.pdf</t>
  </si>
  <si>
    <t>Melting_Curves/meltCurve_Q8TEV9_2_SMCR8.pdf</t>
  </si>
  <si>
    <t>Melting_Curves/meltCurve_Q8TEX9_IPO4.pdf</t>
  </si>
  <si>
    <t>Melting_Curves/meltCurve_Q8TF01_PNISR.pdf</t>
  </si>
  <si>
    <t>Melting_Curves/meltCurve_Q8TF05_2_PPP4R1.pdf</t>
  </si>
  <si>
    <t>Melting_Curves/meltCurve_Q8TF42_UBASH3B.pdf</t>
  </si>
  <si>
    <t>Melting_Curves/meltCurve_Q8TF66_LRRC15.pdf</t>
  </si>
  <si>
    <t>Melting_Curves/meltCurve_Q8TF72_SHROOM3.pdf</t>
  </si>
  <si>
    <t>Melting_Curves/meltCurve_Q8TF74_WIPF2.pdf</t>
  </si>
  <si>
    <t>Melting_Curves/meltCurve_Q8WTS1_ABHD5.pdf</t>
  </si>
  <si>
    <t>Melting_Curves/meltCurve_Q8WTS6_SETD7.pdf</t>
  </si>
  <si>
    <t>Melting_Curves/meltCurve_Q8WU10_PYROXD1.pdf</t>
  </si>
  <si>
    <t>Melting_Curves/meltCurve_Q8WU17_RNF139.pdf</t>
  </si>
  <si>
    <t>Melting_Curves/meltCurve_Q8WU76_2_SCFD2.pdf</t>
  </si>
  <si>
    <t>Melting_Curves/meltCurve_Q8WU79_2_SMAP2.pdf</t>
  </si>
  <si>
    <t>Melting_Curves/meltCurve_Q8WU90_ZC3H15.pdf</t>
  </si>
  <si>
    <t>Melting_Curves/meltCurve_Q8WUA2_PPIL4.pdf</t>
  </si>
  <si>
    <t>Melting_Curves/meltCurve_Q8WUA8_TSKU.pdf</t>
  </si>
  <si>
    <t>Melting_Curves/meltCurve_Q8WUB8_3_PHF10.pdf</t>
  </si>
  <si>
    <t>Melting_Curves/meltCurve_Q8WUD1_RAB2B.pdf</t>
  </si>
  <si>
    <t>Melting_Curves/meltCurve_Q8WUF5_PPP1R13L.pdf</t>
  </si>
  <si>
    <t>Melting_Curves/meltCurve_Q8WUF8_FAM172A.pdf</t>
  </si>
  <si>
    <t>Melting_Curves/meltCurve_Q8WUH1_CHURC1.pdf</t>
  </si>
  <si>
    <t>Melting_Curves/meltCurve_Q8WUH6_C12orf23.pdf</t>
  </si>
  <si>
    <t>Melting_Curves/meltCurve_Q8WUI4_3_HDAC7.pdf</t>
  </si>
  <si>
    <t>Melting_Curves/meltCurve_Q8WUJ0_STYX.pdf</t>
  </si>
  <si>
    <t>Melting_Curves/meltCurve_Q8WUK0_2_PTPMT1.pdf</t>
  </si>
  <si>
    <t>Melting_Curves/meltCurve_Q8WUM4_PDCD6IP.pdf</t>
  </si>
  <si>
    <t>Melting_Curves/meltCurve_Q8WUM9_SLC20A1.pdf</t>
  </si>
  <si>
    <t>Melting_Curves/meltCurve_Q8WUP2_FBLIM1.pdf</t>
  </si>
  <si>
    <t>Melting_Curves/meltCurve_Q8WUR7_C15orf40.pdf</t>
  </si>
  <si>
    <t>Melting_Curves/meltCurve_Q8WUX2_CHAC2.pdf</t>
  </si>
  <si>
    <t>Melting_Curves/meltCurve_Q8WUX9_CHMP7.pdf</t>
  </si>
  <si>
    <t>Melting_Curves/meltCurve_Q8WUY1_THEM6.pdf</t>
  </si>
  <si>
    <t>Melting_Curves/meltCurve_Q8WUY3_4_PRUNE2.pdf</t>
  </si>
  <si>
    <t>Melting_Curves/meltCurve_Q8WUY8_NAT14.pdf</t>
  </si>
  <si>
    <t>Melting_Curves/meltCurve_Q8WV41_SNX33.pdf</t>
  </si>
  <si>
    <t>Melting_Curves/meltCurve_Q8WV93_LACE1.pdf</t>
  </si>
  <si>
    <t>Melting_Curves/meltCurve_Q8WVC0_LEO1.pdf</t>
  </si>
  <si>
    <t>Melting_Curves/meltCurve_Q8WVC2_RPS21.pdf</t>
  </si>
  <si>
    <t>Melting_Curves/meltCurve_Q8WVD5_RNF141.pdf</t>
  </si>
  <si>
    <t>Melting_Curves/meltCurve_Q8WVE0_N6AMT2.pdf</t>
  </si>
  <si>
    <t>Melting_Curves/meltCurve_Q8WVJ2_NUDCD2.pdf</t>
  </si>
  <si>
    <t>Melting_Curves/meltCurve_Q8WVK2_SNRNP27.pdf</t>
  </si>
  <si>
    <t>Melting_Curves/meltCurve_Q8WVL7_ANKRD49.pdf</t>
  </si>
  <si>
    <t>Melting_Curves/meltCurve_Q8WVM8_SCFD1.pdf</t>
  </si>
  <si>
    <t>Melting_Curves/meltCurve_Q8WVN8_3_UBE2Q2.pdf</t>
  </si>
  <si>
    <t>Melting_Curves/meltCurve_Q8WVQ1_CANT1.pdf</t>
  </si>
  <si>
    <t>Melting_Curves/meltCurve_Q8WVT3_TRAPPC12.pdf</t>
  </si>
  <si>
    <t>Melting_Curves/meltCurve_Q8WVX9_FAR1.pdf</t>
  </si>
  <si>
    <t>Melting_Curves/meltCurve_Q8WVY7_UBLCP1.pdf</t>
  </si>
  <si>
    <t>Melting_Curves/meltCurve_Q8WW01_TSEN15.pdf</t>
  </si>
  <si>
    <t>Melting_Curves/meltCurve_Q8WW12_PCNP.pdf</t>
  </si>
  <si>
    <t>Melting_Curves/meltCurve_Q8WW59_SPRYD4.pdf</t>
  </si>
  <si>
    <t>Melting_Curves/meltCurve_Q8WWB7_2_C1orf85.pdf</t>
  </si>
  <si>
    <t>Melting_Curves/meltCurve_Q8WWC4_C2orf47.pdf</t>
  </si>
  <si>
    <t>Melting_Curves/meltCurve_Q8WWH5_TRUB1.pdf</t>
  </si>
  <si>
    <t>Melting_Curves/meltCurve_Q8WWI5_SLC44A1.pdf</t>
  </si>
  <si>
    <t>Melting_Curves/meltCurve_Q8WWM7_ATXN2L.pdf</t>
  </si>
  <si>
    <t>Melting_Curves/meltCurve_Q8WWM9_CYGB.pdf</t>
  </si>
  <si>
    <t>Melting_Curves/meltCurve_Q8WWV3_RTN4IP1.pdf</t>
  </si>
  <si>
    <t>Melting_Curves/meltCurve_Q8WWX9_SELM.pdf</t>
  </si>
  <si>
    <t>Melting_Curves/meltCurve_Q8WX92_NELFB.pdf</t>
  </si>
  <si>
    <t>Melting_Curves/meltCurve_Q8WX93_3_PALLD.pdf</t>
  </si>
  <si>
    <t>Melting_Curves/meltCurve_Q8WXA9_2_SREK1.pdf</t>
  </si>
  <si>
    <t>Melting_Curves/meltCurve_Q8WXD5_GEMIN6.pdf</t>
  </si>
  <si>
    <t>Melting_Curves/meltCurve_Q8WXE1_5_ATRIP.pdf</t>
  </si>
  <si>
    <t>Melting_Curves/meltCurve_Q8WXF1_PSPC1.pdf</t>
  </si>
  <si>
    <t>Melting_Curves/meltCurve_Q8WXH0_SYNE2.pdf</t>
  </si>
  <si>
    <t>Melting_Curves/meltCurve_Q8WXI9_GATAD2B.pdf</t>
  </si>
  <si>
    <t>Melting_Curves/meltCurve_Q8WXS3_2_BAALC.pdf</t>
  </si>
  <si>
    <t>Melting_Curves/meltCurve_Q8WXX5_DNAJC9.pdf</t>
  </si>
  <si>
    <t>Melting_Curves/meltCurve_Q8WYA6_3_CTNNBL1.pdf</t>
  </si>
  <si>
    <t>Melting_Curves/meltCurve_Q8WYL5_SSH1.pdf</t>
  </si>
  <si>
    <t>Melting_Curves/meltCurve_Q8WYN0_ATG4A.pdf</t>
  </si>
  <si>
    <t>Melting_Curves/meltCurve_Q8WYP5_AHCTF1.pdf</t>
  </si>
  <si>
    <t>Melting_Curves/meltCurve_Q8WZ82_OVCA2.pdf</t>
  </si>
  <si>
    <t>Melting_Curves/meltCurve_Q8WZA0_LZIC.pdf</t>
  </si>
  <si>
    <t>Melting_Curves/meltCurve_Q8WZA9_IRGQ.pdf</t>
  </si>
  <si>
    <t>Melting_Curves/meltCurve_Q92478_CLEC2B.pdf</t>
  </si>
  <si>
    <t>Melting_Curves/meltCurve_Q92499_DDX1.pdf</t>
  </si>
  <si>
    <t>Melting_Curves/meltCurve_Q92503_3_SEC14L1.pdf</t>
  </si>
  <si>
    <t>Melting_Curves/meltCurve_Q92504_SLC39A7.pdf</t>
  </si>
  <si>
    <t>Melting_Curves/meltCurve_Q92506_HSD17B8.pdf</t>
  </si>
  <si>
    <t>Melting_Curves/meltCurve_Q92508_PIEZO1.pdf</t>
  </si>
  <si>
    <t>Melting_Curves/meltCurve_Q92520_FAM3C.pdf</t>
  </si>
  <si>
    <t>Melting_Curves/meltCurve_Q92526_CCT6B.pdf</t>
  </si>
  <si>
    <t>Melting_Curves/meltCurve_Q92538_GBF1.pdf</t>
  </si>
  <si>
    <t>Melting_Curves/meltCurve_Q92541_RTF1.pdf</t>
  </si>
  <si>
    <t>Melting_Curves/meltCurve_Q92544_TM9SF4.pdf</t>
  </si>
  <si>
    <t>Melting_Curves/meltCurve_Q92546_RGP1.pdf</t>
  </si>
  <si>
    <t>Melting_Curves/meltCurve_Q92558_WASF1.pdf</t>
  </si>
  <si>
    <t>Melting_Curves/meltCurve_Q92567_2_FAM168A.pdf</t>
  </si>
  <si>
    <t>Melting_Curves/meltCurve_Q92572_AP3S1.pdf</t>
  </si>
  <si>
    <t>Melting_Curves/meltCurve_Q92574_TSC1.pdf</t>
  </si>
  <si>
    <t>Melting_Curves/meltCurve_Q92575_UBXN4.pdf</t>
  </si>
  <si>
    <t>Melting_Curves/meltCurve_Q92597_NDRG1.pdf</t>
  </si>
  <si>
    <t>Melting_Curves/meltCurve_Q92598_2_HSPH1.pdf</t>
  </si>
  <si>
    <t>Melting_Curves/meltCurve_Q92609_TBC1D5.pdf</t>
  </si>
  <si>
    <t>Melting_Curves/meltCurve_Q92615_LARP4B.pdf</t>
  </si>
  <si>
    <t>Melting_Curves/meltCurve_Q92616_GCN1L1.pdf</t>
  </si>
  <si>
    <t>Melting_Curves/meltCurve_Q92620_DHX38.pdf</t>
  </si>
  <si>
    <t>Melting_Curves/meltCurve_Q92621_NUP205.pdf</t>
  </si>
  <si>
    <t>Melting_Curves/meltCurve_Q92624_APPBP2.pdf</t>
  </si>
  <si>
    <t>Melting_Curves/meltCurve_Q92625_ANKS1A.pdf</t>
  </si>
  <si>
    <t>Melting_Curves/meltCurve_Q92626_PXDN.pdf</t>
  </si>
  <si>
    <t>Melting_Curves/meltCurve_Q92629_2_SGCD.pdf</t>
  </si>
  <si>
    <t>Melting_Curves/meltCurve_Q92636_NSMAF.pdf</t>
  </si>
  <si>
    <t>Melting_Curves/meltCurve_Q92686_NRGN.pdf</t>
  </si>
  <si>
    <t>Melting_Curves/meltCurve_Q92688_ANP32B.pdf</t>
  </si>
  <si>
    <t>Melting_Curves/meltCurve_Q92692_PVRL2.pdf</t>
  </si>
  <si>
    <t>Melting_Curves/meltCurve_Q92692_2_PVRL2.pdf</t>
  </si>
  <si>
    <t>Melting_Curves/meltCurve_Q92696_RABGGTA.pdf</t>
  </si>
  <si>
    <t>Melting_Curves/meltCurve_Q92734_2_TFG.pdf</t>
  </si>
  <si>
    <t>Melting_Curves/meltCurve_Q92738_USP6NL.pdf</t>
  </si>
  <si>
    <t>Melting_Curves/meltCurve_Q92747_ARPC1A.pdf</t>
  </si>
  <si>
    <t>Melting_Curves/meltCurve_Q92781_RDH5.pdf</t>
  </si>
  <si>
    <t>Melting_Curves/meltCurve_Q92783_2_STAM.pdf</t>
  </si>
  <si>
    <t>Melting_Curves/meltCurve_Q92791_LEPREL4.pdf</t>
  </si>
  <si>
    <t>Melting_Curves/meltCurve_Q92797_SYMPK.pdf</t>
  </si>
  <si>
    <t>Melting_Curves/meltCurve_Q92804_2_TAF15.pdf</t>
  </si>
  <si>
    <t>Melting_Curves/meltCurve_Q92805_GOLGA1.pdf</t>
  </si>
  <si>
    <t>Melting_Curves/meltCurve_Q92820_GGH.pdf</t>
  </si>
  <si>
    <t>Melting_Curves/meltCurve_Q92834_4_RPGR.pdf</t>
  </si>
  <si>
    <t>Melting_Curves/meltCurve_Q92843_2_BCL2L2.pdf</t>
  </si>
  <si>
    <t>Melting_Curves/meltCurve_Q92844_TANK.pdf</t>
  </si>
  <si>
    <t>Melting_Curves/meltCurve_Q92859_3_NEO1.pdf</t>
  </si>
  <si>
    <t>Melting_Curves/meltCurve_Q92871_PMM1.pdf</t>
  </si>
  <si>
    <t>Melting_Curves/meltCurve_Q92878_3_RAD50.pdf</t>
  </si>
  <si>
    <t>Melting_Curves/meltCurve_Q92882_OSTF1.pdf</t>
  </si>
  <si>
    <t>Melting_Curves/meltCurve_Q92888_3_ARHGEF1.pdf</t>
  </si>
  <si>
    <t>Melting_Curves/meltCurve_Q92889_ERCC4.pdf</t>
  </si>
  <si>
    <t>Melting_Curves/meltCurve_Q92890_UFD1L.pdf</t>
  </si>
  <si>
    <t>Melting_Curves/meltCurve_Q92896_GLG1.pdf</t>
  </si>
  <si>
    <t>Melting_Curves/meltCurve_Q92900_2_UPF1.pdf</t>
  </si>
  <si>
    <t>Melting_Curves/meltCurve_Q92905_COPS5.pdf</t>
  </si>
  <si>
    <t>Melting_Curves/meltCurve_Q92917_GPKOW.pdf</t>
  </si>
  <si>
    <t>Melting_Curves/meltCurve_Q92930_RAB8B.pdf</t>
  </si>
  <si>
    <t>Melting_Curves/meltCurve_Q92934_BAD.pdf</t>
  </si>
  <si>
    <t>Melting_Curves/meltCurve_Q92945_KHSRP.pdf</t>
  </si>
  <si>
    <t>Melting_Curves/meltCurve_Q92947_GCDH.pdf</t>
  </si>
  <si>
    <t>Melting_Curves/meltCurve_Q92963_RIT1.pdf</t>
  </si>
  <si>
    <t>Melting_Curves/meltCurve_Q92968_PEX13.pdf</t>
  </si>
  <si>
    <t>Melting_Curves/meltCurve_Q92973_2_TNPO1.pdf</t>
  </si>
  <si>
    <t>Melting_Curves/meltCurve_Q92974_2_ARHGEF2.pdf</t>
  </si>
  <si>
    <t>Melting_Curves/meltCurve_Q92990_GLMN.pdf</t>
  </si>
  <si>
    <t>Melting_Curves/meltCurve_Q92995_USP13.pdf</t>
  </si>
  <si>
    <t>Melting_Curves/meltCurve_Q93008_1_USP9X.pdf</t>
  </si>
  <si>
    <t>Melting_Curves/meltCurve_Q93015_2_NAT6.pdf</t>
  </si>
  <si>
    <t>Melting_Curves/meltCurve_Q93034_CUL5.pdf</t>
  </si>
  <si>
    <t>Melting_Curves/meltCurve_Q93052_LPP.pdf</t>
  </si>
  <si>
    <t>Melting_Curves/meltCurve_Q93063_EXT2.pdf</t>
  </si>
  <si>
    <t>Melting_Curves/meltCurve_Q93077_HIST1H2AC.pdf</t>
  </si>
  <si>
    <t>Melting_Curves/meltCurve_Q93096_PTP4A1.pdf</t>
  </si>
  <si>
    <t>Melting_Curves/meltCurve_Q969E2_2_SCAMP4.pdf</t>
  </si>
  <si>
    <t>Melting_Curves/meltCurve_Q969E4_TCEAL3.pdf</t>
  </si>
  <si>
    <t>Melting_Curves/meltCurve_Q969E8_TSR2.pdf</t>
  </si>
  <si>
    <t>Melting_Curves/meltCurve_Q969G6_RFK.pdf</t>
  </si>
  <si>
    <t>Melting_Curves/meltCurve_Q969H8_C19orf10.pdf</t>
  </si>
  <si>
    <t>Melting_Curves/meltCurve_Q969K3_RNF34.pdf</t>
  </si>
  <si>
    <t>Melting_Curves/meltCurve_Q969K7_3_TMEM54.pdf</t>
  </si>
  <si>
    <t>Melting_Curves/meltCurve_Q969M3_YIPF5.pdf</t>
  </si>
  <si>
    <t>Melting_Curves/meltCurve_Q969P0_3_IGSF8.pdf</t>
  </si>
  <si>
    <t>Melting_Curves/meltCurve_Q969Q5_RAB24.pdf</t>
  </si>
  <si>
    <t>Melting_Curves/meltCurve_Q969S3_ZNF622.pdf</t>
  </si>
  <si>
    <t>Melting_Curves/meltCurve_Q969S9_3_GFM2.pdf</t>
  </si>
  <si>
    <t>Melting_Curves/meltCurve_Q969T7_2_NT5C3B.pdf</t>
  </si>
  <si>
    <t>Melting_Curves/meltCurve_Q969V3_2_NCLN.pdf</t>
  </si>
  <si>
    <t>Melting_Curves/meltCurve_Q969X5_2_ERGIC1.pdf</t>
  </si>
  <si>
    <t>Melting_Curves/meltCurve_Q969Y2_3_GTPBP3.pdf</t>
  </si>
  <si>
    <t>Melting_Curves/meltCurve_Q969Z0_TBRG4.pdf</t>
  </si>
  <si>
    <t>Melting_Curves/meltCurve_Q969Z3_MARC2.pdf</t>
  </si>
  <si>
    <t>Melting_Curves/meltCurve_Q96A00_PPP1R14A.pdf</t>
  </si>
  <si>
    <t>Melting_Curves/meltCurve_Q96A19_CCDC102A.pdf</t>
  </si>
  <si>
    <t>Melting_Curves/meltCurve_Q96A29_2_SLC35C1.pdf</t>
  </si>
  <si>
    <t>Melting_Curves/meltCurve_Q96A33_CCDC47.pdf</t>
  </si>
  <si>
    <t>Melting_Curves/meltCurve_Q96A49_SYAP1.pdf</t>
  </si>
  <si>
    <t>Melting_Curves/meltCurve_Q96A65_EXOC4.pdf</t>
  </si>
  <si>
    <t>Melting_Curves/meltCurve_Q96A73_KIAA1191.pdf</t>
  </si>
  <si>
    <t>Melting_Curves/meltCurve_Q96A73_2_KIAA1191.pdf</t>
  </si>
  <si>
    <t>Melting_Curves/meltCurve_Q96AB3_ISOC2.pdf</t>
  </si>
  <si>
    <t>Melting_Curves/meltCurve_Q96AB6_NTAN1.pdf</t>
  </si>
  <si>
    <t>Melting_Curves/meltCurve_Q96AE4_FUBP1.pdf</t>
  </si>
  <si>
    <t>Melting_Curves/meltCurve_Q96AE4_2_FUBP1.pdf</t>
  </si>
  <si>
    <t>Melting_Curves/meltCurve_Q96AG3_SLC25A46.pdf</t>
  </si>
  <si>
    <t>Melting_Curves/meltCurve_Q96AG4_LRRC59.pdf</t>
  </si>
  <si>
    <t>Melting_Curves/meltCurve_Q96AH8_RAB7B.pdf</t>
  </si>
  <si>
    <t>Melting_Curves/meltCurve_Q96AJ9_1_VTI1A.pdf</t>
  </si>
  <si>
    <t>Melting_Curves/meltCurve_Q96AM1_MRGPRF.pdf</t>
  </si>
  <si>
    <t>Melting_Curves/meltCurve_Q96AQ6_2_PBXIP1.pdf</t>
  </si>
  <si>
    <t>Melting_Curves/meltCurve_Q96AQ8_MCUR1.pdf</t>
  </si>
  <si>
    <t>Melting_Curves/meltCurve_Q96AT1_KIAA1143.pdf</t>
  </si>
  <si>
    <t>Melting_Curves/meltCurve_Q96AT9_RPE.pdf</t>
  </si>
  <si>
    <t>Melting_Curves/meltCurve_Q96AY3_FKBP10.pdf</t>
  </si>
  <si>
    <t>Melting_Curves/meltCurve_Q96B23_2_C18orf25.pdf</t>
  </si>
  <si>
    <t>Melting_Curves/meltCurve_Q96B26_EXOSC8.pdf</t>
  </si>
  <si>
    <t>Melting_Curves/meltCurve_Q96B36_AKT1S1.pdf</t>
  </si>
  <si>
    <t>Melting_Curves/meltCurve_Q96B45_C10orf32.pdf</t>
  </si>
  <si>
    <t>Melting_Curves/meltCurve_Q96B49_TOMM6.pdf</t>
  </si>
  <si>
    <t>Melting_Curves/meltCurve_Q96B97_SH3KBP1.pdf</t>
  </si>
  <si>
    <t>Melting_Curves/meltCurve_Q96BA8_CREB3L1.pdf</t>
  </si>
  <si>
    <t>Melting_Curves/meltCurve_Q96BH1_RNF25.pdf</t>
  </si>
  <si>
    <t>Melting_Curves/meltCurve_Q96BJ3_AIDA.pdf</t>
  </si>
  <si>
    <t>Melting_Curves/meltCurve_Q96BM9_ARL8A.pdf</t>
  </si>
  <si>
    <t>Melting_Curves/meltCurve_Q96BN8_FAM105B.pdf</t>
  </si>
  <si>
    <t>Melting_Curves/meltCurve_Q96BP2_CHCHD1.pdf</t>
  </si>
  <si>
    <t>Melting_Curves/meltCurve_Q96BP3_PPWD1.pdf</t>
  </si>
  <si>
    <t>Melting_Curves/meltCurve_Q96BR5_SELRC1.pdf</t>
  </si>
  <si>
    <t>Melting_Curves/meltCurve_Q96BW5_2_PTER.pdf</t>
  </si>
  <si>
    <t>Melting_Curves/meltCurve_Q96BX8_MOB3A.pdf</t>
  </si>
  <si>
    <t>Melting_Curves/meltCurve_Q96BY7_ATG2B.pdf</t>
  </si>
  <si>
    <t>Melting_Curves/meltCurve_Q96BZ9_TBC1D20.pdf</t>
  </si>
  <si>
    <t>Melting_Curves/meltCurve_Q96C01_FAM136A.pdf</t>
  </si>
  <si>
    <t>Melting_Curves/meltCurve_Q96C11_FGGY.pdf</t>
  </si>
  <si>
    <t>Melting_Curves/meltCurve_Q96C19_EFHD2.pdf</t>
  </si>
  <si>
    <t>Melting_Curves/meltCurve_Q96C23_GALM.pdf</t>
  </si>
  <si>
    <t>Melting_Curves/meltCurve_Q96C36_PYCR2.pdf</t>
  </si>
  <si>
    <t>Melting_Curves/meltCurve_Q96C86_DCPS.pdf</t>
  </si>
  <si>
    <t>Melting_Curves/meltCurve_Q96C90_PPP1R14B.pdf</t>
  </si>
  <si>
    <t>Melting_Curves/meltCurve_Q96C92_4_SDCCAG3.pdf</t>
  </si>
  <si>
    <t>Melting_Curves/meltCurve_Q96CB9_4_NSUN4.pdf</t>
  </si>
  <si>
    <t>Melting_Curves/meltCurve_Q96CC6_RHBDF1.pdf</t>
  </si>
  <si>
    <t>Melting_Curves/meltCurve_Q96CD0_FBXL8.pdf</t>
  </si>
  <si>
    <t>Melting_Curves/meltCurve_Q96CD2_PPCDC.pdf</t>
  </si>
  <si>
    <t>Melting_Curves/meltCurve_Q96CG8_CTHRC1.pdf</t>
  </si>
  <si>
    <t>Melting_Curves/meltCurve_Q96CN4_EVI5L.pdf</t>
  </si>
  <si>
    <t>Melting_Curves/meltCurve_Q96CN7_ISOC1.pdf</t>
  </si>
  <si>
    <t>Melting_Curves/meltCurve_Q96CN9_GCC1.pdf</t>
  </si>
  <si>
    <t>Melting_Curves/meltCurve_Q96CP2_FLYWCH2.pdf</t>
  </si>
  <si>
    <t>Melting_Curves/meltCurve_Q96CQ1_SLC25A36.pdf</t>
  </si>
  <si>
    <t>Melting_Curves/meltCurve_Q96CS2_HAUS1.pdf</t>
  </si>
  <si>
    <t>Melting_Curves/meltCurve_Q96CS3_FAF2.pdf</t>
  </si>
  <si>
    <t>Melting_Curves/meltCurve_Q96CT7_CCDC124.pdf</t>
  </si>
  <si>
    <t>Melting_Curves/meltCurve_Q96CU9_3_FOXRED1.pdf</t>
  </si>
  <si>
    <t>Melting_Curves/meltCurve_Q96CV9_OPTN.pdf</t>
  </si>
  <si>
    <t>Melting_Curves/meltCurve_Q96CW1_2_AP2M1.pdf</t>
  </si>
  <si>
    <t>Melting_Curves/meltCurve_Q96CW5_3_TUBGCP3.pdf</t>
  </si>
  <si>
    <t>Melting_Curves/meltCurve_Q96CW6_SLC7A6OS.pdf</t>
  </si>
  <si>
    <t>Melting_Curves/meltCurve_Q96CX2_KCTD12.pdf</t>
  </si>
  <si>
    <t>Melting_Curves/meltCurve_Q96CX6_LRRC58.pdf</t>
  </si>
  <si>
    <t>Melting_Curves/meltCurve_Q96D15_RCN3.pdf</t>
  </si>
  <si>
    <t>Melting_Curves/meltCurve_Q96DA6_2_DNAJC19.pdf</t>
  </si>
  <si>
    <t>Melting_Curves/meltCurve_Q96DB5_RMDN1.pdf</t>
  </si>
  <si>
    <t>Melting_Curves/meltCurve_Q96DC8_ECHDC3.pdf</t>
  </si>
  <si>
    <t>Melting_Curves/meltCurve_Q96DD7_SHISA4.pdf</t>
  </si>
  <si>
    <t>Melting_Curves/meltCurve_Q96DE0_NUDT16.pdf</t>
  </si>
  <si>
    <t>Melting_Curves/meltCurve_Q96DE5_ANAPC16.pdf</t>
  </si>
  <si>
    <t>Melting_Curves/meltCurve_Q96DF8_DGCR14.pdf</t>
  </si>
  <si>
    <t>Melting_Curves/meltCurve_Q96DG6_CMBL.pdf</t>
  </si>
  <si>
    <t>Melting_Curves/meltCurve_Q96DR4_STARD4.pdf</t>
  </si>
  <si>
    <t>Melting_Curves/meltCurve_Q96DT0_3_LGALS12.pdf</t>
  </si>
  <si>
    <t>Melting_Curves/meltCurve_Q96DT5_DNAH11.pdf</t>
  </si>
  <si>
    <t>Melting_Curves/meltCurve_Q96DT6_ATG4C.pdf</t>
  </si>
  <si>
    <t>Melting_Curves/meltCurve_Q96DX4_RSPRY1.pdf</t>
  </si>
  <si>
    <t>Melting_Curves/meltCurve_Q96DX7_TRIM44.pdf</t>
  </si>
  <si>
    <t>Melting_Curves/meltCurve_Q96DZ1_ERLEC1.pdf</t>
  </si>
  <si>
    <t>Melting_Curves/meltCurve_Q96E09_FAM122A.pdf</t>
  </si>
  <si>
    <t>Melting_Curves/meltCurve_Q96E11_3_MRRF.pdf</t>
  </si>
  <si>
    <t>Melting_Curves/meltCurve_Q96E22_NUS1.pdf</t>
  </si>
  <si>
    <t>Melting_Curves/meltCurve_Q96EA4_2_SPDL1.pdf</t>
  </si>
  <si>
    <t>Melting_Curves/meltCurve_Q96EC8_YIPF6.pdf</t>
  </si>
  <si>
    <t>Melting_Curves/meltCurve_Q96EE3_SEH1L.pdf</t>
  </si>
  <si>
    <t>Melting_Curves/meltCurve_Q96EH3_MALSU1.pdf</t>
  </si>
  <si>
    <t>Melting_Curves/meltCurve_Q96EI5_TCEAL4.pdf</t>
  </si>
  <si>
    <t>Melting_Curves/meltCurve_Q96EK5_KIAA1279.pdf</t>
  </si>
  <si>
    <t>Melting_Curves/meltCurve_Q96EK6_GNPNAT1.pdf</t>
  </si>
  <si>
    <t>Melting_Curves/meltCurve_Q96EK9_KTI12.pdf</t>
  </si>
  <si>
    <t>Melting_Curves/meltCurve_Q96EL3_MRPL53.pdf</t>
  </si>
  <si>
    <t>Melting_Curves/meltCurve_Q96EM0_L3HYPDH.pdf</t>
  </si>
  <si>
    <t>Melting_Curves/meltCurve_Q96EP5_2_DAZAP1.pdf</t>
  </si>
  <si>
    <t>Melting_Curves/meltCurve_Q96EQ0_SGTB.pdf</t>
  </si>
  <si>
    <t>Melting_Curves/meltCurve_Q96ER9_CCDC51.pdf</t>
  </si>
  <si>
    <t>Melting_Curves/meltCurve_Q96EU7_C1GALT1C1.pdf</t>
  </si>
  <si>
    <t>Melting_Curves/meltCurve_Q96EV2_RBM33.pdf</t>
  </si>
  <si>
    <t>Melting_Curves/meltCurve_Q96EV8_DTNBP1.pdf</t>
  </si>
  <si>
    <t>Melting_Curves/meltCurve_Q96EX1_SMIM12.pdf</t>
  </si>
  <si>
    <t>Melting_Curves/meltCurve_Q96EY5_MVB12A.pdf</t>
  </si>
  <si>
    <t>Melting_Curves/meltCurve_Q96EY8_MMAB.pdf</t>
  </si>
  <si>
    <t>Melting_Curves/meltCurve_Q96F10_SAT2.pdf</t>
  </si>
  <si>
    <t>Melting_Curves/meltCurve_Q96F24_2_NRBF2.pdf</t>
  </si>
  <si>
    <t>Melting_Curves/meltCurve_Q96F46_IL17RA.pdf</t>
  </si>
  <si>
    <t>Melting_Curves/meltCurve_Q96F63_CCDC97.pdf</t>
  </si>
  <si>
    <t>Melting_Curves/meltCurve_Q96F85_CNRIP1.pdf</t>
  </si>
  <si>
    <t>Melting_Curves/meltCurve_Q96FH0_2_MEF2BNB.pdf</t>
  </si>
  <si>
    <t>Melting_Curves/meltCurve_Q96FJ0_STAMBPL1.pdf</t>
  </si>
  <si>
    <t>Melting_Curves/meltCurve_Q96FJ2_DYNLL2.pdf</t>
  </si>
  <si>
    <t>Melting_Curves/meltCurve_Q96FK6_WDR89.pdf</t>
  </si>
  <si>
    <t>Melting_Curves/meltCurve_Q96FN4_CPNE2.pdf</t>
  </si>
  <si>
    <t>Melting_Curves/meltCurve_Q96FQ6_S100A16.pdf</t>
  </si>
  <si>
    <t>Melting_Curves/meltCurve_Q96FS4_SIPA1.pdf</t>
  </si>
  <si>
    <t>Melting_Curves/meltCurve_Q96FX2_DPH3.pdf</t>
  </si>
  <si>
    <t>Melting_Curves/meltCurve_Q96FX7_TRMT61A.pdf</t>
  </si>
  <si>
    <t>Melting_Curves/meltCurve_Q96FZ7_CHMP6.pdf</t>
  </si>
  <si>
    <t>Melting_Curves/meltCurve_Q96G03_PGM2.pdf</t>
  </si>
  <si>
    <t>Melting_Curves/meltCurve_Q96G25_MED8.pdf</t>
  </si>
  <si>
    <t>Melting_Curves/meltCurve_Q96G28_CCDC104.pdf</t>
  </si>
  <si>
    <t>Melting_Curves/meltCurve_Q96G46_DUS3L.pdf</t>
  </si>
  <si>
    <t>Melting_Curves/meltCurve_Q96G61_NUDT11.pdf</t>
  </si>
  <si>
    <t>Melting_Curves/meltCurve_Q96GA7_SDSL.pdf</t>
  </si>
  <si>
    <t>Melting_Curves/meltCurve_Q96GD0_PDXP.pdf</t>
  </si>
  <si>
    <t>Melting_Curves/meltCurve_Q96GF1_RNF185.pdf</t>
  </si>
  <si>
    <t>Melting_Curves/meltCurve_Q96GG9_DCUN1D1.pdf</t>
  </si>
  <si>
    <t>Melting_Curves/meltCurve_Q96GK7_FAHD2A.pdf</t>
  </si>
  <si>
    <t>Melting_Curves/meltCurve_Q96GP6_2_SCARF2.pdf</t>
  </si>
  <si>
    <t>Melting_Curves/meltCurve_Q96GS4_C17orf59.pdf</t>
  </si>
  <si>
    <t>Melting_Curves/meltCurve_Q96GW9_MARS2.pdf</t>
  </si>
  <si>
    <t>Melting_Curves/meltCurve_Q96GX2_ATXN7L3B.pdf</t>
  </si>
  <si>
    <t>Melting_Curves/meltCurve_Q96GX9_APIP.pdf</t>
  </si>
  <si>
    <t>Melting_Curves/meltCurve_Q96GY0_ZC2HC1A.pdf</t>
  </si>
  <si>
    <t>Melting_Curves/meltCurve_Q96H20_SNF8.pdf</t>
  </si>
  <si>
    <t>Melting_Curves/meltCurve_Q96H79_ZC3HAV1L.pdf</t>
  </si>
  <si>
    <t>Melting_Curves/meltCurve_Q96HA4_4_C1orf159.pdf</t>
  </si>
  <si>
    <t>Melting_Curves/meltCurve_Q96HC4_PDLIM5.pdf</t>
  </si>
  <si>
    <t>Melting_Curves/meltCurve_Q96HD1_CRELD1.pdf</t>
  </si>
  <si>
    <t>Melting_Curves/meltCurve_Q96HE7_ERO1L.pdf</t>
  </si>
  <si>
    <t>Melting_Curves/meltCurve_Q96HJ9_C7orf55.pdf</t>
  </si>
  <si>
    <t>Melting_Curves/meltCurve_Q96HN2_2_AHCYL2.pdf</t>
  </si>
  <si>
    <t>Melting_Curves/meltCurve_Q96HQ2_2_CDKN2AIPNL.pdf</t>
  </si>
  <si>
    <t>Melting_Curves/meltCurve_Q96HR9_REEP6.pdf</t>
  </si>
  <si>
    <t>Melting_Curves/meltCurve_Q96HS1_PGAM5.pdf</t>
  </si>
  <si>
    <t>Melting_Curves/meltCurve_Q96HW7_2_INTS4.pdf</t>
  </si>
  <si>
    <t>Melting_Curves/meltCurve_Q96HY6_DDRGK1.pdf</t>
  </si>
  <si>
    <t>Melting_Curves/meltCurve_Q96HY7_DHTKD1.pdf</t>
  </si>
  <si>
    <t>Melting_Curves/meltCurve_Q96I15_SCLY.pdf</t>
  </si>
  <si>
    <t>Melting_Curves/meltCurve_Q96I24_FUBP3.pdf</t>
  </si>
  <si>
    <t>Melting_Curves/meltCurve_Q96I25_RBM17.pdf</t>
  </si>
  <si>
    <t>Melting_Curves/meltCurve_Q96I36_COX14.pdf</t>
  </si>
  <si>
    <t>Melting_Curves/meltCurve_Q96I51_WBSCR16.pdf</t>
  </si>
  <si>
    <t>Melting_Curves/meltCurve_Q96I99_SUCLG2.pdf</t>
  </si>
  <si>
    <t>Melting_Curves/meltCurve_Q96IG2_FBXL20.pdf</t>
  </si>
  <si>
    <t>Melting_Curves/meltCurve_Q96IJ6_GMPPA.pdf</t>
  </si>
  <si>
    <t>Melting_Curves/meltCurve_Q96IK1_BOD1.pdf</t>
  </si>
  <si>
    <t>Melting_Curves/meltCurve_Q96IU4_ABHD14B.pdf</t>
  </si>
  <si>
    <t>Melting_Curves/meltCurve_Q96IV0_2_NGLY1.pdf</t>
  </si>
  <si>
    <t>Melting_Curves/meltCurve_Q96IX5_USMG5.pdf</t>
  </si>
  <si>
    <t>Melting_Curves/meltCurve_Q96IZ0_PAWR.pdf</t>
  </si>
  <si>
    <t>Melting_Curves/meltCurve_Q96J02_2_ITCH.pdf</t>
  </si>
  <si>
    <t>Melting_Curves/meltCurve_Q96J84_KIRREL.pdf</t>
  </si>
  <si>
    <t>Melting_Curves/meltCurve_Q96JA1_LRIG1.pdf</t>
  </si>
  <si>
    <t>Melting_Curves/meltCurve_Q96JB5_CDK5RAP3.pdf</t>
  </si>
  <si>
    <t>Melting_Curves/meltCurve_Q96JC1_2_VPS39.pdf</t>
  </si>
  <si>
    <t>Melting_Curves/meltCurve_Q96JH7_VCPIP1.pdf</t>
  </si>
  <si>
    <t>Melting_Curves/meltCurve_Q96JJ7_TMX3.pdf</t>
  </si>
  <si>
    <t>Melting_Curves/meltCurve_Q96JK2_2_DCAF5.pdf</t>
  </si>
  <si>
    <t>Melting_Curves/meltCurve_Q96JM3_CHAMP1.pdf</t>
  </si>
  <si>
    <t>Melting_Curves/meltCurve_Q96JP5_ZFP91.pdf</t>
  </si>
  <si>
    <t>Melting_Curves/meltCurve_Q96JQ0_DCHS1.pdf</t>
  </si>
  <si>
    <t>Melting_Curves/meltCurve_Q96JY6_PDLIM2.pdf</t>
  </si>
  <si>
    <t>Melting_Curves/meltCurve_Q96K19_2_RNF170.pdf</t>
  </si>
  <si>
    <t>Melting_Curves/meltCurve_Q96KA5_2_CLPTM1L.pdf</t>
  </si>
  <si>
    <t>Melting_Curves/meltCurve_Q96KB5_PBK.pdf</t>
  </si>
  <si>
    <t>Melting_Curves/meltCurve_Q96KB7_CIZ1.pdf</t>
  </si>
  <si>
    <t>Melting_Curves/meltCurve_Q96KC8_DNAJC1.pdf</t>
  </si>
  <si>
    <t>Melting_Curves/meltCurve_Q96KN4_FAM84A.pdf</t>
  </si>
  <si>
    <t>Melting_Curves/meltCurve_Q96KP1_EXOC2.pdf</t>
  </si>
  <si>
    <t>Melting_Curves/meltCurve_Q96KP4_CNDP2.pdf</t>
  </si>
  <si>
    <t>Melting_Curves/meltCurve_Q96KR1_ZFR.pdf</t>
  </si>
  <si>
    <t>Melting_Curves/meltCurve_Q96KR6_FAM210B.pdf</t>
  </si>
  <si>
    <t>Melting_Curves/meltCurve_Q96L92_SNX27.pdf</t>
  </si>
  <si>
    <t>Melting_Curves/meltCurve_Q96LD4_TRIM47.pdf</t>
  </si>
  <si>
    <t>Melting_Curves/meltCurve_Q96LD8_SENP8.pdf</t>
  </si>
  <si>
    <t>Melting_Curves/meltCurve_Q96LJ7_DHRS1.pdf</t>
  </si>
  <si>
    <t>Melting_Curves/meltCurve_Q96LR5_UBE2E2.pdf</t>
  </si>
  <si>
    <t>Melting_Curves/meltCurve_Q96M20_2_CNBD2.pdf</t>
  </si>
  <si>
    <t>Melting_Curves/meltCurve_Q96M27_PRRC1.pdf</t>
  </si>
  <si>
    <t>Melting_Curves/meltCurve_Q96ME1_4_FBXL18.pdf</t>
  </si>
  <si>
    <t>Melting_Curves/meltCurve_Q96MH6_2_TMEM68.pdf</t>
  </si>
  <si>
    <t>Melting_Curves/meltCurve_Q96MP8_2_KCTD7.pdf</t>
  </si>
  <si>
    <t>Melting_Curves/meltCurve_Q96MW5_COG8.pdf</t>
  </si>
  <si>
    <t>Melting_Curves/meltCurve_Q96MX6_WDR92.pdf</t>
  </si>
  <si>
    <t>Melting_Curves/meltCurve_Q96N66_2_MBOAT7.pdf</t>
  </si>
  <si>
    <t>Melting_Curves/meltCurve_Q96NB3_ZNF830.pdf</t>
  </si>
  <si>
    <t>Melting_Curves/meltCurve_Q96NC0_ZMAT2.pdf</t>
  </si>
  <si>
    <t>Melting_Curves/meltCurve_Q96NT0_CCDC115.pdf</t>
  </si>
  <si>
    <t>Melting_Curves/meltCurve_Q96NT1_NAP1L5.pdf</t>
  </si>
  <si>
    <t>Melting_Curves/meltCurve_Q96NY7_2_CLIC6.pdf</t>
  </si>
  <si>
    <t>Melting_Curves/meltCurve_Q96P48_3_ARAP1.pdf</t>
  </si>
  <si>
    <t>Melting_Curves/meltCurve_Q96P50_ACAP3.pdf</t>
  </si>
  <si>
    <t>Melting_Curves/meltCurve_Q96P70_IPO9.pdf</t>
  </si>
  <si>
    <t>Melting_Curves/meltCurve_Q96PD2_DCBLD2.pdf</t>
  </si>
  <si>
    <t>Melting_Curves/meltCurve_Q96PE1_2_GPR124.pdf</t>
  </si>
  <si>
    <t>Melting_Curves/meltCurve_Q96PE2_ARHGEF17.pdf</t>
  </si>
  <si>
    <t>Melting_Curves/meltCurve_Q96PE7_MCEE.pdf</t>
  </si>
  <si>
    <t>Melting_Curves/meltCurve_Q96PK6_RBM14.pdf</t>
  </si>
  <si>
    <t>Melting_Curves/meltCurve_Q96PU5_2_NEDD4L.pdf</t>
  </si>
  <si>
    <t>Melting_Curves/meltCurve_Q96PY6_4_NEK1.pdf</t>
  </si>
  <si>
    <t>Melting_Curves/meltCurve_Q96PZ0_PUS7.pdf</t>
  </si>
  <si>
    <t>Melting_Curves/meltCurve_Q96Q06_2_PLIN4.pdf</t>
  </si>
  <si>
    <t>Melting_Curves/meltCurve_Q96Q11_2_TRNT1.pdf</t>
  </si>
  <si>
    <t>Melting_Curves/meltCurve_Q96Q45_2_TMEM237.pdf</t>
  </si>
  <si>
    <t>Melting_Curves/meltCurve_Q96Q83_ALKBH3.pdf</t>
  </si>
  <si>
    <t>Melting_Curves/meltCurve_Q96QB1_DLC1.pdf</t>
  </si>
  <si>
    <t>Melting_Curves/meltCurve_Q96QC0_PPP1R10.pdf</t>
  </si>
  <si>
    <t>Melting_Curves/meltCurve_Q96QD8_SLC38A2.pdf</t>
  </si>
  <si>
    <t>Melting_Curves/meltCurve_Q96QE2_SLC2A13.pdf</t>
  </si>
  <si>
    <t>Melting_Curves/meltCurve_Q96QG7_MTMR9.pdf</t>
  </si>
  <si>
    <t>Melting_Curves/meltCurve_Q96QK1_VPS35.pdf</t>
  </si>
  <si>
    <t>Melting_Curves/meltCurve_Q96QR8_PURB.pdf</t>
  </si>
  <si>
    <t>Melting_Curves/meltCurve_Q96QU6_ACCS.pdf</t>
  </si>
  <si>
    <t>Melting_Curves/meltCurve_Q96QU8_XPO6.pdf</t>
  </si>
  <si>
    <t>Melting_Curves/meltCurve_Q96QZ7_4_MAGI1.pdf</t>
  </si>
  <si>
    <t>Melting_Curves/meltCurve_Q96RD7_PANX1.pdf</t>
  </si>
  <si>
    <t>Melting_Curves/meltCurve_Q96RE7_NACC1.pdf</t>
  </si>
  <si>
    <t>Melting_Curves/meltCurve_Q96RF0_2_SNX18.pdf</t>
  </si>
  <si>
    <t>Melting_Curves/meltCurve_Q96RL7_2_VPS13A.pdf</t>
  </si>
  <si>
    <t>Melting_Curves/meltCurve_Q96RN5_3_MED15.pdf</t>
  </si>
  <si>
    <t>Melting_Curves/meltCurve_Q96RP9_GFM1.pdf</t>
  </si>
  <si>
    <t>Melting_Curves/meltCurve_Q96RQ1_ERGIC2.pdf</t>
  </si>
  <si>
    <t>Melting_Curves/meltCurve_Q96RR4_CAMKK2.pdf</t>
  </si>
  <si>
    <t>Melting_Curves/meltCurve_Q96RS6_NUDCD1.pdf</t>
  </si>
  <si>
    <t>Melting_Curves/meltCurve_Q96RT1_5_ERBB2IP.pdf</t>
  </si>
  <si>
    <t>Melting_Curves/meltCurve_Q96RU3_3_FNBP1.pdf</t>
  </si>
  <si>
    <t>Melting_Curves/meltCurve_Q96RW7_2_HMCN1.pdf</t>
  </si>
  <si>
    <t>Melting_Curves/meltCurve_Q96S19_C16orf13.pdf</t>
  </si>
  <si>
    <t>Melting_Curves/meltCurve_Q96S44_TP53RK.pdf</t>
  </si>
  <si>
    <t>Melting_Curves/meltCurve_Q96S52_2_PIGS.pdf</t>
  </si>
  <si>
    <t>Melting_Curves/meltCurve_Q96S59_RANBP9.pdf</t>
  </si>
  <si>
    <t>Melting_Curves/meltCurve_Q96S66_CLCC1.pdf</t>
  </si>
  <si>
    <t>Melting_Curves/meltCurve_Q96S82_UBL7.pdf</t>
  </si>
  <si>
    <t>Melting_Curves/meltCurve_Q96S90_LYSMD1.pdf</t>
  </si>
  <si>
    <t>Melting_Curves/meltCurve_Q96S99_PLEKHF1.pdf</t>
  </si>
  <si>
    <t>Melting_Curves/meltCurve_Q96SB3_PPP1R9B.pdf</t>
  </si>
  <si>
    <t>Melting_Curves/meltCurve_Q96SK2_2_TMEM209.pdf</t>
  </si>
  <si>
    <t>Melting_Curves/meltCurve_Q96SL1_2_DIRC2.pdf</t>
  </si>
  <si>
    <t>Melting_Curves/meltCurve_Q96SL4_GPX7.pdf</t>
  </si>
  <si>
    <t>Melting_Curves/meltCurve_Q96SQ9_CYP2S1.pdf</t>
  </si>
  <si>
    <t>Melting_Curves/meltCurve_Q96ST2_IWS1.pdf</t>
  </si>
  <si>
    <t>Melting_Curves/meltCurve_Q96SZ5_ADO.pdf</t>
  </si>
  <si>
    <t>Melting_Curves/meltCurve_Q96T23_2_RSF1.pdf</t>
  </si>
  <si>
    <t>Melting_Curves/meltCurve_Q96T51_RUFY1.pdf</t>
  </si>
  <si>
    <t>Melting_Curves/meltCurve_Q96T76_MMS19.pdf</t>
  </si>
  <si>
    <t>Melting_Curves/meltCurve_Q96T83_SLC9A7.pdf</t>
  </si>
  <si>
    <t>Melting_Curves/meltCurve_Q96TA1_FAM129B.pdf</t>
  </si>
  <si>
    <t>Melting_Curves/meltCurve_Q96TA2_3_YME1L1.pdf</t>
  </si>
  <si>
    <t>Melting_Curves/meltCurve_Q96TC7_RMDN3.pdf</t>
  </si>
  <si>
    <t>Melting_Curves/meltCurve_Q99081_TCF12.pdf</t>
  </si>
  <si>
    <t>Melting_Curves/meltCurve_Q99417_MYCBP.pdf</t>
  </si>
  <si>
    <t>Melting_Curves/meltCurve_Q99424_ACOX2.pdf</t>
  </si>
  <si>
    <t>Melting_Curves/meltCurve_Q99426_TBCB.pdf</t>
  </si>
  <si>
    <t>Melting_Curves/meltCurve_Q99436_PSMB7.pdf</t>
  </si>
  <si>
    <t>Melting_Curves/meltCurve_Q99447_PCYT2.pdf</t>
  </si>
  <si>
    <t>Melting_Curves/meltCurve_Q99460_PSMD1.pdf</t>
  </si>
  <si>
    <t>Melting_Curves/meltCurve_Q99470_SDF2.pdf</t>
  </si>
  <si>
    <t>Melting_Curves/meltCurve_Q99471_PFDN5.pdf</t>
  </si>
  <si>
    <t>Melting_Curves/meltCurve_Q99487_PAFAH2.pdf</t>
  </si>
  <si>
    <t>Melting_Curves/meltCurve_Q99497_PARK7.pdf</t>
  </si>
  <si>
    <t>Melting_Curves/meltCurve_Q99501_GAS2L1.pdf</t>
  </si>
  <si>
    <t>Melting_Curves/meltCurve_Q99519_NEU1.pdf</t>
  </si>
  <si>
    <t>Melting_Curves/meltCurve_Q99523_SORT1.pdf</t>
  </si>
  <si>
    <t>Melting_Curves/meltCurve_Q99536_VAT1.pdf</t>
  </si>
  <si>
    <t>Melting_Curves/meltCurve_Q99541_PLIN2.pdf</t>
  </si>
  <si>
    <t>Melting_Curves/meltCurve_Q99567_NUP88.pdf</t>
  </si>
  <si>
    <t>Melting_Curves/meltCurve_Q99569_2_PKP4.pdf</t>
  </si>
  <si>
    <t>Melting_Curves/meltCurve_Q99574_SERPINI1.pdf</t>
  </si>
  <si>
    <t>Melting_Curves/meltCurve_Q99576_3_TSC22D3.pdf</t>
  </si>
  <si>
    <t>Melting_Curves/meltCurve_Q99584_S100A13.pdf</t>
  </si>
  <si>
    <t>Melting_Curves/meltCurve_Q99595_TIMM17A.pdf</t>
  </si>
  <si>
    <t>Melting_Curves/meltCurve_Q99598_TSNAX.pdf</t>
  </si>
  <si>
    <t>Melting_Curves/meltCurve_Q99608_NDN.pdf</t>
  </si>
  <si>
    <t>Melting_Curves/meltCurve_Q99614_TTC1.pdf</t>
  </si>
  <si>
    <t>Melting_Curves/meltCurve_Q99615_DNAJC7.pdf</t>
  </si>
  <si>
    <t>Melting_Curves/meltCurve_Q99622_C12orf57.pdf</t>
  </si>
  <si>
    <t>Melting_Curves/meltCurve_Q99650_OSMR.pdf</t>
  </si>
  <si>
    <t>Melting_Curves/meltCurve_Q99653_CHP1.pdf</t>
  </si>
  <si>
    <t>Melting_Curves/meltCurve_Q99674_CGREF1.pdf</t>
  </si>
  <si>
    <t>Melting_Curves/meltCurve_Q99685_MGLL.pdf</t>
  </si>
  <si>
    <t>Melting_Curves/meltCurve_Q99700_4_ATXN2.pdf</t>
  </si>
  <si>
    <t>Melting_Curves/meltCurve_Q99704_DOK1.pdf</t>
  </si>
  <si>
    <t>Melting_Curves/meltCurve_Q99707_MTR.pdf</t>
  </si>
  <si>
    <t>Melting_Curves/meltCurve_Q99714_HSD17B10.pdf</t>
  </si>
  <si>
    <t>Melting_Curves/meltCurve_Q99720_SIGMAR1.pdf</t>
  </si>
  <si>
    <t>Melting_Curves/meltCurve_Q99729_3_HNRNPAB.pdf</t>
  </si>
  <si>
    <t>Melting_Curves/meltCurve_Q99733_NAP1L4.pdf</t>
  </si>
  <si>
    <t>Melting_Curves/meltCurve_Q99747_NAPG.pdf</t>
  </si>
  <si>
    <t>Melting_Curves/meltCurve_Q99757_TXN2.pdf</t>
  </si>
  <si>
    <t>Melting_Curves/meltCurve_Q99766_ATP5S.pdf</t>
  </si>
  <si>
    <t>Melting_Curves/meltCurve_Q99797_MIPEP.pdf</t>
  </si>
  <si>
    <t>Melting_Curves/meltCurve_Q99805_TM9SF2.pdf</t>
  </si>
  <si>
    <t>Melting_Curves/meltCurve_Q99808_SLC29A1.pdf</t>
  </si>
  <si>
    <t>Melting_Curves/meltCurve_Q99832_CCT7.pdf</t>
  </si>
  <si>
    <t>Melting_Curves/meltCurve_Q99832_3_CCT7.pdf</t>
  </si>
  <si>
    <t>Melting_Curves/meltCurve_Q99856_ARID3A.pdf</t>
  </si>
  <si>
    <t>Melting_Curves/meltCurve_Q99952_2_PTPN18.pdf</t>
  </si>
  <si>
    <t>Melting_Curves/meltCurve_Q99961_SH3GL1.pdf</t>
  </si>
  <si>
    <t>Melting_Curves/meltCurve_Q99969_RARRES2.pdf</t>
  </si>
  <si>
    <t>Melting_Curves/meltCurve_Q99972_MYOC.pdf</t>
  </si>
  <si>
    <t>Melting_Curves/meltCurve_Q99996_5_AKAP9.pdf</t>
  </si>
  <si>
    <t>Melting_Curves/meltCurve_Q9BPW8_NIPSNAP1.pdf</t>
  </si>
  <si>
    <t>Melting_Curves/meltCurve_Q9BPX5_ARPC5L.pdf</t>
  </si>
  <si>
    <t>Melting_Curves/meltCurve_Q9BPX7_C7orf25.pdf</t>
  </si>
  <si>
    <t>Melting_Curves/meltCurve_Q9BQ24_ZFYVE21.pdf</t>
  </si>
  <si>
    <t>Melting_Curves/meltCurve_Q9BQ51_PDCD1LG2.pdf</t>
  </si>
  <si>
    <t>Melting_Curves/meltCurve_Q9BQ52_4_ELAC2.pdf</t>
  </si>
  <si>
    <t>Melting_Curves/meltCurve_Q9BQ61_C19orf43.pdf</t>
  </si>
  <si>
    <t>Melting_Curves/meltCurve_Q9BQ69_MACROD1.pdf</t>
  </si>
  <si>
    <t>Melting_Curves/meltCurve_Q9BQ95_ECSIT.pdf</t>
  </si>
  <si>
    <t>Melting_Curves/meltCurve_Q9BQA9_2_C17orf62.pdf</t>
  </si>
  <si>
    <t>Melting_Curves/meltCurve_Q9BQB6_VKORC1.pdf</t>
  </si>
  <si>
    <t>Melting_Curves/meltCurve_Q9BQC3_DPH2.pdf</t>
  </si>
  <si>
    <t>Melting_Curves/meltCurve_Q9BQG0_MYBBP1A.pdf</t>
  </si>
  <si>
    <t>Melting_Curves/meltCurve_Q9BQJ4_TMEM47.pdf</t>
  </si>
  <si>
    <t>Melting_Curves/meltCurve_Q9BQL6_FERMT1.pdf</t>
  </si>
  <si>
    <t>Melting_Curves/meltCurve_Q9BQP7_MGME1.pdf</t>
  </si>
  <si>
    <t>Melting_Curves/meltCurve_Q9BQS8_FYCO1.pdf</t>
  </si>
  <si>
    <t>Melting_Curves/meltCurve_Q9BQT8_2_SLC25A21.pdf</t>
  </si>
  <si>
    <t>Melting_Curves/meltCurve_Q9BR61_ACBD6.pdf</t>
  </si>
  <si>
    <t>Melting_Curves/meltCurve_Q9BR76_CORO1B.pdf</t>
  </si>
  <si>
    <t>Melting_Curves/meltCurve_Q9BRA2_TXNDC17.pdf</t>
  </si>
  <si>
    <t>Melting_Curves/meltCurve_Q9BRF8_CPPED1.pdf</t>
  </si>
  <si>
    <t>Melting_Curves/meltCurve_Q9BRG1_VPS25.pdf</t>
  </si>
  <si>
    <t>Melting_Curves/meltCurve_Q9BRK0_2_REEP2.pdf</t>
  </si>
  <si>
    <t>Melting_Curves/meltCurve_Q9BRK5_SDF4.pdf</t>
  </si>
  <si>
    <t>Melting_Curves/meltCurve_Q9BRP1_PDCD2L.pdf</t>
  </si>
  <si>
    <t>Melting_Curves/meltCurve_Q9BRP4_PAAF1.pdf</t>
  </si>
  <si>
    <t>Melting_Curves/meltCurve_Q9BRP8_2_WIBG.pdf</t>
  </si>
  <si>
    <t>Melting_Curves/meltCurve_Q9BRQ8_AIFM2.pdf</t>
  </si>
  <si>
    <t>Melting_Curves/meltCurve_Q9BRR6_2_ADPGK.pdf</t>
  </si>
  <si>
    <t>Melting_Curves/meltCurve_Q9BRS2_RIOK1.pdf</t>
  </si>
  <si>
    <t>Melting_Curves/meltCurve_Q9BRS8_LARP6.pdf</t>
  </si>
  <si>
    <t>Melting_Curves/meltCurve_Q9BRT2_MNF1.pdf</t>
  </si>
  <si>
    <t>Melting_Curves/meltCurve_Q9BRT3_MIEN1.pdf</t>
  </si>
  <si>
    <t>Melting_Curves/meltCurve_Q9BRV8_SIKE1.pdf</t>
  </si>
  <si>
    <t>Melting_Curves/meltCurve_Q9BRX2_PELO.pdf</t>
  </si>
  <si>
    <t>Melting_Curves/meltCurve_Q9BRX8_2_FAM213A.pdf</t>
  </si>
  <si>
    <t>Melting_Curves/meltCurve_Q9BS26_ERP44.pdf</t>
  </si>
  <si>
    <t>Melting_Curves/meltCurve_Q9BS40_LXN.pdf</t>
  </si>
  <si>
    <t>Melting_Curves/meltCurve_Q9BSA9_TMEM175.pdf</t>
  </si>
  <si>
    <t>Melting_Curves/meltCurve_Q9BSB4_ATG101.pdf</t>
  </si>
  <si>
    <t>Melting_Curves/meltCurve_Q9BSD7_NTPCR.pdf</t>
  </si>
  <si>
    <t>Melting_Curves/meltCurve_Q9BSE4_HERPUD2.pdf</t>
  </si>
  <si>
    <t>Melting_Curves/meltCurve_Q9BSE5_AGMAT.pdf</t>
  </si>
  <si>
    <t>Melting_Curves/meltCurve_Q9BSF4_C19orf52.pdf</t>
  </si>
  <si>
    <t>Melting_Curves/meltCurve_Q9BSG0_PRADC1.pdf</t>
  </si>
  <si>
    <t>Melting_Curves/meltCurve_Q9BSH4_TACO1.pdf</t>
  </si>
  <si>
    <t>Melting_Curves/meltCurve_Q9BSH5_HDHD3.pdf</t>
  </si>
  <si>
    <t>Melting_Curves/meltCurve_Q9BSJ5_3_C17orf80.pdf</t>
  </si>
  <si>
    <t>Melting_Curves/meltCurve_Q9BSJ8_2_ESYT1.pdf</t>
  </si>
  <si>
    <t>Melting_Curves/meltCurve_Q9BSL1_UBAC1.pdf</t>
  </si>
  <si>
    <t>Melting_Curves/meltCurve_Q9BSN7_TMEM204.pdf</t>
  </si>
  <si>
    <t>Melting_Curves/meltCurve_Q9BSQ5_4_CCM2.pdf</t>
  </si>
  <si>
    <t>Melting_Curves/meltCurve_Q9BSR8_YIPF4.pdf</t>
  </si>
  <si>
    <t>Melting_Curves/meltCurve_Q9BST9_2_RTKN.pdf</t>
  </si>
  <si>
    <t>Melting_Curves/meltCurve_Q9BSU1_C16orf70.pdf</t>
  </si>
  <si>
    <t>Melting_Curves/meltCurve_Q9BSW2_2_EFCAB4B.pdf</t>
  </si>
  <si>
    <t>Melting_Curves/meltCurve_Q9BSY4_CHCHD5.pdf</t>
  </si>
  <si>
    <t>Melting_Curves/meltCurve_Q9BT09_CNPY3.pdf</t>
  </si>
  <si>
    <t>Melting_Curves/meltCurve_Q9BT22_ALG1.pdf</t>
  </si>
  <si>
    <t>Melting_Curves/meltCurve_Q9BT73_PSMG3.pdf</t>
  </si>
  <si>
    <t>Melting_Curves/meltCurve_Q9BT78_COPS4.pdf</t>
  </si>
  <si>
    <t>Melting_Curves/meltCurve_Q9BTC0_DIDO1.pdf</t>
  </si>
  <si>
    <t>Melting_Curves/meltCurve_Q9BTE3_2_MCMBP.pdf</t>
  </si>
  <si>
    <t>Melting_Curves/meltCurve_Q9BTL3_FAM103A1.pdf</t>
  </si>
  <si>
    <t>Melting_Curves/meltCurve_Q9BTT0_ANP32E.pdf</t>
  </si>
  <si>
    <t>Melting_Curves/meltCurve_Q9BTU6_PI4K2A.pdf</t>
  </si>
  <si>
    <t>Melting_Curves/meltCurve_Q9BTV4_TMEM43.pdf</t>
  </si>
  <si>
    <t>Melting_Curves/meltCurve_Q9BTV6_WDR85.pdf</t>
  </si>
  <si>
    <t>Melting_Curves/meltCurve_Q9BTX7_TTPAL.pdf</t>
  </si>
  <si>
    <t>Melting_Curves/meltCurve_Q9BTY2_FUCA2.pdf</t>
  </si>
  <si>
    <t>Melting_Curves/meltCurve_Q9BTY7_FAM203A.pdf</t>
  </si>
  <si>
    <t>Melting_Curves/meltCurve_Q9BTZ2_DHRS4.pdf</t>
  </si>
  <si>
    <t>Melting_Curves/meltCurve_Q9BU02_THTPA.pdf</t>
  </si>
  <si>
    <t>Melting_Curves/meltCurve_Q9BU23_3_LMF2.pdf</t>
  </si>
  <si>
    <t>Melting_Curves/meltCurve_Q9BU61_NDUFAF3.pdf</t>
  </si>
  <si>
    <t>Melting_Curves/meltCurve_Q9BU89_DOHH.pdf</t>
  </si>
  <si>
    <t>Melting_Curves/meltCurve_Q9BUB5_2_MKNK1.pdf</t>
  </si>
  <si>
    <t>Melting_Curves/meltCurve_Q9BUB7_2_TMEM70.pdf</t>
  </si>
  <si>
    <t>Melting_Curves/meltCurve_Q9BUD6_SPON2.pdf</t>
  </si>
  <si>
    <t>Melting_Curves/meltCurve_Q9BUE0_MED18.pdf</t>
  </si>
  <si>
    <t>Melting_Curves/meltCurve_Q9BUE6_ISCA1.pdf</t>
  </si>
  <si>
    <t>Melting_Curves/meltCurve_Q9BUF5_TUBB6.pdf</t>
  </si>
  <si>
    <t>Melting_Curves/meltCurve_Q9BUH6_C9orf142.pdf</t>
  </si>
  <si>
    <t>Melting_Curves/meltCurve_Q9BUJ2_2_HNRNPUL1.pdf</t>
  </si>
  <si>
    <t>Melting_Curves/meltCurve_Q9BUK6_3_MSTO1.pdf</t>
  </si>
  <si>
    <t>Melting_Curves/meltCurve_Q9BUP0_EFHD1.pdf</t>
  </si>
  <si>
    <t>Melting_Curves/meltCurve_Q9BUP3_3_HTATIP2.pdf</t>
  </si>
  <si>
    <t>Melting_Curves/meltCurve_Q9BUR4_WRAP53.pdf</t>
  </si>
  <si>
    <t>Melting_Curves/meltCurve_Q9BUT1_BDH2.pdf</t>
  </si>
  <si>
    <t>Melting_Curves/meltCurve_Q9BUW7_C9orf16.pdf</t>
  </si>
  <si>
    <t>Melting_Curves/meltCurve_Q9BV10_ALG12.pdf</t>
  </si>
  <si>
    <t>Melting_Curves/meltCurve_Q9BV19_C1orf50.pdf</t>
  </si>
  <si>
    <t>Melting_Curves/meltCurve_Q9BV20_MRI1.pdf</t>
  </si>
  <si>
    <t>Melting_Curves/meltCurve_Q9BV23_ABHD6.pdf</t>
  </si>
  <si>
    <t>Melting_Curves/meltCurve_Q9BV38_WDR18.pdf</t>
  </si>
  <si>
    <t>Melting_Curves/meltCurve_Q9BV44_THUMPD3.pdf</t>
  </si>
  <si>
    <t>Melting_Curves/meltCurve_Q9BV57_ADI1.pdf</t>
  </si>
  <si>
    <t>Melting_Curves/meltCurve_Q9BV68_2_RNF126.pdf</t>
  </si>
  <si>
    <t>Melting_Curves/meltCurve_Q9BV73_2_CEP250.pdf</t>
  </si>
  <si>
    <t>Melting_Curves/meltCurve_Q9BV79_MECR.pdf</t>
  </si>
  <si>
    <t>Melting_Curves/meltCurve_Q9BV86_NTMT1.pdf</t>
  </si>
  <si>
    <t>Melting_Curves/meltCurve_Q9BVA0_KATNB1.pdf</t>
  </si>
  <si>
    <t>Melting_Curves/meltCurve_Q9BVA6_FICD.pdf</t>
  </si>
  <si>
    <t>Melting_Curves/meltCurve_Q9BVC4_3_MLST8.pdf</t>
  </si>
  <si>
    <t>Melting_Curves/meltCurve_Q9BVC6_TMEM109.pdf</t>
  </si>
  <si>
    <t>Melting_Curves/meltCurve_Q9BVG4_PBDC1.pdf</t>
  </si>
  <si>
    <t>Melting_Curves/meltCurve_Q9BVG9_PTDSS2.pdf</t>
  </si>
  <si>
    <t>Melting_Curves/meltCurve_Q9BVJ6_3_UTP14A.pdf</t>
  </si>
  <si>
    <t>Melting_Curves/meltCurve_Q9BVJ7_DUSP23.pdf</t>
  </si>
  <si>
    <t>Melting_Curves/meltCurve_Q9BVK6_TMED9.pdf</t>
  </si>
  <si>
    <t>Melting_Curves/meltCurve_Q9BVL4_SELO.pdf</t>
  </si>
  <si>
    <t>Melting_Curves/meltCurve_Q9BVM4_GGACT.pdf</t>
  </si>
  <si>
    <t>Melting_Curves/meltCurve_Q9BVV7_TIMM21.pdf</t>
  </si>
  <si>
    <t>Melting_Curves/meltCurve_Q9BW30_TPPP3.pdf</t>
  </si>
  <si>
    <t>Melting_Curves/meltCurve_Q9BW60_2_ELOVL1.pdf</t>
  </si>
  <si>
    <t>Melting_Curves/meltCurve_Q9BW61_DDA1.pdf</t>
  </si>
  <si>
    <t>Melting_Curves/meltCurve_Q9BW62_KATNAL1.pdf</t>
  </si>
  <si>
    <t>Melting_Curves/meltCurve_Q9BW71_HIRIP3.pdf</t>
  </si>
  <si>
    <t>Melting_Curves/meltCurve_Q9BW83_IFT27.pdf</t>
  </si>
  <si>
    <t>Melting_Curves/meltCurve_Q9BW85_CCDC94.pdf</t>
  </si>
  <si>
    <t>Melting_Curves/meltCurve_Q9BW91_2_NUDT9.pdf</t>
  </si>
  <si>
    <t>Melting_Curves/meltCurve_Q9BW92_TARS2.pdf</t>
  </si>
  <si>
    <t>Melting_Curves/meltCurve_Q9BWD1_ACAT2.pdf</t>
  </si>
  <si>
    <t>Melting_Curves/meltCurve_Q9BWH2_FUNDC2.pdf</t>
  </si>
  <si>
    <t>Melting_Curves/meltCurve_Q9BWH6_RPAP1.pdf</t>
  </si>
  <si>
    <t>Melting_Curves/meltCurve_Q9BWJ5_SF3B5.pdf</t>
  </si>
  <si>
    <t>Melting_Curves/meltCurve_Q9BWM7_SFXN3.pdf</t>
  </si>
  <si>
    <t>Melting_Curves/meltCurve_Q9BWT7_CARD10.pdf</t>
  </si>
  <si>
    <t>Melting_Curves/meltCurve_Q9BWU0_SLC4A1AP.pdf</t>
  </si>
  <si>
    <t>Melting_Curves/meltCurve_Q9BX59_TAPBPL.pdf</t>
  </si>
  <si>
    <t>Melting_Curves/meltCurve_Q9BX67_JAM3.pdf</t>
  </si>
  <si>
    <t>Melting_Curves/meltCurve_Q9BX68_HINT2.pdf</t>
  </si>
  <si>
    <t>Melting_Curves/meltCurve_Q9BX95_SGPP1.pdf</t>
  </si>
  <si>
    <t>Melting_Curves/meltCurve_Q9BXB5_OSBPL10.pdf</t>
  </si>
  <si>
    <t>Melting_Curves/meltCurve_Q9BXF6_RAB11FIP5.pdf</t>
  </si>
  <si>
    <t>Melting_Curves/meltCurve_Q9BXH1_2_BBC3.pdf</t>
  </si>
  <si>
    <t>Melting_Curves/meltCurve_Q9BXJ8_2_TMEM120A.pdf</t>
  </si>
  <si>
    <t>Melting_Curves/meltCurve_Q9BXJ9_NAA15.pdf</t>
  </si>
  <si>
    <t>Melting_Curves/meltCurve_Q9BXK5_BCL2L13.pdf</t>
  </si>
  <si>
    <t>Melting_Curves/meltCurve_Q9BXP2_SLC12A9.pdf</t>
  </si>
  <si>
    <t>Melting_Curves/meltCurve_Q9BXP5_5_SRRT.pdf</t>
  </si>
  <si>
    <t>Melting_Curves/meltCurve_Q9BXR0_QTRT1.pdf</t>
  </si>
  <si>
    <t>Melting_Curves/meltCurve_Q9BXV9_C14orf142.pdf</t>
  </si>
  <si>
    <t>Melting_Curves/meltCurve_Q9BXW6_OSBPL1A.pdf</t>
  </si>
  <si>
    <t>Melting_Curves/meltCurve_Q9BXW7_2_CECR5.pdf</t>
  </si>
  <si>
    <t>Melting_Curves/meltCurve_Q9BY32_ITPA.pdf</t>
  </si>
  <si>
    <t>Melting_Curves/meltCurve_Q9BY43_CHMP4A.pdf</t>
  </si>
  <si>
    <t>Melting_Curves/meltCurve_Q9BY77_POLDIP3.pdf</t>
  </si>
  <si>
    <t>Melting_Curves/meltCurve_Q9BYB4_GNB1L.pdf</t>
  </si>
  <si>
    <t>Melting_Curves/meltCurve_Q9BYD6_MRPL1.pdf</t>
  </si>
  <si>
    <t>Melting_Curves/meltCurve_Q9BYM8_RBCK1.pdf</t>
  </si>
  <si>
    <t>Melting_Curves/meltCurve_Q9BYN0_SRXN1.pdf</t>
  </si>
  <si>
    <t>Melting_Curves/meltCurve_Q9BYN8_MRPS26.pdf</t>
  </si>
  <si>
    <t>Melting_Curves/meltCurve_Q9BYT8_NLN.pdf</t>
  </si>
  <si>
    <t>Melting_Curves/meltCurve_Q9BYV8_CEP41.pdf</t>
  </si>
  <si>
    <t>Melting_Curves/meltCurve_Q9BYX2_3_TBC1D2.pdf</t>
  </si>
  <si>
    <t>Melting_Curves/meltCurve_Q9BZ23_4_PANK2.pdf</t>
  </si>
  <si>
    <t>Melting_Curves/meltCurve_Q9BZ67_2_FRMD8.pdf</t>
  </si>
  <si>
    <t>Melting_Curves/meltCurve_Q9BZD2_SLC29A3.pdf</t>
  </si>
  <si>
    <t>Melting_Curves/meltCurve_Q9BZE2_PUS3.pdf</t>
  </si>
  <si>
    <t>Melting_Curves/meltCurve_Q9BZF1_3_OSBPL8.pdf</t>
  </si>
  <si>
    <t>Melting_Curves/meltCurve_Q9BZI7_2_UPF3B.pdf</t>
  </si>
  <si>
    <t>Melting_Curves/meltCurve_Q9BZK7_TBL1XR1.pdf</t>
  </si>
  <si>
    <t>Melting_Curves/meltCurve_Q9BZL1_UBL5.pdf</t>
  </si>
  <si>
    <t>Melting_Curves/meltCurve_Q9BZL4_3_PPP1R12C.pdf</t>
  </si>
  <si>
    <t>Melting_Curves/meltCurve_Q9BZM1_PLA2G12A.pdf</t>
  </si>
  <si>
    <t>Melting_Curves/meltCurve_Q9BZM4_ULBP3.pdf</t>
  </si>
  <si>
    <t>Melting_Curves/meltCurve_Q9BZM5_ULBP2.pdf</t>
  </si>
  <si>
    <t>Melting_Curves/meltCurve_Q9BZQ8_FAM129A.pdf</t>
  </si>
  <si>
    <t>Melting_Curves/meltCurve_Q9BZX2_UCK2.pdf</t>
  </si>
  <si>
    <t>Melting_Curves/meltCurve_Q9BZZ5_2_API5.pdf</t>
  </si>
  <si>
    <t>Melting_Curves/meltCurve_Q9C004_SPRY4.pdf</t>
  </si>
  <si>
    <t>Melting_Curves/meltCurve_Q9C005_DPY30.pdf</t>
  </si>
  <si>
    <t>Melting_Curves/meltCurve_Q9C037_2_TRIM4.pdf</t>
  </si>
  <si>
    <t>Melting_Curves/meltCurve_Q9C073_FAM117A.pdf</t>
  </si>
  <si>
    <t>Melting_Curves/meltCurve_Q9C0B1_FTO.pdf</t>
  </si>
  <si>
    <t>Melting_Curves/meltCurve_Q9C0B5_2_ZDHHC5.pdf</t>
  </si>
  <si>
    <t>Melting_Curves/meltCurve_Q9C0B7_TANGO6.pdf</t>
  </si>
  <si>
    <t>Melting_Curves/meltCurve_Q9C0C2_TNKS1BP1.pdf</t>
  </si>
  <si>
    <t>Melting_Curves/meltCurve_Q9C0C9_UBE2O.pdf</t>
  </si>
  <si>
    <t>Melting_Curves/meltCurve_Q9C0D5_2_TANC1.pdf</t>
  </si>
  <si>
    <t>Melting_Curves/meltCurve_Q9C0H2_2_TTYH3.pdf</t>
  </si>
  <si>
    <t>Melting_Curves/meltCurve_Q9C0I1_MTMR12.pdf</t>
  </si>
  <si>
    <t>Melting_Curves/meltCurve_Q9C0K7_2_STRADB.pdf</t>
  </si>
  <si>
    <t>Melting_Curves/meltCurve_Q9GZL7_WDR12.pdf</t>
  </si>
  <si>
    <t>Melting_Curves/meltCurve_Q9GZN8_C20orf27.pdf</t>
  </si>
  <si>
    <t>Melting_Curves/meltCurve_Q9GZP1_NRSN2.pdf</t>
  </si>
  <si>
    <t>Melting_Curves/meltCurve_Q9GZP4_PITHD1.pdf</t>
  </si>
  <si>
    <t>Melting_Curves/meltCurve_Q9GZP9_DERL2.pdf</t>
  </si>
  <si>
    <t>Melting_Curves/meltCurve_Q9GZQ3_COMMD5.pdf</t>
  </si>
  <si>
    <t>Melting_Curves/meltCurve_Q9GZS3_WDR61.pdf</t>
  </si>
  <si>
    <t>Melting_Curves/meltCurve_Q9GZT3_2_SLIRP.pdf</t>
  </si>
  <si>
    <t>Melting_Curves/meltCurve_Q9GZT4_SRR.pdf</t>
  </si>
  <si>
    <t>Melting_Curves/meltCurve_Q9GZT6_2_CCDC90B.pdf</t>
  </si>
  <si>
    <t>Melting_Curves/meltCurve_Q9GZT8_2_NIF3L1.pdf</t>
  </si>
  <si>
    <t>Melting_Curves/meltCurve_Q9GZT9_EGLN1.pdf</t>
  </si>
  <si>
    <t>Melting_Curves/meltCurve_Q9GZU8_FAM192A.pdf</t>
  </si>
  <si>
    <t>Melting_Curves/meltCurve_Q9GZV5_WWTR1.pdf</t>
  </si>
  <si>
    <t>Melting_Curves/meltCurve_Q9GZX9_TWSG1.pdf</t>
  </si>
  <si>
    <t>Melting_Curves/meltCurve_Q9GZY8_2_MFF.pdf</t>
  </si>
  <si>
    <t>Melting_Curves/meltCurve_Q9GZZ9_UBA5.pdf</t>
  </si>
  <si>
    <t>Melting_Curves/meltCurve_Q9H008_LHPP.pdf</t>
  </si>
  <si>
    <t>Melting_Curves/meltCurve_Q9H019_3_MTFR1L.pdf</t>
  </si>
  <si>
    <t>Melting_Curves/meltCurve_Q9H061_TMEM126A.pdf</t>
  </si>
  <si>
    <t>Melting_Curves/meltCurve_Q9H074_PAIP1.pdf</t>
  </si>
  <si>
    <t>Melting_Curves/meltCurve_Q9H078_2_CLPB.pdf</t>
  </si>
  <si>
    <t>Melting_Curves/meltCurve_Q9H082_RAB33B.pdf</t>
  </si>
  <si>
    <t>Melting_Curves/meltCurve_Q9H098_FAM107B.pdf</t>
  </si>
  <si>
    <t>Melting_Curves/meltCurve_Q9H0B6_2_KLC2.pdf</t>
  </si>
  <si>
    <t>Melting_Curves/meltCurve_Q9H0C8_ILKAP.pdf</t>
  </si>
  <si>
    <t>Melting_Curves/meltCurve_Q9H0D6_XRN2.pdf</t>
  </si>
  <si>
    <t>Melting_Curves/meltCurve_Q9H0E2_TOLLIP.pdf</t>
  </si>
  <si>
    <t>Melting_Curves/meltCurve_Q9H0F6_SHARPIN.pdf</t>
  </si>
  <si>
    <t>Melting_Curves/meltCurve_Q9H0F7_ARL6.pdf</t>
  </si>
  <si>
    <t>Melting_Curves/meltCurve_Q9H0G5_NSRP1.pdf</t>
  </si>
  <si>
    <t>Melting_Curves/meltCurve_Q9H0L4_CSTF2T.pdf</t>
  </si>
  <si>
    <t>Melting_Curves/meltCurve_Q9H0N0_RAB6C.pdf</t>
  </si>
  <si>
    <t>Melting_Curves/meltCurve_Q9H0Q0_FAM49A.pdf</t>
  </si>
  <si>
    <t>Melting_Curves/meltCurve_Q9H0R4_HDHD2.pdf</t>
  </si>
  <si>
    <t>Melting_Curves/meltCurve_Q9H0R6_QRSL1.pdf</t>
  </si>
  <si>
    <t>Melting_Curves/meltCurve_Q9H0U4_RAB1B.pdf</t>
  </si>
  <si>
    <t>Melting_Curves/meltCurve_Q9H0U9_TSPYL1.pdf</t>
  </si>
  <si>
    <t>Melting_Curves/meltCurve_Q9H0V9_LMAN2L.pdf</t>
  </si>
  <si>
    <t>Melting_Curves/meltCurve_Q9H0W8_SMG9.pdf</t>
  </si>
  <si>
    <t>Melting_Curves/meltCurve_Q9H0W9_C11orf54.pdf</t>
  </si>
  <si>
    <t>Melting_Curves/meltCurve_Q9H0X4_ITFG3.pdf</t>
  </si>
  <si>
    <t>Melting_Curves/meltCurve_Q9H0X9_2_OSBPL5.pdf</t>
  </si>
  <si>
    <t>Melting_Curves/meltCurve_Q9H115_NAPB.pdf</t>
  </si>
  <si>
    <t>Melting_Curves/meltCurve_Q9H173_SIL1.pdf</t>
  </si>
  <si>
    <t>Melting_Curves/meltCurve_Q9H1B7_IRF2BPL.pdf</t>
  </si>
  <si>
    <t>Melting_Curves/meltCurve_Q9H1E3_NUCKS1.pdf</t>
  </si>
  <si>
    <t>Melting_Curves/meltCurve_Q9H1I8_3_ASCC2.pdf</t>
  </si>
  <si>
    <t>Melting_Curves/meltCurve_Q9H1J1_3_UPF3A.pdf</t>
  </si>
  <si>
    <t>Melting_Curves/meltCurve_Q9H1K0_ZFYVE20.pdf</t>
  </si>
  <si>
    <t>Melting_Curves/meltCurve_Q9H1K1_ISCU.pdf</t>
  </si>
  <si>
    <t>Melting_Curves/meltCurve_Q9H1P3_2_OSBPL2.pdf</t>
  </si>
  <si>
    <t>Melting_Curves/meltCurve_Q9H1Y0_ATG5.pdf</t>
  </si>
  <si>
    <t>Melting_Curves/meltCurve_Q9H1Z9_TSPAN10.pdf</t>
  </si>
  <si>
    <t>Melting_Curves/meltCurve_Q9H223_EHD4.pdf</t>
  </si>
  <si>
    <t>Melting_Curves/meltCurve_Q9H246_C1orf21.pdf</t>
  </si>
  <si>
    <t>Melting_Curves/meltCurve_Q9H267_VPS33B.pdf</t>
  </si>
  <si>
    <t>Melting_Curves/meltCurve_Q9H269_2_VPS16.pdf</t>
  </si>
  <si>
    <t>Melting_Curves/meltCurve_Q9H270_VPS11.pdf</t>
  </si>
  <si>
    <t>Melting_Curves/meltCurve_Q9H2D1_SLC25A32.pdf</t>
  </si>
  <si>
    <t>Melting_Curves/meltCurve_Q9H2D6_5_TRIOBP.pdf</t>
  </si>
  <si>
    <t>Melting_Curves/meltCurve_Q9H2G2_2_SLK.pdf</t>
  </si>
  <si>
    <t>Melting_Curves/meltCurve_Q9H2H8_PPIL3.pdf</t>
  </si>
  <si>
    <t>Melting_Curves/meltCurve_Q9H2J4_PDCL3.pdf</t>
  </si>
  <si>
    <t>Melting_Curves/meltCurve_Q9H2K8_TAOK3.pdf</t>
  </si>
  <si>
    <t>Melting_Curves/meltCurve_Q9H2M9_RAB3GAP2.pdf</t>
  </si>
  <si>
    <t>Melting_Curves/meltCurve_Q9H2P9_3_DPH5.pdf</t>
  </si>
  <si>
    <t>Melting_Curves/meltCurve_Q9H2U2_PPA2.pdf</t>
  </si>
  <si>
    <t>Melting_Curves/meltCurve_Q9H2W6_MRPL46.pdf</t>
  </si>
  <si>
    <t>Melting_Curves/meltCurve_Q9H307_PNN.pdf</t>
  </si>
  <si>
    <t>Melting_Curves/meltCurve_Q9H329_2_EPB41L4B.pdf</t>
  </si>
  <si>
    <t>Melting_Curves/meltCurve_Q9H330_2_TMEM245.pdf</t>
  </si>
  <si>
    <t>Melting_Curves/meltCurve_Q9H3F6_KCTD10.pdf</t>
  </si>
  <si>
    <t>Melting_Curves/meltCurve_Q9H3H3_2_C11orf68.pdf</t>
  </si>
  <si>
    <t>Melting_Curves/meltCurve_Q9H3H5_2_DPAGT1.pdf</t>
  </si>
  <si>
    <t>Melting_Curves/meltCurve_Q9H3K6_BOLA2.pdf</t>
  </si>
  <si>
    <t>Melting_Curves/meltCurve_Q9H3N1_TMX1.pdf</t>
  </si>
  <si>
    <t>Melting_Curves/meltCurve_Q9H3P7_ACBD3.pdf</t>
  </si>
  <si>
    <t>Melting_Curves/meltCurve_Q9H3Q1_CDC42EP4.pdf</t>
  </si>
  <si>
    <t>Melting_Curves/meltCurve_Q9H3S7_PTPN23.pdf</t>
  </si>
  <si>
    <t>Melting_Curves/meltCurve_Q9H3U1_2_UNC45A.pdf</t>
  </si>
  <si>
    <t>Melting_Curves/meltCurve_Q9H3U5_3_MFSD1.pdf</t>
  </si>
  <si>
    <t>Melting_Curves/meltCurve_Q9H3Y8_PPDPF.pdf</t>
  </si>
  <si>
    <t>Melting_Curves/meltCurve_Q9H3Z4_2_DNAJC5.pdf</t>
  </si>
  <si>
    <t>Melting_Curves/meltCurve_Q9H425_C1orf198.pdf</t>
  </si>
  <si>
    <t>Melting_Curves/meltCurve_Q9H444_CHMP4B.pdf</t>
  </si>
  <si>
    <t>Melting_Curves/meltCurve_Q9H446_2_RWDD1.pdf</t>
  </si>
  <si>
    <t>Melting_Curves/meltCurve_Q9H467_CUEDC2.pdf</t>
  </si>
  <si>
    <t>Melting_Curves/meltCurve_Q9H469_FBXL15.pdf</t>
  </si>
  <si>
    <t>Melting_Curves/meltCurve_Q9H479_FN3K.pdf</t>
  </si>
  <si>
    <t>Melting_Curves/meltCurve_Q9H488_POFUT1.pdf</t>
  </si>
  <si>
    <t>Melting_Curves/meltCurve_Q9H492_MAP1LC3A.pdf</t>
  </si>
  <si>
    <t>Melting_Curves/meltCurve_Q9H497_TOR3A.pdf</t>
  </si>
  <si>
    <t>Melting_Curves/meltCurve_Q9H4A4_RNPEP.pdf</t>
  </si>
  <si>
    <t>Melting_Curves/meltCurve_Q9H4A5_GOLPH3L.pdf</t>
  </si>
  <si>
    <t>Melting_Curves/meltCurve_Q9H4A6_GOLPH3.pdf</t>
  </si>
  <si>
    <t>Melting_Curves/meltCurve_Q9H4B0_OSGEPL1.pdf</t>
  </si>
  <si>
    <t>Melting_Curves/meltCurve_Q9H4G0_2_EPB41L1.pdf</t>
  </si>
  <si>
    <t>Melting_Curves/meltCurve_Q9H4G4_GLIPR2.pdf</t>
  </si>
  <si>
    <t>Melting_Curves/meltCurve_Q9H4I2_ZHX3.pdf</t>
  </si>
  <si>
    <t>Melting_Curves/meltCurve_Q9H4L5_2_OSBPL3.pdf</t>
  </si>
  <si>
    <t>Melting_Curves/meltCurve_Q9H4M9_EHD1.pdf</t>
  </si>
  <si>
    <t>Melting_Curves/meltCurve_Q9H4P4_2_RNF41.pdf</t>
  </si>
  <si>
    <t>Melting_Curves/meltCurve_Q9H4X1_2_RGCC.pdf</t>
  </si>
  <si>
    <t>Melting_Curves/meltCurve_Q9H4Z3_PCIF1.pdf</t>
  </si>
  <si>
    <t>Melting_Curves/meltCurve_Q9H553_ALG2.pdf</t>
  </si>
  <si>
    <t>Melting_Curves/meltCurve_Q9H5N1_RABEP2.pdf</t>
  </si>
  <si>
    <t>Melting_Curves/meltCurve_Q9H5Q4_TFB2M.pdf</t>
  </si>
  <si>
    <t>Melting_Curves/meltCurve_Q9H5V8_CDCP1.pdf</t>
  </si>
  <si>
    <t>Melting_Curves/meltCurve_Q9H5V9_2_CXorf56.pdf</t>
  </si>
  <si>
    <t>Melting_Curves/meltCurve_Q9H5X1_FAM96A.pdf</t>
  </si>
  <si>
    <t>Melting_Curves/meltCurve_Q9H668_OBFC1.pdf</t>
  </si>
  <si>
    <t>Melting_Curves/meltCurve_Q9H6B4_CLMP.pdf</t>
  </si>
  <si>
    <t>Melting_Curves/meltCurve_Q9H6D3_XKR8.pdf</t>
  </si>
  <si>
    <t>Melting_Curves/meltCurve_Q9H6E4_CCDC134.pdf</t>
  </si>
  <si>
    <t>Melting_Curves/meltCurve_Q9H6H4_REEP4.pdf</t>
  </si>
  <si>
    <t>Melting_Curves/meltCurve_Q9H6K1_C6orf106.pdf</t>
  </si>
  <si>
    <t>Melting_Curves/meltCurve_Q9H6K4_2_OPA3.pdf</t>
  </si>
  <si>
    <t>Melting_Curves/meltCurve_Q9H6Q4_NARFL.pdf</t>
  </si>
  <si>
    <t>Melting_Curves/meltCurve_Q9H6R3_ACSS3.pdf</t>
  </si>
  <si>
    <t>Melting_Curves/meltCurve_Q9H6S1_AZI2.pdf</t>
  </si>
  <si>
    <t>Melting_Curves/meltCurve_Q9H6S3_EPS8L2.pdf</t>
  </si>
  <si>
    <t>Melting_Curves/meltCurve_Q9H6T3_RPAP3.pdf</t>
  </si>
  <si>
    <t>Melting_Curves/meltCurve_Q9H6U6_7_BCAS3.pdf</t>
  </si>
  <si>
    <t>Melting_Curves/meltCurve_Q9H6U8_ALG9.pdf</t>
  </si>
  <si>
    <t>Melting_Curves/meltCurve_Q9H6X2_ANTXR1.pdf</t>
  </si>
  <si>
    <t>Melting_Curves/meltCurve_Q9H6X4_2_TMEM134.pdf</t>
  </si>
  <si>
    <t>Melting_Curves/meltCurve_Q9H6Y2_WDR55.pdf</t>
  </si>
  <si>
    <t>Melting_Curves/meltCurve_Q9H6Z4_3_RANBP3.pdf</t>
  </si>
  <si>
    <t>Melting_Curves/meltCurve_Q9H773_DCTPP1.pdf</t>
  </si>
  <si>
    <t>Melting_Curves/meltCurve_Q9H788_2_SH2D4A.pdf</t>
  </si>
  <si>
    <t>Melting_Curves/meltCurve_Q9H792_PEAK1.pdf</t>
  </si>
  <si>
    <t>Melting_Curves/meltCurve_Q9H7B4_SMYD3.pdf</t>
  </si>
  <si>
    <t>Melting_Curves/meltCurve_Q9H7C4_2_SYNC.pdf</t>
  </si>
  <si>
    <t>Melting_Curves/meltCurve_Q9H7C9_AAMDC.pdf</t>
  </si>
  <si>
    <t>Melting_Curves/meltCurve_Q9H7D7_2_WDR26.pdf</t>
  </si>
  <si>
    <t>Melting_Curves/meltCurve_Q9H7F0_ATP13A3.pdf</t>
  </si>
  <si>
    <t>Melting_Curves/meltCurve_Q9H7F4_TMEM185B.pdf</t>
  </si>
  <si>
    <t>Melting_Curves/meltCurve_Q9H7M9_C10orf54.pdf</t>
  </si>
  <si>
    <t>Melting_Curves/meltCurve_Q9H7Z7_PTGES2.pdf</t>
  </si>
  <si>
    <t>Melting_Curves/meltCurve_Q9H814_PHAX.pdf</t>
  </si>
  <si>
    <t>Melting_Curves/meltCurve_Q9H832_UBE2Z.pdf</t>
  </si>
  <si>
    <t>Melting_Curves/meltCurve_Q9H840_GEMIN7.pdf</t>
  </si>
  <si>
    <t>Melting_Curves/meltCurve_Q9H845_ACAD9.pdf</t>
  </si>
  <si>
    <t>Melting_Curves/meltCurve_Q9H857_2_NT5DC2.pdf</t>
  </si>
  <si>
    <t>Melting_Curves/meltCurve_Q9H8G2_CAAP1.pdf</t>
  </si>
  <si>
    <t>Melting_Curves/meltCurve_Q9H8K7_C10orf88.pdf</t>
  </si>
  <si>
    <t>Melting_Curves/meltCurve_Q9H8M7_FAM188A.pdf</t>
  </si>
  <si>
    <t>Melting_Curves/meltCurve_Q9H8S9_MOB1A.pdf</t>
  </si>
  <si>
    <t>Melting_Curves/meltCurve_Q9H8U3_ZFAND3.pdf</t>
  </si>
  <si>
    <t>Melting_Curves/meltCurve_Q9H8W4_PLEKHF2.pdf</t>
  </si>
  <si>
    <t>Melting_Curves/meltCurve_Q9H8Y8_GORASP2.pdf</t>
  </si>
  <si>
    <t>Melting_Curves/meltCurve_Q9H936_SLC25A22.pdf</t>
  </si>
  <si>
    <t>Melting_Curves/meltCurve_Q9H939_PSTPIP2.pdf</t>
  </si>
  <si>
    <t>Melting_Curves/meltCurve_Q9H944_MED20.pdf</t>
  </si>
  <si>
    <t>Melting_Curves/meltCurve_Q9H974_QTRTD1.pdf</t>
  </si>
  <si>
    <t>Melting_Curves/meltCurve_Q9H977_WDR54.pdf</t>
  </si>
  <si>
    <t>Melting_Curves/meltCurve_Q9H993_C6orf211.pdf</t>
  </si>
  <si>
    <t>Melting_Curves/meltCurve_Q9H999_PANK3.pdf</t>
  </si>
  <si>
    <t>Melting_Curves/meltCurve_Q9H9A6_LRRC40.pdf</t>
  </si>
  <si>
    <t>Melting_Curves/meltCurve_Q9H9B4_SFXN1.pdf</t>
  </si>
  <si>
    <t>Melting_Curves/meltCurve_Q9H9H4_VPS37B.pdf</t>
  </si>
  <si>
    <t>Melting_Curves/meltCurve_Q9H9S4_CAB39L.pdf</t>
  </si>
  <si>
    <t>Melting_Curves/meltCurve_Q9H9V9_2_JMJD4.pdf</t>
  </si>
  <si>
    <t>Melting_Curves/meltCurve_Q9H9Y4_GPN2.pdf</t>
  </si>
  <si>
    <t>Melting_Curves/meltCurve_Q9HA64_FN3KRP.pdf</t>
  </si>
  <si>
    <t>Melting_Curves/meltCurve_Q9HA65_TBC1D17.pdf</t>
  </si>
  <si>
    <t>Melting_Curves/meltCurve_Q9HA77_CARS2.pdf</t>
  </si>
  <si>
    <t>Melting_Curves/meltCurve_Q9HAB8_PPCS.pdf</t>
  </si>
  <si>
    <t>Melting_Curves/meltCurve_Q9HAD4_WDR41.pdf</t>
  </si>
  <si>
    <t>Melting_Curves/meltCurve_Q9HAT2_2_SIAE.pdf</t>
  </si>
  <si>
    <t>Melting_Curves/meltCurve_Q9HAU0_PLEKHA5.pdf</t>
  </si>
  <si>
    <t>Melting_Curves/meltCurve_Q9HAU4_SMURF2.pdf</t>
  </si>
  <si>
    <t>Melting_Curves/meltCurve_Q9HAV0_GNB4.pdf</t>
  </si>
  <si>
    <t>Melting_Curves/meltCurve_Q9HAV4_XPO5.pdf</t>
  </si>
  <si>
    <t>Melting_Curves/meltCurve_Q9HAV5_EDA2R.pdf</t>
  </si>
  <si>
    <t>Melting_Curves/meltCurve_Q9HAV7_GRPEL1.pdf</t>
  </si>
  <si>
    <t>Melting_Curves/meltCurve_Q9HB07_C12orf10.pdf</t>
  </si>
  <si>
    <t>Melting_Curves/meltCurve_Q9HB09_BCL2L12.pdf</t>
  </si>
  <si>
    <t>Melting_Curves/meltCurve_Q9HB19_PLEKHA2.pdf</t>
  </si>
  <si>
    <t>Melting_Curves/meltCurve_Q9HB20_PLEKHA3.pdf</t>
  </si>
  <si>
    <t>Melting_Curves/meltCurve_Q9HB40_SCPEP1.pdf</t>
  </si>
  <si>
    <t>Melting_Curves/meltCurve_Q9HB71_CACYBP.pdf</t>
  </si>
  <si>
    <t>Melting_Curves/meltCurve_Q9HB90_RRAGC.pdf</t>
  </si>
  <si>
    <t>Melting_Curves/meltCurve_Q9HBD4_SMARCA4.pdf</t>
  </si>
  <si>
    <t>Melting_Curves/meltCurve_Q9HBH5_RDH14.pdf</t>
  </si>
  <si>
    <t>Melting_Curves/meltCurve_Q9HBI1_PARVB.pdf</t>
  </si>
  <si>
    <t>Melting_Curves/meltCurve_Q9HBL7_PLGRKT.pdf</t>
  </si>
  <si>
    <t>Melting_Curves/meltCurve_Q9HBL8_NMRAL1.pdf</t>
  </si>
  <si>
    <t>Melting_Curves/meltCurve_Q9HBM6_TAF9B.pdf</t>
  </si>
  <si>
    <t>Melting_Curves/meltCurve_Q9HBM8_AGPAT1.pdf</t>
  </si>
  <si>
    <t>Melting_Curves/meltCurve_Q9HBR0_SLC38A10.pdf</t>
  </si>
  <si>
    <t>Melting_Curves/meltCurve_Q9HBU6_ETNK1.pdf</t>
  </si>
  <si>
    <t>Melting_Curves/meltCurve_Q9HBZ2_2_ARNT2.pdf</t>
  </si>
  <si>
    <t>Melting_Curves/meltCurve_Q9HC21_SLC25A19.pdf</t>
  </si>
  <si>
    <t>Melting_Curves/meltCurve_Q9HC35_EML4.pdf</t>
  </si>
  <si>
    <t>Melting_Curves/meltCurve_Q9HC38_2_GLOD4.pdf</t>
  </si>
  <si>
    <t>Melting_Curves/meltCurve_Q9HC56_2_PCDH9.pdf</t>
  </si>
  <si>
    <t>Melting_Curves/meltCurve_Q9HC57_WFDC1.pdf</t>
  </si>
  <si>
    <t>Melting_Curves/meltCurve_Q9HC98_NEK6.pdf</t>
  </si>
  <si>
    <t>Melting_Curves/meltCurve_Q9HCC0_MCCC2.pdf</t>
  </si>
  <si>
    <t>Melting_Curves/meltCurve_Q9HCD6_TANC2.pdf</t>
  </si>
  <si>
    <t>Melting_Curves/meltCurve_Q9HCE0_EPG5.pdf</t>
  </si>
  <si>
    <t>Melting_Curves/meltCurve_Q9HCE3_ZNF532.pdf</t>
  </si>
  <si>
    <t>Melting_Curves/meltCurve_Q9HCE5_METTL14.pdf</t>
  </si>
  <si>
    <t>Melting_Curves/meltCurve_Q9HCH0_3_NCKAP5L.pdf</t>
  </si>
  <si>
    <t>Melting_Curves/meltCurve_Q9HCH5_6_SYTL2.pdf</t>
  </si>
  <si>
    <t>Melting_Curves/meltCurve_Q9HCJ6_VAT1L.pdf</t>
  </si>
  <si>
    <t>Melting_Curves/meltCurve_Q9HCM4_4_EPB41L5.pdf</t>
  </si>
  <si>
    <t>Melting_Curves/meltCurve_Q9HCN4_2_GPN1.pdf</t>
  </si>
  <si>
    <t>Melting_Curves/meltCurve_Q9HCN8_SDF2L1.pdf</t>
  </si>
  <si>
    <t>Melting_Curves/meltCurve_Q9HCU0_CD248.pdf</t>
  </si>
  <si>
    <t>Melting_Curves/meltCurve_Q9HCU5_PREB.pdf</t>
  </si>
  <si>
    <t>Melting_Curves/meltCurve_Q9HD15_SRA1.pdf</t>
  </si>
  <si>
    <t>Melting_Curves/meltCurve_Q9HD20_2_ATP13A1.pdf</t>
  </si>
  <si>
    <t>Melting_Curves/meltCurve_Q9HD42_CHMP1A.pdf</t>
  </si>
  <si>
    <t>Melting_Curves/meltCurve_Q9HD45_TM9SF3.pdf</t>
  </si>
  <si>
    <t>Melting_Curves/meltCurve_Q9HD47_RANGRF.pdf</t>
  </si>
  <si>
    <t>Melting_Curves/meltCurve_Q9HDC9_APMAP.pdf</t>
  </si>
  <si>
    <t>Melting_Curves/meltCurve_Q9NNX1_2_TUFT1.pdf</t>
  </si>
  <si>
    <t>Melting_Curves/meltCurve_Q9NP56_PDE7B.pdf</t>
  </si>
  <si>
    <t>Melting_Curves/meltCurve_Q9NP58_4_ABCB6.pdf</t>
  </si>
  <si>
    <t>Melting_Curves/meltCurve_Q9NP61_ARFGAP3.pdf</t>
  </si>
  <si>
    <t>Melting_Curves/meltCurve_Q9NP72_RAB18.pdf</t>
  </si>
  <si>
    <t>Melting_Curves/meltCurve_Q9NP74_2_PALMD.pdf</t>
  </si>
  <si>
    <t>Melting_Curves/meltCurve_Q9NP77_SSU72.pdf</t>
  </si>
  <si>
    <t>Melting_Curves/meltCurve_Q9NP79_VTA1.pdf</t>
  </si>
  <si>
    <t>Melting_Curves/meltCurve_Q9NP80_3_PNPLA8.pdf</t>
  </si>
  <si>
    <t>Melting_Curves/meltCurve_Q9NP84_TNFRSF12A.pdf</t>
  </si>
  <si>
    <t>Melting_Curves/meltCurve_Q9NPA0_EMC7.pdf</t>
  </si>
  <si>
    <t>Melting_Curves/meltCurve_Q9NPA8_2_ENY2.pdf</t>
  </si>
  <si>
    <t>Melting_Curves/meltCurve_Q9NPB8_GPCPD1.pdf</t>
  </si>
  <si>
    <t>Melting_Curves/meltCurve_Q9NPD3_EXOSC4.pdf</t>
  </si>
  <si>
    <t>Melting_Curves/meltCurve_Q9NPF0_CD320.pdf</t>
  </si>
  <si>
    <t>Melting_Curves/meltCurve_Q9NPF4_OSGEP.pdf</t>
  </si>
  <si>
    <t>Melting_Curves/meltCurve_Q9NPG8_ZDHHC4.pdf</t>
  </si>
  <si>
    <t>Melting_Curves/meltCurve_Q9NPH0_ACP6.pdf</t>
  </si>
  <si>
    <t>Melting_Curves/meltCurve_Q9NPI6_DCP1A.pdf</t>
  </si>
  <si>
    <t>Melting_Curves/meltCurve_Q9NPJ3_ACOT13.pdf</t>
  </si>
  <si>
    <t>Melting_Curves/meltCurve_Q9NPJ6_MED4.pdf</t>
  </si>
  <si>
    <t>Melting_Curves/meltCurve_Q9NPL8_TIMMDC1.pdf</t>
  </si>
  <si>
    <t>Melting_Curves/meltCurve_Q9NPQ8_4_RIC8A.pdf</t>
  </si>
  <si>
    <t>Melting_Curves/meltCurve_Q9NPR9_GPR108.pdf</t>
  </si>
  <si>
    <t>Melting_Curves/meltCurve_Q9NQ66_2_PLCB1.pdf</t>
  </si>
  <si>
    <t>Melting_Curves/meltCurve_Q9NQ75_CASS4.pdf</t>
  </si>
  <si>
    <t>Melting_Curves/meltCurve_Q9NQ88_TIGAR.pdf</t>
  </si>
  <si>
    <t>Melting_Curves/meltCurve_Q9NQC3_RTN4.pdf</t>
  </si>
  <si>
    <t>Melting_Curves/meltCurve_Q9NQC3_5_RTN4.pdf</t>
  </si>
  <si>
    <t>Melting_Curves/meltCurve_Q9NQE9_HINT3.pdf</t>
  </si>
  <si>
    <t>Melting_Curves/meltCurve_Q9NQG1_MANBAL.pdf</t>
  </si>
  <si>
    <t>Melting_Curves/meltCurve_Q9NQG5_RPRD1B.pdf</t>
  </si>
  <si>
    <t>Melting_Curves/meltCurve_Q9NQH7_2_XPNPEP3.pdf</t>
  </si>
  <si>
    <t>Melting_Curves/meltCurve_Q9NQR4_NIT2.pdf</t>
  </si>
  <si>
    <t>Melting_Curves/meltCurve_Q9NQS1_AVEN.pdf</t>
  </si>
  <si>
    <t>Melting_Curves/meltCurve_Q9NQS3_PVRL3.pdf</t>
  </si>
  <si>
    <t>Melting_Curves/meltCurve_Q9NQT4_EXOSC5.pdf</t>
  </si>
  <si>
    <t>Melting_Curves/meltCurve_Q9NQT8_KIF13B.pdf</t>
  </si>
  <si>
    <t>Melting_Curves/meltCurve_Q9NQW7_3_XPNPEP1.pdf</t>
  </si>
  <si>
    <t>Melting_Curves/meltCurve_Q9NQY0_BIN3.pdf</t>
  </si>
  <si>
    <t>Melting_Curves/meltCurve_Q9NQZ5_STARD7.pdf</t>
  </si>
  <si>
    <t>Melting_Curves/meltCurve_Q9NR12_PDLIM7.pdf</t>
  </si>
  <si>
    <t>Melting_Curves/meltCurve_Q9NR19_ACSS2.pdf</t>
  </si>
  <si>
    <t>Melting_Curves/meltCurve_Q9NR28_2_DIABLO.pdf</t>
  </si>
  <si>
    <t>Melting_Curves/meltCurve_Q9NR30_DDX21.pdf</t>
  </si>
  <si>
    <t>Melting_Curves/meltCurve_Q9NR31_SAR1A.pdf</t>
  </si>
  <si>
    <t>Melting_Curves/meltCurve_Q9NR33_POLE4.pdf</t>
  </si>
  <si>
    <t>Melting_Curves/meltCurve_Q9NR45_NANS.pdf</t>
  </si>
  <si>
    <t>Melting_Curves/meltCurve_Q9NR48_2_ASH1L.pdf</t>
  </si>
  <si>
    <t>Melting_Curves/meltCurve_Q9NR50_EIF2B3.pdf</t>
  </si>
  <si>
    <t>Melting_Curves/meltCurve_Q9NRA1_PDGFC.pdf</t>
  </si>
  <si>
    <t>Melting_Curves/meltCurve_Q9NRA2_SLC17A5.pdf</t>
  </si>
  <si>
    <t>Melting_Curves/meltCurve_Q9NRC6_SPTBN5.pdf</t>
  </si>
  <si>
    <t>Melting_Curves/meltCurve_Q9NRD1_FBXO6.pdf</t>
  </si>
  <si>
    <t>Melting_Curves/meltCurve_Q9NRF2_2_SH2B1.pdf</t>
  </si>
  <si>
    <t>Melting_Curves/meltCurve_Q9NRF8_CTPS2.pdf</t>
  </si>
  <si>
    <t>Melting_Curves/meltCurve_Q9NRF9_POLE3.pdf</t>
  </si>
  <si>
    <t>Melting_Curves/meltCurve_Q9NRG0_CHRAC1.pdf</t>
  </si>
  <si>
    <t>Melting_Curves/meltCurve_Q9NRG1_PRTFDC1.pdf</t>
  </si>
  <si>
    <t>Melting_Curves/meltCurve_Q9NRG7_2_SDR39U1.pdf</t>
  </si>
  <si>
    <t>Melting_Curves/meltCurve_Q9NRH1_YAE1D1.pdf</t>
  </si>
  <si>
    <t>Melting_Curves/meltCurve_Q9NRK6_ABCB10.pdf</t>
  </si>
  <si>
    <t>Melting_Curves/meltCurve_Q9NRN5_3_OLFML3.pdf</t>
  </si>
  <si>
    <t>Melting_Curves/meltCurve_Q9NRN7_AASDHPPT.pdf</t>
  </si>
  <si>
    <t>Melting_Curves/meltCurve_Q9NRN9_METTL5.pdf</t>
  </si>
  <si>
    <t>Melting_Curves/meltCurve_Q9NRP2_CMC2.pdf</t>
  </si>
  <si>
    <t>Melting_Curves/meltCurve_Q9NRQ2_PLSCR4.pdf</t>
  </si>
  <si>
    <t>Melting_Curves/meltCurve_Q9NRR5_UBQLN4.pdf</t>
  </si>
  <si>
    <t>Melting_Curves/meltCurve_Q9NRR8_CDC42SE1.pdf</t>
  </si>
  <si>
    <t>Melting_Curves/meltCurve_Q9NRS6_SNX15.pdf</t>
  </si>
  <si>
    <t>Melting_Curves/meltCurve_Q9NRV9_HEBP1.pdf</t>
  </si>
  <si>
    <t>Melting_Curves/meltCurve_Q9NRW1_RAB6B.pdf</t>
  </si>
  <si>
    <t>Melting_Curves/meltCurve_Q9NRW4_DUSP22.pdf</t>
  </si>
  <si>
    <t>Melting_Curves/meltCurve_Q9NRW7_VPS45.pdf</t>
  </si>
  <si>
    <t>Melting_Curves/meltCurve_Q9NRX4_PHPT1.pdf</t>
  </si>
  <si>
    <t>Melting_Curves/meltCurve_Q9NRX5_SERINC1.pdf</t>
  </si>
  <si>
    <t>Melting_Curves/meltCurve_Q9NRY2_INIP.pdf</t>
  </si>
  <si>
    <t>Melting_Curves/meltCurve_Q9NRY4_ARHGAP35.pdf</t>
  </si>
  <si>
    <t>Melting_Curves/meltCurve_Q9NRY5_FAM114A2.pdf</t>
  </si>
  <si>
    <t>Melting_Curves/meltCurve_Q9NRY6_PLSCR3.pdf</t>
  </si>
  <si>
    <t>Melting_Curves/meltCurve_Q9NRZ5_AGPAT4.pdf</t>
  </si>
  <si>
    <t>Melting_Curves/meltCurve_Q9NRZ7_2_AGPAT3.pdf</t>
  </si>
  <si>
    <t>Melting_Curves/meltCurve_Q9NS15_LTBP3.pdf</t>
  </si>
  <si>
    <t>Melting_Curves/meltCurve_Q9NS18_GLRX2.pdf</t>
  </si>
  <si>
    <t>Melting_Curves/meltCurve_Q9NS69_TOMM22.pdf</t>
  </si>
  <si>
    <t>Melting_Curves/meltCurve_Q9NS86_LANCL2.pdf</t>
  </si>
  <si>
    <t>Melting_Curves/meltCurve_Q9NS93_TM7SF3.pdf</t>
  </si>
  <si>
    <t>Melting_Curves/meltCurve_Q9NSA3_CTNNBIP1.pdf</t>
  </si>
  <si>
    <t>Melting_Curves/meltCurve_Q9NSC5_5_HOMER3.pdf</t>
  </si>
  <si>
    <t>Melting_Curves/meltCurve_Q9NSD9_FARSB.pdf</t>
  </si>
  <si>
    <t>Melting_Curves/meltCurve_Q9NSE4_IARS2.pdf</t>
  </si>
  <si>
    <t>Melting_Curves/meltCurve_Q9NSK7_4_C19orf12.pdf</t>
  </si>
  <si>
    <t>Melting_Curves/meltCurve_Q9NSY0_NRBP2.pdf</t>
  </si>
  <si>
    <t>Melting_Curves/meltCurve_Q9NSY1_BMP2K.pdf</t>
  </si>
  <si>
    <t>Melting_Curves/meltCurve_Q9NSY2_STARD5.pdf</t>
  </si>
  <si>
    <t>Melting_Curves/meltCurve_Q9NT62_ATG3.pdf</t>
  </si>
  <si>
    <t>Melting_Curves/meltCurve_Q9NTG7_SIRT3.pdf</t>
  </si>
  <si>
    <t>Melting_Curves/meltCurve_Q9NTJ5_SACM1L.pdf</t>
  </si>
  <si>
    <t>Melting_Curves/meltCurve_Q9NTK5_2_OLA1.pdf</t>
  </si>
  <si>
    <t>Melting_Curves/meltCurve_Q9NTN3_SLC35D1.pdf</t>
  </si>
  <si>
    <t>Melting_Curves/meltCurve_Q9NTX5_2_ECHDC1.pdf</t>
  </si>
  <si>
    <t>Melting_Curves/meltCurve_Q9NTX7_2_RNF146.pdf</t>
  </si>
  <si>
    <t>Melting_Curves/meltCurve_Q9NTZ6_RBM12.pdf</t>
  </si>
  <si>
    <t>Melting_Curves/meltCurve_Q9NUG6_PDRG1.pdf</t>
  </si>
  <si>
    <t>Melting_Curves/meltCurve_Q9NUJ1_ABHD10.pdf</t>
  </si>
  <si>
    <t>Melting_Curves/meltCurve_Q9NUL5_3_C19orf66.pdf</t>
  </si>
  <si>
    <t>Melting_Curves/meltCurve_Q9NUM4_TMEM106B.pdf</t>
  </si>
  <si>
    <t>Melting_Curves/meltCurve_Q9NUN5_3_LMBRD1.pdf</t>
  </si>
  <si>
    <t>Melting_Curves/meltCurve_Q9NUP1_BLOC1S4.pdf</t>
  </si>
  <si>
    <t>Melting_Curves/meltCurve_Q9NUP9_LIN7C.pdf</t>
  </si>
  <si>
    <t>Melting_Curves/meltCurve_Q9NUQ3_TXLNG.pdf</t>
  </si>
  <si>
    <t>Melting_Curves/meltCurve_Q9NUQ6_SPATS2L.pdf</t>
  </si>
  <si>
    <t>Melting_Curves/meltCurve_Q9NUQ7_UFSP2.pdf</t>
  </si>
  <si>
    <t>Melting_Curves/meltCurve_Q9NUQ8_2_ABCF3.pdf</t>
  </si>
  <si>
    <t>Melting_Curves/meltCurve_Q9NUQ9_FAM49B.pdf</t>
  </si>
  <si>
    <t>Melting_Curves/meltCurve_Q9NUS5_AP5S1.pdf</t>
  </si>
  <si>
    <t>Melting_Curves/meltCurve_Q9NUU7_DDX19A.pdf</t>
  </si>
  <si>
    <t>Melting_Curves/meltCurve_Q9NUY8_TBC1D23.pdf</t>
  </si>
  <si>
    <t>Melting_Curves/meltCurve_Q9NV35_NUDT15.pdf</t>
  </si>
  <si>
    <t>Melting_Curves/meltCurve_Q9NV70_2_EXOC1.pdf</t>
  </si>
  <si>
    <t>Melting_Curves/meltCurve_Q9NV88_3_INTS9.pdf</t>
  </si>
  <si>
    <t>Melting_Curves/meltCurve_Q9NV96_TMEM30A.pdf</t>
  </si>
  <si>
    <t>Melting_Curves/meltCurve_Q9NVA1_UQCC.pdf</t>
  </si>
  <si>
    <t>Melting_Curves/meltCurve_Q9NVA2_2_SEPT11.pdf</t>
  </si>
  <si>
    <t>Melting_Curves/meltCurve_Q9NVA4_TMEM184C.pdf</t>
  </si>
  <si>
    <t>Melting_Curves/meltCurve_Q9NVC3_SLC38A7.pdf</t>
  </si>
  <si>
    <t>Melting_Curves/meltCurve_Q9NVE7_PANK4.pdf</t>
  </si>
  <si>
    <t>Melting_Curves/meltCurve_Q9NVG8_TBC1D13.pdf</t>
  </si>
  <si>
    <t>Melting_Curves/meltCurve_Q9NVH2_4_INTS7.pdf</t>
  </si>
  <si>
    <t>Melting_Curves/meltCurve_Q9NVH6_TMLHE.pdf</t>
  </si>
  <si>
    <t>Melting_Curves/meltCurve_Q9NVI7_2_ATAD3A.pdf</t>
  </si>
  <si>
    <t>Melting_Curves/meltCurve_Q9NVJ2_ARL8B.pdf</t>
  </si>
  <si>
    <t>Melting_Curves/meltCurve_Q9NVK5_2_FGFR1OP2.pdf</t>
  </si>
  <si>
    <t>Melting_Curves/meltCurve_Q9NVM1_EVA1B.pdf</t>
  </si>
  <si>
    <t>Melting_Curves/meltCurve_Q9NVM4_3_PRMT7.pdf</t>
  </si>
  <si>
    <t>Melting_Curves/meltCurve_Q9NVM6_DNAJC17.pdf</t>
  </si>
  <si>
    <t>Melting_Curves/meltCurve_Q9NVM9_ASUN.pdf</t>
  </si>
  <si>
    <t>Melting_Curves/meltCurve_Q9NVQ4_FAIM.pdf</t>
  </si>
  <si>
    <t>Melting_Curves/meltCurve_Q9NVR0_KLHL11.pdf</t>
  </si>
  <si>
    <t>Melting_Curves/meltCurve_Q9NVR5_DNAAF2.pdf</t>
  </si>
  <si>
    <t>Melting_Curves/meltCurve_Q9NVS9_PNPO.pdf</t>
  </si>
  <si>
    <t>Melting_Curves/meltCurve_Q9NVW2_RLIM.pdf</t>
  </si>
  <si>
    <t>Melting_Curves/meltCurve_Q9NVX2_NLE1.pdf</t>
  </si>
  <si>
    <t>Melting_Curves/meltCurve_Q9NVZ3_NECAP2.pdf</t>
  </si>
  <si>
    <t>Melting_Curves/meltCurve_Q9NW15_ANO10.pdf</t>
  </si>
  <si>
    <t>Melting_Curves/meltCurve_Q9NW64_RBM22.pdf</t>
  </si>
  <si>
    <t>Melting_Curves/meltCurve_Q9NW68_4_BSDC1.pdf</t>
  </si>
  <si>
    <t>Melting_Curves/meltCurve_Q9NW82_WDR70.pdf</t>
  </si>
  <si>
    <t>Melting_Curves/meltCurve_Q9NW97_TMEM51.pdf</t>
  </si>
  <si>
    <t>Melting_Curves/meltCurve_Q9NWB6_2_ARGLU1.pdf</t>
  </si>
  <si>
    <t>Melting_Curves/meltCurve_Q9NWD8_TMEM248.pdf</t>
  </si>
  <si>
    <t>Melting_Curves/meltCurve_Q9NWH2_TMEM242.pdf</t>
  </si>
  <si>
    <t>Melting_Curves/meltCurve_Q9NWH9_SLTM.pdf</t>
  </si>
  <si>
    <t>Melting_Curves/meltCurve_Q9NWM3_CUEDC1.pdf</t>
  </si>
  <si>
    <t>Melting_Curves/meltCurve_Q9NWM8_FKBP14.pdf</t>
  </si>
  <si>
    <t>Melting_Curves/meltCurve_Q9NWQ8_PAG1.pdf</t>
  </si>
  <si>
    <t>Melting_Curves/meltCurve_Q9NWQ9_C14orf119.pdf</t>
  </si>
  <si>
    <t>Melting_Curves/meltCurve_Q9NWS0_PIH1D1.pdf</t>
  </si>
  <si>
    <t>Melting_Curves/meltCurve_Q9NWS6_FAM118A.pdf</t>
  </si>
  <si>
    <t>Melting_Curves/meltCurve_Q9NWT6_HIF1AN.pdf</t>
  </si>
  <si>
    <t>Melting_Curves/meltCurve_Q9NWU1_OXSM.pdf</t>
  </si>
  <si>
    <t>Melting_Curves/meltCurve_Q9NWU2_GID8.pdf</t>
  </si>
  <si>
    <t>Melting_Curves/meltCurve_Q9NWV4_C1orf123.pdf</t>
  </si>
  <si>
    <t>Melting_Curves/meltCurve_Q9NWW6_NMRK1.pdf</t>
  </si>
  <si>
    <t>Melting_Curves/meltCurve_Q9NWY4_C4orf27.pdf</t>
  </si>
  <si>
    <t>Melting_Curves/meltCurve_Q9NWZ3_IRAK4.pdf</t>
  </si>
  <si>
    <t>Melting_Curves/meltCurve_Q9NWZ8_GEMIN8.pdf</t>
  </si>
  <si>
    <t>Melting_Curves/meltCurve_Q9NX01_TXNL4B.pdf</t>
  </si>
  <si>
    <t>Melting_Curves/meltCurve_Q9NX08_COMMD8.pdf</t>
  </si>
  <si>
    <t>Melting_Curves/meltCurve_Q9NX14_NDUFB11.pdf</t>
  </si>
  <si>
    <t>Melting_Curves/meltCurve_Q9NX40_OCIAD1.pdf</t>
  </si>
  <si>
    <t>Melting_Curves/meltCurve_Q9NX46_ADPRHL2.pdf</t>
  </si>
  <si>
    <t>Melting_Curves/meltCurve_Q9NX47_MARCH5.pdf</t>
  </si>
  <si>
    <t>Melting_Curves/meltCurve_Q9NX55_HYPK.pdf</t>
  </si>
  <si>
    <t>Melting_Curves/meltCurve_Q9NX62_IMPAD1.pdf</t>
  </si>
  <si>
    <t>Melting_Curves/meltCurve_Q9NX70_MED29.pdf</t>
  </si>
  <si>
    <t>Melting_Curves/meltCurve_Q9NX74_DUS2L.pdf</t>
  </si>
  <si>
    <t>Melting_Curves/meltCurve_Q9NX94_WBP1L.pdf</t>
  </si>
  <si>
    <t>Melting_Curves/meltCurve_Q9NXA8_SIRT5.pdf</t>
  </si>
  <si>
    <t>Melting_Curves/meltCurve_Q9NXC5_MIOS.pdf</t>
  </si>
  <si>
    <t>Melting_Curves/meltCurve_Q9NXF8_ZDHHC7.pdf</t>
  </si>
  <si>
    <t>Melting_Curves/meltCurve_Q9NXG6_P4HTM.pdf</t>
  </si>
  <si>
    <t>Melting_Curves/meltCurve_Q9NXH8_TOR4A.pdf</t>
  </si>
  <si>
    <t>Melting_Curves/meltCurve_Q9NXH9_TRMT1.pdf</t>
  </si>
  <si>
    <t>Melting_Curves/meltCurve_Q9NXJ5_PGPEP1.pdf</t>
  </si>
  <si>
    <t>Melting_Curves/meltCurve_Q9NXN4_2_GDAP2.pdf</t>
  </si>
  <si>
    <t>Melting_Curves/meltCurve_Q9NXR1_2_NDE1.pdf</t>
  </si>
  <si>
    <t>Melting_Curves/meltCurve_Q9NXR7_BRE.pdf</t>
  </si>
  <si>
    <t>Melting_Curves/meltCurve_Q9NXU5_ARL15.pdf</t>
  </si>
  <si>
    <t>Melting_Curves/meltCurve_Q9NXV6_CDKN2AIP.pdf</t>
  </si>
  <si>
    <t>Melting_Curves/meltCurve_Q9NXW9_ALKBH4.pdf</t>
  </si>
  <si>
    <t>Melting_Curves/meltCurve_Q9NY27_PPP4R2.pdf</t>
  </si>
  <si>
    <t>Melting_Curves/meltCurve_Q9NY33_DPP3.pdf</t>
  </si>
  <si>
    <t>Melting_Curves/meltCurve_Q9NYA1_2_SPHK1.pdf</t>
  </si>
  <si>
    <t>Melting_Curves/meltCurve_Q9NYB0_TERF2IP.pdf</t>
  </si>
  <si>
    <t>Melting_Curves/meltCurve_Q9NYJ1_COA4.pdf</t>
  </si>
  <si>
    <t>Melting_Curves/meltCurve_Q9NYJ8_TAB2.pdf</t>
  </si>
  <si>
    <t>Melting_Curves/meltCurve_Q9NYK5_MRPL39.pdf</t>
  </si>
  <si>
    <t>Melting_Curves/meltCurve_Q9NYL2_2_MLTK.pdf</t>
  </si>
  <si>
    <t>Melting_Curves/meltCurve_Q9NYL9_TMOD3.pdf</t>
  </si>
  <si>
    <t>Melting_Curves/meltCurve_Q9NYM9_BET1L.pdf</t>
  </si>
  <si>
    <t>Melting_Curves/meltCurve_Q9NYU2_2_UGGT1.pdf</t>
  </si>
  <si>
    <t>Melting_Curves/meltCurve_Q9NYY8_2_FASTKD2.pdf</t>
  </si>
  <si>
    <t>Melting_Curves/meltCurve_Q9NZ01_TECR.pdf</t>
  </si>
  <si>
    <t>Melting_Curves/meltCurve_Q9NZ08_ERAP1.pdf</t>
  </si>
  <si>
    <t>Melting_Curves/meltCurve_Q9NZ08_2_ERAP1.pdf</t>
  </si>
  <si>
    <t>Melting_Curves/meltCurve_Q9NZ09_UBAP1.pdf</t>
  </si>
  <si>
    <t>Melting_Curves/meltCurve_Q9NZ32_ACTR10.pdf</t>
  </si>
  <si>
    <t>Melting_Curves/meltCurve_Q9NZ43_USE1.pdf</t>
  </si>
  <si>
    <t>Melting_Curves/meltCurve_Q9NZ45_CISD1.pdf</t>
  </si>
  <si>
    <t>Melting_Curves/meltCurve_Q9NZ53_PODXL2.pdf</t>
  </si>
  <si>
    <t>Melting_Curves/meltCurve_Q9NZ56_FMN2.pdf</t>
  </si>
  <si>
    <t>Melting_Curves/meltCurve_Q9NZ63_C9orf78.pdf</t>
  </si>
  <si>
    <t>Melting_Curves/meltCurve_Q9NZB2_4_FAM120A.pdf</t>
  </si>
  <si>
    <t>Melting_Curves/meltCurve_Q9NZC3_GDE1.pdf</t>
  </si>
  <si>
    <t>Melting_Curves/meltCurve_Q9NZD2_GLTP.pdf</t>
  </si>
  <si>
    <t>Melting_Curves/meltCurve_Q9NZD8_2_SPG21.pdf</t>
  </si>
  <si>
    <t>Melting_Curves/meltCurve_Q9NZJ6_COQ3.pdf</t>
  </si>
  <si>
    <t>Melting_Curves/meltCurve_Q9NZJ7_2_MTCH1.pdf</t>
  </si>
  <si>
    <t>Melting_Curves/meltCurve_Q9NZJ9_NUDT4.pdf</t>
  </si>
  <si>
    <t>Melting_Curves/meltCurve_Q9NZL4_HSPBP1.pdf</t>
  </si>
  <si>
    <t>Melting_Curves/meltCurve_Q9NZL9_MAT2B.pdf</t>
  </si>
  <si>
    <t>Melting_Curves/meltCurve_Q9NZM1_6_MYOF.pdf</t>
  </si>
  <si>
    <t>Melting_Curves/meltCurve_Q9NZM3_2_ITSN2.pdf</t>
  </si>
  <si>
    <t>Melting_Curves/meltCurve_Q9NZN3_EHD3.pdf</t>
  </si>
  <si>
    <t>Melting_Curves/meltCurve_Q9NZN4_EHD2.pdf</t>
  </si>
  <si>
    <t>Melting_Curves/meltCurve_Q9NZN5_2_ARHGEF12.pdf</t>
  </si>
  <si>
    <t>Melting_Curves/meltCurve_Q9NZN9_3_AIPL1.pdf</t>
  </si>
  <si>
    <t>Melting_Curves/meltCurve_Q9NZQ3_3_NCKIPSD.pdf</t>
  </si>
  <si>
    <t>Melting_Curves/meltCurve_Q9NZT2_2_OGFR.pdf</t>
  </si>
  <si>
    <t>Melting_Curves/meltCurve_Q9NZU5_LMCD1.pdf</t>
  </si>
  <si>
    <t>Melting_Curves/meltCurve_Q9NZV1_CRIM1.pdf</t>
  </si>
  <si>
    <t>Melting_Curves/meltCurve_Q9NZW5_MPP6.pdf</t>
  </si>
  <si>
    <t>Melting_Curves/meltCurve_Q9NZZ3_CHMP5.pdf</t>
  </si>
  <si>
    <t>Melting_Curves/meltCurve_Q9P000_COMMD9.pdf</t>
  </si>
  <si>
    <t>Melting_Curves/meltCurve_Q9P013_CWC15.pdf</t>
  </si>
  <si>
    <t>Melting_Curves/meltCurve_Q9P016_THYN1.pdf</t>
  </si>
  <si>
    <t>Melting_Curves/meltCurve_Q9P032_NDUFAF4.pdf</t>
  </si>
  <si>
    <t>Melting_Curves/meltCurve_Q9P035_PTPLAD1.pdf</t>
  </si>
  <si>
    <t>Melting_Curves/meltCurve_Q9P0I2_EMC3.pdf</t>
  </si>
  <si>
    <t>Melting_Curves/meltCurve_Q9P0J1_PDP1.pdf</t>
  </si>
  <si>
    <t>Melting_Curves/meltCurve_Q9P0J7_KCMF1.pdf</t>
  </si>
  <si>
    <t>Melting_Curves/meltCurve_Q9P0K7_4_RAI14.pdf</t>
  </si>
  <si>
    <t>Melting_Curves/meltCurve_Q9P0L0_VAPA.pdf</t>
  </si>
  <si>
    <t>Melting_Curves/meltCurve_Q9P0P0_RNF181.pdf</t>
  </si>
  <si>
    <t>Melting_Curves/meltCurve_Q9P0R6_GSKIP.pdf</t>
  </si>
  <si>
    <t>Melting_Curves/meltCurve_Q9P0S2_COX16.pdf</t>
  </si>
  <si>
    <t>Melting_Curves/meltCurve_Q9P0V3_SH3BP4.pdf</t>
  </si>
  <si>
    <t>Melting_Curves/meltCurve_Q9P1F3_ABRACL.pdf</t>
  </si>
  <si>
    <t>Melting_Curves/meltCurve_Q9P1U0_ZNRD1.pdf</t>
  </si>
  <si>
    <t>Melting_Curves/meltCurve_Q9P1Z2_2_CALCOCO1.pdf</t>
  </si>
  <si>
    <t>Melting_Curves/meltCurve_Q9P253_VPS18.pdf</t>
  </si>
  <si>
    <t>Melting_Curves/meltCurve_Q9P258_RCC2.pdf</t>
  </si>
  <si>
    <t>Melting_Curves/meltCurve_Q9P260_2_KIAA1468.pdf</t>
  </si>
  <si>
    <t>Melting_Curves/meltCurve_Q9P265_DIP2B.pdf</t>
  </si>
  <si>
    <t>Melting_Curves/meltCurve_Q9P266_KIAA1462.pdf</t>
  </si>
  <si>
    <t>Melting_Curves/meltCurve_Q9P270_SLAIN2.pdf</t>
  </si>
  <si>
    <t>Melting_Curves/meltCurve_Q9P287_BCCIP.pdf</t>
  </si>
  <si>
    <t>Melting_Curves/meltCurve_Q9P287_2_BCCIP.pdf</t>
  </si>
  <si>
    <t>Melting_Curves/meltCurve_Q9P299_COPZ2.pdf</t>
  </si>
  <si>
    <t>Melting_Curves/meltCurve_Q9P2B4_CTTNBP2NL.pdf</t>
  </si>
  <si>
    <t>Melting_Curves/meltCurve_Q9P2C4_TMEM181.pdf</t>
  </si>
  <si>
    <t>Melting_Curves/meltCurve_Q9P2D3_3_HEATR5B.pdf</t>
  </si>
  <si>
    <t>Melting_Curves/meltCurve_Q9P2E7_PCDH10.pdf</t>
  </si>
  <si>
    <t>Melting_Curves/meltCurve_Q9P2E9_RRBP1.pdf</t>
  </si>
  <si>
    <t>Melting_Curves/meltCurve_Q9P2E9_2_RRBP1.pdf</t>
  </si>
  <si>
    <t>Melting_Curves/meltCurve_Q9P2I0_CPSF2.pdf</t>
  </si>
  <si>
    <t>Melting_Curves/meltCurve_Q9P2K8_2_EIF2AK4.pdf</t>
  </si>
  <si>
    <t>Melting_Curves/meltCurve_Q9P2N5_RBM27.pdf</t>
  </si>
  <si>
    <t>Melting_Curves/meltCurve_Q9P2R3_ANKFY1.pdf</t>
  </si>
  <si>
    <t>Melting_Curves/meltCurve_Q9P2X0_DPM3.pdf</t>
  </si>
  <si>
    <t>Melting_Curves/meltCurve_Q9P2X3_IMPACT.pdf</t>
  </si>
  <si>
    <t>Melting_Curves/meltCurve_Q9UBB4_ATXN10.pdf</t>
  </si>
  <si>
    <t>Melting_Curves/meltCurve_Q9UBB6_NCDN.pdf</t>
  </si>
  <si>
    <t>Melting_Curves/meltCurve_Q9UBC2_2_EPS15L1.pdf</t>
  </si>
  <si>
    <t>Melting_Curves/meltCurve_Q9UBE0_SAE1.pdf</t>
  </si>
  <si>
    <t>Melting_Curves/meltCurve_Q9UBF2_COPG2.pdf</t>
  </si>
  <si>
    <t>Melting_Curves/meltCurve_Q9UBF6_RNF7.pdf</t>
  </si>
  <si>
    <t>Melting_Curves/meltCurve_Q9UBF8_2_PI4KB.pdf</t>
  </si>
  <si>
    <t>Melting_Curves/meltCurve_Q9UBG0_MRC2.pdf</t>
  </si>
  <si>
    <t>Melting_Curves/meltCurve_Q9UBI6_GNG12.pdf</t>
  </si>
  <si>
    <t>Melting_Curves/meltCurve_Q9UBK8_2_MTRR.pdf</t>
  </si>
  <si>
    <t>Melting_Curves/meltCurve_Q9UBK9_UXT.pdf</t>
  </si>
  <si>
    <t>Melting_Curves/meltCurve_Q9UBL6_2_CPNE7.pdf</t>
  </si>
  <si>
    <t>Melting_Curves/meltCurve_Q9UBM7_DHCR7.pdf</t>
  </si>
  <si>
    <t>Melting_Curves/meltCurve_Q9UBN6_TNFRSF10D.pdf</t>
  </si>
  <si>
    <t>Melting_Curves/meltCurve_Q9UBP0_3_SPAST.pdf</t>
  </si>
  <si>
    <t>Melting_Curves/meltCurve_Q9UBP6_METTL1.pdf</t>
  </si>
  <si>
    <t>Melting_Curves/meltCurve_Q9UBP9_4_GULP1.pdf</t>
  </si>
  <si>
    <t>Melting_Curves/meltCurve_Q9UBQ0_VPS29.pdf</t>
  </si>
  <si>
    <t>Melting_Curves/meltCurve_Q9UBQ7_GRHPR.pdf</t>
  </si>
  <si>
    <t>Melting_Curves/meltCurve_Q9UBR2_CTSZ.pdf</t>
  </si>
  <si>
    <t>Melting_Curves/meltCurve_Q9UBS4_DNAJB11.pdf</t>
  </si>
  <si>
    <t>Melting_Curves/meltCurve_Q9UBS8_RNF14.pdf</t>
  </si>
  <si>
    <t>Melting_Curves/meltCurve_Q9UBS9_SUCO.pdf</t>
  </si>
  <si>
    <t>Melting_Curves/meltCurve_Q9UBT2_UBA2.pdf</t>
  </si>
  <si>
    <t>Melting_Curves/meltCurve_Q9UBT7_2_CTNNAL1.pdf</t>
  </si>
  <si>
    <t>Melting_Curves/meltCurve_Q9UBU6_FAM8A1.pdf</t>
  </si>
  <si>
    <t>Melting_Curves/meltCurve_Q9UBV2_SEL1L.pdf</t>
  </si>
  <si>
    <t>Melting_Curves/meltCurve_Q9UBV8_PEF1.pdf</t>
  </si>
  <si>
    <t>Melting_Curves/meltCurve_Q9UBW8_COPS7A.pdf</t>
  </si>
  <si>
    <t>Melting_Curves/meltCurve_Q9UBY9_HSPB7.pdf</t>
  </si>
  <si>
    <t>Melting_Curves/meltCurve_Q9UDR5_AASS.pdf</t>
  </si>
  <si>
    <t>Melting_Curves/meltCurve_Q9UDT6_2_CLIP2.pdf</t>
  </si>
  <si>
    <t>Melting_Curves/meltCurve_Q9UDY2_6_TJP2.pdf</t>
  </si>
  <si>
    <t>Melting_Curves/meltCurve_Q9UDY4_DNAJB4.pdf</t>
  </si>
  <si>
    <t>Melting_Curves/meltCurve_Q9UDY8_MALT1.pdf</t>
  </si>
  <si>
    <t>Melting_Curves/meltCurve_Q9UEE9_CFDP1.pdf</t>
  </si>
  <si>
    <t>Melting_Curves/meltCurve_Q9UEL6_MPZL1.pdf</t>
  </si>
  <si>
    <t>Melting_Curves/meltCurve_Q9UEU0_VTI1B.pdf</t>
  </si>
  <si>
    <t>Melting_Curves/meltCurve_Q9UEW8_STK39.pdf</t>
  </si>
  <si>
    <t>Melting_Curves/meltCurve_Q9UEY8_2_ADD3.pdf</t>
  </si>
  <si>
    <t>Melting_Curves/meltCurve_Q9UFN0_NIPSNAP3A.pdf</t>
  </si>
  <si>
    <t>Melting_Curves/meltCurve_Q9UFW8_CGGBP1.pdf</t>
  </si>
  <si>
    <t>Melting_Curves/meltCurve_Q9UG56_2_PISD.pdf</t>
  </si>
  <si>
    <t>Melting_Curves/meltCurve_Q9UG63_ABCF2.pdf</t>
  </si>
  <si>
    <t>Melting_Curves/meltCurve_Q9UGC6_RGS17.pdf</t>
  </si>
  <si>
    <t>Melting_Curves/meltCurve_Q9UGC7_4_MTRF1L.pdf</t>
  </si>
  <si>
    <t>Melting_Curves/meltCurve_Q9UGI8_TES.pdf</t>
  </si>
  <si>
    <t>Melting_Curves/meltCurve_Q9UGK8_SERGEF.pdf</t>
  </si>
  <si>
    <t>Melting_Curves/meltCurve_Q9UGP4_LIMD1.pdf</t>
  </si>
  <si>
    <t>Melting_Curves/meltCurve_Q9UGP8_SEC63.pdf</t>
  </si>
  <si>
    <t>Melting_Curves/meltCurve_Q9UGQ2_2_CACFD1.pdf</t>
  </si>
  <si>
    <t>Melting_Curves/meltCurve_Q9UGQ3_2_SLC2A6.pdf</t>
  </si>
  <si>
    <t>Melting_Curves/meltCurve_Q9UGT4_SUSD2.pdf</t>
  </si>
  <si>
    <t>Melting_Curves/meltCurve_Q9UGU0_2_TCF20.pdf</t>
  </si>
  <si>
    <t>Melting_Curves/meltCurve_Q9UGV2_NDRG3.pdf</t>
  </si>
  <si>
    <t>Melting_Curves/meltCurve_Q9UH62_ARMCX3.pdf</t>
  </si>
  <si>
    <t>Melting_Curves/meltCurve_Q9UH65_SWAP70.pdf</t>
  </si>
  <si>
    <t>Melting_Curves/meltCurve_Q9UH99_SUN2.pdf</t>
  </si>
  <si>
    <t>Melting_Curves/meltCurve_Q9UHA4_LAMTOR3.pdf</t>
  </si>
  <si>
    <t>Melting_Curves/meltCurve_Q9UHB6_LIMA1.pdf</t>
  </si>
  <si>
    <t>Melting_Curves/meltCurve_Q9UHB6_4_LIMA1.pdf</t>
  </si>
  <si>
    <t>Melting_Curves/meltCurve_Q9UHB7_2_AFF4.pdf</t>
  </si>
  <si>
    <t>Melting_Curves/meltCurve_Q9UHD1_CHORDC1.pdf</t>
  </si>
  <si>
    <t>Melting_Curves/meltCurve_Q9UHD2_TBK1.pdf</t>
  </si>
  <si>
    <t>Melting_Curves/meltCurve_Q9UHD8_5_SEPT9.pdf</t>
  </si>
  <si>
    <t>Melting_Curves/meltCurve_Q9UHD9_UBQLN2.pdf</t>
  </si>
  <si>
    <t>Melting_Curves/meltCurve_Q9UHE8_STEAP1.pdf</t>
  </si>
  <si>
    <t>Melting_Curves/meltCurve_Q9UHG3_PCYOX1.pdf</t>
  </si>
  <si>
    <t>Melting_Curves/meltCurve_Q9UHI8_ADAMTS1.pdf</t>
  </si>
  <si>
    <t>Melting_Curves/meltCurve_Q9UHJ6_SHPK.pdf</t>
  </si>
  <si>
    <t>Melting_Curves/meltCurve_Q9UHL4_DPP7.pdf</t>
  </si>
  <si>
    <t>Melting_Curves/meltCurve_Q9UHN6_TMEM2.pdf</t>
  </si>
  <si>
    <t>Melting_Curves/meltCurve_Q9UHP3_USP25.pdf</t>
  </si>
  <si>
    <t>Melting_Curves/meltCurve_Q9UHQ4_BCAP29.pdf</t>
  </si>
  <si>
    <t>Melting_Curves/meltCurve_Q9UHQ9_CYB5R1.pdf</t>
  </si>
  <si>
    <t>Melting_Curves/meltCurve_Q9UHR4_BAIAP2L1.pdf</t>
  </si>
  <si>
    <t>Melting_Curves/meltCurve_Q9UHV9_PFDN2.pdf</t>
  </si>
  <si>
    <t>Melting_Curves/meltCurve_Q9UHW5_GPN3.pdf</t>
  </si>
  <si>
    <t>Melting_Curves/meltCurve_Q9UHX1_4_PUF60.pdf</t>
  </si>
  <si>
    <t>Melting_Curves/meltCurve_Q9UHY1_NRBP1.pdf</t>
  </si>
  <si>
    <t>Melting_Curves/meltCurve_Q9UHY7_ENOPH1.pdf</t>
  </si>
  <si>
    <t>Melting_Curves/meltCurve_Q9UHY8_FEZ2.pdf</t>
  </si>
  <si>
    <t>Melting_Curves/meltCurve_Q9UI08_EVL.pdf</t>
  </si>
  <si>
    <t>Melting_Curves/meltCurve_Q9UI12_2_ATP6V1H.pdf</t>
  </si>
  <si>
    <t>Melting_Curves/meltCurve_Q9UI15_TAGLN3.pdf</t>
  </si>
  <si>
    <t>Melting_Curves/meltCurve_Q9UI26_IPO11.pdf</t>
  </si>
  <si>
    <t>Melting_Curves/meltCurve_Q9UI30_TRMT112.pdf</t>
  </si>
  <si>
    <t>Melting_Curves/meltCurve_Q9UI42_2_CPA4.pdf</t>
  </si>
  <si>
    <t>Melting_Curves/meltCurve_Q9UIC8_LCMT1.pdf</t>
  </si>
  <si>
    <t>Melting_Curves/meltCurve_Q9UII2_ATPIF1.pdf</t>
  </si>
  <si>
    <t>Melting_Curves/meltCurve_Q9UIJ7_AK3.pdf</t>
  </si>
  <si>
    <t>Melting_Curves/meltCurve_Q9UIL1_3_SCOC.pdf</t>
  </si>
  <si>
    <t>Melting_Curves/meltCurve_Q9UIM3_FKBPL.pdf</t>
  </si>
  <si>
    <t>Melting_Curves/meltCurve_Q9UIQ6_3_LNPEP.pdf</t>
  </si>
  <si>
    <t>Melting_Curves/meltCurve_Q9UJ14_GGT7.pdf</t>
  </si>
  <si>
    <t>Melting_Curves/meltCurve_Q9UJ68_5_MSRA.pdf</t>
  </si>
  <si>
    <t>Melting_Curves/meltCurve_Q9UJ70_NAGK.pdf</t>
  </si>
  <si>
    <t>Melting_Curves/meltCurve_Q9UJA5_TRMT6.pdf</t>
  </si>
  <si>
    <t>Melting_Curves/meltCurve_Q9UJC5_SH3BGRL2.pdf</t>
  </si>
  <si>
    <t>Melting_Curves/meltCurve_Q9UJG1_2_MOSPD1.pdf</t>
  </si>
  <si>
    <t>Melting_Curves/meltCurve_Q9UJJ9_GNPTG.pdf</t>
  </si>
  <si>
    <t>Melting_Curves/meltCurve_Q9UJM3_ERRFI1.pdf</t>
  </si>
  <si>
    <t>Melting_Curves/meltCurve_Q9UJP4_2_KLHL21.pdf</t>
  </si>
  <si>
    <t>Melting_Curves/meltCurve_Q9UJS0_SLC25A13.pdf</t>
  </si>
  <si>
    <t>Melting_Curves/meltCurve_Q9UJT0_TUBE1.pdf</t>
  </si>
  <si>
    <t>Melting_Curves/meltCurve_Q9UJU6_DBNL.pdf</t>
  </si>
  <si>
    <t>Melting_Curves/meltCurve_Q9UJU6_2_DBNL.pdf</t>
  </si>
  <si>
    <t>Melting_Curves/meltCurve_Q9UJW0_2_DCTN4.pdf</t>
  </si>
  <si>
    <t>Melting_Curves/meltCurve_Q9UJX2_CDC23.pdf</t>
  </si>
  <si>
    <t>Melting_Curves/meltCurve_Q9UJX6_2_ANAPC2.pdf</t>
  </si>
  <si>
    <t>Melting_Curves/meltCurve_Q9UJY1_HSPB8.pdf</t>
  </si>
  <si>
    <t>Melting_Curves/meltCurve_Q9UJY4_GGA2.pdf</t>
  </si>
  <si>
    <t>Melting_Curves/meltCurve_Q9UJY5_4_GGA1.pdf</t>
  </si>
  <si>
    <t>Melting_Curves/meltCurve_Q9UJZ1_STOML2.pdf</t>
  </si>
  <si>
    <t>Melting_Curves/meltCurve_Q9UK23_2_NAGPA.pdf</t>
  </si>
  <si>
    <t>Melting_Curves/meltCurve_Q9UK39_CCRN4L.pdf</t>
  </si>
  <si>
    <t>Melting_Curves/meltCurve_Q9UK41_VPS28.pdf</t>
  </si>
  <si>
    <t>Melting_Curves/meltCurve_Q9UK45_LSM7.pdf</t>
  </si>
  <si>
    <t>Melting_Curves/meltCurve_Q9UK59_DBR1.pdf</t>
  </si>
  <si>
    <t>Melting_Curves/meltCurve_Q9UK76_HN1.pdf</t>
  </si>
  <si>
    <t>Melting_Curves/meltCurve_Q9UK97_3_FBXO9.pdf</t>
  </si>
  <si>
    <t>Melting_Curves/meltCurve_Q9UK99_FBXO3.pdf</t>
  </si>
  <si>
    <t>Melting_Curves/meltCurve_Q9UKA4_AKAP11.pdf</t>
  </si>
  <si>
    <t>Melting_Curves/meltCurve_Q9UKB3_DNAJC12.pdf</t>
  </si>
  <si>
    <t>Melting_Curves/meltCurve_Q9UKC9_FBXL2.pdf</t>
  </si>
  <si>
    <t>Melting_Curves/meltCurve_Q9UKE5_5_TNIK.pdf</t>
  </si>
  <si>
    <t>Melting_Curves/meltCurve_Q9UKF6_CPSF3.pdf</t>
  </si>
  <si>
    <t>Melting_Curves/meltCurve_Q9UKG1_APPL1.pdf</t>
  </si>
  <si>
    <t>Melting_Curves/meltCurve_Q9UKG9_CROT.pdf</t>
  </si>
  <si>
    <t>Melting_Curves/meltCurve_Q9UKJ3_GPATCH8.pdf</t>
  </si>
  <si>
    <t>Melting_Curves/meltCurve_Q9UKK3_PARP4.pdf</t>
  </si>
  <si>
    <t>Melting_Curves/meltCurve_Q9UKK9_NUDT5.pdf</t>
  </si>
  <si>
    <t>Melting_Curves/meltCurve_Q9UKL6_PCTP.pdf</t>
  </si>
  <si>
    <t>Melting_Curves/meltCurve_Q9UKS6_PACSIN3.pdf</t>
  </si>
  <si>
    <t>Melting_Curves/meltCurve_Q9UKT4_2_FBXO5.pdf</t>
  </si>
  <si>
    <t>Melting_Curves/meltCurve_Q9UKT5_FBXO4.pdf</t>
  </si>
  <si>
    <t>Melting_Curves/meltCurve_Q9UKU6_TRHDE.pdf</t>
  </si>
  <si>
    <t>Melting_Curves/meltCurve_Q9UKU7_ACAD8.pdf</t>
  </si>
  <si>
    <t>Melting_Curves/meltCurve_Q9UKU9_ANGPTL2.pdf</t>
  </si>
  <si>
    <t>Melting_Curves/meltCurve_Q9UKV8_AGO2.pdf</t>
  </si>
  <si>
    <t>Melting_Curves/meltCurve_Q9UKX7_2_NUP50.pdf</t>
  </si>
  <si>
    <t>Melting_Curves/meltCurve_Q9UKY7_CDV3.pdf</t>
  </si>
  <si>
    <t>Melting_Curves/meltCurve_Q9UKZ1_CNOT11.pdf</t>
  </si>
  <si>
    <t>Melting_Curves/meltCurve_Q9UL15_BAG5.pdf</t>
  </si>
  <si>
    <t>Melting_Curves/meltCurve_Q9UL25_RAB21.pdf</t>
  </si>
  <si>
    <t>Melting_Curves/meltCurve_Q9UL26_RAB22A.pdf</t>
  </si>
  <si>
    <t>Melting_Curves/meltCurve_Q9UL46_PSME2.pdf</t>
  </si>
  <si>
    <t>Melting_Curves/meltCurve_Q9ULC3_RAB23.pdf</t>
  </si>
  <si>
    <t>Melting_Curves/meltCurve_Q9ULC4_MCTS1.pdf</t>
  </si>
  <si>
    <t>Melting_Curves/meltCurve_Q9ULC8_ZDHHC8.pdf</t>
  </si>
  <si>
    <t>Melting_Curves/meltCurve_Q9ULF5_SLC39A10.pdf</t>
  </si>
  <si>
    <t>Melting_Curves/meltCurve_Q9ULH0_5_KIDINS220.pdf</t>
  </si>
  <si>
    <t>Melting_Curves/meltCurve_Q9ULH1_ASAP1.pdf</t>
  </si>
  <si>
    <t>Melting_Curves/meltCurve_Q9ULH7_4_MKL2.pdf</t>
  </si>
  <si>
    <t>Melting_Curves/meltCurve_Q9ULI3_HEG1.pdf</t>
  </si>
  <si>
    <t>Melting_Curves/meltCurve_Q9ULJ6_ZMIZ1.pdf</t>
  </si>
  <si>
    <t>Melting_Curves/meltCurve_Q9ULP9_2_TBC1D24.pdf</t>
  </si>
  <si>
    <t>Melting_Curves/meltCurve_Q9ULR0_ISY1.pdf</t>
  </si>
  <si>
    <t>Melting_Curves/meltCurve_Q9ULT8_HECTD1.pdf</t>
  </si>
  <si>
    <t>Melting_Curves/meltCurve_Q9ULV4_CORO1C.pdf</t>
  </si>
  <si>
    <t>Melting_Curves/meltCurve_Q9ULZ3_2_PYCARD.pdf</t>
  </si>
  <si>
    <t>Melting_Curves/meltCurve_Q9UM13_ANAPC10.pdf</t>
  </si>
  <si>
    <t>Melting_Curves/meltCurve_Q9UM47_NOTCH3.pdf</t>
  </si>
  <si>
    <t>Melting_Curves/meltCurve_Q9UM54_5_MYO6.pdf</t>
  </si>
  <si>
    <t>Melting_Curves/meltCurve_Q9UMF0_ICAM5.pdf</t>
  </si>
  <si>
    <t>Melting_Curves/meltCurve_Q9UMS0_3_NFU1.pdf</t>
  </si>
  <si>
    <t>Melting_Curves/meltCurve_Q9UMS4_PRPF19.pdf</t>
  </si>
  <si>
    <t>Melting_Curves/meltCurve_Q9UMS6_SYNPO2.pdf</t>
  </si>
  <si>
    <t>Melting_Curves/meltCurve_Q9UMX0_UBQLN1.pdf</t>
  </si>
  <si>
    <t>Melting_Curves/meltCurve_Q9UMX1_SUFU.pdf</t>
  </si>
  <si>
    <t>Melting_Curves/meltCurve_Q9UMX5_NENF.pdf</t>
  </si>
  <si>
    <t>Melting_Curves/meltCurve_Q9UMY4_2_SNX12.pdf</t>
  </si>
  <si>
    <t>Melting_Curves/meltCurve_Q9UMZ2_6_SYNRG.pdf</t>
  </si>
  <si>
    <t>Melting_Curves/meltCurve_Q9UN37_VPS4A.pdf</t>
  </si>
  <si>
    <t>Melting_Curves/meltCurve_Q9UNE7_STUB1.pdf</t>
  </si>
  <si>
    <t>Melting_Curves/meltCurve_Q9UNE7_2_STUB1.pdf</t>
  </si>
  <si>
    <t>Melting_Curves/meltCurve_Q9UNF0_PACSIN2.pdf</t>
  </si>
  <si>
    <t>Melting_Curves/meltCurve_Q9UNF1_MAGED2.pdf</t>
  </si>
  <si>
    <t>Melting_Curves/meltCurve_Q9UNH6_SNX7.pdf</t>
  </si>
  <si>
    <t>Melting_Curves/meltCurve_Q9UNH7_SNX6.pdf</t>
  </si>
  <si>
    <t>Melting_Curves/meltCurve_Q9UNI6_DUSP12.pdf</t>
  </si>
  <si>
    <t>Melting_Curves/meltCurve_Q9UNK0_STX8.pdf</t>
  </si>
  <si>
    <t>Melting_Curves/meltCurve_Q9UNM6_PSMD13.pdf</t>
  </si>
  <si>
    <t>Melting_Curves/meltCurve_Q9UNN5_FAF1.pdf</t>
  </si>
  <si>
    <t>Melting_Curves/meltCurve_Q9UNN8_PROCR.pdf</t>
  </si>
  <si>
    <t>Melting_Curves/meltCurve_Q9UNP9_PPIE.pdf</t>
  </si>
  <si>
    <t>Melting_Curves/meltCurve_Q9UNS2_COPS3.pdf</t>
  </si>
  <si>
    <t>Melting_Curves/meltCurve_Q9UNW1_MINPP1.pdf</t>
  </si>
  <si>
    <t>Melting_Curves/meltCurve_Q9UNZ2_NSFL1C.pdf</t>
  </si>
  <si>
    <t>Melting_Curves/meltCurve_Q9UNZ2_5_NSFL1C.pdf</t>
  </si>
  <si>
    <t>Melting_Curves/meltCurve_Q9UP38_FZD1.pdf</t>
  </si>
  <si>
    <t>Melting_Curves/meltCurve_Q9UP79_ADAMTS8.pdf</t>
  </si>
  <si>
    <t>Melting_Curves/meltCurve_Q9UP83_COG5.pdf</t>
  </si>
  <si>
    <t>Melting_Curves/meltCurve_Q9UP95_5_SLC12A4.pdf</t>
  </si>
  <si>
    <t>Melting_Curves/meltCurve_Q9UPN6_SCAF8.pdf</t>
  </si>
  <si>
    <t>Melting_Curves/meltCurve_Q9UPN7_PPP6R1.pdf</t>
  </si>
  <si>
    <t>Melting_Curves/meltCurve_Q9UPN9_2_TRIM33.pdf</t>
  </si>
  <si>
    <t>Melting_Curves/meltCurve_Q9UPP5_2_KIAA1107.pdf</t>
  </si>
  <si>
    <t>Melting_Curves/meltCurve_Q9UPQ0_10_LIMCH1.pdf</t>
  </si>
  <si>
    <t>Melting_Curves/meltCurve_Q9UPQ0_6_LIMCH1.pdf</t>
  </si>
  <si>
    <t>Melting_Curves/meltCurve_Q9UPQ9_1_TNRC6B.pdf</t>
  </si>
  <si>
    <t>Melting_Curves/meltCurve_Q9UPT5_2_EXOC7.pdf</t>
  </si>
  <si>
    <t>Melting_Curves/meltCurve_Q9UPU5_USP24.pdf</t>
  </si>
  <si>
    <t>Melting_Curves/meltCurve_Q9UPU7_2_TBC1D2B.pdf</t>
  </si>
  <si>
    <t>Melting_Curves/meltCurve_Q9UPY8_MAPRE3.pdf</t>
  </si>
  <si>
    <t>Melting_Curves/meltCurve_Q9UPZ3_2_HPS5.pdf</t>
  </si>
  <si>
    <t>Melting_Curves/meltCurve_Q9UQ13_2_SHOC2.pdf</t>
  </si>
  <si>
    <t>Melting_Curves/meltCurve_Q9UQ35_SRRM2.pdf</t>
  </si>
  <si>
    <t>Melting_Curves/meltCurve_Q9UQ80_PA2G4.pdf</t>
  </si>
  <si>
    <t>Melting_Curves/meltCurve_Q9UQ90_SPG7.pdf</t>
  </si>
  <si>
    <t>Melting_Curves/meltCurve_Q9UQC2_2_GAB2.pdf</t>
  </si>
  <si>
    <t>Melting_Curves/meltCurve_Q9UQE7_SMC3.pdf</t>
  </si>
  <si>
    <t>Melting_Curves/meltCurve_Q9UQN3_CHMP2B.pdf</t>
  </si>
  <si>
    <t>Melting_Curves/meltCurve_Q9Y217_MTMR6.pdf</t>
  </si>
  <si>
    <t>Melting_Curves/meltCurve_Q9Y223_3_GNE.pdf</t>
  </si>
  <si>
    <t>Melting_Curves/meltCurve_Q9Y224_C14orf166.pdf</t>
  </si>
  <si>
    <t>Melting_Curves/meltCurve_Q9Y230_RUVBL2.pdf</t>
  </si>
  <si>
    <t>Melting_Curves/meltCurve_Q9Y237_PIN4.pdf</t>
  </si>
  <si>
    <t>Melting_Curves/meltCurve_Q9Y241_HIGD1A.pdf</t>
  </si>
  <si>
    <t>Melting_Curves/meltCurve_Q9Y243_2_AKT3.pdf</t>
  </si>
  <si>
    <t>Melting_Curves/meltCurve_Q9Y259_CHKB.pdf</t>
  </si>
  <si>
    <t>Melting_Curves/meltCurve_Q9Y263_PLAA.pdf</t>
  </si>
  <si>
    <t>Melting_Curves/meltCurve_Q9Y265_RUVBL1.pdf</t>
  </si>
  <si>
    <t>Melting_Curves/meltCurve_Q9Y266_NUDC.pdf</t>
  </si>
  <si>
    <t>Melting_Curves/meltCurve_Q9Y276_BCS1L.pdf</t>
  </si>
  <si>
    <t>Melting_Curves/meltCurve_Q9Y281_CFL2.pdf</t>
  </si>
  <si>
    <t>Melting_Curves/meltCurve_Q9Y294_ASF1A.pdf</t>
  </si>
  <si>
    <t>Melting_Curves/meltCurve_Q9Y295_DRG1.pdf</t>
  </si>
  <si>
    <t>Melting_Curves/meltCurve_Q9Y296_TRAPPC4.pdf</t>
  </si>
  <si>
    <t>Melting_Curves/meltCurve_Q9Y2A7_NCKAP1.pdf</t>
  </si>
  <si>
    <t>Melting_Curves/meltCurve_Q9Y2B0_CNPY2.pdf</t>
  </si>
  <si>
    <t>Melting_Curves/meltCurve_Q9Y2C2_UST.pdf</t>
  </si>
  <si>
    <t>Melting_Curves/meltCurve_Q9Y2C4_EXOG.pdf</t>
  </si>
  <si>
    <t>Melting_Curves/meltCurve_Q9Y2D0_CA5B.pdf</t>
  </si>
  <si>
    <t>Melting_Curves/meltCurve_Q9Y2D4_EXOC6B.pdf</t>
  </si>
  <si>
    <t>Melting_Curves/meltCurve_Q9Y2D5_6_AKAP2.pdf</t>
  </si>
  <si>
    <t>Melting_Curves/meltCurve_Q9Y2E4_DIP2C.pdf</t>
  </si>
  <si>
    <t>Melting_Curves/meltCurve_Q9Y2E5_MAN2B2.pdf</t>
  </si>
  <si>
    <t>Melting_Curves/meltCurve_Q9Y2G2_CARD8.pdf</t>
  </si>
  <si>
    <t>Melting_Curves/meltCurve_Q9Y2G3_ATP11B.pdf</t>
  </si>
  <si>
    <t>Melting_Curves/meltCurve_Q9Y2G5_POFUT2.pdf</t>
  </si>
  <si>
    <t>Melting_Curves/meltCurve_Q9Y2H1_STK38L.pdf</t>
  </si>
  <si>
    <t>Melting_Curves/meltCurve_Q9Y2H2_INPP5F.pdf</t>
  </si>
  <si>
    <t>Melting_Curves/meltCurve_Q9Y2H6_2_FNDC3A.pdf</t>
  </si>
  <si>
    <t>Melting_Curves/meltCurve_Q9Y2I1_NISCH.pdf</t>
  </si>
  <si>
    <t>Melting_Curves/meltCurve_Q9Y2J2_2_EPB41L3.pdf</t>
  </si>
  <si>
    <t>Melting_Curves/meltCurve_Q9Y2J4_AMOTL2.pdf</t>
  </si>
  <si>
    <t>Melting_Curves/meltCurve_Q9Y2K6_USP20.pdf</t>
  </si>
  <si>
    <t>Melting_Curves/meltCurve_Q9Y2L1_DIS3.pdf</t>
  </si>
  <si>
    <t>Melting_Curves/meltCurve_Q9Y2Q3_GSTK1.pdf</t>
  </si>
  <si>
    <t>Melting_Curves/meltCurve_Q9Y2Q5_LAMTOR2.pdf</t>
  </si>
  <si>
    <t>Melting_Curves/meltCurve_Q9Y2Q9_MRPS28.pdf</t>
  </si>
  <si>
    <t>Melting_Curves/meltCurve_Q9Y2R0_COA3.pdf</t>
  </si>
  <si>
    <t>Melting_Curves/meltCurve_Q9Y2S2_2_CRYL1.pdf</t>
  </si>
  <si>
    <t>Melting_Curves/meltCurve_Q9Y2S6_TMA7.pdf</t>
  </si>
  <si>
    <t>Melting_Curves/meltCurve_Q9Y2S7_POLDIP2.pdf</t>
  </si>
  <si>
    <t>Melting_Curves/meltCurve_Q9Y2T2_AP3M1.pdf</t>
  </si>
  <si>
    <t>Melting_Curves/meltCurve_Q9Y2U5_MAP3K2.pdf</t>
  </si>
  <si>
    <t>Melting_Curves/meltCurve_Q9Y2U8_LEMD3.pdf</t>
  </si>
  <si>
    <t>Melting_Curves/meltCurve_Q9Y2V7_COG6.pdf</t>
  </si>
  <si>
    <t>Melting_Curves/meltCurve_Q9Y2W1_THRAP3.pdf</t>
  </si>
  <si>
    <t>Melting_Curves/meltCurve_Q9Y2Z0_SUGT1.pdf</t>
  </si>
  <si>
    <t>Melting_Curves/meltCurve_Q9Y2Z0_2_SUGT1.pdf</t>
  </si>
  <si>
    <t>Melting_Curves/meltCurve_Q9Y2Z4_YARS2.pdf</t>
  </si>
  <si>
    <t>Melting_Curves/meltCurve_Q9Y2Z9_3_COQ6.pdf</t>
  </si>
  <si>
    <t>Melting_Curves/meltCurve_Q9Y303_AMDHD2.pdf</t>
  </si>
  <si>
    <t>Melting_Curves/meltCurve_Q9Y305_ACOT9.pdf</t>
  </si>
  <si>
    <t>Melting_Curves/meltCurve_Q9Y314_NOSIP.pdf</t>
  </si>
  <si>
    <t>Melting_Curves/meltCurve_Q9Y316_MEMO1.pdf</t>
  </si>
  <si>
    <t>Melting_Curves/meltCurve_Q9Y320_2_TMX2.pdf</t>
  </si>
  <si>
    <t>Melting_Curves/meltCurve_Q9Y333_LSM2.pdf</t>
  </si>
  <si>
    <t>Melting_Curves/meltCurve_Q9Y371_SH3GLB1.pdf</t>
  </si>
  <si>
    <t>Melting_Curves/meltCurve_Q9Y375_NDUFAF1.pdf</t>
  </si>
  <si>
    <t>Melting_Curves/meltCurve_Q9Y376_CAB39.pdf</t>
  </si>
  <si>
    <t>Melting_Curves/meltCurve_Q9Y383_LUC7L2.pdf</t>
  </si>
  <si>
    <t>Melting_Curves/meltCurve_Q9Y385_UBE2J1.pdf</t>
  </si>
  <si>
    <t>Melting_Curves/meltCurve_Q9Y394_2_DHRS7.pdf</t>
  </si>
  <si>
    <t>Melting_Curves/meltCurve_Q9Y3A3_3_MOB4.pdf</t>
  </si>
  <si>
    <t>Melting_Curves/meltCurve_Q9Y3A5_SBDS.pdf</t>
  </si>
  <si>
    <t>Melting_Curves/meltCurve_Q9Y3B3_TMED7.pdf</t>
  </si>
  <si>
    <t>Melting_Curves/meltCurve_Q9Y3B9_RRP15.pdf</t>
  </si>
  <si>
    <t>Melting_Curves/meltCurve_Q9Y3C1_NOP16.pdf</t>
  </si>
  <si>
    <t>Melting_Curves/meltCurve_Q9Y3C4_2_TPRKB.pdf</t>
  </si>
  <si>
    <t>Melting_Curves/meltCurve_Q9Y3C5_RNF11.pdf</t>
  </si>
  <si>
    <t>Melting_Curves/meltCurve_Q9Y3C6_PPIL1.pdf</t>
  </si>
  <si>
    <t>Melting_Curves/meltCurve_Q9Y3C8_UFC1.pdf</t>
  </si>
  <si>
    <t>Melting_Curves/meltCurve_Q9Y3D0_FAM96B.pdf</t>
  </si>
  <si>
    <t>Melting_Curves/meltCurve_Q9Y3D2_MSRB2.pdf</t>
  </si>
  <si>
    <t>Melting_Curves/meltCurve_Q9Y3D6_FIS1.pdf</t>
  </si>
  <si>
    <t>Melting_Curves/meltCurve_Q9Y3D8_TAF9.pdf</t>
  </si>
  <si>
    <t>Melting_Curves/meltCurve_Q9Y3E0_GOLT1B.pdf</t>
  </si>
  <si>
    <t>Melting_Curves/meltCurve_Q9Y3E1_HDGFRP3.pdf</t>
  </si>
  <si>
    <t>Melting_Curves/meltCurve_Q9Y3E2_BOLA1.pdf</t>
  </si>
  <si>
    <t>Melting_Curves/meltCurve_Q9Y3E7_CHMP3.pdf</t>
  </si>
  <si>
    <t>Melting_Curves/meltCurve_Q9Y3F4_STRAP.pdf</t>
  </si>
  <si>
    <t>Melting_Curves/meltCurve_Q9Y3I0_C22orf28.pdf</t>
  </si>
  <si>
    <t>Melting_Curves/meltCurve_Q9Y3I1_FBXO7.pdf</t>
  </si>
  <si>
    <t>Melting_Curves/meltCurve_Q9Y3L3_SH3BP1.pdf</t>
  </si>
  <si>
    <t>Melting_Curves/meltCurve_Q9Y3L5_RAP2C.pdf</t>
  </si>
  <si>
    <t>Melting_Curves/meltCurve_Q9Y3M8_3_STARD13.pdf</t>
  </si>
  <si>
    <t>Melting_Curves/meltCurve_Q9Y3P4_RHBDD3.pdf</t>
  </si>
  <si>
    <t>Melting_Curves/meltCurve_Q9Y3P9_RABGAP1.pdf</t>
  </si>
  <si>
    <t>Melting_Curves/meltCurve_Q9Y3Q3_TMED3.pdf</t>
  </si>
  <si>
    <t>Melting_Curves/meltCurve_Q9Y3Q8_TSC22D4.pdf</t>
  </si>
  <si>
    <t>Melting_Curves/meltCurve_Q9Y3S2_ZNF330.pdf</t>
  </si>
  <si>
    <t>Melting_Curves/meltCurve_Q9Y3T6_R3HCC1.pdf</t>
  </si>
  <si>
    <t>Melting_Curves/meltCurve_Q9Y3T9_NOC2L.pdf</t>
  </si>
  <si>
    <t>Melting_Curves/meltCurve_Q9Y3U8_RPL36.pdf</t>
  </si>
  <si>
    <t>Melting_Curves/meltCurve_Q9Y3X0_CCDC9.pdf</t>
  </si>
  <si>
    <t>Melting_Curves/meltCurve_Q9Y3Y4_PYGO1.pdf</t>
  </si>
  <si>
    <t>Melting_Curves/meltCurve_Q9Y3Z3_4_SAMHD1.pdf</t>
  </si>
  <si>
    <t>Melting_Curves/meltCurve_Q9Y450_4_HBS1L.pdf</t>
  </si>
  <si>
    <t>Melting_Curves/meltCurve_Q9Y478_PRKAB1.pdf</t>
  </si>
  <si>
    <t>Melting_Curves/meltCurve_Q9Y490_TLN1.pdf</t>
  </si>
  <si>
    <t>Melting_Curves/meltCurve_Q9Y4B5_SOGA2.pdf</t>
  </si>
  <si>
    <t>Melting_Curves/meltCurve_Q9Y4C2_2_FAM115A.pdf</t>
  </si>
  <si>
    <t>Melting_Curves/meltCurve_Q9Y4E1_2_FAM21C.pdf</t>
  </si>
  <si>
    <t>Melting_Curves/meltCurve_Q9Y4E8_USP15.pdf</t>
  </si>
  <si>
    <t>Melting_Curves/meltCurve_Q9Y4F1_FARP1.pdf</t>
  </si>
  <si>
    <t>Melting_Curves/meltCurve_Q9Y4G6_TLN2.pdf</t>
  </si>
  <si>
    <t>Melting_Curves/meltCurve_Q9Y4G8_RAPGEF2.pdf</t>
  </si>
  <si>
    <t>Melting_Curves/meltCurve_Q9Y4H2_IRS2.pdf</t>
  </si>
  <si>
    <t>Melting_Curves/meltCurve_Q9Y4K0_LOXL2.pdf</t>
  </si>
  <si>
    <t>Melting_Curves/meltCurve_Q9Y4K1_AIM1.pdf</t>
  </si>
  <si>
    <t>Melting_Curves/meltCurve_Q9Y4K4_MAP4K5.pdf</t>
  </si>
  <si>
    <t>Melting_Curves/meltCurve_Q9Y4P1_6_ATG4B.pdf</t>
  </si>
  <si>
    <t>Melting_Curves/meltCurve_Q9Y4P8_4_WIPI2.pdf</t>
  </si>
  <si>
    <t>Melting_Curves/meltCurve_Q9Y4U1_MMACHC.pdf</t>
  </si>
  <si>
    <t>Melting_Curves/meltCurve_Q9Y4W6_AFG3L2.pdf</t>
  </si>
  <si>
    <t>Melting_Curves/meltCurve_Q9Y4X5_ARIH1.pdf</t>
  </si>
  <si>
    <t>Melting_Curves/meltCurve_Q9Y4Z0_LSM4.pdf</t>
  </si>
  <si>
    <t>Melting_Curves/meltCurve_Q9Y508_RNF114.pdf</t>
  </si>
  <si>
    <t>Melting_Curves/meltCurve_Q9Y534_CSDC2.pdf</t>
  </si>
  <si>
    <t>Melting_Curves/meltCurve_Q9Y570_PPME1.pdf</t>
  </si>
  <si>
    <t>Melting_Curves/meltCurve_Q9Y584_TIMM22.pdf</t>
  </si>
  <si>
    <t>Melting_Curves/meltCurve_Q9Y597_3_KCTD3.pdf</t>
  </si>
  <si>
    <t>Melting_Curves/meltCurve_Q9Y5A9_2_YTHDF2.pdf</t>
  </si>
  <si>
    <t>Melting_Curves/meltCurve_Q9Y5B0_CTDP1.pdf</t>
  </si>
  <si>
    <t>Melting_Curves/meltCurve_Q9Y5B8_2_NME7.pdf</t>
  </si>
  <si>
    <t>Melting_Curves/meltCurve_Q9Y5J5_PHLDA3.pdf</t>
  </si>
  <si>
    <t>Melting_Curves/meltCurve_Q9Y5J6_TIMM10B.pdf</t>
  </si>
  <si>
    <t>Melting_Curves/meltCurve_Q9Y5J7_TIMM9.pdf</t>
  </si>
  <si>
    <t>Melting_Curves/meltCurve_Q9Y5K5_2_UCHL5.pdf</t>
  </si>
  <si>
    <t>Melting_Curves/meltCurve_Q9Y5K6_CD2AP.pdf</t>
  </si>
  <si>
    <t>Melting_Curves/meltCurve_Q9Y5K8_ATP6V1D.pdf</t>
  </si>
  <si>
    <t>Melting_Curves/meltCurve_Q9Y5L0_TNPO3.pdf</t>
  </si>
  <si>
    <t>Melting_Curves/meltCurve_Q9Y5L4_TIMM13.pdf</t>
  </si>
  <si>
    <t>Melting_Curves/meltCurve_Q9Y5M8_SRPRB.pdf</t>
  </si>
  <si>
    <t>Melting_Curves/meltCurve_Q9Y5N5_N6AMT1.pdf</t>
  </si>
  <si>
    <t>Melting_Curves/meltCurve_Q9Y5P4_2_COL4A3BP.pdf</t>
  </si>
  <si>
    <t>Melting_Curves/meltCurve_Q9Y5P6_GMPPB.pdf</t>
  </si>
  <si>
    <t>Melting_Curves/meltCurve_Q9Y5R8_TRAPPC1.pdf</t>
  </si>
  <si>
    <t>Melting_Curves/meltCurve_Q9Y5S1_TRPV2.pdf</t>
  </si>
  <si>
    <t>Melting_Curves/meltCurve_Q9Y5S2_CDC42BPB.pdf</t>
  </si>
  <si>
    <t>Melting_Curves/meltCurve_Q9Y5S9_RBM8A.pdf</t>
  </si>
  <si>
    <t>Melting_Curves/meltCurve_Q9Y5U2_2_TSSC4.pdf</t>
  </si>
  <si>
    <t>Melting_Curves/meltCurve_Q9Y5U9_IER3IP1.pdf</t>
  </si>
  <si>
    <t>Melting_Curves/meltCurve_Q9Y5V3_MAGED1.pdf</t>
  </si>
  <si>
    <t>Melting_Curves/meltCurve_Q9Y5X1_SNX9.pdf</t>
  </si>
  <si>
    <t>Melting_Curves/meltCurve_Q9Y5X2_SNX8.pdf</t>
  </si>
  <si>
    <t>Melting_Curves/meltCurve_Q9Y5X3_SNX5.pdf</t>
  </si>
  <si>
    <t>Melting_Curves/meltCurve_Q9Y5Y2_NUBP2.pdf</t>
  </si>
  <si>
    <t>Melting_Curves/meltCurve_Q9Y5Z4_HEBP2.pdf</t>
  </si>
  <si>
    <t>Melting_Curves/meltCurve_Q9Y605_MRFAP1.pdf</t>
  </si>
  <si>
    <t>Melting_Curves/meltCurve_Q9Y608_4_LRRFIP2.pdf</t>
  </si>
  <si>
    <t>Melting_Curves/meltCurve_Q9Y613_FHOD1.pdf</t>
  </si>
  <si>
    <t>Melting_Curves/meltCurve_Q9Y617_PSAT1.pdf</t>
  </si>
  <si>
    <t>Melting_Curves/meltCurve_Q9Y619_SLC25A15.pdf</t>
  </si>
  <si>
    <t>Melting_Curves/meltCurve_Q9Y625_GPC6.pdf</t>
  </si>
  <si>
    <t>Melting_Curves/meltCurve_Q9Y639_1_NPTN.pdf</t>
  </si>
  <si>
    <t>Melting_Curves/meltCurve_Q9Y646_CPQ.pdf</t>
  </si>
  <si>
    <t>Melting_Curves/meltCurve_Q9Y673_ALG5.pdf</t>
  </si>
  <si>
    <t>Melting_Curves/meltCurve_Q9Y678_COPG1.pdf</t>
  </si>
  <si>
    <t>Melting_Curves/meltCurve_Q9Y679_AUP1.pdf</t>
  </si>
  <si>
    <t>Melting_Curves/meltCurve_Q9Y680_2_FKBP7.pdf</t>
  </si>
  <si>
    <t>Melting_Curves/meltCurve_Q9Y693_LHFP.pdf</t>
  </si>
  <si>
    <t>Melting_Curves/meltCurve_Q9Y696_CLIC4.pdf</t>
  </si>
  <si>
    <t>Melting_Curves/meltCurve_Q9Y697_2_NFS1.pdf</t>
  </si>
  <si>
    <t>Melting_Curves/meltCurve_Q9Y6A4_C16orf80.pdf</t>
  </si>
  <si>
    <t>Melting_Curves/meltCurve_Q9Y6C2_EMILIN1.pdf</t>
  </si>
  <si>
    <t>Melting_Curves/meltCurve_Q9Y6C9_MTCH2.pdf</t>
  </si>
  <si>
    <t>Melting_Curves/meltCurve_Q9Y6D5_ARFGEF2.pdf</t>
  </si>
  <si>
    <t>Melting_Curves/meltCurve_Q9Y6D6_ARFGEF1.pdf</t>
  </si>
  <si>
    <t>Melting_Curves/meltCurve_Q9Y6D9_MAD1L1.pdf</t>
  </si>
  <si>
    <t>Melting_Curves/meltCurve_Q9Y6E0_2_STK24.pdf</t>
  </si>
  <si>
    <t>Melting_Curves/meltCurve_Q9Y6G5_COMMD10.pdf</t>
  </si>
  <si>
    <t>Melting_Curves/meltCurve_Q9Y6G9_DYNC1LI1.pdf</t>
  </si>
  <si>
    <t>Melting_Curves/meltCurve_Q9Y6H1_CHCHD2.pdf</t>
  </si>
  <si>
    <t>Melting_Curves/meltCurve_Q9Y6I3_EPN1.pdf</t>
  </si>
  <si>
    <t>Melting_Curves/meltCurve_Q9Y6I9_TEX264.pdf</t>
  </si>
  <si>
    <t>Melting_Curves/meltCurve_Q9Y6K8_3_AK5.pdf</t>
  </si>
  <si>
    <t>Melting_Curves/meltCurve_Q9Y6M5_SLC30A1.pdf</t>
  </si>
  <si>
    <t>Melting_Curves/meltCurve_Q9Y6N1_COX11.pdf</t>
  </si>
  <si>
    <t>Melting_Curves/meltCurve_Q9Y6N5_SQRDL.pdf</t>
  </si>
  <si>
    <t>Melting_Curves/meltCurve_Q9Y6N7_5_ROBO1.pdf</t>
  </si>
  <si>
    <t>Melting_Curves/meltCurve_Q9Y6P5_2_SESN1.pdf</t>
  </si>
  <si>
    <t>Melting_Curves/meltCurve_Q9Y6Q9_5_NCOA3.pdf</t>
  </si>
  <si>
    <t>Melting_Curves/meltCurve_Q9Y6R0_NUMBL.pdf</t>
  </si>
  <si>
    <t>Melting_Curves/meltCurve_Q9Y6V0_2_PCLO.pdf</t>
  </si>
  <si>
    <t>Melting_Curves/meltCurve_Q9Y6W3_CAPN7.pdf</t>
  </si>
  <si>
    <t>Melting_Curves/meltCurve_Q9Y6W5_WASF2.pdf</t>
  </si>
  <si>
    <t>Melting_Curves/meltCurve_Q9Y6X5_ENPP4.pdf</t>
  </si>
  <si>
    <t>Melting_Curves/meltCurve_R4GMN1_MOSPD2.pdf</t>
  </si>
  <si>
    <t>Melting_Curves/meltCurve_R4GMR5_PSMD8.pdf</t>
  </si>
  <si>
    <t>Melting_Curves/meltCurve_R4GMU1_H6PD.pdf</t>
  </si>
  <si>
    <t>Melting_Curves/meltCurve_R4GMX3_BMI1.pdf</t>
  </si>
  <si>
    <t>Melting_Curves/meltCurve_R4GMX8_RANBP10.pdf</t>
  </si>
  <si>
    <t>Melting_Curves/meltCurve_R4GMY4_NBL1.pdf</t>
  </si>
  <si>
    <t>Melting_Curves/meltCurve_R4GN02_NOTCH2.pdf</t>
  </si>
  <si>
    <t>Melting_Curves/meltCurve_R4GN55_YTHDF3.pdf</t>
  </si>
  <si>
    <t>Melting_Curves/meltCurve_R4GN98_S100A6.pdf</t>
  </si>
  <si>
    <t>Melting_Curves/meltCurve_R4GNB2_DENND4C.pdf</t>
  </si>
  <si>
    <t>Melting_Curves/meltCurve_R4GNH2_FBXO2.pdf</t>
  </si>
  <si>
    <t>Melting_Curves/meltCurve_R4GNH3_PSMC3.pdf</t>
  </si>
  <si>
    <t>Yes</t>
  </si>
  <si>
    <t>No</t>
  </si>
  <si>
    <t>Transmembrane protein 129</t>
  </si>
  <si>
    <t>Ubiquitin-like modifier-activating enzyme 6</t>
  </si>
  <si>
    <t>UHRF1-binding protein 1-like</t>
  </si>
  <si>
    <t>Rho GTPase-activating protein 10</t>
  </si>
  <si>
    <t>MARVEL domain-containing protein 2</t>
  </si>
  <si>
    <t>Acetolactate synthase-like protein</t>
  </si>
  <si>
    <t>Uncharacterized protein C17orf89</t>
  </si>
  <si>
    <t>SH3 and PX domain-containing protein 2B</t>
  </si>
  <si>
    <t>Aconitate hydratase, mitochondrial</t>
  </si>
  <si>
    <t>Protein AAR2 homolog</t>
  </si>
  <si>
    <t>Major prion protein (Fragment)</t>
  </si>
  <si>
    <t>HLA class II histocompatibility antigen, DQ beta 1 chain</t>
  </si>
  <si>
    <t>Neuroblastoma-amplified sequence</t>
  </si>
  <si>
    <t>Uncharacterized protein C12orf69</t>
  </si>
  <si>
    <t>Uncharacterized protein KIAA1467</t>
  </si>
  <si>
    <t>Fucose mutarotase</t>
  </si>
  <si>
    <t>Isoform 3 of Protein strawberry notch homolog 1</t>
  </si>
  <si>
    <t>Isoprenoid synthase domain-containing protein</t>
  </si>
  <si>
    <t>Ependymin related protein 1 (Zebrafish), isoform CRA_b</t>
  </si>
  <si>
    <t>Metallo-beta-lactamase domain-containing protein 1</t>
  </si>
  <si>
    <t>Isoform 2 of Xin actin-binding repeat-containing protein 2</t>
  </si>
  <si>
    <t>Isoform 2 of CCR4-NOT transcription complex subunit 1</t>
  </si>
  <si>
    <t>RAB3GAP1 protein</t>
  </si>
  <si>
    <t>Phosphoglycolate phosphatase</t>
  </si>
  <si>
    <t>UPF0600 protein C5orf51</t>
  </si>
  <si>
    <t>RCC1 domain-containing protein 1</t>
  </si>
  <si>
    <t>HCF N-terminal chain 5</t>
  </si>
  <si>
    <t>Tetraspanin-14 (Fragment)</t>
  </si>
  <si>
    <t>Isoform 2 of Protein FAM115C</t>
  </si>
  <si>
    <t>Charged multivesicular body protein 1a</t>
  </si>
  <si>
    <t>Proline-rich protein PRCC</t>
  </si>
  <si>
    <t>Dynein light chain Tctex-type 3</t>
  </si>
  <si>
    <t>Hematological and neurological-expressed 1-like protein</t>
  </si>
  <si>
    <t>Protein YIF1A</t>
  </si>
  <si>
    <t>Isoform 2 of Tubulin alpha chain-like 3</t>
  </si>
  <si>
    <t>GATS-like protein 2</t>
  </si>
  <si>
    <t>Protein unc-119 homolog B</t>
  </si>
  <si>
    <t>Phosphorylase b kinase regulatory subunit alpha, skeletal muscle isoform</t>
  </si>
  <si>
    <t>Nuclear distribution protein nudE-like 1</t>
  </si>
  <si>
    <t>Putative Golgi pH regulator C</t>
  </si>
  <si>
    <t>Zinc finger MYM-type protein 3</t>
  </si>
  <si>
    <t>Biglycan</t>
  </si>
  <si>
    <t>Protein cornichon homolog 4</t>
  </si>
  <si>
    <t>Septin-8</t>
  </si>
  <si>
    <t>Diaphanous homolog 2 (Drosophila), isoform CRA_c</t>
  </si>
  <si>
    <t>Annexin</t>
  </si>
  <si>
    <t>CD9 antigen</t>
  </si>
  <si>
    <t>Phosphatidylinositol 4-phosphate 5-kinase type-1 alpha</t>
  </si>
  <si>
    <t>Cyclic GMP-AMP synthase</t>
  </si>
  <si>
    <t>Deoxyribonuclease-1-like 1 (Fragment)</t>
  </si>
  <si>
    <t>Protein FAM127A</t>
  </si>
  <si>
    <t>Protein archease</t>
  </si>
  <si>
    <t>Selenoprotein K</t>
  </si>
  <si>
    <t>Heat shock cognate 71 kDa protein</t>
  </si>
  <si>
    <t>Afadin</t>
  </si>
  <si>
    <t>Protein RTF2 homolog</t>
  </si>
  <si>
    <t>LYR motif-containing protein 9</t>
  </si>
  <si>
    <t>Small nuclear ribonucleoprotein-associated proteins B and B</t>
  </si>
  <si>
    <t>Armadillo repeat-containing protein 8</t>
  </si>
  <si>
    <t>HCG1988162</t>
  </si>
  <si>
    <t>Down syndrome critical region protein 3</t>
  </si>
  <si>
    <t>Transmembrane protein 147</t>
  </si>
  <si>
    <t>SMT3 suppressor of mif two 3 homolog 3 (Yeast), isoform CRA_d</t>
  </si>
  <si>
    <t>Tubulin alpha-4A chain</t>
  </si>
  <si>
    <t>Protein TSSC1</t>
  </si>
  <si>
    <t>Protein FAM171A2</t>
  </si>
  <si>
    <t>Metallothionein</t>
  </si>
  <si>
    <t>Cadherin-2</t>
  </si>
  <si>
    <t>Nucleoside diphosphate-linked moiety X motif 19, mitochondrial</t>
  </si>
  <si>
    <t>Ras-related protein Rab-34, isoform NARR</t>
  </si>
  <si>
    <t>Phosphatidylinositol 3-kinase catalytic subunit type 3</t>
  </si>
  <si>
    <t>Syntaxin-1A</t>
  </si>
  <si>
    <t>Serine/arginine repetitive matrix protein 1</t>
  </si>
  <si>
    <t>6-phosphofructo-2-kinase/fructose-2, 6-bisphosphatase 2 transcript variant 3</t>
  </si>
  <si>
    <t>Dynein light chain 4, axonemal</t>
  </si>
  <si>
    <t>Eukaryotic translation initiation factor 3 subunit L</t>
  </si>
  <si>
    <t>Mitochondrial dynamic protein MID51</t>
  </si>
  <si>
    <t>TBC1 domain family member 22A</t>
  </si>
  <si>
    <t>RNA-binding protein EWS</t>
  </si>
  <si>
    <t>Copine-1</t>
  </si>
  <si>
    <t>Heterochromatin protein 1-binding protein 3 (Fragment)</t>
  </si>
  <si>
    <t>HLA-B associated transcript 3, isoform CRA_a</t>
  </si>
  <si>
    <t>Abhydrolase domain-containing protein 16A</t>
  </si>
  <si>
    <t>Valine--tRNA ligase</t>
  </si>
  <si>
    <t>MHC class I polypeptide-related sequence A</t>
  </si>
  <si>
    <t>Apolipoprotein C-III</t>
  </si>
  <si>
    <t>Putative peripheral benzodiazepine receptor-related protein (Fragment)</t>
  </si>
  <si>
    <t>NHP2-like protein 1</t>
  </si>
  <si>
    <t>Protein FAM76A (Fragment)</t>
  </si>
  <si>
    <t>3-hydroxymethyl-3-methylglutaryl-Coenzyme A lyase (Hydroxymethylglutaricaciduria), isoform CRA_b</t>
  </si>
  <si>
    <t>Nardilysin</t>
  </si>
  <si>
    <t>Oxysterol-binding protein</t>
  </si>
  <si>
    <t>Eukaryotic translation initiation factor 4E transporter</t>
  </si>
  <si>
    <t>Arginine-glutamic acid dipeptide (RE) repeats, isoform CRA_b</t>
  </si>
  <si>
    <t>Tetraspanin-2 (Fragment)</t>
  </si>
  <si>
    <t>Dynein light chain roadblock-type 1</t>
  </si>
  <si>
    <t>Transmembrane emp24 domain-containing protein 5</t>
  </si>
  <si>
    <t>Hsp90 co-chaperone Cdc37-like 1</t>
  </si>
  <si>
    <t>Transmembrane protein FAM155A</t>
  </si>
  <si>
    <t>Phytanoyl-CoA dioxygenase, peroxisomal</t>
  </si>
  <si>
    <t>Rho guanine nucleotide exchange factor 7</t>
  </si>
  <si>
    <t>Transmembrane protein 9</t>
  </si>
  <si>
    <t>Protein PALM2-AKAP2 (Fragment)</t>
  </si>
  <si>
    <t>CD58 antigen, (Lymphocyte function-associated antigen 3), isoform CRA_c</t>
  </si>
  <si>
    <t>Eukaryotic translation initiation factor 4 gamma 3</t>
  </si>
  <si>
    <t>Trypsin-3 (Fragment)</t>
  </si>
  <si>
    <t>Guanylate kinase (Fragment)</t>
  </si>
  <si>
    <t>Sterol O-acyltransferase 1 (Fragment)</t>
  </si>
  <si>
    <t>Saposin-D</t>
  </si>
  <si>
    <t>Antigen peptide transporter 1</t>
  </si>
  <si>
    <t>Bifunctional arginine demethylase and lysyl-hydroxylase JMJD6</t>
  </si>
  <si>
    <t>DOCK10.2</t>
  </si>
  <si>
    <t>Eukaryotic translation initiation factor 3 subunit H</t>
  </si>
  <si>
    <t>Eukaryotic translation initiation factor 3 subunit F</t>
  </si>
  <si>
    <t>Leucine zipper transcription factor-like 1, isoform CRA_b</t>
  </si>
  <si>
    <t>Negative elongation factor A</t>
  </si>
  <si>
    <t>Regulator of G-protein-signaling 20</t>
  </si>
  <si>
    <t>Matrix-remodeling-associated protein 8</t>
  </si>
  <si>
    <t>Phospholipid transfer protein</t>
  </si>
  <si>
    <t>Superoxide dismutase</t>
  </si>
  <si>
    <t>F-box only protein 18</t>
  </si>
  <si>
    <t>AP-1 complex subunit gamma-1</t>
  </si>
  <si>
    <t>CDP-diacylglycerol--inositol 3-phosphatidyltransferase</t>
  </si>
  <si>
    <t>Calponin-2</t>
  </si>
  <si>
    <t>UDP-galactose translocator</t>
  </si>
  <si>
    <t>Spermine synthase</t>
  </si>
  <si>
    <t>Sorting nexin-2</t>
  </si>
  <si>
    <t>ERI1 exoribonuclease 3</t>
  </si>
  <si>
    <t>NADH dehydrogenase [ubiquinone] 1 alpha subcomplex subunit 13</t>
  </si>
  <si>
    <t>Protein DEK</t>
  </si>
  <si>
    <t>Catenin beta-1</t>
  </si>
  <si>
    <t>Ryanodine receptor 2 (Fragment)</t>
  </si>
  <si>
    <t>Phosphatidylinositol 5-phosphate 4-kinase type-2 alpha</t>
  </si>
  <si>
    <t>MAP1S light chain</t>
  </si>
  <si>
    <t>Ribosomal protein S6 kinase delta-1</t>
  </si>
  <si>
    <t>BCL2/adenovirus E1B 19 kDa protein-interacting protein 3</t>
  </si>
  <si>
    <t>Axonemal dynein light intermediate polypeptide 1</t>
  </si>
  <si>
    <t>Transmembrane protein 165</t>
  </si>
  <si>
    <t>Ras-related protein Rab-5A</t>
  </si>
  <si>
    <t>Small nuclear ribonucleoprotein Sm D3</t>
  </si>
  <si>
    <t>Citrate synthase</t>
  </si>
  <si>
    <t>Solute carrier family 23 member 2</t>
  </si>
  <si>
    <t>Protein zyg-11 homolog B</t>
  </si>
  <si>
    <t>ATP synthase subunit gamma</t>
  </si>
  <si>
    <t>Protein CHURC1-FNTB</t>
  </si>
  <si>
    <t>Beta/gamma crystallin domain-containing protein 3 (Fragment)</t>
  </si>
  <si>
    <t>NAD(P)H dehydrogenase [quinone] 1</t>
  </si>
  <si>
    <t>Ribosomal protein S6 kinase beta-1</t>
  </si>
  <si>
    <t>CDP-diacylglycerol--glycerol-3-phosphate 3-phosphatidyltransferase, mitochondrial</t>
  </si>
  <si>
    <t>Ras-related protein Rab-11B</t>
  </si>
  <si>
    <t>Prostaglandin E synthase 3</t>
  </si>
  <si>
    <t>Methylosome protein 50</t>
  </si>
  <si>
    <t>Sorting nexin-11</t>
  </si>
  <si>
    <t>TOX high mobility group box family member 4</t>
  </si>
  <si>
    <t>Eukaryotic translation initiation factor 2 subunit 1</t>
  </si>
  <si>
    <t>Lysophosphatidic acid receptor 1</t>
  </si>
  <si>
    <t>Palmitoyltransferase ZDHHC18</t>
  </si>
  <si>
    <t>6-phosphogluconate dehydrogenase, decarboxylating</t>
  </si>
  <si>
    <t>Histone H2B</t>
  </si>
  <si>
    <t>Protein transport protein Sec61 subunit alpha isoform 1</t>
  </si>
  <si>
    <t>Ankyrin repeat and SOCS box protein 6</t>
  </si>
  <si>
    <t>Rab proteins geranylgeranyltransferase component A 1</t>
  </si>
  <si>
    <t>Probable palmitoyltransferase ZDHHC20</t>
  </si>
  <si>
    <t>Thioredoxin domain-containing protein 15</t>
  </si>
  <si>
    <t>UPF0586 protein C9orf41</t>
  </si>
  <si>
    <t>cDNA FLJ50195, highly similar to mRNA capping enzyme</t>
  </si>
  <si>
    <t>Uncharacterized protein KIAA0513</t>
  </si>
  <si>
    <t>Heterogeneous nuclear ribonucleoprotein D0</t>
  </si>
  <si>
    <t>Sodium/hydrogen exchanger</t>
  </si>
  <si>
    <t>Serine incorporator 3</t>
  </si>
  <si>
    <t>3(2),5-bisphosphate nucleotidase 1</t>
  </si>
  <si>
    <t>GDP-fucose protein O-fucosyltransferase 1</t>
  </si>
  <si>
    <t>Ribokinase</t>
  </si>
  <si>
    <t>Eukaryotic translation initiation factor 3 subunit D</t>
  </si>
  <si>
    <t>EGF-containing fibulin-like extracellular matrix protein 1</t>
  </si>
  <si>
    <t>2-hydroxyacyl-CoA lyase 1</t>
  </si>
  <si>
    <t>Bifunctional glutamate/proline--tRNA ligase</t>
  </si>
  <si>
    <t>Fragile X mental retardation syndrome-related protein 1</t>
  </si>
  <si>
    <t>Nucleoporin NUP53</t>
  </si>
  <si>
    <t>Probable G-protein-coupled receptor 176</t>
  </si>
  <si>
    <t>Histone deacetylase 6</t>
  </si>
  <si>
    <t>3-ketoacyl-CoA thiolase, peroxisomal</t>
  </si>
  <si>
    <t>Peroxisomal targeting signal 1 receptor</t>
  </si>
  <si>
    <t>ER degradation-enhancing alpha-mannosidase-like protein 2</t>
  </si>
  <si>
    <t>Myb/SANT-like DNA-binding domain-containing protein 2</t>
  </si>
  <si>
    <t>Armadillo repeat-containing protein 6</t>
  </si>
  <si>
    <t>Serine/threonine-protein kinase RIO3</t>
  </si>
  <si>
    <t>Adenosine 3-phospho 5-phosphosulfate transporter 2</t>
  </si>
  <si>
    <t>Syndecan</t>
  </si>
  <si>
    <t>Serine/arginine-rich-splicing factor 3</t>
  </si>
  <si>
    <t>Lysosome-associated membrane glycoprotein 2</t>
  </si>
  <si>
    <t>Erythrocyte band 7 integral membrane protein</t>
  </si>
  <si>
    <t>3-ketoacyl-CoA thiolase</t>
  </si>
  <si>
    <t>Methyltransferase-like protein 13</t>
  </si>
  <si>
    <t>Src substrate cortactin</t>
  </si>
  <si>
    <t>Segment polarity protein dishevelled homolog DVL-3</t>
  </si>
  <si>
    <t>Calsyntenin-1</t>
  </si>
  <si>
    <t>MpV17 transgene, murine homolog, glomerulosclerosis, isoform CRA_f</t>
  </si>
  <si>
    <t>Synaptogyrin-1</t>
  </si>
  <si>
    <t>Tetraspanin-9</t>
  </si>
  <si>
    <t>Protein RFT1 homolog</t>
  </si>
  <si>
    <t>UPF0554 protein C2orf43</t>
  </si>
  <si>
    <t>Echinoderm microtubule associated protein like 3, isoform CRA_e</t>
  </si>
  <si>
    <t>Heterogeneous nuclear ribonucleoprotein L-like</t>
  </si>
  <si>
    <t>Neurotrimin</t>
  </si>
  <si>
    <t>Protein disulfide-isomerase A6</t>
  </si>
  <si>
    <t>Major facilitator superfamily domain-containing protein 8</t>
  </si>
  <si>
    <t>Protein phosphatase 1F</t>
  </si>
  <si>
    <t>TOM1-like protein 2</t>
  </si>
  <si>
    <t>Conserved oligomeric Golgi complex subunit 2</t>
  </si>
  <si>
    <t>Tetraspanin-5</t>
  </si>
  <si>
    <t>Delta-aminolevulinic acid dehydratase</t>
  </si>
  <si>
    <t>Puromycin-sensitive aminopeptidase</t>
  </si>
  <si>
    <t>FYVE, RhoGEF and PH domain-containing protein 4</t>
  </si>
  <si>
    <t>Deoxyribonuclease-2-alpha</t>
  </si>
  <si>
    <t>WW domain-binding protein 4</t>
  </si>
  <si>
    <t>Cysteine conjugate-beta lyase cytoplasmic (Glutamine transaminase K, kyneurenine aminotransferase), isoform CRA_b</t>
  </si>
  <si>
    <t>Stathmin</t>
  </si>
  <si>
    <t>Junctional adhesion molecule A</t>
  </si>
  <si>
    <t>Tryptophan--tRNA ligase, mitochondrial</t>
  </si>
  <si>
    <t>Long-chain fatty acid transport protein 1</t>
  </si>
  <si>
    <t>2,4-dienoyl-CoA reductase, mitochondrial</t>
  </si>
  <si>
    <t>Acid sphingomyelinase-like phosphodiesterase 3a</t>
  </si>
  <si>
    <t>Dermatan-sulfate epimerase</t>
  </si>
  <si>
    <t>Transmembrane protein 106A</t>
  </si>
  <si>
    <t>Delta(24)-sterol reductase</t>
  </si>
  <si>
    <t>G-protein-coupled receptor family C group 5 member B</t>
  </si>
  <si>
    <t>Renin receptor</t>
  </si>
  <si>
    <t>Sodium/potassium-transporting ATPase subunit beta-1</t>
  </si>
  <si>
    <t>Protein phosphatase 1 regulatory subunit 3G</t>
  </si>
  <si>
    <t>Endophilin-B2</t>
  </si>
  <si>
    <t>PPP2R5E protein</t>
  </si>
  <si>
    <t>SART3 protein</t>
  </si>
  <si>
    <t>SCARB1 protein</t>
  </si>
  <si>
    <t>COX18 protein</t>
  </si>
  <si>
    <t>ER degradation-enhancing alpha-mannosidase-like protein 3</t>
  </si>
  <si>
    <t>MPDZ protein</t>
  </si>
  <si>
    <t>Tax1-binding protein 1</t>
  </si>
  <si>
    <t>Protein eva-1 homolog A</t>
  </si>
  <si>
    <t>Hyccin</t>
  </si>
  <si>
    <t>60S ribosomal protein L31</t>
  </si>
  <si>
    <t>Serine/threonine-protein kinase 16</t>
  </si>
  <si>
    <t>Small ubiquitin-related modifier 1</t>
  </si>
  <si>
    <t>Thymosin alpha-1</t>
  </si>
  <si>
    <t>Arf-GAP domain and FG repeat-containing protein 1</t>
  </si>
  <si>
    <t>U4/U6.U5 tri-snRNP-associated protein 2</t>
  </si>
  <si>
    <t>Rhomboid-related protein 4</t>
  </si>
  <si>
    <t>Cytochrome c oxidase assembly factor 5</t>
  </si>
  <si>
    <t>Mitochondrial inner membrane protein</t>
  </si>
  <si>
    <t>1-phosphatidylinositol 4,5-bisphosphate phosphodiesterase beta-2</t>
  </si>
  <si>
    <t>BAK1 protein</t>
  </si>
  <si>
    <t>Putative WAS protein family homolog 3</t>
  </si>
  <si>
    <t>Uncharacterized protein C3orf18</t>
  </si>
  <si>
    <t>Nuclear-interacting partner of ALK</t>
  </si>
  <si>
    <t>Coiled-coil domain-containing protein 126 (Fragment)</t>
  </si>
  <si>
    <t>Profilin-2</t>
  </si>
  <si>
    <t>Sorcin</t>
  </si>
  <si>
    <t>Interleukin-1 receptor accessory protein (Fragment)</t>
  </si>
  <si>
    <t>Multiple epidermal growth factor-like domains protein 9</t>
  </si>
  <si>
    <t>NF-kappa-B essential modulator</t>
  </si>
  <si>
    <t>NEDD8-conjugating enzyme UBE2F</t>
  </si>
  <si>
    <t>Ubiquitin-conjugating enzyme E2 E1 (Fragment)</t>
  </si>
  <si>
    <t>Chromosome 3 open reading frame 31, isoform CRA_f</t>
  </si>
  <si>
    <t>Protein IQCJ-SCHIP1</t>
  </si>
  <si>
    <t>Programmed cell death protein 10 (Fragment)</t>
  </si>
  <si>
    <t>Ribulose-phosphate 3-epimerase (Fragment)</t>
  </si>
  <si>
    <t>Ubiquitin fusion degradation protein 1 homolog (Fragment)</t>
  </si>
  <si>
    <t>Transmembrane protein 98 (Fragment)</t>
  </si>
  <si>
    <t>3-beta-hydroxysteroid-Delta(8),Delta(7)-isomerase (Fragment)</t>
  </si>
  <si>
    <t>UPF0505 protein C16orf62</t>
  </si>
  <si>
    <t>Phospholipid scramblase 1</t>
  </si>
  <si>
    <t>Histone deacetylase 10</t>
  </si>
  <si>
    <t>40S ribosomal protein SA (Fragment)</t>
  </si>
  <si>
    <t>60S ribosomal export protein NMD3</t>
  </si>
  <si>
    <t>Translocon-associated protein subunit gamma</t>
  </si>
  <si>
    <t>Serine/arginine-rich-splicing factor 7</t>
  </si>
  <si>
    <t>BSD domain-containing protein 1</t>
  </si>
  <si>
    <t>Tissue factor pathway inhibitor (Fragment)</t>
  </si>
  <si>
    <t>SID1 transmembrane family member 2</t>
  </si>
  <si>
    <t>Signal peptidase complex subunit 1</t>
  </si>
  <si>
    <t>Dr1-associated corepressor</t>
  </si>
  <si>
    <t>Fos-related antigen 2 (Fragment)</t>
  </si>
  <si>
    <t>Tubulin alpha-4A chain (Fragment)</t>
  </si>
  <si>
    <t>Transmembrane and ubiquitin-like domain-containing protein 1 (Fragment)</t>
  </si>
  <si>
    <t>Nuclear receptor corepressor 2</t>
  </si>
  <si>
    <t>Eukaryotic translation initiation factor 4E type 2 (Fragment)</t>
  </si>
  <si>
    <t>Myotubularin-related protein 2 (Fragment)</t>
  </si>
  <si>
    <t>Cdc42 effector protein 3 (Fragment)</t>
  </si>
  <si>
    <t>Protein OSCP1</t>
  </si>
  <si>
    <t>Protein YIPF1 (Fragment)</t>
  </si>
  <si>
    <t>COP9 signalosome complex subunit 1</t>
  </si>
  <si>
    <t>BAG family molecular chaperone regulator 3 (Fragment)</t>
  </si>
  <si>
    <t>Cytochrome c (Fragment)</t>
  </si>
  <si>
    <t>Integral membrane protein 2C (Fragment)</t>
  </si>
  <si>
    <t>Angio-associated migratory cell protein</t>
  </si>
  <si>
    <t>COBW domain-containing protein 1</t>
  </si>
  <si>
    <t>Acylamino-acid-releasing enzyme</t>
  </si>
  <si>
    <t>Myeloid-associated differentiation marker (Fragment)</t>
  </si>
  <si>
    <t>DNA-directed RNA polymerases I, II, and III subunit RPABC3 (Fragment)</t>
  </si>
  <si>
    <t>Apoptotic protease-activating factor 1</t>
  </si>
  <si>
    <t>Septin-5</t>
  </si>
  <si>
    <t>Peptidyl-prolyl cis-trans isomerase (Fragment)</t>
  </si>
  <si>
    <t>Inositol hexakisphosphate kinase 1</t>
  </si>
  <si>
    <t>O-acetyl-ADP-ribose deacetylase 1 (Fragment)</t>
  </si>
  <si>
    <t>Nuclear factor erythroid 2-related factor 1 (Fragment)</t>
  </si>
  <si>
    <t>MLN64 N-terminal domain homolog (Fragment)</t>
  </si>
  <si>
    <t>Coiled-coil domain-containing protein 58</t>
  </si>
  <si>
    <t>Nucleoside diphosphate kinase</t>
  </si>
  <si>
    <t>Serine/threonine-protein kinase 11-interacting protein</t>
  </si>
  <si>
    <t>Vesicle-trafficking protein SEC22a (Fragment)</t>
  </si>
  <si>
    <t>Coiled-coil-helix-coiled-coil-helix domain-containing protein 3, mitochondrial</t>
  </si>
  <si>
    <t>Proton-coupled folate transporter</t>
  </si>
  <si>
    <t>Eukaryotic initiation factor 4A-II (Fragment)</t>
  </si>
  <si>
    <t>Probable histidine--tRNA ligase, mitochondrial</t>
  </si>
  <si>
    <t>Vesicular, overexpressed in cancer, prosurvival protein 1</t>
  </si>
  <si>
    <t>L-2-hydroxyglutarate dehydrogenase, mitochondrial</t>
  </si>
  <si>
    <t>U3 small nucleolar ribonucleoprotein protein MPP10</t>
  </si>
  <si>
    <t>60S ribosomal protein L24</t>
  </si>
  <si>
    <t>Lipoma-preferred partner (Fragment)</t>
  </si>
  <si>
    <t>Ribonuclease P protein subunit p20 (Fragment)</t>
  </si>
  <si>
    <t>Synaptophysin-like protein 1</t>
  </si>
  <si>
    <t>Neuronal cell adhesion molecule</t>
  </si>
  <si>
    <t>Inositol polyphosphate 5-phosphatase K (Fragment)</t>
  </si>
  <si>
    <t>Replication factor C subunit 4</t>
  </si>
  <si>
    <t>Poly(rC)-binding protein 4 (Fragment)</t>
  </si>
  <si>
    <t>Ubiquitin-conjugating enzyme E2 H (Fragment)</t>
  </si>
  <si>
    <t>Ras association (RalGDS/AF-6) and pleckstrin homology domains 1, isoform CRA_b</t>
  </si>
  <si>
    <t>Snurportin-1</t>
  </si>
  <si>
    <t>Butyrophilin subfamily 3 member A3</t>
  </si>
  <si>
    <t>Eukaryotic translation initiation factor 4 gamma 2 (Fragment)</t>
  </si>
  <si>
    <t>Interferon-induced protein with tetratricopeptide repeats 1</t>
  </si>
  <si>
    <t>60S ribosomal protein L32 (Fragment)</t>
  </si>
  <si>
    <t>NADPH-dependent diflavin oxidoreductase 1</t>
  </si>
  <si>
    <t>Tapasin</t>
  </si>
  <si>
    <t>Calcium/calmodulin-dependent protein kinase (CaM kinase) II delta, isoform CRA_e</t>
  </si>
  <si>
    <t>Matrin-3 (Fragment)</t>
  </si>
  <si>
    <t>DNA excision repair protein ERCC-6 (Fragment)</t>
  </si>
  <si>
    <t>Cytochrome c oxidase subunit 7C, mitochondrial</t>
  </si>
  <si>
    <t>Pleiotropic regulator 1 (Fragment)</t>
  </si>
  <si>
    <t>Alpha-methylacyl-CoA racemase</t>
  </si>
  <si>
    <t>Eukaryotic translation initiation factor 4E</t>
  </si>
  <si>
    <t>Estradiol 17-beta-dehydrogenase 11</t>
  </si>
  <si>
    <t>Tumor necrosis factor alpha-induced protein 8</t>
  </si>
  <si>
    <t>Rho GTPase-activating protein 24 (Fragment)</t>
  </si>
  <si>
    <t>40S ribosomal protein S23</t>
  </si>
  <si>
    <t>Ubiquitin-like-conjugating enzyme ATG10</t>
  </si>
  <si>
    <t>Embigin</t>
  </si>
  <si>
    <t>UDP-N-acetylglucosamine transferase subunit ALG13 homolog (Fragment)</t>
  </si>
  <si>
    <t>Alpha-L-iduronidase</t>
  </si>
  <si>
    <t>CDC42 small effector protein 2</t>
  </si>
  <si>
    <t>GRAM domain-containing protein 3 (Fragment)</t>
  </si>
  <si>
    <t>Putative sodium-coupled neutral amino acid transporter 9 (Fragment)</t>
  </si>
  <si>
    <t>Protein transport protein Sec31A</t>
  </si>
  <si>
    <t>Protein sprouty homolog 1 (Fragment)</t>
  </si>
  <si>
    <t>Syntaxin-18</t>
  </si>
  <si>
    <t>Small-inducible cytokine B6, N-processed variant 1</t>
  </si>
  <si>
    <t>Deoxycytidine kinase</t>
  </si>
  <si>
    <t>Collagen alpha-1(XII) chain</t>
  </si>
  <si>
    <t>28S ribosomal protein S27, mitochondrial (Fragment)</t>
  </si>
  <si>
    <t>Serine incorporator 5</t>
  </si>
  <si>
    <t>Cyclin-H</t>
  </si>
  <si>
    <t>Ribonuclease T2 (Fragment)</t>
  </si>
  <si>
    <t>Cytochrome c oxidase subunit 7A2, mitochondrial</t>
  </si>
  <si>
    <t>SLAIN motif-containing protein 2</t>
  </si>
  <si>
    <t>Claudin domain-containing protein 1 (Fragment)</t>
  </si>
  <si>
    <t>Major facilitator superfamily domain-containing protein 10</t>
  </si>
  <si>
    <t>Phosphoinositide 3-kinase regulatory subunit 4 (Fragment)</t>
  </si>
  <si>
    <t>von Willebrand factor A domain-containing protein 8</t>
  </si>
  <si>
    <t>Receptor expression-enhancing protein 5 (Fragment)</t>
  </si>
  <si>
    <t>Protein FAM92A1 (Fragment)</t>
  </si>
  <si>
    <t>Lipid-phosphate phosphatase</t>
  </si>
  <si>
    <t>Putative deoxyribonuclease TATDN1 (Fragment)</t>
  </si>
  <si>
    <t>Triple QxxK/R motif-containing protein</t>
  </si>
  <si>
    <t>Derlin-1</t>
  </si>
  <si>
    <t>Proton-coupled amino acid transporter 1 (Fragment)</t>
  </si>
  <si>
    <t>Transcription elongation factor B polypeptide 1 (Fragment)</t>
  </si>
  <si>
    <t>Cytochrome b-c1 complex subunit 7</t>
  </si>
  <si>
    <t>Store-operated calcium entry-associated regulatory factor (Fragment)</t>
  </si>
  <si>
    <t>TELO2-interacting protein 2</t>
  </si>
  <si>
    <t>Inositol monophosphatase 1 (Fragment)</t>
  </si>
  <si>
    <t>Coiled-coil-helix-coiled-coil-helix domain-containing protein 7 (Fragment)</t>
  </si>
  <si>
    <t>Presenilin-2 CTF subunit</t>
  </si>
  <si>
    <t>PH and SEC7 domain-containing protein 3</t>
  </si>
  <si>
    <t>AP-3 complex subunit mu-2 (Fragment)</t>
  </si>
  <si>
    <t>AN1-type zinc finger protein 1</t>
  </si>
  <si>
    <t>2,4-dienoyl-CoA reductase, mitochondrial (Fragment)</t>
  </si>
  <si>
    <t>S-phase kinase-associated protein 1</t>
  </si>
  <si>
    <t>Ly-6/neurotoxin-like protein 1 (Fragment)</t>
  </si>
  <si>
    <t>Serine/threonine-protein kinase Sgk3 (Fragment)</t>
  </si>
  <si>
    <t>Centrin-3</t>
  </si>
  <si>
    <t>GPI ethanolamine phosphate transferase 2</t>
  </si>
  <si>
    <t>COP9 signalosome complex subunit 6</t>
  </si>
  <si>
    <t>Acid trehalase-like protein 1</t>
  </si>
  <si>
    <t>Aspartyl aminopeptidase</t>
  </si>
  <si>
    <t>Acid ceramidase</t>
  </si>
  <si>
    <t>Dyslexia-associated protein KIAA0319-like protein (Fragment)</t>
  </si>
  <si>
    <t>Nicastrin</t>
  </si>
  <si>
    <t>Regulating synaptic membrane exocytosis protein 1</t>
  </si>
  <si>
    <t>Uncharacterized protein C12orf43</t>
  </si>
  <si>
    <t>Calcium-binding and coiled-coil domain-containing protein 2</t>
  </si>
  <si>
    <t>UPF0449 protein C19orf25</t>
  </si>
  <si>
    <t>CD44 antigen</t>
  </si>
  <si>
    <t>Target of Myb protein 1</t>
  </si>
  <si>
    <t>Pyridoxal-dependent decarboxylase domain-containing protein 1</t>
  </si>
  <si>
    <t>Protein PRRC2C</t>
  </si>
  <si>
    <t>Syntaxin-binding protein 4</t>
  </si>
  <si>
    <t>Gamma-interferon-inducible protein 16</t>
  </si>
  <si>
    <t>Receptor-type tyrosine-protein phosphatase mu</t>
  </si>
  <si>
    <t>NADH dehydrogenase [ubiquinone] flavoprotein 2, mitochondrial</t>
  </si>
  <si>
    <t>Alpha-synuclein</t>
  </si>
  <si>
    <t>TNFAIP3-interacting protein 1</t>
  </si>
  <si>
    <t>AP-5 complex subunit mu-1</t>
  </si>
  <si>
    <t>N-alpha-acetyltransferase 50</t>
  </si>
  <si>
    <t>tRNA-splicing endonuclease subunit Sen34</t>
  </si>
  <si>
    <t>Gamma-tubulin complex component 6</t>
  </si>
  <si>
    <t>Protein YIPF3</t>
  </si>
  <si>
    <t>Apoptotic chromatin condensation inducer in the nucleus</t>
  </si>
  <si>
    <t>MKL/myocardin-like protein 1</t>
  </si>
  <si>
    <t>Synaptojanin-2</t>
  </si>
  <si>
    <t>Endoplasmic reticulum metallopeptidase 1</t>
  </si>
  <si>
    <t>Sulfate adenylyltransferase</t>
  </si>
  <si>
    <t>GEM-interacting protein</t>
  </si>
  <si>
    <t>Calcium-transporting ATPase type 2C member 1</t>
  </si>
  <si>
    <t>Tensin-1 (Fragment)</t>
  </si>
  <si>
    <t>Intersectin-1</t>
  </si>
  <si>
    <t>Microtubule-associated serine/threonine-protein kinase 2</t>
  </si>
  <si>
    <t>Zinc finger CCCH domain-containing protein 18</t>
  </si>
  <si>
    <t>Hephaestin</t>
  </si>
  <si>
    <t>Tetratricopeptide repeat protein 38</t>
  </si>
  <si>
    <t>Heat shock 70 kDa protein 4L</t>
  </si>
  <si>
    <t>Presenilin-1</t>
  </si>
  <si>
    <t>Integrin alpha-2</t>
  </si>
  <si>
    <t>NADH dehydrogenase [ubiquinone] 1 alpha subcomplex subunit 10, mitochondrial</t>
  </si>
  <si>
    <t>Urokinase-type plasminogen activator chain B</t>
  </si>
  <si>
    <t>Methyl-CpG-binding domain protein 1</t>
  </si>
  <si>
    <t>Podoplanin</t>
  </si>
  <si>
    <t>40S ribosomal protein S24</t>
  </si>
  <si>
    <t>RNA-binding motif, single-stranded-interacting protein 1</t>
  </si>
  <si>
    <t>RING finger and CHY zinc finger domain-containing protein 1</t>
  </si>
  <si>
    <t>Basic leucine zipper and W2 domain-containing protein 2 (Fragment)</t>
  </si>
  <si>
    <t>Platelet glycoprotein 4 (Fragment)</t>
  </si>
  <si>
    <t>Rab GDP dissociation inhibitor beta</t>
  </si>
  <si>
    <t>Cytoplasmic phosphatidylinositol transfer protein 1</t>
  </si>
  <si>
    <t>Casein kinase II subunit alpha</t>
  </si>
  <si>
    <t>Neuron navigator 3</t>
  </si>
  <si>
    <t>Dickkopf-related protein 3</t>
  </si>
  <si>
    <t>Nucleoporin p54</t>
  </si>
  <si>
    <t>DNA-dependent protein kinase catalytic subunit</t>
  </si>
  <si>
    <t>Propionyl-CoA carboxylase beta chain, mitochondrial</t>
  </si>
  <si>
    <t>Calpain-5</t>
  </si>
  <si>
    <t>AN1-type zinc finger protein 2B (Fragment)</t>
  </si>
  <si>
    <t>Latent-transforming growth factor beta-binding protein 1</t>
  </si>
  <si>
    <t>Microtubule-associated protein</t>
  </si>
  <si>
    <t>Autophagy-related protein 16-1</t>
  </si>
  <si>
    <t>Pseudouridine-5-monophosphatase (Fragment)</t>
  </si>
  <si>
    <t>14-3-3 protein zeta/delta (Fragment)</t>
  </si>
  <si>
    <t>Unconventional myosin-VI</t>
  </si>
  <si>
    <t>Vacuolar fusion protein MON1 homolog B</t>
  </si>
  <si>
    <t>Septin-10</t>
  </si>
  <si>
    <t>Ras GTPase-activating-like protein IQGAP2 (Fragment)</t>
  </si>
  <si>
    <t>Zinc finger MIZ domain-containing protein 2</t>
  </si>
  <si>
    <t>NADH dehydrogenase [ubiquinone] 1 beta subcomplex subunit 5, mitochondrial</t>
  </si>
  <si>
    <t>MAGUK p55 subfamily member 2</t>
  </si>
  <si>
    <t>Eukaryotic translation initiation factor 4B</t>
  </si>
  <si>
    <t>Ribosomal protein L15 (Fragment)</t>
  </si>
  <si>
    <t>Dynactin subunit 1</t>
  </si>
  <si>
    <t>Nuclear cap-binding protein subunit 2</t>
  </si>
  <si>
    <t>Ribonucleoprotein PTB-binding 1</t>
  </si>
  <si>
    <t>HEAT repeat-containing protein 5A</t>
  </si>
  <si>
    <t>THO complex subunit 4</t>
  </si>
  <si>
    <t>Succinate dehydrogenase [ubiquinone] flavoprotein subunit, mitochondrial</t>
  </si>
  <si>
    <t>Conserved oligomeric Golgi complex subunit 1 (Fragment)</t>
  </si>
  <si>
    <t>Phosphoribosylaminoimidazole carboxylase (Fragment)</t>
  </si>
  <si>
    <t>Acylglycerol kinase, mitochondrial</t>
  </si>
  <si>
    <t>LIM domain kinase 1</t>
  </si>
  <si>
    <t>Translation initiation factor eIF-2B subunit epsilon</t>
  </si>
  <si>
    <t>Putative E3 ubiquitin-protein ligase UBR7</t>
  </si>
  <si>
    <t>CCR4-NOT transcription complex subunit 10</t>
  </si>
  <si>
    <t>Collagen alpha-3(VI) chain</t>
  </si>
  <si>
    <t>Golgi SNAP receptor complex member 1</t>
  </si>
  <si>
    <t>Heterogeneous nuclear ribonucleoprotein H</t>
  </si>
  <si>
    <t>Unconventional myosin-Ib</t>
  </si>
  <si>
    <t>Voltage-dependent L-type calcium channel subunit alpha-1C</t>
  </si>
  <si>
    <t>Dystrophin</t>
  </si>
  <si>
    <t>Kinesin-like protein KIF13A</t>
  </si>
  <si>
    <t>Integrin beta</t>
  </si>
  <si>
    <t>Epsilon-sarcoglycan</t>
  </si>
  <si>
    <t>Nesprin-1</t>
  </si>
  <si>
    <t>Exportin-7</t>
  </si>
  <si>
    <t>Protein kinase C-binding protein NELL1</t>
  </si>
  <si>
    <t>Disco-interacting protein 2 homolog A</t>
  </si>
  <si>
    <t>3-phosphoinositide-dependent protein kinase 1</t>
  </si>
  <si>
    <t>Protein diaphanous homolog 1</t>
  </si>
  <si>
    <t>Nuclear pore complex protein Nup155</t>
  </si>
  <si>
    <t>Acyl-CoA synthetase family member 2, mitochondrial</t>
  </si>
  <si>
    <t>Hydroxyacyl-coenzyme A dehydrogenase, mitochondrial</t>
  </si>
  <si>
    <t>Transducin beta-like protein 2</t>
  </si>
  <si>
    <t>C-Jun-amino-terminal kinase-interacting protein 3</t>
  </si>
  <si>
    <t>Rab5 GDP/GTP exchange factor</t>
  </si>
  <si>
    <t>Serine/threonine-protein phosphatase 2A 56 kDa regulatory subunit delta isoform</t>
  </si>
  <si>
    <t>Centrosomal protein of 97 kDa</t>
  </si>
  <si>
    <t>Ephrin type-A receptor 4</t>
  </si>
  <si>
    <t>Ras GTPase-activating protein 1</t>
  </si>
  <si>
    <t>Tensin-1</t>
  </si>
  <si>
    <t>Plasma protease C1 inhibitor</t>
  </si>
  <si>
    <t>Solute carrier family 25 member 44</t>
  </si>
  <si>
    <t>Translin</t>
  </si>
  <si>
    <t>COP9 signalosome complex subunit 8</t>
  </si>
  <si>
    <t>Thioredoxin-dependent peroxide reductase, mitochondrial</t>
  </si>
  <si>
    <t>DNA mismatch repair protein Msh2</t>
  </si>
  <si>
    <t>Cytochrome P450 20A1</t>
  </si>
  <si>
    <t>DNA-directed RNA polymerase III subunit RPC3</t>
  </si>
  <si>
    <t>Treacle protein</t>
  </si>
  <si>
    <t>Sperm-specific antigen 2</t>
  </si>
  <si>
    <t>Maestro heat-like repeat-containing protein family member 1</t>
  </si>
  <si>
    <t>Mitochondrial GTPase 1</t>
  </si>
  <si>
    <t>Protein kinase C delta-binding protein</t>
  </si>
  <si>
    <t>Thy-1 membrane glycoprotein (Fragment)</t>
  </si>
  <si>
    <t>Myomegalin</t>
  </si>
  <si>
    <t>Cathepsin B heavy chain (Fragment)</t>
  </si>
  <si>
    <t>UBX domain-containing protein 1 (Fragment)</t>
  </si>
  <si>
    <t>Macrophage colony-stimulating factor 1 (Fragment)</t>
  </si>
  <si>
    <t>Cysteine and histidine-rich protein 1</t>
  </si>
  <si>
    <t>CD81 antigen</t>
  </si>
  <si>
    <t>Elongation factor 1-delta (Fragment)</t>
  </si>
  <si>
    <t>Poly [ADP-ribose] polymerase 10</t>
  </si>
  <si>
    <t>Bcl-2-associated transcription factor 1</t>
  </si>
  <si>
    <t>Protein arginine N-methyltransferase 1</t>
  </si>
  <si>
    <t>Serpin H1</t>
  </si>
  <si>
    <t>Tumor protein p53-inducible protein 11 (Fragment)</t>
  </si>
  <si>
    <t>Porimin</t>
  </si>
  <si>
    <t>Tetratricopeptide repeat protein 9C (Fragment)</t>
  </si>
  <si>
    <t>60S ribosomal protein L8 (Fragment)</t>
  </si>
  <si>
    <t>Signal peptidase complex subunit 2</t>
  </si>
  <si>
    <t>Transcription factor BTF3 homolog 4</t>
  </si>
  <si>
    <t>Hypoxia up-regulated protein 1</t>
  </si>
  <si>
    <t>Etoposide-induced protein 2.4 homolog (Fragment)</t>
  </si>
  <si>
    <t>Proadrenomedullin N-20 terminal peptide</t>
  </si>
  <si>
    <t>Glycosylphosphatidylinositol anchor attachment 1 protein (Fragment)</t>
  </si>
  <si>
    <t>60S ribosomal protein L27a</t>
  </si>
  <si>
    <t>Ubiquitin carboxyl-terminal hydrolase</t>
  </si>
  <si>
    <t>Small acidic protein (Fragment)</t>
  </si>
  <si>
    <t>Upstream stimulatory factor 1 (Fragment)</t>
  </si>
  <si>
    <t>Baculoviral IAP repeat-containing protein 2</t>
  </si>
  <si>
    <t>Methylosome subunit pICln</t>
  </si>
  <si>
    <t>Protein FAM118B (Fragment)</t>
  </si>
  <si>
    <t>Peroxisomal membrane protein PEX16 (Fragment)</t>
  </si>
  <si>
    <t>LIM domain only protein 7 (Fragment)</t>
  </si>
  <si>
    <t>Heat shock factor protein 1</t>
  </si>
  <si>
    <t>NAD-dependent protein deacetylase sirtuin-3, mitochondrial</t>
  </si>
  <si>
    <t>Tumor protein D53</t>
  </si>
  <si>
    <t>Radixin (Fragment)</t>
  </si>
  <si>
    <t>Serpin H1 (Fragment)</t>
  </si>
  <si>
    <t>NADH dehydrogenase [ubiquinone] iron-sulfur protein 8, mitochondrial (Fragment)</t>
  </si>
  <si>
    <t>Dipeptidyl peptidase 3 (Fragment)</t>
  </si>
  <si>
    <t>Zinc finger CCCH domain-containing protein 11A</t>
  </si>
  <si>
    <t>Lathosterol oxidase</t>
  </si>
  <si>
    <t>Caspase recruitment domain-containing protein 16 (Fragment)</t>
  </si>
  <si>
    <t>Prefoldin subunit 4</t>
  </si>
  <si>
    <t>CD59 glycoprotein</t>
  </si>
  <si>
    <t>40S ribosomal protein S30</t>
  </si>
  <si>
    <t>Alpha-crystallin B chain (Fragment)</t>
  </si>
  <si>
    <t>Repressor of RNA polymerase III transcription MAF1 homolog (Fragment)</t>
  </si>
  <si>
    <t>Histone-lysine N-methyltransferase SETDB1 (Fragment)</t>
  </si>
  <si>
    <t>Solute carrier family 22 member 18</t>
  </si>
  <si>
    <t>Probable RNA-binding protein EIF1AD</t>
  </si>
  <si>
    <t>EGF-containing fibulin-like extracellular matrix protein 2</t>
  </si>
  <si>
    <t>Fatty acid desaturase 3</t>
  </si>
  <si>
    <t>N-terminal kinase-like protein</t>
  </si>
  <si>
    <t>Protein NEDD8-MDP1</t>
  </si>
  <si>
    <t>Transmembrane 9 superfamily member 1</t>
  </si>
  <si>
    <t>Gamma-tubulin complex component 2</t>
  </si>
  <si>
    <t>6-phosphofructo-2-kinase</t>
  </si>
  <si>
    <t>Myosin-14</t>
  </si>
  <si>
    <t>Exportin-4</t>
  </si>
  <si>
    <t>Complement C1r subcomponent-like protein</t>
  </si>
  <si>
    <t>Serine/threonine-protein kinase WNK1</t>
  </si>
  <si>
    <t>Mothers against decapentaplegic homolog 5</t>
  </si>
  <si>
    <t>Podocalyxin</t>
  </si>
  <si>
    <t>Succinyl-CoA ligase [ADP-forming] subunit beta, mitochondrial</t>
  </si>
  <si>
    <t>Arginyl-tRNA--protein transferase 1</t>
  </si>
  <si>
    <t>Tumor necrosis factor receptor superfamily member 3</t>
  </si>
  <si>
    <t>Receptor-type tyrosine-protein phosphatase kappa</t>
  </si>
  <si>
    <t>DnaJ homolog subfamily B member 11</t>
  </si>
  <si>
    <t>Dolichyl-diphosphooligosaccharide--protein glycosyltransferase subunit DAD1</t>
  </si>
  <si>
    <t>WASH complex subunit CCDC53</t>
  </si>
  <si>
    <t>Transmembrane glycoprotein NMB</t>
  </si>
  <si>
    <t>Hematological and neurological-expressed 1 protein</t>
  </si>
  <si>
    <t>Polypeptide N-acetylgalactosaminyltransferase 1 soluble form</t>
  </si>
  <si>
    <t>Oligoribonuclease, mitochondrial</t>
  </si>
  <si>
    <t>Uncharacterized protein</t>
  </si>
  <si>
    <t>Striatin-4</t>
  </si>
  <si>
    <t>Ubiquitin thioesterase OTUB1</t>
  </si>
  <si>
    <t>V-type proton ATPase subunit d 1</t>
  </si>
  <si>
    <t>Paxillin</t>
  </si>
  <si>
    <t>FERM, RhoGEF and pleckstrin domain-containing protein 2</t>
  </si>
  <si>
    <t>Tripartite motif-containing protein 59</t>
  </si>
  <si>
    <t>Probable ATP-dependent RNA helicase DHX36</t>
  </si>
  <si>
    <t>4F2 cell-surface antigen heavy chain</t>
  </si>
  <si>
    <t>Constitutive coactivator of peroxisome proliferator-activated receptor gamma</t>
  </si>
  <si>
    <t>Gamma-aminobutyric acid receptor-associated protein-like 1 (Fragment)</t>
  </si>
  <si>
    <t>E3 ubiquitin-protein ligase TRIM21</t>
  </si>
  <si>
    <t>Tumor necrosis factor receptor superfamily member 1A, membrane form</t>
  </si>
  <si>
    <t>Kinase suppressor of Ras 1</t>
  </si>
  <si>
    <t>SEC23-interacting protein</t>
  </si>
  <si>
    <t>RNA polymerase I-specific transcription initiation factor RRN3</t>
  </si>
  <si>
    <t>Fermitin family homolog 3 (Fragment)</t>
  </si>
  <si>
    <t>Fibulin-2</t>
  </si>
  <si>
    <t>Abl interactor 1</t>
  </si>
  <si>
    <t>Neural cell adhesion molecule L1</t>
  </si>
  <si>
    <t>Protein-L-isoaspartate O-methyltransferase domain-containing protein 1</t>
  </si>
  <si>
    <t>Lipopolysaccharide-responsive and beige-like anchor protein</t>
  </si>
  <si>
    <t>Golgi-associated PDZ and coiled-coil motif-containing protein</t>
  </si>
  <si>
    <t>WD repeat and SOCS box-containing protein 2</t>
  </si>
  <si>
    <t>Ankyrin repeat and LEM domain-containing protein 2</t>
  </si>
  <si>
    <t>Vacuole membrane protein 1</t>
  </si>
  <si>
    <t>Protein lunapark</t>
  </si>
  <si>
    <t>Dynactin subunit 2</t>
  </si>
  <si>
    <t>High mobility group protein HMGI-C</t>
  </si>
  <si>
    <t>Neuropilin-2</t>
  </si>
  <si>
    <t>RNA-binding protein with multiple-splicing</t>
  </si>
  <si>
    <t>Protein transport protein Sec23A</t>
  </si>
  <si>
    <t>Protein Shroom2</t>
  </si>
  <si>
    <t>MANSC domain-containing protein 1</t>
  </si>
  <si>
    <t>Tumor susceptibility gene 101 protein</t>
  </si>
  <si>
    <t>RRP12-like protein</t>
  </si>
  <si>
    <t>Importin subunit alpha</t>
  </si>
  <si>
    <t>Protein wntless homolog</t>
  </si>
  <si>
    <t>Peroxisomal membrane protein 2</t>
  </si>
  <si>
    <t>Vacuolar protein sorting-associated protein 37C (Fragment)</t>
  </si>
  <si>
    <t>Ecotropic viral integration site 5 protein homolog</t>
  </si>
  <si>
    <t>Nuclear factor of-activated T-cells, cytoplasmic 1</t>
  </si>
  <si>
    <t>Kelch-like protein 42</t>
  </si>
  <si>
    <t>Amphiphysin</t>
  </si>
  <si>
    <t>V-type proton ATPase 116 kDa subunit a isoform 1</t>
  </si>
  <si>
    <t>Protein BRICK1</t>
  </si>
  <si>
    <t>Tubulin alpha-1C chain</t>
  </si>
  <si>
    <t>Interferon gamma receptor 1</t>
  </si>
  <si>
    <t>Serine/threonine-protein kinase MRCK alpha</t>
  </si>
  <si>
    <t>2-oxoisovalerate dehydrogenase subunit alpha, mitochondrial</t>
  </si>
  <si>
    <t>Probable sodium-coupled neutral amino acid transporter 6</t>
  </si>
  <si>
    <t>CLIP-associating protein 2</t>
  </si>
  <si>
    <t>Tuftelin</t>
  </si>
  <si>
    <t>Oxidoreductase NAD-binding domain-containing protein 1</t>
  </si>
  <si>
    <t>Cyclin-dependent kinase 17</t>
  </si>
  <si>
    <t>WW domain-binding protein 11</t>
  </si>
  <si>
    <t>Voltage-dependent anion-selective channel protein 3</t>
  </si>
  <si>
    <t>Thioredoxin reductase 1, cytoplasmic</t>
  </si>
  <si>
    <t>Methionine-R-sulfoxide reductase B3 (Fragment)</t>
  </si>
  <si>
    <t>Lactadherin short form</t>
  </si>
  <si>
    <t>2-oxoglutarate dehydrogenase, mitochondrial</t>
  </si>
  <si>
    <t>Protein O-linked-mannose beta-1,2-N-acetylglucosaminyltransferase 1</t>
  </si>
  <si>
    <t>Monocarboxylate transporter 2</t>
  </si>
  <si>
    <t>Type I inositol 3,4-bisphosphate 4-phosphatase</t>
  </si>
  <si>
    <t>Heat shock protein 75 kDa, mitochondrial</t>
  </si>
  <si>
    <t>Mevalonate kinase</t>
  </si>
  <si>
    <t>Cleft lip and palate transmembrane protein 1</t>
  </si>
  <si>
    <t>Epsin-2 (Fragment)</t>
  </si>
  <si>
    <t>2,5-phosphodiesterase 12</t>
  </si>
  <si>
    <t>Probable global transcription activator SNF2L1 (Fragment)</t>
  </si>
  <si>
    <t>Calcineurin subunit B type 1</t>
  </si>
  <si>
    <t>Dual-specificity mitogen-activated protein kinase kinase 7</t>
  </si>
  <si>
    <t>Eukaryotic translation initiation factor 4B (Fragment)</t>
  </si>
  <si>
    <t>DNA fragmentation factor subunit beta</t>
  </si>
  <si>
    <t>Overexpressed in colon carcinoma 1 protein (Fragment)</t>
  </si>
  <si>
    <t>Methionine aminopeptidase</t>
  </si>
  <si>
    <t>Decorin</t>
  </si>
  <si>
    <t>Nuclear transcription factor Y subunit beta (Fragment)</t>
  </si>
  <si>
    <t>Plexin-A1</t>
  </si>
  <si>
    <t>Peptidyl-prolyl cis-trans isomerase</t>
  </si>
  <si>
    <t>Protein POC1B-GALNT4</t>
  </si>
  <si>
    <t>CD63 antigen</t>
  </si>
  <si>
    <t>Nucleosome assembly protein 1-like 1</t>
  </si>
  <si>
    <t>Tensin-like C1 domain-containing phosphatase</t>
  </si>
  <si>
    <t>Probable ATP-dependent RNA helicase DDX23 (Fragment)</t>
  </si>
  <si>
    <t>Coatomer subunit zeta-1</t>
  </si>
  <si>
    <t>Phosphofurin acidic cluster sorting protein 2</t>
  </si>
  <si>
    <t>Cysteine and glycine-rich protein 2</t>
  </si>
  <si>
    <t>Protein MON2 homolog</t>
  </si>
  <si>
    <t>Tetraspanin-31</t>
  </si>
  <si>
    <t>SWI/SNF complex subunit SMARCC2</t>
  </si>
  <si>
    <t>Protein SCAF11</t>
  </si>
  <si>
    <t>Nucleosome assembly protein 1-like 1 (Fragment)</t>
  </si>
  <si>
    <t>ADP-ribosylation factor-like protein 1</t>
  </si>
  <si>
    <t>DnaJ homolog subfamily C member 14 (Fragment)</t>
  </si>
  <si>
    <t>Aladin</t>
  </si>
  <si>
    <t>Nascent polypeptide-associated complex subunit alpha</t>
  </si>
  <si>
    <t>Chromatin complexes subunit BAP18</t>
  </si>
  <si>
    <t>Periphilin-1</t>
  </si>
  <si>
    <t>Natural resistance-associated macrophage protein 2</t>
  </si>
  <si>
    <t>RNA-binding motif, single-stranded-interacting protein 2</t>
  </si>
  <si>
    <t>DNA-binding protein RFX5 (Fragment)</t>
  </si>
  <si>
    <t>Sentrin-specific protease 6</t>
  </si>
  <si>
    <t>Heterogeneous nuclear ribonucleoprotein A1</t>
  </si>
  <si>
    <t>Tripartite motif-containing protein 5</t>
  </si>
  <si>
    <t>Echinoderm microtubule-associated protein-like 1</t>
  </si>
  <si>
    <t>Ubiquitin-associated protein 2-like</t>
  </si>
  <si>
    <t>Molybdopterin molybdenumtransferase</t>
  </si>
  <si>
    <t>Protein FAM162A</t>
  </si>
  <si>
    <t>Protein FAM73A</t>
  </si>
  <si>
    <t>YTH domain family protein 1</t>
  </si>
  <si>
    <t>Vezatin (Fragment)</t>
  </si>
  <si>
    <t>Nucleolysin TIA-1 isoform p40</t>
  </si>
  <si>
    <t>Protein unc-13 homolog B</t>
  </si>
  <si>
    <t>DNA polymerase delta subunit 2</t>
  </si>
  <si>
    <t>Sterol regulatory element-binding protein cleavage-activating protein</t>
  </si>
  <si>
    <t>Insulin-like growth factor 2 mRNA-binding protein 2</t>
  </si>
  <si>
    <t>Replication factor C subunit 5</t>
  </si>
  <si>
    <t>Neuregulin-1</t>
  </si>
  <si>
    <t>G protein-coupled receptor kinase 6</t>
  </si>
  <si>
    <t>CLIP-associating protein 1</t>
  </si>
  <si>
    <t>Myotubularin-related protein 1</t>
  </si>
  <si>
    <t>Selenoprotein W</t>
  </si>
  <si>
    <t>60S ribosomal protein L35a</t>
  </si>
  <si>
    <t>Decapping and exoribonuclease protein</t>
  </si>
  <si>
    <t>Atlastin-1</t>
  </si>
  <si>
    <t>Polyhomeotic-like protein 3</t>
  </si>
  <si>
    <t>DNA (cytosine-5)-methyltransferase 3A</t>
  </si>
  <si>
    <t>Methylmalonic aciduria and homocystinuria type D protein, mitochondrial</t>
  </si>
  <si>
    <t>Translocation protein SEC62</t>
  </si>
  <si>
    <t>Cleavage and polyadenylation-specificity factor subunit 6</t>
  </si>
  <si>
    <t>NADH dehydrogenase (Ubiquinone) flavoprotein 1, 51kDa, isoform CRA_c</t>
  </si>
  <si>
    <t>Caspase</t>
  </si>
  <si>
    <t>Gasdermin domain containing 1, isoform CRA_d</t>
  </si>
  <si>
    <t>Down syndrome cell adhesion molecule like 1, isoform CRA_a</t>
  </si>
  <si>
    <t>Sjoegren syndrome/scleroderma autoantigen 1</t>
  </si>
  <si>
    <t>Paraoxonase 2, isoform CRA_a</t>
  </si>
  <si>
    <t>Tight junction protein 1 (Zona occludens 1), isoform CRA_a</t>
  </si>
  <si>
    <t>HCG1745306, isoform CRA_a</t>
  </si>
  <si>
    <t>Loss of heterozygosity 12 chromosomal region 1 protein</t>
  </si>
  <si>
    <t>Transcription factor 8 (Represses interleukin 2 expression), isoform CRA_b</t>
  </si>
  <si>
    <t>Inositol-3-phosphate synthase 1</t>
  </si>
  <si>
    <t>Nuclear pore complex protein Nup107</t>
  </si>
  <si>
    <t>Activating transcription factor 7 interacting protein, isoform CRA_f</t>
  </si>
  <si>
    <t>Myosin light polypeptide 6</t>
  </si>
  <si>
    <t>ARP6 actin-related protein 6 homolog (Yeast), isoform CRA_d</t>
  </si>
  <si>
    <t>60S ribosomal protein L18</t>
  </si>
  <si>
    <t>Tyrosyl-DNA phosphodiesterase 1</t>
  </si>
  <si>
    <t>HCG2044781</t>
  </si>
  <si>
    <t>Paired mesoderm homeobox protein 1</t>
  </si>
  <si>
    <t>Acylphosphatase</t>
  </si>
  <si>
    <t>Spermatogenesis-associated protein 7</t>
  </si>
  <si>
    <t>DDB1- and CUL4-associated factor 8</t>
  </si>
  <si>
    <t>Ataxin-3 (Fragment)</t>
  </si>
  <si>
    <t>Spermatogenesis-defective protein 39 homolog</t>
  </si>
  <si>
    <t>AP-4 complex subunit sigma-1 (Fragment)</t>
  </si>
  <si>
    <t>FERM domain-containing protein 6</t>
  </si>
  <si>
    <t>Fibulin-5</t>
  </si>
  <si>
    <t>Heterogeneous nuclear ribonucleoproteins C1/C2 (Fragment)</t>
  </si>
  <si>
    <t>Latent-transforming growth factor beta-binding protein 2</t>
  </si>
  <si>
    <t>NADH dehydrogenase [ubiquinone] 1 alpha subcomplex subunit 4-like 2</t>
  </si>
  <si>
    <t>Protein FAM177A1 (Fragment)</t>
  </si>
  <si>
    <t>cTAGE family member 5</t>
  </si>
  <si>
    <t>Alpha-1-antichymotrypsin</t>
  </si>
  <si>
    <t>Zinc finger FYVE domain-containing protein 1</t>
  </si>
  <si>
    <t>Maleylacetoacetate isomerase</t>
  </si>
  <si>
    <t>Cyclin-dependent kinase 2</t>
  </si>
  <si>
    <t>Proteasome subunit alpha type</t>
  </si>
  <si>
    <t>Nucleoporin NDC1</t>
  </si>
  <si>
    <t>AT rich interactive domain 1B (SWI1-like), isoform CRA_a</t>
  </si>
  <si>
    <t>Poly(A) polymerase alpha</t>
  </si>
  <si>
    <t>Laminin subunit beta-1</t>
  </si>
  <si>
    <t>Deleted in leukemia 8 protein, isoform CRA_b</t>
  </si>
  <si>
    <t>Nuclear receptor coactivator 3</t>
  </si>
  <si>
    <t>Mitochondrial import inner membrane translocase subunit Tim8 B</t>
  </si>
  <si>
    <t>ATP-binding cassette sub-family B member 8, mitochondrial</t>
  </si>
  <si>
    <t>Cartilage oligomeric matrix protein</t>
  </si>
  <si>
    <t>Thymopentin</t>
  </si>
  <si>
    <t>G protein-coupled receptor 107, isoform CRA_c</t>
  </si>
  <si>
    <t>Son of sevenless homolog 1</t>
  </si>
  <si>
    <t>Elongation protein 4 homolog (S. cerevisiae), isoform CRA_b</t>
  </si>
  <si>
    <t>CUG triplet repeat, RNA binding protein 1, isoform CRA_c</t>
  </si>
  <si>
    <t>Tropomodulin 2 (Neuronal), isoform CRA_a</t>
  </si>
  <si>
    <t>Protein disulfide isomerase family A, member 3, isoform CRA_b</t>
  </si>
  <si>
    <t>Cordon-bleu protein-like 1</t>
  </si>
  <si>
    <t>Apolipoprotein L1</t>
  </si>
  <si>
    <t>tRNA pseudouridine synthase (Fragment)</t>
  </si>
  <si>
    <t>Large neutral amino acids transporter small subunit 4</t>
  </si>
  <si>
    <t>WD repeat domain phosphoinositide-interacting protein 4</t>
  </si>
  <si>
    <t>Prolyl 3-hydroxylase 3</t>
  </si>
  <si>
    <t>Transforming acidic coiled-coil-containing protein 1</t>
  </si>
  <si>
    <t>Lysosomal thioesterase PPT2 (Fragment)</t>
  </si>
  <si>
    <t>Multivesicular body subunit 12B</t>
  </si>
  <si>
    <t>5-AMP-activated protein kinase subunit gamma-2</t>
  </si>
  <si>
    <t>Chloride channel 7, isoform CRA_c</t>
  </si>
  <si>
    <t>Monofunctional C1-tetrahydrofolate synthase, mitochondrial (Fragment)</t>
  </si>
  <si>
    <t>AMP deaminase 2 (Fragment)</t>
  </si>
  <si>
    <t>Myeloid differentiation primary response protein MyD88 (Fragment)</t>
  </si>
  <si>
    <t>Zinc finger protein 185 (Fragment)</t>
  </si>
  <si>
    <t>SH3 and PX domain-containing protein 2A (Fragment)</t>
  </si>
  <si>
    <t>Probable phospholipid-transporting ATPase IH (Fragment)</t>
  </si>
  <si>
    <t>Prostaglandin-H2 D-isomerase (Fragment)</t>
  </si>
  <si>
    <t>Band 4.1-like protein 2 (Fragment)</t>
  </si>
  <si>
    <t>Ubiquitin-fold modifier 1 (Fragment)</t>
  </si>
  <si>
    <t>ADP-ribosylation factor GTPase-activating protein 3 (Fragment)</t>
  </si>
  <si>
    <t>Sushi domain-containing protein 1 (Fragment)</t>
  </si>
  <si>
    <t>Pyrroline-5-carboxylate reductase 3 (Fragment)</t>
  </si>
  <si>
    <t>Calmodulin (Fragment)</t>
  </si>
  <si>
    <t>Dedicator of cytokinesis protein 7 (Fragment)</t>
  </si>
  <si>
    <t>Transmembrane protein 222 (Fragment)</t>
  </si>
  <si>
    <t>DNA replication licensing factor MCM2 (Fragment)</t>
  </si>
  <si>
    <t>Cysteine-rich hydrophobic domain 2 protein (Fragment)</t>
  </si>
  <si>
    <t>Ankyrin-2 (Fragment)</t>
  </si>
  <si>
    <t>Uncharacterized protein (Fragment)</t>
  </si>
  <si>
    <t>Calnexin (Fragment)</t>
  </si>
  <si>
    <t>Diacylglycerol kinase theta (Fragment)</t>
  </si>
  <si>
    <t>Pterin-4-alpha-carbinolamine dehydratase 2 (Fragment)</t>
  </si>
  <si>
    <t>Plasma kallikrein heavy chain (Fragment)</t>
  </si>
  <si>
    <t>UPF0461 protein C5orf24 (Fragment)</t>
  </si>
  <si>
    <t>Amyloid beta A4 precursor protein-binding family B member 2 (Fragment)</t>
  </si>
  <si>
    <t>Rho guanine nucleotide exchange factor 10 (Fragment)</t>
  </si>
  <si>
    <t>Probable palmitoyltransferase ZDHHC14 (Fragment)</t>
  </si>
  <si>
    <t>Thioredoxin reductase 3 (Fragment)</t>
  </si>
  <si>
    <t>Focal adhesion kinase 1 (Fragment)</t>
  </si>
  <si>
    <t>Mitochondrial fission regulator 1 (Fragment)</t>
  </si>
  <si>
    <t>Yorkie homolog (Fragment)</t>
  </si>
  <si>
    <t>Double-stranded RNA-specific adenosine deaminase (Fragment)</t>
  </si>
  <si>
    <t>Puromycin-sensitive aminopeptidase (Fragment)</t>
  </si>
  <si>
    <t>RUN and FYVE domain-containing protein 2 (Fragment)</t>
  </si>
  <si>
    <t>UPF0606 protein KIAA1549L (Fragment)</t>
  </si>
  <si>
    <t>Single Ig IL-1-related receptor (Fragment)</t>
  </si>
  <si>
    <t>RalBP1-associated Eps domain-containing protein 1 (Fragment)</t>
  </si>
  <si>
    <t>Serine/threonine-protein phosphatase (Fragment)</t>
  </si>
  <si>
    <t>Sjoegren syndrome/scleroderma autoantigen 1 (Fragment)</t>
  </si>
  <si>
    <t>Gem-associated protein 2 (Fragment)</t>
  </si>
  <si>
    <t>40S ribosomal protein S2 (Fragment)</t>
  </si>
  <si>
    <t>Cell adhesion molecule 1 (Fragment)</t>
  </si>
  <si>
    <t>Rho GDP-dissociation inhibitor 2 (Fragment)</t>
  </si>
  <si>
    <t>Rho GTPase-activating protein 23 (Fragment)</t>
  </si>
  <si>
    <t>Protein MRVI1</t>
  </si>
  <si>
    <t>Methyltransferase-like protein 7A (Fragment)</t>
  </si>
  <si>
    <t>F-box only protein 21 (Fragment)</t>
  </si>
  <si>
    <t>Fermitin family homolog 2 (Fragment)</t>
  </si>
  <si>
    <t>Coiled-coil domain-containing protein 85C (Fragment)</t>
  </si>
  <si>
    <t>LIM domain-containing protein ajuba (Fragment)</t>
  </si>
  <si>
    <t>Normal mucosa of esophagus-specific gene 1 protein (Fragment)</t>
  </si>
  <si>
    <t>Annexin (Fragment)</t>
  </si>
  <si>
    <t>SH2 domain-containing adapter protein F</t>
  </si>
  <si>
    <t>Pro-interleukin-16 (Fragment)</t>
  </si>
  <si>
    <t>GMP reductase 2</t>
  </si>
  <si>
    <t>60S ribosomal protein L28</t>
  </si>
  <si>
    <t>Retinal dehydrogenase 2</t>
  </si>
  <si>
    <t>Uncharacterized protein C15orf57 (Fragment)</t>
  </si>
  <si>
    <t>Signal peptidase complex catalytic subunit SEC11A</t>
  </si>
  <si>
    <t>Protein DPH6 (Fragment)</t>
  </si>
  <si>
    <t>Uveal autoantigen with coiled-coil domains and ankyrin repeats</t>
  </si>
  <si>
    <t>Limbic system-associated membrane protein (Fragment)</t>
  </si>
  <si>
    <t>Complement decay-accelerating factor (Fragment)</t>
  </si>
  <si>
    <t>Dysbindin domain-containing protein 1</t>
  </si>
  <si>
    <t>Probable ATP-dependent RNA helicase DDX17</t>
  </si>
  <si>
    <t>NEDD8 ultimate buster 1</t>
  </si>
  <si>
    <t>Nucleolar protein 3 (Fragment)</t>
  </si>
  <si>
    <t>COMM domain-containing protein 4 (Fragment)</t>
  </si>
  <si>
    <t>JmjC domain-containing protein 8</t>
  </si>
  <si>
    <t>Protein spinster homolog 1</t>
  </si>
  <si>
    <t>Tuberin</t>
  </si>
  <si>
    <t>Biogenesis of lysosome-related organelles complex 1 subunit 6 (Fragment)</t>
  </si>
  <si>
    <t>Beta-hexosaminidase</t>
  </si>
  <si>
    <t>Ubiquinone biosynthesis protein COQ7 homolog</t>
  </si>
  <si>
    <t>Thymidine kinase 2, mitochondrial</t>
  </si>
  <si>
    <t>SUMO-conjugating enzyme UBC9 (Fragment)</t>
  </si>
  <si>
    <t>RNA-binding protein FUS</t>
  </si>
  <si>
    <t>RNA binding protein S1, serine-rich domain, isoform CRA_c</t>
  </si>
  <si>
    <t>Fructose-bisphosphate aldolase A (Fragment)</t>
  </si>
  <si>
    <t>Enhancer of mRNA-decapping protein 3 (Fragment)</t>
  </si>
  <si>
    <t>cAMP-regulated phosphoprotein 19</t>
  </si>
  <si>
    <t>snRNA-activating protein complex subunit 5</t>
  </si>
  <si>
    <t>HCG2044799</t>
  </si>
  <si>
    <t>Dynactin subunit 5</t>
  </si>
  <si>
    <t>Zinc finger FYVE domain-containing protein 19</t>
  </si>
  <si>
    <t>Cytochrome b-c1 complex subunit 2, mitochondrial</t>
  </si>
  <si>
    <t>Ubiquitin domain-containing protein UBFD1</t>
  </si>
  <si>
    <t>4-aminobutyrate aminotransferase, mitochondrial</t>
  </si>
  <si>
    <t>Protein FAM219B (Fragment)</t>
  </si>
  <si>
    <t>Eukaryotic translation initiation factor 3 subunit C</t>
  </si>
  <si>
    <t>von Willebrand factor A domain-containing protein 9</t>
  </si>
  <si>
    <t>UPF0420 protein C16orf58</t>
  </si>
  <si>
    <t>BTB/POZ domain-containing protein KCTD5</t>
  </si>
  <si>
    <t>Cytoplasmic tRNA 2-thiolation protein 2</t>
  </si>
  <si>
    <t>Methyltransferase-like protein 22</t>
  </si>
  <si>
    <t>Microtubule-associated protein 1 light chain 3 beta, isoform CRA_f</t>
  </si>
  <si>
    <t>Pyruvate kinase (Fragment)</t>
  </si>
  <si>
    <t>Folate transporter 1</t>
  </si>
  <si>
    <t>ADP-ribosylation factor-like protein 2-binding protein</t>
  </si>
  <si>
    <t>2-oxoglutarate and iron-dependent oxygenase domain-containing protein 1</t>
  </si>
  <si>
    <t>RNA-binding protein NOB1</t>
  </si>
  <si>
    <t>Cadherin-11</t>
  </si>
  <si>
    <t>Uncharacterized protein C16orf45</t>
  </si>
  <si>
    <t>Galectin-8 (Fragment)</t>
  </si>
  <si>
    <t>Serine/threonine-protein phosphatase 6 regulatory subunit 3</t>
  </si>
  <si>
    <t>Protein-lysine methyltransferase METTL21A</t>
  </si>
  <si>
    <t>Extended synaptotagmin-2 (Fragment)</t>
  </si>
  <si>
    <t>Endoplasmic reticulum-Golgi intermediate compartment protein 3</t>
  </si>
  <si>
    <t>Taperin</t>
  </si>
  <si>
    <t>Mitochondrial pyruvate carrier 1</t>
  </si>
  <si>
    <t>Protein-L-isoaspartate O-methyltransferase</t>
  </si>
  <si>
    <t>General transcription factor 3C polypeptide 5</t>
  </si>
  <si>
    <t>Tail-anchored protein insertion receptor WRB (Fragment)</t>
  </si>
  <si>
    <t>Nuclear body protein SP140-like protein</t>
  </si>
  <si>
    <t>Protein disulfide-isomerase</t>
  </si>
  <si>
    <t>Transcription factor IIIA</t>
  </si>
  <si>
    <t>Thioredoxin (Fragment)</t>
  </si>
  <si>
    <t>OTU domain-containing protein 5 (Fragment)</t>
  </si>
  <si>
    <t>Pancreatic alpha-amylase (Fragment)</t>
  </si>
  <si>
    <t>SUN domain-containing protein 1 (Fragment)</t>
  </si>
  <si>
    <t>B-cell lymphoma 3 protein (Fragment)</t>
  </si>
  <si>
    <t>Non-homologous end-joining factor 1 (Fragment)</t>
  </si>
  <si>
    <t>P-beta (Fragment)</t>
  </si>
  <si>
    <t>Interleukin-10 receptor subunit beta (Fragment)</t>
  </si>
  <si>
    <t>IQ motif and SEC7 domain-containing protein 1 (Fragment)</t>
  </si>
  <si>
    <t>Ran-specific GTPase-activating protein (Fragment)</t>
  </si>
  <si>
    <t>AP-1 complex subunit sigma-1A (Fragment)</t>
  </si>
  <si>
    <t>Transmembrane protein 87B (Fragment)</t>
  </si>
  <si>
    <t>Solute carrier family 35 member E1 (Fragment)</t>
  </si>
  <si>
    <t>Coiled-coil and C2 domain-containing protein 1B (Fragment)</t>
  </si>
  <si>
    <t>Apolipoprotein O (Fragment)</t>
  </si>
  <si>
    <t>COX assembly mitochondrial protein homolog (Fragment)</t>
  </si>
  <si>
    <t>MyoD family inhibitor domain-containing protein (Fragment)</t>
  </si>
  <si>
    <t>Muscleblind-like protein 1 (Fragment)</t>
  </si>
  <si>
    <t>Frataxin, mitochondrial (Fragment)</t>
  </si>
  <si>
    <t>5-3 exoribonuclease 1 (Fragment)</t>
  </si>
  <si>
    <t>NEDD4 family-interacting protein 2 (Fragment)</t>
  </si>
  <si>
    <t>Isoamyl acetate-hydrolyzing esterase 1 homolog (Fragment)</t>
  </si>
  <si>
    <t>Neuronal membrane glycoprotein M6-b (Fragment)</t>
  </si>
  <si>
    <t>Protein EFR3 homolog A</t>
  </si>
  <si>
    <t>Selenoprotein N</t>
  </si>
  <si>
    <t>SH3-containing GRB2-like protein 3-interacting protein 1</t>
  </si>
  <si>
    <t>Calcium uptake protein 1, mitochondrial</t>
  </si>
  <si>
    <t>WAS protein family homolog 6</t>
  </si>
  <si>
    <t>Golgi SNAP receptor complex member 2 (Fragment)</t>
  </si>
  <si>
    <t>E3 ubiquitin-protein ligase RNF167</t>
  </si>
  <si>
    <t>Vesicle-fusing ATPase</t>
  </si>
  <si>
    <t>Protein FAM195A</t>
  </si>
  <si>
    <t>Protein fantom</t>
  </si>
  <si>
    <t>Arachidonate 15-lipoxygenase B</t>
  </si>
  <si>
    <t>CTD nuclear envelope phosphatase 1 (Fragment)</t>
  </si>
  <si>
    <t>Diphthamide biosynthesis protein 1 (Fragment)</t>
  </si>
  <si>
    <t>Myosin light chain 4 (Fragment)</t>
  </si>
  <si>
    <t>Mitochondrial 2-oxoglutarate/malate carrier protein (Fragment)</t>
  </si>
  <si>
    <t>Elongator complex protein 5 (Fragment)</t>
  </si>
  <si>
    <t>Clustered mitochondria protein homolog</t>
  </si>
  <si>
    <t>Protein capicua homolog</t>
  </si>
  <si>
    <t>5-azacytidine-induced protein 1</t>
  </si>
  <si>
    <t>Zinc finger CCCH domain-containing protein 7A (Fragment)</t>
  </si>
  <si>
    <t>Segment polarity protein dishevelled homolog DVL-2</t>
  </si>
  <si>
    <t>TOM1-like protein 1 (Fragment)</t>
  </si>
  <si>
    <t>Eukaryotic translation initiation factor 5A-1 (Fragment)</t>
  </si>
  <si>
    <t>Thiomorpholine-carboxylate dehydrogenase (Fragment)</t>
  </si>
  <si>
    <t>ATP synthase mitochondrial F1 complex assembly factor 1</t>
  </si>
  <si>
    <t>Phosphatidylinositol transfer protein alpha isoform (Fragment)</t>
  </si>
  <si>
    <t>HCG1818442, isoform CRA_a</t>
  </si>
  <si>
    <t>NF-kappa-B inhibitor beta (Fragment)</t>
  </si>
  <si>
    <t>Protein disulfide-isomerase (Fragment)</t>
  </si>
  <si>
    <t>Promethin</t>
  </si>
  <si>
    <t>Ankyrin-2</t>
  </si>
  <si>
    <t>Epididymal secretory protein E1</t>
  </si>
  <si>
    <t>Low-density lipoprotein receptor (Fragment)</t>
  </si>
  <si>
    <t>Proteasome-associated protein ECM29 homolog</t>
  </si>
  <si>
    <t>26S proteasome non-ATPase regulatory subunit 9</t>
  </si>
  <si>
    <t>BCL2/adenovirus E1B 19 kDa protein-interacting protein 2</t>
  </si>
  <si>
    <t>Arylacetamide deacetylase-like 1</t>
  </si>
  <si>
    <t>TBC1 domain family member 8B</t>
  </si>
  <si>
    <t>Serine/threonine-protein phosphatase 6 regulatory ankyrin repeat subunit B</t>
  </si>
  <si>
    <t>Mitochondrial inner membrane protein OXA1L</t>
  </si>
  <si>
    <t>Copper chaperone for superoxide dismutase</t>
  </si>
  <si>
    <t>Centrosomal protein of 290 kDa</t>
  </si>
  <si>
    <t>Cytochrome b5 type B</t>
  </si>
  <si>
    <t>Conserved oligomeric Golgi complex subunit 4</t>
  </si>
  <si>
    <t>Chitinase domain-containing protein 1</t>
  </si>
  <si>
    <t>Protein transport protein Sec16A</t>
  </si>
  <si>
    <t>Family with sequence similarity 63, member B, isoform CRA_d</t>
  </si>
  <si>
    <t>F-box/LRR-repeat protein 7</t>
  </si>
  <si>
    <t>BRCA1-associated protein</t>
  </si>
  <si>
    <t>Alpha-parvin</t>
  </si>
  <si>
    <t>MAP/microtubule affinity-regulating kinase 3</t>
  </si>
  <si>
    <t>Fibroblast growth factor receptor</t>
  </si>
  <si>
    <t>Four and a half LIM domains protein 2</t>
  </si>
  <si>
    <t>Unconventional myosin-XVIIIa</t>
  </si>
  <si>
    <t>Serine/arginine-rich-splicing factor 2 (Fragment)</t>
  </si>
  <si>
    <t>Signal-induced proliferation-associated 1-like protein 1</t>
  </si>
  <si>
    <t>Receptor-type tyrosine-protein phosphatase alpha</t>
  </si>
  <si>
    <t>Ankyrin repeat domain-containing protein 46 (Fragment)</t>
  </si>
  <si>
    <t>Nuclear pore complex protein Nup98-Nup96</t>
  </si>
  <si>
    <t>Phosphatase and actin regulator 2</t>
  </si>
  <si>
    <t>Serine/threonine-protein kinase SIK3</t>
  </si>
  <si>
    <t>Cysteine sulfinic acid decarboxylase (Fragment)</t>
  </si>
  <si>
    <t>Synaptojanin-1</t>
  </si>
  <si>
    <t>39S ribosomal protein L42, mitochondrial</t>
  </si>
  <si>
    <t>Cisplatin resistance-associated overexpressed protein, isoform CRA_b</t>
  </si>
  <si>
    <t>DnaJ (Hsp40) homolog, subfamily B, member 12, isoform CRA_c</t>
  </si>
  <si>
    <t>TraB domain-containing protein</t>
  </si>
  <si>
    <t>Sulfurtransferase</t>
  </si>
  <si>
    <t>Histone deacetylase 2</t>
  </si>
  <si>
    <t>Prohibitin-2</t>
  </si>
  <si>
    <t>MAP1 light chain LC2</t>
  </si>
  <si>
    <t>Anthrax toxin receptor 2</t>
  </si>
  <si>
    <t>Transmembrane protein 45A</t>
  </si>
  <si>
    <t>Obg-like ATPase 1</t>
  </si>
  <si>
    <t>COP9 signalosome complex subunit 7b</t>
  </si>
  <si>
    <t>Peptidyl-tRNA hydrolase 2, mitochondrial</t>
  </si>
  <si>
    <t>Uncharacterized protein C6orf203</t>
  </si>
  <si>
    <t>Protein phosphatase 1 regulatory subunit 37</t>
  </si>
  <si>
    <t>THUMP domain-containing protein 1</t>
  </si>
  <si>
    <t>SH3 and multiple ankyrin repeat domains protein 2 (Fragment)</t>
  </si>
  <si>
    <t>Prostamide/prostaglandin F synthase</t>
  </si>
  <si>
    <t>GTP-binding nuclear protein Ran (Fragment)</t>
  </si>
  <si>
    <t>Glucosylceramidase</t>
  </si>
  <si>
    <t>Sulfatase-modifying factor 2</t>
  </si>
  <si>
    <t>Apolipoprotein L2</t>
  </si>
  <si>
    <t>Centrosomal protein of 170 kDa protein B</t>
  </si>
  <si>
    <t>BRISC and BRCA1-A complex member 1</t>
  </si>
  <si>
    <t>Cyclin-dependent kinase inhibitor 1</t>
  </si>
  <si>
    <t>Coiled-coil domain containing 12, isoform CRA_a</t>
  </si>
  <si>
    <t>Selenide, water dikinase 2</t>
  </si>
  <si>
    <t>Atrial natriuretic peptide-converting enzyme, 180 kDa soluble fragment</t>
  </si>
  <si>
    <t>Tubulin-specific chaperone D</t>
  </si>
  <si>
    <t>Casein kinase I isoform delta (Fragment)</t>
  </si>
  <si>
    <t>Protein SSXT</t>
  </si>
  <si>
    <t>Transmembrane protein 199</t>
  </si>
  <si>
    <t>Chromobox protein homolog 1 (Fragment)</t>
  </si>
  <si>
    <t>Trafficking protein particle complex subunit 8</t>
  </si>
  <si>
    <t>ADP-ribosylation factor-binding protein GGA3</t>
  </si>
  <si>
    <t>DNA polymerase iota</t>
  </si>
  <si>
    <t>Nuclear pore complex protein Nup85</t>
  </si>
  <si>
    <t>Probable ATP-dependent RNA helicase DDX5</t>
  </si>
  <si>
    <t>Serine/arginine-rich-splicing factor 1</t>
  </si>
  <si>
    <t>Eukaryotic initiation factor 4A-I (Fragment)</t>
  </si>
  <si>
    <t>Calcium homeostasis endoplasmic reticulum protein</t>
  </si>
  <si>
    <t>Proteasome subunit beta type-3 (Fragment)</t>
  </si>
  <si>
    <t>Protein SCO1 homolog, mitochondrial</t>
  </si>
  <si>
    <t>Secernin-2</t>
  </si>
  <si>
    <t>Zinc transporter ZIP11 (Fragment)</t>
  </si>
  <si>
    <t>Small nuclear ribonucleoprotein-associated protein N (Fragment)</t>
  </si>
  <si>
    <t>Receptor tyrosine-protein kinase erbB-2</t>
  </si>
  <si>
    <t>SAP30-binding protein (Fragment)</t>
  </si>
  <si>
    <t>LIM domain-containing protein 2 (Fragment)</t>
  </si>
  <si>
    <t>Glycerophosphodiester phosphodiesterase domain-containing protein 1</t>
  </si>
  <si>
    <t>60S ribosomal protein L17 (Fragment)</t>
  </si>
  <si>
    <t>YTH domain-containing protein 1</t>
  </si>
  <si>
    <t>Cyclin-dependent kinase 11B</t>
  </si>
  <si>
    <t>N-acetyltransferase 9 (Fragment)</t>
  </si>
  <si>
    <t>Fatty aldehyde dehydrogenase</t>
  </si>
  <si>
    <t>Myosin regulatory light chain 12A</t>
  </si>
  <si>
    <t>Zinc finger protein 207</t>
  </si>
  <si>
    <t>Tyrosine-protein kinase Yes</t>
  </si>
  <si>
    <t>Vesicle-associated membrane protein 2</t>
  </si>
  <si>
    <t>E3 ubiquitin-protein ligase RNF135 (Fragment)</t>
  </si>
  <si>
    <t>Protein Smaug homolog 1</t>
  </si>
  <si>
    <t>Microtubule-associated serine/threonine-protein kinase 4</t>
  </si>
  <si>
    <t>Protein cereblon (Fragment)</t>
  </si>
  <si>
    <t>BAG family molecular chaperone regulator 1</t>
  </si>
  <si>
    <t>Coiled-coil-helix-coiled-coil-helix domain-containing protein 6, mitochondrial</t>
  </si>
  <si>
    <t>Lamin B2, isoform CRA_a</t>
  </si>
  <si>
    <t>Transmembrane and coiled-coil domain-containing protein 1</t>
  </si>
  <si>
    <t>Putative hydroxypyruvate isomerase (Fragment)</t>
  </si>
  <si>
    <t>Arylsulfatase G</t>
  </si>
  <si>
    <t>Cullin 4B, isoform CRA_e</t>
  </si>
  <si>
    <t>Max-like protein X (Fragment)</t>
  </si>
  <si>
    <t>Tyrosine-protein phosphatase non-receptor type 2 (Fragment)</t>
  </si>
  <si>
    <t>WW domain-binding protein 2 (Fragment)</t>
  </si>
  <si>
    <t>Protein YIPF2 (Fragment)</t>
  </si>
  <si>
    <t>Mothers against decapentaplegic homolog 4</t>
  </si>
  <si>
    <t>40S ribosomal protein S15 (Fragment)</t>
  </si>
  <si>
    <t>Kinetochore protein Spc24 (Fragment)</t>
  </si>
  <si>
    <t>AP-1 complex subunit mu-1</t>
  </si>
  <si>
    <t>Protein FAM210A (Fragment)</t>
  </si>
  <si>
    <t>Histone H3 (Fragment)</t>
  </si>
  <si>
    <t>Calpain small subunit 1</t>
  </si>
  <si>
    <t>Signal transducer and activator of transcription 5A</t>
  </si>
  <si>
    <t>Lon protease homolog, mitochondrial</t>
  </si>
  <si>
    <t>Periplakin</t>
  </si>
  <si>
    <t>Cytosolic acyl coenzyme A thioester hydrolase (Fragment)</t>
  </si>
  <si>
    <t>Transmembrane and ubiquitin-like domain-containing protein 2 (Fragment)</t>
  </si>
  <si>
    <t>Calcium-dependent secretion activator 1</t>
  </si>
  <si>
    <t>Hsp90 co-chaperone Cdc37 (Fragment)</t>
  </si>
  <si>
    <t>Glucosidase 2 subunit beta</t>
  </si>
  <si>
    <t>Syntaxin-10 (Fragment)</t>
  </si>
  <si>
    <t>Katanin p60 ATPase-containing subunit A-like 2 (Fragment)</t>
  </si>
  <si>
    <t>Transmembrane protein 205 (Fragment)</t>
  </si>
  <si>
    <t>Actin, cytoplasmic 2, N-terminally processed (Fragment)</t>
  </si>
  <si>
    <t>UBA-like domain-containing protein 1</t>
  </si>
  <si>
    <t>Transcription elongation factor 1 homolog</t>
  </si>
  <si>
    <t>Nuclear factor 1</t>
  </si>
  <si>
    <t>Asparagine--tRNA ligase, cytoplasmic</t>
  </si>
  <si>
    <t>Uncharacterized protein C18orf8</t>
  </si>
  <si>
    <t>Proteasome assembly chaperone 2</t>
  </si>
  <si>
    <t>UBX domain-containing protein 6 (Fragment)</t>
  </si>
  <si>
    <t>Calpain small subunit 1 (Fragment)</t>
  </si>
  <si>
    <t>Vacuole membrane protein 1 (Fragment)</t>
  </si>
  <si>
    <t>Uncharacterized protein C16orf71</t>
  </si>
  <si>
    <t>Glutaminyl-peptide cyclotransferase-like protein (Fragment)</t>
  </si>
  <si>
    <t>Phospholemman</t>
  </si>
  <si>
    <t>Matrix-remodeling-associated protein 7</t>
  </si>
  <si>
    <t>Phenylalanine--tRNA ligase alpha subunit</t>
  </si>
  <si>
    <t>Eukaryotic translation initiation factor 3 subunit K</t>
  </si>
  <si>
    <t>NF-kappa-B inhibitor-interacting Ras-like protein 2 (Fragment)</t>
  </si>
  <si>
    <t>Thymidine kinase</t>
  </si>
  <si>
    <t>Bleomycin hydrolase (Fragment)</t>
  </si>
  <si>
    <t>Follistatin-related protein 3 (Fragment)</t>
  </si>
  <si>
    <t>UNC93-like protein MFSD11 (Fragment)</t>
  </si>
  <si>
    <t>Protein FAM86A</t>
  </si>
  <si>
    <t>Glucose-6-phosphatase 3 (Fragment)</t>
  </si>
  <si>
    <t>Dephospho-CoA kinase domain-containing protein (Fragment)</t>
  </si>
  <si>
    <t>Protein Wiz</t>
  </si>
  <si>
    <t>Upstream stimulatory factor 2</t>
  </si>
  <si>
    <t>Kaptin (Fragment)</t>
  </si>
  <si>
    <t>Zinc finger protein 428 (Fragment)</t>
  </si>
  <si>
    <t>KxDL motif-containing protein 1</t>
  </si>
  <si>
    <t>Zinc finger CCCH domain-containing protein 4 (Fragment)</t>
  </si>
  <si>
    <t>Mpv17-like protein 2</t>
  </si>
  <si>
    <t>Tubulin beta-4A chain (Fragment)</t>
  </si>
  <si>
    <t>60S ribosomal protein L13a (Fragment)</t>
  </si>
  <si>
    <t>Protein Smaug homolog 2</t>
  </si>
  <si>
    <t>Reticulocalbin-3 (Fragment)</t>
  </si>
  <si>
    <t>Josephin-2 (Fragment)</t>
  </si>
  <si>
    <t>40S ribosomal protein S5 (Fragment)</t>
  </si>
  <si>
    <t>AP-2 complex subunit sigma</t>
  </si>
  <si>
    <t>Pregnancy-specific beta-1-glycoprotein 5</t>
  </si>
  <si>
    <t>ER membrane protein complex subunit 10</t>
  </si>
  <si>
    <t>Unconventional myosin-IXb (Fragment)</t>
  </si>
  <si>
    <t>Myotonin-protein kinase</t>
  </si>
  <si>
    <t>Fibronectin type III and SPRY domain-containing protein 1</t>
  </si>
  <si>
    <t>Prenylated Rab acceptor protein 1</t>
  </si>
  <si>
    <t>Alkyldihydroxyacetonephosphate synthase, peroxisomal</t>
  </si>
  <si>
    <t>Isoform 2 of Kinesin-like protein KIF2A</t>
  </si>
  <si>
    <t>ATP-dependent RNA helicase DDX39A</t>
  </si>
  <si>
    <t>PDZ and LIM domain protein 1</t>
  </si>
  <si>
    <t>Isoform 4 of Cytosolic acyl coenzyme A thioester hydrolase</t>
  </si>
  <si>
    <t>Isoform 3 of Unconventional myosin-Ic</t>
  </si>
  <si>
    <t>Synaptosomal-associated protein 23</t>
  </si>
  <si>
    <t>AH receptor-interacting protein</t>
  </si>
  <si>
    <t>GTP-binding protein 1</t>
  </si>
  <si>
    <t>Syntaxin-binding protein 3</t>
  </si>
  <si>
    <t>AP-3 complex subunit beta-1</t>
  </si>
  <si>
    <t>Isoform 2 of Amyloid beta A4 precursor protein-binding family B member 1</t>
  </si>
  <si>
    <t>Tumor necrosis factor receptor superfamily member 10A</t>
  </si>
  <si>
    <t>NF-kappa-B inhibitor epsilon</t>
  </si>
  <si>
    <t>26S proteasome non-ATPase regulatory subunit 11</t>
  </si>
  <si>
    <t>26S proteasome non-ATPase regulatory subunit 12</t>
  </si>
  <si>
    <t>Copper transport protein ATOX1</t>
  </si>
  <si>
    <t>Membrane-associated progesterone receptor component 1</t>
  </si>
  <si>
    <t>Isoform 2 of Transcription elongation factor SPT5</t>
  </si>
  <si>
    <t>DNA fragmentation factor subunit alpha</t>
  </si>
  <si>
    <t>Isoform DFF35 of DNA fragmentation factor subunit alpha</t>
  </si>
  <si>
    <t>Huntingtin-interacting protein 1</t>
  </si>
  <si>
    <t>Chloride intracellular channel protein 1</t>
  </si>
  <si>
    <t>Tumor necrosis factor receptor superfamily member 11B</t>
  </si>
  <si>
    <t>Isoform 2 of NEDD4-like E3 ubiquitin-protein ligase WWP2</t>
  </si>
  <si>
    <t>Pyruvate dehydrogenase protein X component, mitochondrial</t>
  </si>
  <si>
    <t>Sulfhydryl oxidase 1</t>
  </si>
  <si>
    <t>Dynactin subunit 6</t>
  </si>
  <si>
    <t>Acetyl-coenzyme A transporter 1</t>
  </si>
  <si>
    <t>Neural Wiskott-Aldrich syndrome protein</t>
  </si>
  <si>
    <t>Importin-5</t>
  </si>
  <si>
    <t>Eukaryotic elongation factor 2 kinase</t>
  </si>
  <si>
    <t>Dynamin-1-like protein</t>
  </si>
  <si>
    <t>Isoform 3 of Dynamin-1-like protein</t>
  </si>
  <si>
    <t>RNA 3-terminal phosphate cyclase</t>
  </si>
  <si>
    <t>Phosphatidylinositol 4-phosphate 3-kinase C2 domain-containing subunit alpha</t>
  </si>
  <si>
    <t>Phosphatidylinositol 3-kinase regulatory subunit beta</t>
  </si>
  <si>
    <t>Golgi integral membrane protein 4</t>
  </si>
  <si>
    <t>Beta-mannosidase</t>
  </si>
  <si>
    <t>Isoform 6 of Agrin</t>
  </si>
  <si>
    <t>Isoform 2 of Procollagen-lysine,2-oxoglutarate 5-dioxygenase 2</t>
  </si>
  <si>
    <t>Exocyst complex component 5</t>
  </si>
  <si>
    <t>High mobility group nucleosome-binding domain-containing protein 4</t>
  </si>
  <si>
    <t>NADH dehydrogenase [ubiquinone] 1 alpha subcomplex subunit 4</t>
  </si>
  <si>
    <t>26S proteasome non-ATPase regulatory subunit 14</t>
  </si>
  <si>
    <t>Zinc finger protein 593</t>
  </si>
  <si>
    <t>Isoform II2 of Myc box-dependent-interacting protein 1</t>
  </si>
  <si>
    <t>Importin subunit alpha-3</t>
  </si>
  <si>
    <t>Serine/threonine-protein kinase 25</t>
  </si>
  <si>
    <t>B-cell CLL/lymphoma 9 protein</t>
  </si>
  <si>
    <t>von Willebrand factor A domain-containing protein 5A</t>
  </si>
  <si>
    <t>Syntenin-1</t>
  </si>
  <si>
    <t>Nucleolar protein 56</t>
  </si>
  <si>
    <t>ATP-dependent RNA helicase DDX3X</t>
  </si>
  <si>
    <t>Protein CYR61</t>
  </si>
  <si>
    <t>Pirin</t>
  </si>
  <si>
    <t>Importin subunit alpha-4</t>
  </si>
  <si>
    <t>Tripartite motif-containing protein 38</t>
  </si>
  <si>
    <t>Serine/threonine-protein phosphatase 6 catalytic subunit</t>
  </si>
  <si>
    <t>Cocaine esterase</t>
  </si>
  <si>
    <t>Isoform 2 of Lysosomal alpha-mannosidase</t>
  </si>
  <si>
    <t>Pyridoxal kinase</t>
  </si>
  <si>
    <t>Lipid phosphate phosphohydrolase 3</t>
  </si>
  <si>
    <t>AT-rich interactive domain-containing protein 1A</t>
  </si>
  <si>
    <t>Immunoglobulin superfamily containing leucine-rich repeat protein</t>
  </si>
  <si>
    <t>Isoform 2 of Cyclin-dependent kinase 2-associated protein 1</t>
  </si>
  <si>
    <t>Isoform 2 of Transmembrane protein 194A</t>
  </si>
  <si>
    <t>Dihydropyrimidinase-related protein 4</t>
  </si>
  <si>
    <t>TRAF-type zinc finger domain-containing protein 1</t>
  </si>
  <si>
    <t>Heat shock protein beta-6</t>
  </si>
  <si>
    <t>Acyl carrier protein, mitochondrial</t>
  </si>
  <si>
    <t>Coatomer subunit epsilon</t>
  </si>
  <si>
    <t>Cdc42 effector protein 2</t>
  </si>
  <si>
    <t>Isoform 4 of AP-3 complex subunit delta-1</t>
  </si>
  <si>
    <t>Torsin-1A</t>
  </si>
  <si>
    <t>Torsin-1B</t>
  </si>
  <si>
    <t>Isoform A of Syntaxin-16</t>
  </si>
  <si>
    <t>Disintegrin and metalloproteinase domain-containing protein 10</t>
  </si>
  <si>
    <t>Histone-lysine N-methyltransferase MLL2</t>
  </si>
  <si>
    <t>Isoform 2 of Integrin beta-1-binding protein 1</t>
  </si>
  <si>
    <t>Acyl-coenzyme A thioesterase 8</t>
  </si>
  <si>
    <t>Programmed cell death protein 5</t>
  </si>
  <si>
    <t>Protein arginine N-methyltransferase 5</t>
  </si>
  <si>
    <t>Na(+)/H(+) exchange regulatory cofactor NHE-RF1</t>
  </si>
  <si>
    <t>17-beta-hydroxysteroid dehydrogenase type 6</t>
  </si>
  <si>
    <t>Isoform Short of Tumor necrosis factor receptor superfamily member 10B</t>
  </si>
  <si>
    <t>Fucose-1-phosphate guanylyltransferase</t>
  </si>
  <si>
    <t>Tripeptidyl-peptidase 1</t>
  </si>
  <si>
    <t>Isoform 2 of Transcription elongation regulator 1</t>
  </si>
  <si>
    <t>Isoform 2 of Transportin-2</t>
  </si>
  <si>
    <t>Ras-related protein M-Ras</t>
  </si>
  <si>
    <t>Proteasome subunit alpha type-7</t>
  </si>
  <si>
    <t>Secretory carrier-associated membrane protein 3</t>
  </si>
  <si>
    <t>5-oxoprolinase</t>
  </si>
  <si>
    <t>Transcription regulator protein BACH1</t>
  </si>
  <si>
    <t>Interferon-induced protein with tetratricopeptide repeats 3</t>
  </si>
  <si>
    <t>Tax1-binding protein 3</t>
  </si>
  <si>
    <t>PDZ domain-containing protein GIPC1</t>
  </si>
  <si>
    <t>Protein lin-7 homolog A</t>
  </si>
  <si>
    <t>Inhibitor of nuclear factor kappa-B kinase subunit beta</t>
  </si>
  <si>
    <t>Mitochondrial import inner membrane translocase subunit Tim23</t>
  </si>
  <si>
    <t>Histone acetyltransferase type B catalytic subunit</t>
  </si>
  <si>
    <t>Ubiquitin/ISG15-conjugating enzyme E2 L6</t>
  </si>
  <si>
    <t>Isoform 3 of Peripheral plasma membrane protein CASK</t>
  </si>
  <si>
    <t>Cytochrome b-c1 complex subunit 8</t>
  </si>
  <si>
    <t>Hepatocyte growth factor-regulated tyrosine kinase substrate</t>
  </si>
  <si>
    <t>Ras-related protein Rab-7L1</t>
  </si>
  <si>
    <t>Calmegin</t>
  </si>
  <si>
    <t>Protein phosphatase 1 regulatory subunit 12A</t>
  </si>
  <si>
    <t>Cyclin-G-associated kinase</t>
  </si>
  <si>
    <t>Heterogeneous nuclear ribonucleoprotein D-like</t>
  </si>
  <si>
    <t>Exportin-1</t>
  </si>
  <si>
    <t>TATA-binding protein-associated factor 172</t>
  </si>
  <si>
    <t>Isoform 5 of Protein transport protein Sec16A</t>
  </si>
  <si>
    <t>Plexin-B2</t>
  </si>
  <si>
    <t>Protein KHNYN</t>
  </si>
  <si>
    <t>Tectonin beta-propeller repeat-containing protein 2</t>
  </si>
  <si>
    <t>Synemin</t>
  </si>
  <si>
    <t>Uncharacterized protein KIAA0355</t>
  </si>
  <si>
    <t>Kinesin-like protein KIF3B</t>
  </si>
  <si>
    <t>Phosphoribosylformylglycinamidine synthase</t>
  </si>
  <si>
    <t>NAC-alpha domain-containing protein 1</t>
  </si>
  <si>
    <t>Rho guanine nucleotide exchange factor 11</t>
  </si>
  <si>
    <t>Inhibitor of nuclear factor kappa-B kinase subunit alpha</t>
  </si>
  <si>
    <t>U6 snRNA-associated Sm-like protein LSm1</t>
  </si>
  <si>
    <t>Niemann-Pick C1 protein</t>
  </si>
  <si>
    <t>1-acyl-sn-glycerol-3-phosphate acyltransferase beta</t>
  </si>
  <si>
    <t>Sphingolipid delta(4)-desaturase DES1</t>
  </si>
  <si>
    <t>Secretory carrier-associated membrane protein 1</t>
  </si>
  <si>
    <t>Secretory carrier-associated membrane protein 2</t>
  </si>
  <si>
    <t>Actin-related protein 2/3 complex subunit 1B</t>
  </si>
  <si>
    <t>Actin-related protein 2/3 complex subunit 2</t>
  </si>
  <si>
    <t>Actin-related protein 2/3 complex subunit 3</t>
  </si>
  <si>
    <t>BET1 homolog</t>
  </si>
  <si>
    <t>DNA-directed RNA polymerases I and III subunit RPAC1</t>
  </si>
  <si>
    <t>Membrane-associated progesterone receptor component 2</t>
  </si>
  <si>
    <t>Prefoldin subunit 6</t>
  </si>
  <si>
    <t>Glutathione S-transferase A4</t>
  </si>
  <si>
    <t>Dihydroxyacetone phosphate acyltransferase</t>
  </si>
  <si>
    <t>Protein CASC3</t>
  </si>
  <si>
    <t>Neurosecretory protein VGF</t>
  </si>
  <si>
    <t>Chloride intracellular channel protein 2</t>
  </si>
  <si>
    <t>Isoform 2 of Peroxisomal acyl-coenzyme A oxidase 3</t>
  </si>
  <si>
    <t>Protein RER1</t>
  </si>
  <si>
    <t>Serine palmitoyltransferase 1</t>
  </si>
  <si>
    <t>Serine palmitoyltransferase 2</t>
  </si>
  <si>
    <t>Isoform 1 of UDP-N-acetylglucosamine--peptide N-acetylglucosaminyltransferase 110 kDa subunit</t>
  </si>
  <si>
    <t>Phosphomannomutase 2</t>
  </si>
  <si>
    <t>Type II inositol 3,4-bisphosphate 4-phosphatase</t>
  </si>
  <si>
    <t>Midline-1</t>
  </si>
  <si>
    <t>High mobility group protein B3</t>
  </si>
  <si>
    <t>Protein phosphatase 1G</t>
  </si>
  <si>
    <t>Phosphatidylinositol 3,4,5-trisphosphate 5-phosphatase 2</t>
  </si>
  <si>
    <t>Branched-chain-amino-acid aminotransferase, mitochondrial</t>
  </si>
  <si>
    <t>Neural cell adhesion molecule 2</t>
  </si>
  <si>
    <t>Importin-8</t>
  </si>
  <si>
    <t>Isoform 2 of Syntaxin-7</t>
  </si>
  <si>
    <t>Monocarboxylate transporter 7</t>
  </si>
  <si>
    <t>Monocarboxylate transporter 4</t>
  </si>
  <si>
    <t>High affinity copper uptake protein 1</t>
  </si>
  <si>
    <t>Isoform 2 of Multidrug resistance-associated protein 4</t>
  </si>
  <si>
    <t>DNA-directed RNA polymerase I subunit RPA34</t>
  </si>
  <si>
    <t>Prolyl 4-hydroxylase subunit alpha-2</t>
  </si>
  <si>
    <t>Isoform IIa of Prolyl 4-hydroxylase subunit alpha-2</t>
  </si>
  <si>
    <t>Synaptobrevin homolog YKT6</t>
  </si>
  <si>
    <t>Actin-related protein 2/3 complex subunit 5</t>
  </si>
  <si>
    <t>DNA-directed RNA polymerase II subunit RPB4</t>
  </si>
  <si>
    <t>RING finger protein 113A</t>
  </si>
  <si>
    <t>Putative pre-mRNA-splicing factor ATP-dependent RNA helicase DHX15</t>
  </si>
  <si>
    <t>mRNA cap guanine-N7 methyltransferase</t>
  </si>
  <si>
    <t>Leucine-rich repeat transmembrane protein FLRT2</t>
  </si>
  <si>
    <t>Isoform 2 of Plexin-B1</t>
  </si>
  <si>
    <t>Isoform 2 of E3 ubiquitin-protein ligase Praja-2</t>
  </si>
  <si>
    <t>Isoform 2 of U4/U6 small nuclear ribonucleoprotein Prp4</t>
  </si>
  <si>
    <t>D-3-phosphoglycerate dehydrogenase</t>
  </si>
  <si>
    <t>NADH dehydrogenase [ubiquinone] iron-sulfur protein 4, mitochondrial</t>
  </si>
  <si>
    <t>Isoform 4 of Rho GTPase-activating protein 6</t>
  </si>
  <si>
    <t>Isoform 3 of Disintegrin and metalloproteinase domain-containing protein 12</t>
  </si>
  <si>
    <t>Cytoplasmic dynein 1 light intermediate chain 2</t>
  </si>
  <si>
    <t>26S proteasome non-ATPase regulatory subunit 3</t>
  </si>
  <si>
    <t>Bifunctional 3-phosphoadenosine 5-phosphosulfate synthase 1</t>
  </si>
  <si>
    <t>Embryonal Fyn-associated substrate</t>
  </si>
  <si>
    <t>U4/U6.U5 tri-snRNP-associated protein 1</t>
  </si>
  <si>
    <t>Death-associated protein kinase 3</t>
  </si>
  <si>
    <t>Isoform 2 of Transforming growth factor beta-1-induced transcript 1 protein</t>
  </si>
  <si>
    <t>AP-5 complex subunit zeta-1</t>
  </si>
  <si>
    <t>Heat shock 70 kDa protein 12A</t>
  </si>
  <si>
    <t>CBP80/20-dependent translation initiation factor</t>
  </si>
  <si>
    <t>Isoform 2 of Inositol hexakisphosphate and diphosphoinositol-pentakisphosphate kinase 2</t>
  </si>
  <si>
    <t>Isoform 1A of Mitogen-activated protein kinase kinase kinase 7</t>
  </si>
  <si>
    <t>LYR motif-containing protein 1</t>
  </si>
  <si>
    <t>Receptor-interacting serine/threonine-protein kinase 2</t>
  </si>
  <si>
    <t>Thioredoxin-like protein 1</t>
  </si>
  <si>
    <t>Tumor protein D54</t>
  </si>
  <si>
    <t>ER membrane protein complex subunit 8</t>
  </si>
  <si>
    <t>Isoform 3 of Serine protease HTRA2, mitochondrial</t>
  </si>
  <si>
    <t>Aflatoxin B1 aldehyde reductase member 2</t>
  </si>
  <si>
    <t>Isoform TGN46 of Trans-Golgi network integral membrane protein 2</t>
  </si>
  <si>
    <t>Ragulator complex protein LAMTOR5</t>
  </si>
  <si>
    <t>N-acetyllactosaminide beta-1,3-N-acetylglucosaminyltransferase</t>
  </si>
  <si>
    <t>Mediator of RNA polymerase II transcription subunit 7</t>
  </si>
  <si>
    <t>WAS/WASL-interacting protein family member 1</t>
  </si>
  <si>
    <t>Probable phospholipid-transporting ATPase IC</t>
  </si>
  <si>
    <t>Forkhead box protein O3</t>
  </si>
  <si>
    <t>E3 ubiquitin-protein ligase RNF13</t>
  </si>
  <si>
    <t>Density-regulated protein</t>
  </si>
  <si>
    <t>Exportin-T</t>
  </si>
  <si>
    <t>2-deoxynucleoside 5-phosphate N-hydrolase 1</t>
  </si>
  <si>
    <t>Mitochondrial import inner membrane translocase subunit TIM44</t>
  </si>
  <si>
    <t>Trafficking protein particle complex subunit 3</t>
  </si>
  <si>
    <t>Isoform 2 of Trafficking protein particle complex subunit 3</t>
  </si>
  <si>
    <t>Charged multivesicular body protein 2a</t>
  </si>
  <si>
    <t>Cytoplasmic protein NCK2</t>
  </si>
  <si>
    <t>Tetraspanin-6</t>
  </si>
  <si>
    <t>Isoform 2 of Regulator of G-protein signaling 10</t>
  </si>
  <si>
    <t>NADH dehydrogenase [ubiquinone] 1 beta subcomplex subunit 3</t>
  </si>
  <si>
    <t>NADH dehydrogenase [ubiquinone] 1 subunit C1, mitochondrial</t>
  </si>
  <si>
    <t>NADH dehydrogenase [ubiquinone] 1 alpha subcomplex subunit 2</t>
  </si>
  <si>
    <t>ATPase ASNA1</t>
  </si>
  <si>
    <t>Mitotic checkpoint protein BUB3</t>
  </si>
  <si>
    <t>Alpha-actinin-4</t>
  </si>
  <si>
    <t>TP53-regulated inhibitor of apoptosis 1</t>
  </si>
  <si>
    <t>HIV Tat-specific factor 1</t>
  </si>
  <si>
    <t>Isoform 2 of Cytohesin-3</t>
  </si>
  <si>
    <t>Syntaxin-6</t>
  </si>
  <si>
    <t>Synaptogyrin-2</t>
  </si>
  <si>
    <t>Small glutamine-rich tetratricopeptide repeat-containing protein alpha</t>
  </si>
  <si>
    <t>Isoform 2 of Lipoyl synthase, mitochondrial</t>
  </si>
  <si>
    <t>Isoform 2 of Alpha-endosulfine</t>
  </si>
  <si>
    <t>Mitochondrial carnitine/acylcarnitine carrier protein</t>
  </si>
  <si>
    <t>Sjoegren syndrome nuclear autoantigen 1</t>
  </si>
  <si>
    <t>Cleavage and polyadenylation specificity factor subunit 5</t>
  </si>
  <si>
    <t>LanC-like protein 1</t>
  </si>
  <si>
    <t>Striatin</t>
  </si>
  <si>
    <t>U3 small nucleolar RNA-interacting protein 2</t>
  </si>
  <si>
    <t>Protein SCO2 homolog, mitochondrial</t>
  </si>
  <si>
    <t>Isoform 4 of Hyaluronidase-3</t>
  </si>
  <si>
    <t>Glucose-6-phosphate translocase</t>
  </si>
  <si>
    <t>Isocitrate dehydrogenase [NAD] subunit beta, mitochondrial</t>
  </si>
  <si>
    <t>Calumenin</t>
  </si>
  <si>
    <t>Isoform 15 of Calumenin</t>
  </si>
  <si>
    <t>Isoform 2 of Calumenin</t>
  </si>
  <si>
    <t>Isoform 2 of EGF-like repeat and discoidin I-like domain-containing protein 3</t>
  </si>
  <si>
    <t>Putative adenosylhomocysteinase 2</t>
  </si>
  <si>
    <t>Kinesin-like protein KIF1C</t>
  </si>
  <si>
    <t>Vascular endothelial growth factor D</t>
  </si>
  <si>
    <t>NADH dehydrogenase [ubiquinone] iron-sulfur protein 5</t>
  </si>
  <si>
    <t>Retinal rod rhodopsin-sensitive cGMP 3,5-cyclic phosphodiesterase subunit delta</t>
  </si>
  <si>
    <t>Mitochondrial import inner membrane translocase subunit Tim8 A</t>
  </si>
  <si>
    <t>Glia maturation factor gamma</t>
  </si>
  <si>
    <t>SH3 domain-binding protein 5</t>
  </si>
  <si>
    <t>Phosphoribosyl pyrophosphate synthase-associated protein 2</t>
  </si>
  <si>
    <t>Guanine nucleotide-binding protein G(I)/G(S)/G(O) subunit gamma-7</t>
  </si>
  <si>
    <t>Isoform 4 of C-Jun-amino-terminal kinase-interacting protein 4</t>
  </si>
  <si>
    <t>Isoform 6 of C-Jun-amino-terminal kinase-interacting protein 4</t>
  </si>
  <si>
    <t>Isoform 2 of Dynamin-like 120 kDa protein, mitochondrial</t>
  </si>
  <si>
    <t>Isoform 4 of Phosphatidylinositol 4-phosphate 5-kinase type-1 gamma</t>
  </si>
  <si>
    <t>Isoform 2 of Kinesin-like protein KIF1B</t>
  </si>
  <si>
    <t>Isoform 2 of TBC1 domain family member 4</t>
  </si>
  <si>
    <t>Isoform 2 of Frizzled-6</t>
  </si>
  <si>
    <t>Nuclear protein 1</t>
  </si>
  <si>
    <t>Putative nucleoside diphosphate kinase</t>
  </si>
  <si>
    <t>Fatty acid desaturase 1</t>
  </si>
  <si>
    <t>Non-syndromic hearing impairment protein 5</t>
  </si>
  <si>
    <t>Isoform 3 of Lymphocyte antigen 75</t>
  </si>
  <si>
    <t>Mannosyl-oligosaccharide 1,2-alpha-mannosidase IB</t>
  </si>
  <si>
    <t>Isoform Short of Long-chain-fatty-acid--CoA ligase 4</t>
  </si>
  <si>
    <t>Sorting nexin-3</t>
  </si>
  <si>
    <t>Bifunctional protein NCOAT</t>
  </si>
  <si>
    <t>Adenylate cyclase type 9</t>
  </si>
  <si>
    <t>Isoform Beta of Vinexin</t>
  </si>
  <si>
    <t>Isoform 4 of Heterogeneous nuclear ribonucleoprotein Q</t>
  </si>
  <si>
    <t>Protein-tyrosine sulfotransferase 1</t>
  </si>
  <si>
    <t>Beta-1,4-galactosyltransferase 4</t>
  </si>
  <si>
    <t>Isoform 4 of Nuclear export mediator factor NEMF</t>
  </si>
  <si>
    <t>Isoform 2 of GDP-mannose 4,6 dehydratase</t>
  </si>
  <si>
    <t>Glycylpeptide N-tetradecanoyltransferase 2</t>
  </si>
  <si>
    <t>Isoform 2 of Gremlin-1</t>
  </si>
  <si>
    <t>Procollagen-lysine,2-oxoglutarate 5-dioxygenase 3</t>
  </si>
  <si>
    <t>15 kDa selenoprotein</t>
  </si>
  <si>
    <t>Isoform 3 of Tetraspanin-3</t>
  </si>
  <si>
    <t>Isoform 2 of Perilipin-3</t>
  </si>
  <si>
    <t>Cell cycle checkpoint protein RAD1</t>
  </si>
  <si>
    <t>UDP-glucose 6-dehydrogenase</t>
  </si>
  <si>
    <t>Protein-tyrosine sulfotransferase 2</t>
  </si>
  <si>
    <t>Leupaxin</t>
  </si>
  <si>
    <t>Isoform 1A of Catenin delta-1</t>
  </si>
  <si>
    <t>General vesicular transport factor p115</t>
  </si>
  <si>
    <t>Polyglutamine-binding protein 1</t>
  </si>
  <si>
    <t>Mitochondrial import inner membrane translocase subunit Tim17-B</t>
  </si>
  <si>
    <t>PRA1 family protein 2</t>
  </si>
  <si>
    <t>Eukaryotic translation initiation factor 5B</t>
  </si>
  <si>
    <t>Endothelial differentiation-related factor 1</t>
  </si>
  <si>
    <t>DnaJ homolog subfamily A member 2</t>
  </si>
  <si>
    <t>Bromodomain-containing protein 4</t>
  </si>
  <si>
    <t>Isoform C of Protein CutA</t>
  </si>
  <si>
    <t>Prefoldin subunit 1</t>
  </si>
  <si>
    <t>Protein phosphatase 1 regulatory subunit 11</t>
  </si>
  <si>
    <t>Nibrin</t>
  </si>
  <si>
    <t>ATP-binding cassette sub-family B member 7, mitochondrial</t>
  </si>
  <si>
    <t>Isoform 3 of Kinesin-like protein KIF21B</t>
  </si>
  <si>
    <t>SLIT-ROBO Rho GTPase-activating protein 2</t>
  </si>
  <si>
    <t>Glycosaminoglycan xylosylkinase</t>
  </si>
  <si>
    <t>EF-hand calcium-binding domain-containing protein 14</t>
  </si>
  <si>
    <t>WD repeat-containing protein 1</t>
  </si>
  <si>
    <t>Frizzled-7</t>
  </si>
  <si>
    <t>Isoform 2 of Multiple epidermal growth factor-like domains protein 6</t>
  </si>
  <si>
    <t>Probable phospholipid-transporting ATPase IIA</t>
  </si>
  <si>
    <t>NEDD4-binding protein 1</t>
  </si>
  <si>
    <t>Rho-associated protein kinase 2</t>
  </si>
  <si>
    <t>Copine-3</t>
  </si>
  <si>
    <t>Isoform 2 of Autophagy-related protein 13</t>
  </si>
  <si>
    <t>Huntingtin-interacting protein 1-related protein</t>
  </si>
  <si>
    <t>Isoform 3 of E3 ubiquitin-protein ligase BRE1B</t>
  </si>
  <si>
    <t>Cullin-associated NEDD8-dissociated protein 2</t>
  </si>
  <si>
    <t>Isoform 2 of TSC22 domain family protein 2</t>
  </si>
  <si>
    <t>DnaJ homolog subfamily C member 13</t>
  </si>
  <si>
    <t>Isoform 4 of Serine/threonine-protein phosphatase 6 regulatory subunit 2</t>
  </si>
  <si>
    <t>Isoform 2 of CCR4-NOT transcription complex subunit 3</t>
  </si>
  <si>
    <t>Calcium-responsive transactivator</t>
  </si>
  <si>
    <t>Isoform 2 of Ankyrin repeat domain-containing protein 17</t>
  </si>
  <si>
    <t>Xylulose kinase</t>
  </si>
  <si>
    <t>Ubiquinone biosynthesis protein COQ9, mitochondrial</t>
  </si>
  <si>
    <t>Gamma-glutamylcyclotransferase</t>
  </si>
  <si>
    <t>Isoform RTN2-B of Reticulon-2</t>
  </si>
  <si>
    <t>Zinc finger protein ZPR1</t>
  </si>
  <si>
    <t>Protein NipSnap homolog 2</t>
  </si>
  <si>
    <t>Semaphorin-7A</t>
  </si>
  <si>
    <t>Programmed cell death protein 6</t>
  </si>
  <si>
    <t>Tubulin-specific chaperone A</t>
  </si>
  <si>
    <t>V-type proton ATPase subunit G 1</t>
  </si>
  <si>
    <t>Vacuolar protein sorting-associated protein 4B</t>
  </si>
  <si>
    <t>Ectonucleoside triphosphate diphosphohydrolase 5</t>
  </si>
  <si>
    <t>SH3 domain-binding glutamic acid-rich-like protein</t>
  </si>
  <si>
    <t>Isoform 8 of Filamin-B</t>
  </si>
  <si>
    <t>Isoform 2 of Nuclear receptor corepressor 1</t>
  </si>
  <si>
    <t>Vesicle-associated membrane protein 4</t>
  </si>
  <si>
    <t>NADH dehydrogenase [ubiquinone] iron-sulfur protein 6, mitochondrial</t>
  </si>
  <si>
    <t>Isoform 2 of Peroxisomal membrane protein PEX14</t>
  </si>
  <si>
    <t>Tubby-related protein 3</t>
  </si>
  <si>
    <t>Sperm-associated antigen 7</t>
  </si>
  <si>
    <t>Vesicle-trafficking protein SEC22b</t>
  </si>
  <si>
    <t>Isoform 2 of Pre-mRNA-processing factor 40 homolog A</t>
  </si>
  <si>
    <t>PERQ amino acid-rich with GYF domain-containing protein 1</t>
  </si>
  <si>
    <t>Leucine-rich repeat and calponin homology domain-containing protein 4</t>
  </si>
  <si>
    <t>Vacuolar protein sorting-associated protein 26A</t>
  </si>
  <si>
    <t>NADH dehydrogenase [ubiquinone] 1 beta subcomplex subunit 1</t>
  </si>
  <si>
    <t>Mitochondrial-processing peptidase subunit beta</t>
  </si>
  <si>
    <t>Serine/threonine-protein kinase/endoribonuclease IRE1</t>
  </si>
  <si>
    <t>PC4 and SFRS1-interacting protein</t>
  </si>
  <si>
    <t>NADH dehydrogenase [ubiquinone] iron-sulfur protein 3, mitochondrial</t>
  </si>
  <si>
    <t>Ceroid-lipofuscinosis neuronal protein 5</t>
  </si>
  <si>
    <t>Heat shock factor-binding protein 1</t>
  </si>
  <si>
    <t>Isoform 2 of Enoyl-CoA delta isomerase 2, mitochondrial</t>
  </si>
  <si>
    <t>Barrier-to-autointegration factor</t>
  </si>
  <si>
    <t>Splicing factor 3B subunit 1</t>
  </si>
  <si>
    <t>Cold shock domain-containing protein E1</t>
  </si>
  <si>
    <t>2-amino-3-ketobutyrate coenzyme A ligase, mitochondrial</t>
  </si>
  <si>
    <t>Nucleoplasmin-3</t>
  </si>
  <si>
    <t>Isoform 2 of Acyl-protein thioesterase 1</t>
  </si>
  <si>
    <t>Isoform 2 of Serpin B7</t>
  </si>
  <si>
    <t>Mitochondrial tRNA-specific 2-thiouridylase 1</t>
  </si>
  <si>
    <t>TIP41-like protein</t>
  </si>
  <si>
    <t>Protein phosphatase 1B</t>
  </si>
  <si>
    <t>Arf-GAP with dual PH domain-containing protein 1</t>
  </si>
  <si>
    <t>Protein XRP2</t>
  </si>
  <si>
    <t>Cartilage-associated protein</t>
  </si>
  <si>
    <t>Calcium-binding mitochondrial carrier protein Aralar1</t>
  </si>
  <si>
    <t>Paralemmin-1</t>
  </si>
  <si>
    <t>Cell division cycle protein 123 homolog</t>
  </si>
  <si>
    <t>Isoform 3 of Breast cancer anti-estrogen resistance protein 3</t>
  </si>
  <si>
    <t>Isoform 2 of Ribonuclease P protein subunit p40</t>
  </si>
  <si>
    <t>Eukaryotic translation initiation factor 3 subunit G</t>
  </si>
  <si>
    <t>Eukaryotic translation initiation factor 3 subunit J</t>
  </si>
  <si>
    <t>Carbonyl reductase [NADPH] 3</t>
  </si>
  <si>
    <t>26S proteasome non-ATPase regulatory subunit 10</t>
  </si>
  <si>
    <t>CAAX prenyl protease 1 homolog</t>
  </si>
  <si>
    <t>Trafficking protein particle complex subunit 6A</t>
  </si>
  <si>
    <t>Isocitrate dehydrogenase [NADP] cytoplasmic</t>
  </si>
  <si>
    <t>Attractin</t>
  </si>
  <si>
    <t>Putative hydrolase RBBP9</t>
  </si>
  <si>
    <t>Signal transducing adapter molecule 2</t>
  </si>
  <si>
    <t>Cytosolic 10-formyltetrahydrofolate dehydrogenase</t>
  </si>
  <si>
    <t>Tumor suppressor candidate 2</t>
  </si>
  <si>
    <t>Short-chain dehydrogenase/reductase 3</t>
  </si>
  <si>
    <t>Isoform 2 of Serine/threonine-protein kinase PAK 3</t>
  </si>
  <si>
    <t>PRA1 family protein 3</t>
  </si>
  <si>
    <t>Pre-mRNA-splicing factor SPF27</t>
  </si>
  <si>
    <t>Dynactin subunit 3</t>
  </si>
  <si>
    <t>DnaJ homolog subfamily C member 8</t>
  </si>
  <si>
    <t>Survival of motor neuron-related-splicing factor 30</t>
  </si>
  <si>
    <t>ATP synthase subunit d, mitochondrial</t>
  </si>
  <si>
    <t>Flotillin-1</t>
  </si>
  <si>
    <t>Isoform 4 of Triple functional domain protein</t>
  </si>
  <si>
    <t>ATP synthase subunit g, mitochondrial</t>
  </si>
  <si>
    <t>Carboxypeptidase D</t>
  </si>
  <si>
    <t>Glutaredoxin-3</t>
  </si>
  <si>
    <t>Wolframin</t>
  </si>
  <si>
    <t>ATP-dependent Clp protease ATP-binding subunit clpX-like, mitochondrial</t>
  </si>
  <si>
    <t>SEC14-like protein 2</t>
  </si>
  <si>
    <t>Stanniocalcin-2</t>
  </si>
  <si>
    <t>Gamma-synuclein</t>
  </si>
  <si>
    <t>Probable cytosolic iron-sulfur protein assembly protein CIAO1</t>
  </si>
  <si>
    <t>cGMP-specific 3,5-cyclic phosphodiesterase</t>
  </si>
  <si>
    <t>AN1-type zinc finger protein 5</t>
  </si>
  <si>
    <t>Isoform 2 of Protein JTB</t>
  </si>
  <si>
    <t>N(G),N(G)-dimethylarginine dimethylaminohydrolase 1</t>
  </si>
  <si>
    <t>Unconventional prefoldin RPB5 interactor 1</t>
  </si>
  <si>
    <t>Galactosylgalactosylxylosylprotein 3-beta-glucuronosyltransferase 3</t>
  </si>
  <si>
    <t>Serine/threonine-protein kinase 10</t>
  </si>
  <si>
    <t>Mitochondrial import receptor subunit TOM70</t>
  </si>
  <si>
    <t>Importin-13</t>
  </si>
  <si>
    <t>Phospholipase DDHD2</t>
  </si>
  <si>
    <t>Unconventional myosin-Id</t>
  </si>
  <si>
    <t>Isoform 5 of Protein-methionine sulfoxide oxidase MICAL2</t>
  </si>
  <si>
    <t>Isoform 2 of Uncharacterized protein KIAA0754</t>
  </si>
  <si>
    <t>Protein transport protein Sec24D</t>
  </si>
  <si>
    <t>Isoform 9 of Neurofascin</t>
  </si>
  <si>
    <t>Isoform 2 of STAGA complex 65 subunit gamma</t>
  </si>
  <si>
    <t>E3 UFM1-protein ligase 1</t>
  </si>
  <si>
    <t>SAM and SH3 domain-containing protein 1</t>
  </si>
  <si>
    <t>Transmembrane protein 63A</t>
  </si>
  <si>
    <t>UBX domain-containing protein 7</t>
  </si>
  <si>
    <t>Kelch-like protein 18</t>
  </si>
  <si>
    <t>Proline synthase co-transcribed bacterial homolog protein</t>
  </si>
  <si>
    <t>Erlin-2</t>
  </si>
  <si>
    <t>Endonuclease domain-containing 1 protein</t>
  </si>
  <si>
    <t>Cyclin-dependent kinase 14</t>
  </si>
  <si>
    <t>Isoform 7 of Ubiquitin carboxyl-terminal hydrolase 19</t>
  </si>
  <si>
    <t>Isoform 2 of WD repeat-containing protein 47</t>
  </si>
  <si>
    <t>AP-2 complex subunit alpha-2</t>
  </si>
  <si>
    <t>Protein HEXIM1</t>
  </si>
  <si>
    <t>Isoform 2 of Indolethylamine N-methyltransferase</t>
  </si>
  <si>
    <t>GTP-binding protein Di-Ras1</t>
  </si>
  <si>
    <t>Arf-GAP domain and FG repeat-containing protein 2</t>
  </si>
  <si>
    <t>Serine protease 23</t>
  </si>
  <si>
    <t>Isoform 2 of Splicing factor, arginine/serine-rich 15</t>
  </si>
  <si>
    <t>Sphingosine 1-phosphate receptor 2</t>
  </si>
  <si>
    <t>NADH dehydrogenase [ubiquinone] 1 beta subcomplex subunit 6</t>
  </si>
  <si>
    <t>Mitofusin-2</t>
  </si>
  <si>
    <t>Isoform 2 of Ubiquitin conjugation factor E4 B</t>
  </si>
  <si>
    <t>Zinc finger protein-like 1</t>
  </si>
  <si>
    <t>NADH dehydrogenase [ubiquinone] 1 alpha subcomplex subunit 3</t>
  </si>
  <si>
    <t>NADH dehydrogenase [ubiquinone] 1 alpha subcomplex subunit 7</t>
  </si>
  <si>
    <t>Vesicle-associated membrane protein 5</t>
  </si>
  <si>
    <t>Isoform 2 of Reticulon-3</t>
  </si>
  <si>
    <t>LETM1 and EF-hand domain-containing protein 1, mitochondrial</t>
  </si>
  <si>
    <t>Isoform 3 of Protocadherin-8</t>
  </si>
  <si>
    <t>Isoform 2 of Zinc finger Ran-binding domain-containing protein 2</t>
  </si>
  <si>
    <t>Sorting nexin-4</t>
  </si>
  <si>
    <t>Homeobox protein VENTX</t>
  </si>
  <si>
    <t>Cyclin-D1-binding protein 1</t>
  </si>
  <si>
    <t>Vesicle-associated membrane protein-associated protein B/C</t>
  </si>
  <si>
    <t>SNARE-associated protein Snapin</t>
  </si>
  <si>
    <t>Isoform 2 of Myelin protein zero-like protein 1</t>
  </si>
  <si>
    <t>Isoform 4 of NADH dehydrogenase [ubiquinone] 1 subunit C2</t>
  </si>
  <si>
    <t>Peptidyl-prolyl cis-trans isomerase FKBP9</t>
  </si>
  <si>
    <t>6-phosphogluconolactonase</t>
  </si>
  <si>
    <t>Ubiquitin-like modifier-activating enzyme ATG7</t>
  </si>
  <si>
    <t>Tripartite motif-containing protein 16</t>
  </si>
  <si>
    <t>Zinc finger and BTB domain-containing protein 7A</t>
  </si>
  <si>
    <t>Acyl-protein thioesterase 2</t>
  </si>
  <si>
    <t>Importin-7</t>
  </si>
  <si>
    <t>E3 ubiquitin-protein ligase ARIH2</t>
  </si>
  <si>
    <t>WNT1-inducible-signaling pathway protein 1</t>
  </si>
  <si>
    <t>Isoform 2 of Phosphoacetylglucosamine mutase</t>
  </si>
  <si>
    <t>Adenylyltransferase and sulfurtransferase MOCS3</t>
  </si>
  <si>
    <t>CD2 antigen cytoplasmic tail-binding protein 2</t>
  </si>
  <si>
    <t>Zinc finger FYVE domain-containing protein 9</t>
  </si>
  <si>
    <t>Supervillin</t>
  </si>
  <si>
    <t>Isoform 2 of BAG family molecular chaperone regulator 4</t>
  </si>
  <si>
    <t>Activator of 90 kDa heat shock protein ATPase homolog 1</t>
  </si>
  <si>
    <t>A disintegrin and metalloproteinase with thrombospondin motifs 2</t>
  </si>
  <si>
    <t>Isoform 2 of Poly(A)-specific ribonuclease PARN</t>
  </si>
  <si>
    <t>Proteasome assembly chaperone 1</t>
  </si>
  <si>
    <t>Sphingosine-1-phosphate lyase 1</t>
  </si>
  <si>
    <t>Protein transport protein Sec24A</t>
  </si>
  <si>
    <t>Isoform 2 of Protein transport protein Sec24B</t>
  </si>
  <si>
    <t>Solute carrier family 2, facilitated glucose transporter member 10</t>
  </si>
  <si>
    <t>NAD kinase</t>
  </si>
  <si>
    <t>Tyrosyl-DNA phosphodiesterase 2</t>
  </si>
  <si>
    <t>Protein ETHE1, mitochondrial</t>
  </si>
  <si>
    <t>Long-chain-fatty-acid--CoA ligase 3</t>
  </si>
  <si>
    <t>Isoform 3 of CCR4-NOT transcription complex subunit 4</t>
  </si>
  <si>
    <t>STAM-binding protein</t>
  </si>
  <si>
    <t>Isoform 2 of N-acetylserotonin O-methyltransferase-like protein</t>
  </si>
  <si>
    <t>Phosphatidate cytidylyltransferase 2</t>
  </si>
  <si>
    <t>FGFR1 oncogene partner</t>
  </si>
  <si>
    <t>Ras-related protein Rab-3D</t>
  </si>
  <si>
    <t>Synaptosomal-associated protein 29</t>
  </si>
  <si>
    <t>Serine/threonine-protein kinase OSR1</t>
  </si>
  <si>
    <t>Geranylgeranyl pyrophosphate synthase</t>
  </si>
  <si>
    <t>N-alpha-acetyltransferase 38, NatC auxiliary subunit</t>
  </si>
  <si>
    <t>Isoform B of AP-2 complex subunit alpha-1</t>
  </si>
  <si>
    <t>Probable ATP-dependent RNA helicase DDX58</t>
  </si>
  <si>
    <t>Tetratricopeptide repeat protein 4</t>
  </si>
  <si>
    <t>Transmembrane protein 50A</t>
  </si>
  <si>
    <t>Serum deprivation-response protein</t>
  </si>
  <si>
    <t>BAG family molecular chaperone regulator 2</t>
  </si>
  <si>
    <t>BAG family molecular chaperone regulator 3</t>
  </si>
  <si>
    <t>Quinone oxidoreductase-like protein 1</t>
  </si>
  <si>
    <t>Isoform 3 of Apoptosis-inducing factor 1, mitochondrial</t>
  </si>
  <si>
    <t>Chloride intracellular channel protein 3</t>
  </si>
  <si>
    <t>Echinoderm microtubule-associated protein-like 2</t>
  </si>
  <si>
    <t>Uridine diphosphate glucose pyrophosphatase</t>
  </si>
  <si>
    <t>Tetraspanin-13</t>
  </si>
  <si>
    <t>Fatty acid desaturase 2</t>
  </si>
  <si>
    <t>N(G),N(G)-dimethylarginine dimethylaminohydrolase 2</t>
  </si>
  <si>
    <t>Uncharacterized protein C6orf47</t>
  </si>
  <si>
    <t>Thioredoxin domain-containing protein 12</t>
  </si>
  <si>
    <t>Protein SGT1</t>
  </si>
  <si>
    <t>Pre-mRNA-splicing factor SYF2</t>
  </si>
  <si>
    <t>Integrin beta-like protein 1</t>
  </si>
  <si>
    <t>Reversion-inducing cysteine-rich protein with Kazal motifs</t>
  </si>
  <si>
    <t>Diphosphoinositol polyphosphate phosphohydrolase 1</t>
  </si>
  <si>
    <t>B-cell lymphoma/leukemia 10</t>
  </si>
  <si>
    <t>NADH dehydrogenase [ubiquinone] 1 beta subcomplex subunit 10</t>
  </si>
  <si>
    <t>Molybdopterin synthase catalytic subunit</t>
  </si>
  <si>
    <t>Mitochondrial import receptor subunit TOM40 homolog</t>
  </si>
  <si>
    <t>Peroxisomal membrane protein 11B</t>
  </si>
  <si>
    <t>Serine/threonine-protein kinase PAK 4</t>
  </si>
  <si>
    <t>Serine/threonine-protein kinase Chk2</t>
  </si>
  <si>
    <t>Actin-like protein 6A</t>
  </si>
  <si>
    <t>Molybdopterin synthase sulfur carrier subunit</t>
  </si>
  <si>
    <t>Isoform 2 of Cytochrome b5</t>
  </si>
  <si>
    <t>Alcohol dehydrogenase 1B</t>
  </si>
  <si>
    <t>L-lactate dehydrogenase A chain</t>
  </si>
  <si>
    <t>Retinal dehydrogenase 1</t>
  </si>
  <si>
    <t>Glutamate dehydrogenase 1, mitochondrial</t>
  </si>
  <si>
    <t>Isoform 2 of NADH-cytochrome b5 reductase 3</t>
  </si>
  <si>
    <t>Isoform Cytoplasmic of Glutathione reductase, mitochondrial</t>
  </si>
  <si>
    <t>Cytochrome c oxidase subunit 2</t>
  </si>
  <si>
    <t>Superoxide dismutase [Cu-Zn]</t>
  </si>
  <si>
    <t>Purine nucleoside phosphorylase</t>
  </si>
  <si>
    <t>Hypoxanthine-guanine phosphoribosyltransferase</t>
  </si>
  <si>
    <t>Aspartate aminotransferase, mitochondrial</t>
  </si>
  <si>
    <t>Tyrosine-protein kinase ABL1</t>
  </si>
  <si>
    <t>Epidermal growth factor receptor</t>
  </si>
  <si>
    <t>Phosphoglycerate kinase 1</t>
  </si>
  <si>
    <t>Complement C1r subcomponent</t>
  </si>
  <si>
    <t>Haptoglobin</t>
  </si>
  <si>
    <t>Adenosine deaminase</t>
  </si>
  <si>
    <t>Argininosuccinate synthase</t>
  </si>
  <si>
    <t>Alpha-2-macroglobulin</t>
  </si>
  <si>
    <t>Cystatin-C</t>
  </si>
  <si>
    <t>GTPase NRas</t>
  </si>
  <si>
    <t>GTPase HRas</t>
  </si>
  <si>
    <t>Isoform 2B of GTPase KRas</t>
  </si>
  <si>
    <t>Transforming growth factor beta-1</t>
  </si>
  <si>
    <t>Collagen alpha-1(I) chain</t>
  </si>
  <si>
    <t>Collagen alpha-1(II) chain</t>
  </si>
  <si>
    <t>Collagen alpha-1(III) chain</t>
  </si>
  <si>
    <t>Isoform 2 of Collagen alpha-1(IV) chain</t>
  </si>
  <si>
    <t>Prelamin-A/C</t>
  </si>
  <si>
    <t>Apolipoprotein E</t>
  </si>
  <si>
    <t>Apolipoprotein A-II</t>
  </si>
  <si>
    <t>Isoform 17 of Fibronectin</t>
  </si>
  <si>
    <t>Transferrin receptor protein 1</t>
  </si>
  <si>
    <t>Serotransferrin</t>
  </si>
  <si>
    <t>Ferritin light chain</t>
  </si>
  <si>
    <t>Ferritin heavy chain</t>
  </si>
  <si>
    <t>Metallothionein-2</t>
  </si>
  <si>
    <t>ATP synthase protein 8</t>
  </si>
  <si>
    <t>Interstitial collagenase</t>
  </si>
  <si>
    <t>Catalase</t>
  </si>
  <si>
    <t>Isoform 3 of Glucosylceramidase</t>
  </si>
  <si>
    <t>Tissue alpha-L-fucosidase</t>
  </si>
  <si>
    <t>Fructose-bisphosphate aldolase A</t>
  </si>
  <si>
    <t>Cystatin-B</t>
  </si>
  <si>
    <t>Annexin A1</t>
  </si>
  <si>
    <t>Ornithine aminotransferase, mitochondrial</t>
  </si>
  <si>
    <t>Isoform 2 of Ornithine aminotransferase, mitochondrial</t>
  </si>
  <si>
    <t>Alpha-1B-glycoprotein</t>
  </si>
  <si>
    <t>Tubulin beta-4A chain</t>
  </si>
  <si>
    <t>Glyceraldehyde-3-phosphate dehydrogenase</t>
  </si>
  <si>
    <t>Isoform 2 of Glyceraldehyde-3-phosphate dehydrogenase</t>
  </si>
  <si>
    <t>Argininosuccinate lyase</t>
  </si>
  <si>
    <t>Metallothionein-1A</t>
  </si>
  <si>
    <t>Heat shock protein beta-1</t>
  </si>
  <si>
    <t>Dolichyl-diphosphooligosaccharide--protein glycosyltransferase subunit 1</t>
  </si>
  <si>
    <t>Isoform 2 of Dolichyl-diphosphooligosaccharide--protein glycosyltransferase subunit 2</t>
  </si>
  <si>
    <t>Guanine nucleotide-binding protein G(i) subunit alpha-2</t>
  </si>
  <si>
    <t>Isoform Glycophorin-D of Glycophorin-C</t>
  </si>
  <si>
    <t>Isoform 4 of Sodium/potassium-transporting ATPase subunit alpha-1</t>
  </si>
  <si>
    <t>Isoform L-APP733 of Amyloid beta A4 protein</t>
  </si>
  <si>
    <t>Apolipoprotein D</t>
  </si>
  <si>
    <t>Aldehyde dehydrogenase, mitochondrial</t>
  </si>
  <si>
    <t>Integrin beta-3</t>
  </si>
  <si>
    <t>Non-histone chromosomal protein HMG-14</t>
  </si>
  <si>
    <t>Plasminogen activator inhibitor 2</t>
  </si>
  <si>
    <t>Plasminogen activator inhibitor 1</t>
  </si>
  <si>
    <t>ADP/ATP translocase 2</t>
  </si>
  <si>
    <t>Ubiquitin-like protein ISG15</t>
  </si>
  <si>
    <t>Isoform 3 of Propionyl-CoA carboxylase alpha chain, mitochondrial</t>
  </si>
  <si>
    <t>Alkaline phosphatase, tissue-nonspecific isozyme</t>
  </si>
  <si>
    <t>Non-histone chromosomal protein HMG-17</t>
  </si>
  <si>
    <t>Intercellular adhesion molecule 1</t>
  </si>
  <si>
    <t>60S acidic ribosomal protein P2</t>
  </si>
  <si>
    <t>60S acidic ribosomal protein P0</t>
  </si>
  <si>
    <t>Transcription factor AP-1</t>
  </si>
  <si>
    <t>Fatty acid-binding protein, heart</t>
  </si>
  <si>
    <t>Lupus La protein</t>
  </si>
  <si>
    <t>Integrin beta-1</t>
  </si>
  <si>
    <t>Collagen alpha-2(V) chain</t>
  </si>
  <si>
    <t>Uroporphyrinogen decarboxylase</t>
  </si>
  <si>
    <t>Tyrosine-protein kinase Fyn</t>
  </si>
  <si>
    <t>Alpha-galactosidase A</t>
  </si>
  <si>
    <t>Isoform 2 of Gelsolin</t>
  </si>
  <si>
    <t>ATP synthase subunit beta, mitochondrial</t>
  </si>
  <si>
    <t>Alpha-enolase</t>
  </si>
  <si>
    <t>Isoform 2 of Glycogen phosphorylase, liver form</t>
  </si>
  <si>
    <t>Glucose-6-phosphate isomerase</t>
  </si>
  <si>
    <t>Nucleophosmin</t>
  </si>
  <si>
    <t>Isoform 2 of Integrin alpha-V</t>
  </si>
  <si>
    <t>Isoform 3 of Integrin alpha-V</t>
  </si>
  <si>
    <t>Isoform 2 of Glia-derived nexin</t>
  </si>
  <si>
    <t>Epoxide hydrolase 1</t>
  </si>
  <si>
    <t>Acyl-CoA-binding protein</t>
  </si>
  <si>
    <t>L-lactate dehydrogenase B chain</t>
  </si>
  <si>
    <t>Glutathione peroxidase 1</t>
  </si>
  <si>
    <t>Phosphoglycerate kinase 2</t>
  </si>
  <si>
    <t>Vitamin K-dependent protein S</t>
  </si>
  <si>
    <t>Isoform 2 of Histone H1.0</t>
  </si>
  <si>
    <t>Cathepsin D</t>
  </si>
  <si>
    <t>Annexin A2</t>
  </si>
  <si>
    <t>Calpain-1 catalytic subunit</t>
  </si>
  <si>
    <t>Involucrin</t>
  </si>
  <si>
    <t>Beta-hexosaminidase subunit beta</t>
  </si>
  <si>
    <t>Cathepsin L1</t>
  </si>
  <si>
    <t>Profilin-1</t>
  </si>
  <si>
    <t>Bisphosphoglycerate mutase</t>
  </si>
  <si>
    <t>Adenine phosphoribosyltransferase</t>
  </si>
  <si>
    <t>Cathepsin B</t>
  </si>
  <si>
    <t>Heat shock protein HSP 90-alpha</t>
  </si>
  <si>
    <t>Galactose-1-phosphate uridylyltransferase</t>
  </si>
  <si>
    <t>Cytochrome b-c1 complex subunit 6, mitochondrial</t>
  </si>
  <si>
    <t>Isoform Cytoplasmic of Fumarate hydratase, mitochondrial</t>
  </si>
  <si>
    <t>Thrombospondin-1</t>
  </si>
  <si>
    <t>Heat shock 70 kDa protein 1A/1B</t>
  </si>
  <si>
    <t>Collagen alpha-2(I) chain</t>
  </si>
  <si>
    <t>Annexin A6</t>
  </si>
  <si>
    <t>6-phosphofructokinase, muscle type</t>
  </si>
  <si>
    <t>Heat shock protein HSP 90-beta</t>
  </si>
  <si>
    <t>Signal recognition particle receptor subunit alpha</t>
  </si>
  <si>
    <t>72 kDa type IV collagenase</t>
  </si>
  <si>
    <t>Extracellular superoxide dismutase [Cu-Zn]</t>
  </si>
  <si>
    <t>Isoform 2 of Porphobilinogen deaminase</t>
  </si>
  <si>
    <t>Neprilysin</t>
  </si>
  <si>
    <t>Inhibin beta A chain</t>
  </si>
  <si>
    <t>Isoform 3 of Pyruvate dehydrogenase E1 component subunit alpha, somatic form, mitochondrial</t>
  </si>
  <si>
    <t>Collagen alpha-2(IV) chain</t>
  </si>
  <si>
    <t>Cytochrome c1, heme protein, mitochondrial</t>
  </si>
  <si>
    <t>U2 small nuclear ribonucleoprotein B</t>
  </si>
  <si>
    <t>Myosin light chain 3</t>
  </si>
  <si>
    <t>Complement factor H</t>
  </si>
  <si>
    <t>Isoform 2 of U1 small nuclear ribonucleoprotein 70 kDa</t>
  </si>
  <si>
    <t>Integrin alpha-5</t>
  </si>
  <si>
    <t>Isoform 1 of Nuclear factor 1 C-type</t>
  </si>
  <si>
    <t>Vimentin</t>
  </si>
  <si>
    <t>Guanine nucleotide-binding protein G(k) subunit alpha</t>
  </si>
  <si>
    <t>Annexin A5</t>
  </si>
  <si>
    <t>Steryl-sulfatase</t>
  </si>
  <si>
    <t>U1 small nuclear ribonucleoprotein A</t>
  </si>
  <si>
    <t>Isoform 3 of Fibroblast growth factor 2</t>
  </si>
  <si>
    <t>Gamma-enolase</t>
  </si>
  <si>
    <t>Signal recognition particle 19 kDa protein</t>
  </si>
  <si>
    <t>Glutathione S-transferase P</t>
  </si>
  <si>
    <t>U1 small nuclear ribonucleoprotein C</t>
  </si>
  <si>
    <t>Galectin-1</t>
  </si>
  <si>
    <t>Dihydropteridine reductase</t>
  </si>
  <si>
    <t>High mobility group protein B1</t>
  </si>
  <si>
    <t>SPARC</t>
  </si>
  <si>
    <t>Isoform Non-brain of Clathrin light chain A</t>
  </si>
  <si>
    <t>Isoform Non-brain of Clathrin light chain B</t>
  </si>
  <si>
    <t>Annexin A4</t>
  </si>
  <si>
    <t>Isoform CNPI of 2,3-cyclic-nucleotide 3-phosphodiesterase</t>
  </si>
  <si>
    <t>Heme oxygenase 1</t>
  </si>
  <si>
    <t>Platelet-derived growth factor receptor beta</t>
  </si>
  <si>
    <t>Dihydrolipoyl dehydrogenase, mitochondrial</t>
  </si>
  <si>
    <t>U2 small nuclear ribonucleoprotein A</t>
  </si>
  <si>
    <t>Pro-cathepsin H</t>
  </si>
  <si>
    <t>Cytochrome c oxidase subunit 6C</t>
  </si>
  <si>
    <t>Poly [ADP-ribose] polymerase 1</t>
  </si>
  <si>
    <t>Ubiquitin carboxyl-terminal hydrolase isozyme L1</t>
  </si>
  <si>
    <t>Leukotriene A-4 hydrolase</t>
  </si>
  <si>
    <t>Fructose-bisphosphate aldolase C</t>
  </si>
  <si>
    <t>Ataxin-1-like</t>
  </si>
  <si>
    <t>Chromosome transmission fidelity protein 8 homolog isoform 2</t>
  </si>
  <si>
    <t>Thymosin beta-15B</t>
  </si>
  <si>
    <t>POTE ankyrin domain family member I</t>
  </si>
  <si>
    <t>POTE ankyrin domain family member J</t>
  </si>
  <si>
    <t>40S ribosomal protein S17-like</t>
  </si>
  <si>
    <t>Small integral membrane protein 13</t>
  </si>
  <si>
    <t>Adrenodoxin, mitochondrial</t>
  </si>
  <si>
    <t>Ras-related protein Rap-2a</t>
  </si>
  <si>
    <t>Serglycin</t>
  </si>
  <si>
    <t>60 kDa SS-A/Ro ribonucleoprotein</t>
  </si>
  <si>
    <t>Cytochrome c oxidase subunit 8A, mitochondrial</t>
  </si>
  <si>
    <t>Lysosomal alpha-glucosidase</t>
  </si>
  <si>
    <t>Ras-related protein R-Ras</t>
  </si>
  <si>
    <t>Serine/threonine-protein kinase A-Raf</t>
  </si>
  <si>
    <t>Dihydrolipoyllysine-residue acetyltransferase component of pyruvate dehydrogenase complex, mitochondrial</t>
  </si>
  <si>
    <t>Isoform 2 of Receptor-type tyrosine-protein phosphatase F</t>
  </si>
  <si>
    <t>Thioredoxin</t>
  </si>
  <si>
    <t>Cytochrome c oxidase subunit 5B, mitochondrial</t>
  </si>
  <si>
    <t>Lysosomal protective protein</t>
  </si>
  <si>
    <t>Microsomal glutathione S-transferase 1</t>
  </si>
  <si>
    <t>Microtubule-associated protein tau</t>
  </si>
  <si>
    <t>cAMP-dependent protein kinase type I-alpha regulatory subunit</t>
  </si>
  <si>
    <t>Uroporphyrinogen-III synthase</t>
  </si>
  <si>
    <t>S-formylglutathione hydrolase</t>
  </si>
  <si>
    <t>60 kDa heat shock protein, mitochondrial</t>
  </si>
  <si>
    <t>Isoform 4 of Clusterin</t>
  </si>
  <si>
    <t>Hyaluronan and proteoglycan link protein 1</t>
  </si>
  <si>
    <t>78 kDa glucose-regulated protein</t>
  </si>
  <si>
    <t>Laminin subunit gamma-1</t>
  </si>
  <si>
    <t>Lysosomal acid phosphatase</t>
  </si>
  <si>
    <t>Isoform 3 of Microtubule-associated protein 2</t>
  </si>
  <si>
    <t>Isoform 4 of Microtubule-associated protein 2</t>
  </si>
  <si>
    <t>Solute carrier family 2, facilitated glucose transporter member 1</t>
  </si>
  <si>
    <t>Solute carrier family 2, facilitated glucose transporter member 3</t>
  </si>
  <si>
    <t>Uridine 5-monophosphate synthase</t>
  </si>
  <si>
    <t>Isoform 2 of Pyruvate dehydrogenase E1 component subunit beta, mitochondrial</t>
  </si>
  <si>
    <t>Lipoamide acyltransferase component of branched-chain alpha-keto acid dehydrogenase complex, mitochondrial</t>
  </si>
  <si>
    <t>Glycogen phosphorylase, brain form</t>
  </si>
  <si>
    <t>Ras-related protein Ral-A</t>
  </si>
  <si>
    <t>Ras-related protein Ral-B</t>
  </si>
  <si>
    <t>Isoform 2 of Breakpoint cluster region protein</t>
  </si>
  <si>
    <t>Lysosome-associated membrane glycoprotein 1</t>
  </si>
  <si>
    <t>DNA topoisomerase 1</t>
  </si>
  <si>
    <t>Glucose-6-phosphate 1-dehydrogenase</t>
  </si>
  <si>
    <t>Ubiquitin-like protein 4A</t>
  </si>
  <si>
    <t>Pyruvate carboxylase, mitochondrial</t>
  </si>
  <si>
    <t>C-1-tetrahydrofolate synthase, cytoplasmic</t>
  </si>
  <si>
    <t>Cation-independent mannose-6-phosphate receptor</t>
  </si>
  <si>
    <t>Alcohol dehydrogenase class-3</t>
  </si>
  <si>
    <t>Cyclin-dependent kinase 4</t>
  </si>
  <si>
    <t>Serum response factor</t>
  </si>
  <si>
    <t>Ribose-phosphate pyrophosphokinase 2</t>
  </si>
  <si>
    <t>Isoform 2 of Polyadenylate-binding protein 1</t>
  </si>
  <si>
    <t>Proliferating cell nuclear antigen</t>
  </si>
  <si>
    <t>Histidine--tRNA ligase, cytoplasmic</t>
  </si>
  <si>
    <t>Isoform C of Collagen alpha-1(XI) chain</t>
  </si>
  <si>
    <t>Collagen alpha-1(VI) chain</t>
  </si>
  <si>
    <t>Collagen alpha-2(VI) chain</t>
  </si>
  <si>
    <t>Isoform 2C2A of Collagen alpha-2(VI) chain</t>
  </si>
  <si>
    <t>ADP/ATP translocase 1</t>
  </si>
  <si>
    <t>ADP/ATP translocase 3</t>
  </si>
  <si>
    <t>Inosine-5-monophosphate dehydrogenase 2</t>
  </si>
  <si>
    <t>Nucleoprotein TPR</t>
  </si>
  <si>
    <t>Creatine kinase B-type</t>
  </si>
  <si>
    <t>Annexin A3</t>
  </si>
  <si>
    <t>Creatine kinase U-type, mitochondrial</t>
  </si>
  <si>
    <t>Isoform 2 of Alpha-actinin-1</t>
  </si>
  <si>
    <t>Isoform Somatic-2 of Angiotensin-converting enzyme</t>
  </si>
  <si>
    <t>Proto-oncogene tyrosine-protein kinase Src</t>
  </si>
  <si>
    <t>Xaa-Pro dipeptidase</t>
  </si>
  <si>
    <t>X-ray repair cross-complementing protein 6</t>
  </si>
  <si>
    <t>X-ray repair cross-complementing protein 5</t>
  </si>
  <si>
    <t>Cytochrome c oxidase subunit 4 isoform 1, mitochondrial</t>
  </si>
  <si>
    <t>5-aminolevulinate synthase, nonspecific, mitochondrial</t>
  </si>
  <si>
    <t>Ribonuclease inhibitor</t>
  </si>
  <si>
    <t>Cytochrome b-245 light chain</t>
  </si>
  <si>
    <t>Versican core protein</t>
  </si>
  <si>
    <t>Integrin alpha-4</t>
  </si>
  <si>
    <t>Elongation factor 2</t>
  </si>
  <si>
    <t>Protein disulfide-isomerase A4</t>
  </si>
  <si>
    <t>Prolyl 4-hydroxylase subunit alpha-1</t>
  </si>
  <si>
    <t>Isoform 2 of Prolyl 4-hydroxylase subunit alpha-1</t>
  </si>
  <si>
    <t>Translationally-controlled tumor protein</t>
  </si>
  <si>
    <t>Tissue factor</t>
  </si>
  <si>
    <t>Isoform 2 of HLA class I histocompatibility antigen, A-11 alpha chain</t>
  </si>
  <si>
    <t>Plastin-3</t>
  </si>
  <si>
    <t>Electron transfer flavoprotein subunit alpha, mitochondrial</t>
  </si>
  <si>
    <t>cAMP-dependent protein kinase type II-alpha regulatory subunit</t>
  </si>
  <si>
    <t>Isoform 2 of Beta-enolase</t>
  </si>
  <si>
    <t>General transcription factor IIF subunit 2</t>
  </si>
  <si>
    <t>Bifunctional methylenetetrahydrofolate dehydrogenase/cyclohydrolase, mitochondrial</t>
  </si>
  <si>
    <t>Macrophage migration inhibitory factor</t>
  </si>
  <si>
    <t>Isoform 3 of CD99 antigen</t>
  </si>
  <si>
    <t>Isoform 2 of Farnesyl pyrophosphate synthase</t>
  </si>
  <si>
    <t>Carboxypeptidase M</t>
  </si>
  <si>
    <t>Alcohol dehydrogenase [NADP(+)]</t>
  </si>
  <si>
    <t>Pyruvate kinase isozymes M1/M2</t>
  </si>
  <si>
    <t>Acylphosphatase-2</t>
  </si>
  <si>
    <t>Endoplasmin</t>
  </si>
  <si>
    <t>Myosin light chain 6B</t>
  </si>
  <si>
    <t>Insulin-degrading enzyme</t>
  </si>
  <si>
    <t>Cytochrome c oxidase subunit 6B1</t>
  </si>
  <si>
    <t>Heterogeneous nuclear ribonucleoprotein L</t>
  </si>
  <si>
    <t>Aspartate--tRNA ligase, cytoplasmic</t>
  </si>
  <si>
    <t>Junction plakoglobin</t>
  </si>
  <si>
    <t>Serine/threonine-protein kinase B-raf</t>
  </si>
  <si>
    <t>Fatty acid-binding protein, adipocyte</t>
  </si>
  <si>
    <t>Glutamine synthetase</t>
  </si>
  <si>
    <t>Aldose reductase</t>
  </si>
  <si>
    <t>Aminopeptidase N</t>
  </si>
  <si>
    <t>Isoform Gamma of Poliovirus receptor</t>
  </si>
  <si>
    <t>Isoform 2 of Eukaryotic peptide chain release factor GTP-binding subunit ERF3A</t>
  </si>
  <si>
    <t>Arylsulfatase A</t>
  </si>
  <si>
    <t>Isoform 2 of Arylsulfatase A</t>
  </si>
  <si>
    <t>Isoform Short of Beta-1,4-galactosyltransferase 1</t>
  </si>
  <si>
    <t>Ezrin</t>
  </si>
  <si>
    <t>Ubiquitin carboxyl-terminal hydrolase isozyme L3</t>
  </si>
  <si>
    <t>Fos-related antigen 1</t>
  </si>
  <si>
    <t>Isoform K of Membrane cofactor protein</t>
  </si>
  <si>
    <t>Isoform L of Membrane cofactor protein</t>
  </si>
  <si>
    <t>Nucleoside diphosphate kinase A</t>
  </si>
  <si>
    <t>N-acetylglucosamine-6-sulfatase</t>
  </si>
  <si>
    <t>Arylsulfatase B</t>
  </si>
  <si>
    <t>N-chimaerin</t>
  </si>
  <si>
    <t>Desmoplakin</t>
  </si>
  <si>
    <t>Replication protein A 32 kDa subunit</t>
  </si>
  <si>
    <t>Metalloproteinase inhibitor 2</t>
  </si>
  <si>
    <t>Carbonyl reductase [NADPH] 1</t>
  </si>
  <si>
    <t>Short-chain specific acyl-CoA dehydrogenase, mitochondrial</t>
  </si>
  <si>
    <t>Platelet-derived growth factor receptor alpha</t>
  </si>
  <si>
    <t>Graves disease carrier protein</t>
  </si>
  <si>
    <t>Isoform 3 of Beta-galactosidase</t>
  </si>
  <si>
    <t>Serine/threonine-protein phosphatase 2B catalytic subunit beta isoform</t>
  </si>
  <si>
    <t>Cytoplasmic protein NCK1</t>
  </si>
  <si>
    <t>GC-rich sequence DNA-binding factor 2</t>
  </si>
  <si>
    <t>Histone H1.5</t>
  </si>
  <si>
    <t>Histone H1.2</t>
  </si>
  <si>
    <t>NADPH--cytochrome P450 reductase</t>
  </si>
  <si>
    <t>Methylated-DNA--protein-cysteine methyltransferase</t>
  </si>
  <si>
    <t>Isoform 3 of Tyrosine-protein kinase Fer</t>
  </si>
  <si>
    <t>Sarcoplasmic/endoplasmic reticulum calcium ATPase 2</t>
  </si>
  <si>
    <t>Fumarylacetoacetase</t>
  </si>
  <si>
    <t>Isoform 2 of Y-box-binding protein 3</t>
  </si>
  <si>
    <t>Alpha-N-acetylgalactosaminidase</t>
  </si>
  <si>
    <t>Heat shock 70 kDa protein 6</t>
  </si>
  <si>
    <t>Rho-related GTP-binding protein RhoQ</t>
  </si>
  <si>
    <t>Isoform HMG-Y of High mobility group protein HMG-I/HMG-Y</t>
  </si>
  <si>
    <t>Transmembrane protein 11, mitochondrial</t>
  </si>
  <si>
    <t>Aspartate aminotransferase, cytoplasmic</t>
  </si>
  <si>
    <t>Protein kinase C alpha type</t>
  </si>
  <si>
    <t>Transcription factor jun-B</t>
  </si>
  <si>
    <t>Gap junction alpha-1 protein</t>
  </si>
  <si>
    <t>Isoform 2 of Atrial natriuretic peptide receptor 3</t>
  </si>
  <si>
    <t>Isoform 4 of Sphingomyelin phosphodiesterase</t>
  </si>
  <si>
    <t>Transcription factor jun-D</t>
  </si>
  <si>
    <t>NADH dehydrogenase [ubiquinone] 1 beta subcomplex subunit 7</t>
  </si>
  <si>
    <t>cAMP-dependent protein kinase catalytic subunit alpha</t>
  </si>
  <si>
    <t>Calpain-2 catalytic subunit</t>
  </si>
  <si>
    <t>Desmin</t>
  </si>
  <si>
    <t>CTP synthase 1</t>
  </si>
  <si>
    <t>Isoform Short of Endoglin</t>
  </si>
  <si>
    <t>6-phosphofructokinase, liver type</t>
  </si>
  <si>
    <t>Ganglioside GM2 activator</t>
  </si>
  <si>
    <t>Galectin-3</t>
  </si>
  <si>
    <t>Insulin-like growth factor-binding protein 3</t>
  </si>
  <si>
    <t>T-complex protein 1 subunit alpha</t>
  </si>
  <si>
    <t>Tyrosine-protein phosphatase non-receptor type 1</t>
  </si>
  <si>
    <t>Insulin-like growth factor-binding protein 2</t>
  </si>
  <si>
    <t>Integrin beta-5</t>
  </si>
  <si>
    <t>ADP-ribosylation factor 4</t>
  </si>
  <si>
    <t>60S ribosomal protein L7</t>
  </si>
  <si>
    <t>Early growth response protein 1</t>
  </si>
  <si>
    <t>Negative elongation factor E</t>
  </si>
  <si>
    <t>Phosphoglycerate mutase 1</t>
  </si>
  <si>
    <t>Regulator of chromosome condensation</t>
  </si>
  <si>
    <t>Syndecan-1</t>
  </si>
  <si>
    <t>Cyclic AMP-dependent transcription factor ATF-1</t>
  </si>
  <si>
    <t>ATP synthase-coupling factor 6, mitochondrial</t>
  </si>
  <si>
    <t>Peptidyl-glycine alpha-amidating monooxygenase</t>
  </si>
  <si>
    <t>Nucleolin</t>
  </si>
  <si>
    <t>Hexokinase-1</t>
  </si>
  <si>
    <t>Isoform 2 of Interferon-induced, double-stranded RNA-activated protein kinase</t>
  </si>
  <si>
    <t>Transcription factor E3</t>
  </si>
  <si>
    <t>Spermidine synthase</t>
  </si>
  <si>
    <t>Nuclear factor NF-kappa-B p105 subunit</t>
  </si>
  <si>
    <t>Isoform 2 of Follistatin</t>
  </si>
  <si>
    <t>Thymidine phosphorylase</t>
  </si>
  <si>
    <t>Isoform K of Plasma membrane calcium-transporting ATPase 1</t>
  </si>
  <si>
    <t>Eukaryotic translation initiation factor 2 subunit 2</t>
  </si>
  <si>
    <t>Transcription factor BTF3</t>
  </si>
  <si>
    <t>Isoform 2 of Transcription factor BTF3</t>
  </si>
  <si>
    <t>Ras-related protein Rab-3A</t>
  </si>
  <si>
    <t>Ras-related protein Rab-3B</t>
  </si>
  <si>
    <t>Ras-related protein Rab-4A</t>
  </si>
  <si>
    <t>Proteasome subunit beta type-1</t>
  </si>
  <si>
    <t>Cation-dependent mannose-6-phosphate receptor</t>
  </si>
  <si>
    <t>Cytochrome c oxidase subunit 5A, mitochondrial</t>
  </si>
  <si>
    <t>Lamin-B1</t>
  </si>
  <si>
    <t>Collagen alpha-1(V) chain</t>
  </si>
  <si>
    <t>N(4)-(beta-N-acetylglucosaminyl)-L-asparaginase</t>
  </si>
  <si>
    <t>Parathymosin</t>
  </si>
  <si>
    <t>Glutathione S-transferase Mu 3</t>
  </si>
  <si>
    <t>V-type proton ATPase subunit B, brain isoform</t>
  </si>
  <si>
    <t>V-type proton ATPase subunit C 1</t>
  </si>
  <si>
    <t>Cysteine and glycine-rich protein 1</t>
  </si>
  <si>
    <t>Isoform 2 of Filamin-A</t>
  </si>
  <si>
    <t>Isoform 1 of Neurofibromin</t>
  </si>
  <si>
    <t>Amine oxidase [flavin-containing] A</t>
  </si>
  <si>
    <t>Cytoplasmic aconitate hydratase</t>
  </si>
  <si>
    <t>Isoform 2 of Kit ligand</t>
  </si>
  <si>
    <t>5-nucleotidase</t>
  </si>
  <si>
    <t>Voltage-dependent anion-selective channel protein 1</t>
  </si>
  <si>
    <t>Succinate dehydrogenase [ubiquinone] iron-sulfur subunit, mitochondrial</t>
  </si>
  <si>
    <t>Isoform Soluble of Catechol O-methyltransferase</t>
  </si>
  <si>
    <t>Protein-glutamine gamma-glutamyltransferase 2</t>
  </si>
  <si>
    <t>Methylmalonyl-CoA mutase, mitochondrial</t>
  </si>
  <si>
    <t>Oxysterol-binding protein 1</t>
  </si>
  <si>
    <t>Trifunctional purine biosynthetic protein adenosine-3</t>
  </si>
  <si>
    <t>Iduronate 2-sulfatase</t>
  </si>
  <si>
    <t>Non-specific lipid-transfer protein</t>
  </si>
  <si>
    <t>Isoform SCP2 of Non-specific lipid-transfer protein</t>
  </si>
  <si>
    <t>Ubiquitin-like modifier-activating enzyme 1</t>
  </si>
  <si>
    <t>Ectonucleotide pyrophosphatase/phosphodiesterase family member 1</t>
  </si>
  <si>
    <t>Galanin peptides</t>
  </si>
  <si>
    <t>NADPH:adrenodoxin oxidoreductase, mitochondrial</t>
  </si>
  <si>
    <t>Heterogeneous nuclear ribonucleoproteins A2/B1</t>
  </si>
  <si>
    <t>Calretinin</t>
  </si>
  <si>
    <t>E3 ubiquitin-protein ligase CBL</t>
  </si>
  <si>
    <t>Insulin-like growth factor-binding protein 4</t>
  </si>
  <si>
    <t>cAMP-dependent protein kinase catalytic subunit beta</t>
  </si>
  <si>
    <t>Ferrochelatase, mitochondrial</t>
  </si>
  <si>
    <t>Isoform 3 of Liver carboxylesterase 1</t>
  </si>
  <si>
    <t>Fibulin-1</t>
  </si>
  <si>
    <t>Isoform C of Fibulin-1</t>
  </si>
  <si>
    <t>Transcription elongation factor A protein 1</t>
  </si>
  <si>
    <t>Isoform 3 of Prostaglandin G/H synthase 1</t>
  </si>
  <si>
    <t>Splicing factor, proline- and glutamine-rich</t>
  </si>
  <si>
    <t>Tubulin gamma-1 chain</t>
  </si>
  <si>
    <t>Peptidyl-prolyl cis-trans isomerase B</t>
  </si>
  <si>
    <t>NAD-dependent malic enzyme, mitochondrial</t>
  </si>
  <si>
    <t>Tryptophan--tRNA ligase, cytoplasmic</t>
  </si>
  <si>
    <t>40S ribosomal protein S3</t>
  </si>
  <si>
    <t>Glycine cleavage system H protein, mitochondrial</t>
  </si>
  <si>
    <t>Isoform 2 of Receptor-type tyrosine-protein phosphatase gamma</t>
  </si>
  <si>
    <t>Nuclear autoantigen Sp-100</t>
  </si>
  <si>
    <t>Isoform 2 of Colorectal mutant cancer protein</t>
  </si>
  <si>
    <t>Adenosylhomocysteinase</t>
  </si>
  <si>
    <t>Cofilin-1</t>
  </si>
  <si>
    <t>Isoform ZD of Plasma membrane calcium-transporting ATPase 4</t>
  </si>
  <si>
    <t>Diacylglycerol kinase alpha</t>
  </si>
  <si>
    <t>Carnitine O-palmitoyltransferase 2, mitochondrial</t>
  </si>
  <si>
    <t>Thymidylate kinase</t>
  </si>
  <si>
    <t>Ribonucleoside-diphosphate reductase large subunit</t>
  </si>
  <si>
    <t>Laminin subunit alpha-2</t>
  </si>
  <si>
    <t>Cytochrome c oxidase subunit 7A1, mitochondrial</t>
  </si>
  <si>
    <t>G1/S-specific cyclin-D1</t>
  </si>
  <si>
    <t>Elongation factor 1-beta</t>
  </si>
  <si>
    <t>Insulin-like growth factor-binding protein 6</t>
  </si>
  <si>
    <t>Insulin-like growth factor-binding protein 5</t>
  </si>
  <si>
    <t>Low molecular weight phosphotyrosine protein phosphatase</t>
  </si>
  <si>
    <t>Isoform 2 of Low molecular weight phosphotyrosine protein phosphatase</t>
  </si>
  <si>
    <t>Acetyl-CoA acetyltransferase, mitochondrial</t>
  </si>
  <si>
    <t>Isoform 4 of Tenascin</t>
  </si>
  <si>
    <t>Myosin regulatory light polypeptide 9</t>
  </si>
  <si>
    <t>DNA-directed RNA polymerase II subunit RPB1</t>
  </si>
  <si>
    <t>Isoform Short of Adenomatous polyposis coli protein</t>
  </si>
  <si>
    <t>Beta-adrenergic receptor kinase 1</t>
  </si>
  <si>
    <t>Proteinase-activated receptor 1</t>
  </si>
  <si>
    <t>40S ribosomal protein S12</t>
  </si>
  <si>
    <t>Isoform 6 of Tumor necrosis factor receptor superfamily member 6</t>
  </si>
  <si>
    <t>DnaJ homolog subfamily B member 1</t>
  </si>
  <si>
    <t>DnaJ homolog subfamily B member 2</t>
  </si>
  <si>
    <t>ATP synthase subunit alpha, mitochondrial</t>
  </si>
  <si>
    <t>Isoform 2 of Cathepsin S</t>
  </si>
  <si>
    <t>Proteasome subunit alpha type-1</t>
  </si>
  <si>
    <t>Proteasome subunit alpha type-2</t>
  </si>
  <si>
    <t>Isoform 2 of Proteasome subunit alpha type-3</t>
  </si>
  <si>
    <t>Proteasome subunit alpha type-4</t>
  </si>
  <si>
    <t>Integrin alpha-3</t>
  </si>
  <si>
    <t>Pentraxin-related protein PTX3</t>
  </si>
  <si>
    <t>Moesin</t>
  </si>
  <si>
    <t>Probable ATP-dependent RNA helicase DDX6</t>
  </si>
  <si>
    <t>60S ribosomal protein L13</t>
  </si>
  <si>
    <t>Rab proteins geranylgeranyltransferase component A 2</t>
  </si>
  <si>
    <t>Isovaleryl-CoA dehydrogenase, mitochondrial</t>
  </si>
  <si>
    <t>Protein S100-A4</t>
  </si>
  <si>
    <t>Alpha-1,3-mannosyl-glycoprotein 2-beta-N-acetylglucosaminyltransferase</t>
  </si>
  <si>
    <t>High mobility group protein B2</t>
  </si>
  <si>
    <t>Polypyrimidine tract-binding protein 1</t>
  </si>
  <si>
    <t>Threonine--tRNA ligase, cytoplasmic</t>
  </si>
  <si>
    <t>Elongation factor 1-gamma</t>
  </si>
  <si>
    <t>Peptidyl-prolyl cis-trans isomerase FKBP2</t>
  </si>
  <si>
    <t>GTP:AMP phosphotransferase AK4, mitochondrial</t>
  </si>
  <si>
    <t>Amine oxidase [flavin-containing] B</t>
  </si>
  <si>
    <t>14-3-3 protein theta</t>
  </si>
  <si>
    <t>Mitogen-activated protein kinase 3</t>
  </si>
  <si>
    <t>Dipeptidyl peptidase 4</t>
  </si>
  <si>
    <t>Isoform 2 of Aryl hydrocarbon receptor nuclear translocator</t>
  </si>
  <si>
    <t>60S ribosomal protein L10</t>
  </si>
  <si>
    <t>Collagen alpha-1(VIII) chain</t>
  </si>
  <si>
    <t>Replication protein A 70 kDa DNA-binding subunit</t>
  </si>
  <si>
    <t>DNA-(apurinic or apyrimidinic site) lyase</t>
  </si>
  <si>
    <t>Calreticulin</t>
  </si>
  <si>
    <t>Isoform 5 of Microtubule-associated protein 4</t>
  </si>
  <si>
    <t>Calnexin</t>
  </si>
  <si>
    <t>Isoform 3 of Phosphatidylinositol 3-kinase regulatory subunit alpha</t>
  </si>
  <si>
    <t>Isoform 2 of Proteasome subunit beta type-8</t>
  </si>
  <si>
    <t>Proteasome subunit alpha type-5</t>
  </si>
  <si>
    <t>Proteasome subunit beta type-4</t>
  </si>
  <si>
    <t>Proteasome subunit beta type-6</t>
  </si>
  <si>
    <t>Proteasome subunit beta type-5</t>
  </si>
  <si>
    <t>Glutathione S-transferase Mu 2</t>
  </si>
  <si>
    <t>Protein-lysine 6-oxidase</t>
  </si>
  <si>
    <t>NADH-ubiquinone oxidoreductase 75 kDa subunit, mitochondrial</t>
  </si>
  <si>
    <t>Mitogen-activated protein kinase 1</t>
  </si>
  <si>
    <t>DNA repair protein complementing XP-G cells</t>
  </si>
  <si>
    <t>Granulins</t>
  </si>
  <si>
    <t>Isoform 2 of Cytosol aminopeptidase</t>
  </si>
  <si>
    <t>Corticosteroid 11-beta-dehydrogenase isozyme 1</t>
  </si>
  <si>
    <t>Protein S100-A2</t>
  </si>
  <si>
    <t>General transcription factor IIE subunit 1</t>
  </si>
  <si>
    <t>Inositol monophosphatase 1</t>
  </si>
  <si>
    <t>Connective tissue growth factor</t>
  </si>
  <si>
    <t>Ephrin type-A receptor 2</t>
  </si>
  <si>
    <t>Isoform 2 of Ephrin type-B receptor 2</t>
  </si>
  <si>
    <t>Isoform 6 of SHC-transforming protein 1</t>
  </si>
  <si>
    <t>Cellular retinoic acid-binding protein 2</t>
  </si>
  <si>
    <t>Transketolase</t>
  </si>
  <si>
    <t>Isoform 2 of Leiomodin-1</t>
  </si>
  <si>
    <t>Protein PML</t>
  </si>
  <si>
    <t>Myristoylated alanine-rich C-kinase substrate</t>
  </si>
  <si>
    <t>Guanine nucleotide-binding protein subunit alpha-11</t>
  </si>
  <si>
    <t>Delta-1-pyrroline-5-carboxylate dehydrogenase, mitochondrial</t>
  </si>
  <si>
    <t>Phenazine biosynthesis-like domain-containing protein</t>
  </si>
  <si>
    <t>Endoplasmic reticulum resident protein 29</t>
  </si>
  <si>
    <t>Peroxiredoxin-6</t>
  </si>
  <si>
    <t>ES1 protein homolog, mitochondrial</t>
  </si>
  <si>
    <t>Flavin reductase (NADPH)</t>
  </si>
  <si>
    <t>Isoform Cytoplasmic+peroxisomal of Peroxiredoxin-5, mitochondrial</t>
  </si>
  <si>
    <t>D-dopachrome decarboxylase</t>
  </si>
  <si>
    <t>ATP synthase subunit delta, mitochondrial</t>
  </si>
  <si>
    <t>60S ribosomal protein L12</t>
  </si>
  <si>
    <t>Enoyl-CoA hydratase, mitochondrial</t>
  </si>
  <si>
    <t>UMP-CMP kinase</t>
  </si>
  <si>
    <t>Phosphatidylethanolamine-binding protein 1</t>
  </si>
  <si>
    <t>Serine/threonine-protein phosphatase 2A 65 kDa regulatory subunit A alpha isoform</t>
  </si>
  <si>
    <t>Isoform 4 of Serine/threonine-protein phosphatase 2A 65 kDa regulatory subunit A beta isoform</t>
  </si>
  <si>
    <t>Peptidyl-prolyl cis-trans isomerase F, mitochondrial</t>
  </si>
  <si>
    <t>Isoform Short of B2 bradykinin receptor</t>
  </si>
  <si>
    <t>Glycylpeptide N-tetradecanoyltransferase 1</t>
  </si>
  <si>
    <t>HLA class I histocompatibility antigen, Cw-4 alpha chain</t>
  </si>
  <si>
    <t>Heme oxygenase 2</t>
  </si>
  <si>
    <t>Adenylosuccinate synthetase isozyme 2</t>
  </si>
  <si>
    <t>Isoform Short of Tyrosine-protein kinase receptor UFO</t>
  </si>
  <si>
    <t>Alpha-2-macroglobulin receptor-associated protein</t>
  </si>
  <si>
    <t>Adenylosuccinate lyase</t>
  </si>
  <si>
    <t>Isoform L-type of Pyruvate kinase isozymes R/L</t>
  </si>
  <si>
    <t>Isoform 3 of CAP-Gly domain-containing linker protein 1</t>
  </si>
  <si>
    <t>Glutathione S-transferase theta-1</t>
  </si>
  <si>
    <t>Leukocyte elastase inhibitor</t>
  </si>
  <si>
    <t>High affinity cationic amino acid transporter 1</t>
  </si>
  <si>
    <t>Aldehyde dehydrogenase X, mitochondrial</t>
  </si>
  <si>
    <t>Rab GDP dissociation inhibitor alpha</t>
  </si>
  <si>
    <t>S-adenosylmethionine synthase isoform type-2</t>
  </si>
  <si>
    <t>cAMP-dependent protein kinase type I-beta regulatory subunit</t>
  </si>
  <si>
    <t>Carbamoyl-phosphate synthase [ammonia], mitochondrial</t>
  </si>
  <si>
    <t>DnaJ homolog subfamily A member 1</t>
  </si>
  <si>
    <t>RAC-alpha serine/threonine-protein kinase</t>
  </si>
  <si>
    <t>RAC-beta serine/threonine-protein kinase</t>
  </si>
  <si>
    <t>Cytochrome b-c1 complex subunit 1, mitochondrial</t>
  </si>
  <si>
    <t>3-hydroxyisobutyrate dehydrogenase, mitochondrial</t>
  </si>
  <si>
    <t>Bifunctional purine biosynthesis protein PURH</t>
  </si>
  <si>
    <t>Isoform 2 of Heterogeneous nuclear ribonucleoprotein H3</t>
  </si>
  <si>
    <t>14-3-3 protein beta/alpha</t>
  </si>
  <si>
    <t>Isoform Short of 14-3-3 protein beta/alpha</t>
  </si>
  <si>
    <t>Isoform 2 of 14-3-3 protein sigma</t>
  </si>
  <si>
    <t>Stress-induced-phosphoprotein 1</t>
  </si>
  <si>
    <t>Protein S100-A11</t>
  </si>
  <si>
    <t>Peroxiredoxin-2</t>
  </si>
  <si>
    <t>Isoform 1 of Glycerol kinase</t>
  </si>
  <si>
    <t>Cytidine deaminase</t>
  </si>
  <si>
    <t>Isoform 2 of Deoxycytidylate deaminase</t>
  </si>
  <si>
    <t>Pyrroline-5-carboxylate reductase 1, mitochondrial</t>
  </si>
  <si>
    <t>Isoform 3 of Sodium/calcium exchanger 1</t>
  </si>
  <si>
    <t>Interferon-induced guanylate-binding protein 1</t>
  </si>
  <si>
    <t>Interferon-induced guanylate-binding protein 2</t>
  </si>
  <si>
    <t>Isoform 2 of Syntaxin-2</t>
  </si>
  <si>
    <t>Cystathionine gamma-lyase</t>
  </si>
  <si>
    <t>60S ribosomal protein L9</t>
  </si>
  <si>
    <t>Long-chain-fatty-acid--CoA ligase 1</t>
  </si>
  <si>
    <t>Kinesin-1 heavy chain</t>
  </si>
  <si>
    <t>Isoform 2 of Cleavage stimulation factor subunit 2</t>
  </si>
  <si>
    <t>Isoform 2 of Lymphocyte-specific protein 1</t>
  </si>
  <si>
    <t>Deoxyuridine 5-triphosphate nucleotidohydrolase, mitochondrial</t>
  </si>
  <si>
    <t>Multidrug resistance-associated protein 1</t>
  </si>
  <si>
    <t>Protein S100-A3</t>
  </si>
  <si>
    <t>ATP-binding cassette sub-family D member 1</t>
  </si>
  <si>
    <t>Mannosyl-oligosaccharide 1,2-alpha-mannosidase IA</t>
  </si>
  <si>
    <t>N-acetylgalactosamine-6-sulfatase</t>
  </si>
  <si>
    <t>Isoform 2 of Serine hydroxymethyltransferase, cytosolic</t>
  </si>
  <si>
    <t>Isoform 3 of Serine hydroxymethyltransferase, mitochondrial</t>
  </si>
  <si>
    <t>Protein EVI2B</t>
  </si>
  <si>
    <t>Heat shock 70 kDa protein 4</t>
  </si>
  <si>
    <t>Mannose-6-phosphate isomerase</t>
  </si>
  <si>
    <t>Glypican-1</t>
  </si>
  <si>
    <t>Catenin alpha-1</t>
  </si>
  <si>
    <t>Prohibitin</t>
  </si>
  <si>
    <t>Serpin B6</t>
  </si>
  <si>
    <t>Isoform 5 of Merlin</t>
  </si>
  <si>
    <t>Radixin</t>
  </si>
  <si>
    <t>Replication protein A 14 kDa subunit</t>
  </si>
  <si>
    <t>Replication factor C subunit 2</t>
  </si>
  <si>
    <t>60S ribosomal protein L22</t>
  </si>
  <si>
    <t>General transcription factor IIF subunit 1</t>
  </si>
  <si>
    <t>Sepiapterin reductase</t>
  </si>
  <si>
    <t>Prostaglandin G/H synthase 2</t>
  </si>
  <si>
    <t>Isoform Alpha-1 of Nuclear receptor ROR-alpha</t>
  </si>
  <si>
    <t>Thrombospondin-2</t>
  </si>
  <si>
    <t>Cystathionine beta-synthase</t>
  </si>
  <si>
    <t>Fibrillin-1</t>
  </si>
  <si>
    <t>Fibrillin-2</t>
  </si>
  <si>
    <t>Insulin receptor substrate 1</t>
  </si>
  <si>
    <t>Myosin-9</t>
  </si>
  <si>
    <t>Myosin-10</t>
  </si>
  <si>
    <t>Coatomer subunit beta</t>
  </si>
  <si>
    <t>Alpha-adducin</t>
  </si>
  <si>
    <t>Isoform 2 of Basigin</t>
  </si>
  <si>
    <t>Metalloproteinase inhibitor 3</t>
  </si>
  <si>
    <t>Isoform 2 of Nuclear pore complex protein Nup214</t>
  </si>
  <si>
    <t>Glutaredoxin-1</t>
  </si>
  <si>
    <t>Isoform 2 of Choline kinase alpha</t>
  </si>
  <si>
    <t>Protein phosphatase 1A</t>
  </si>
  <si>
    <t>26S protease regulatory subunit 7</t>
  </si>
  <si>
    <t>Monocarboxylate transporter 8</t>
  </si>
  <si>
    <t>ADP-ribosylation factor-like protein 2</t>
  </si>
  <si>
    <t>ADP-ribosylation factor-like protein 3</t>
  </si>
  <si>
    <t>Dual specificity mitogen-activated protein kinase kinase 2</t>
  </si>
  <si>
    <t>V-type proton ATPase subunit E 1</t>
  </si>
  <si>
    <t>Coproporphyrinogen-III oxidase, mitochondrial</t>
  </si>
  <si>
    <t>60S ribosomal protein L4</t>
  </si>
  <si>
    <t>Isoform p18 of 7,8-dihydro-8-oxoguanine triphosphatase</t>
  </si>
  <si>
    <t>Phosphoglucomutase-1</t>
  </si>
  <si>
    <t>Serine/threonine-protein phosphatase PP1-gamma catalytic subunit</t>
  </si>
  <si>
    <t>Guanine nucleotide-binding protein-like 1</t>
  </si>
  <si>
    <t>Pigment epithelium-derived factor</t>
  </si>
  <si>
    <t>Dihydrolipoyllysine-residue succinyltransferase component of 2-oxoglutarate dehydrogenase complex, mitochondrial</t>
  </si>
  <si>
    <t>GMP reductase 1</t>
  </si>
  <si>
    <t>Isoform Cytoplasmic of Phospholipid hydroperoxide glutathione peroxidase, mitochondrial</t>
  </si>
  <si>
    <t>Signal recognition particle 14 kDa protein</t>
  </si>
  <si>
    <t>TGF-beta receptor type-2</t>
  </si>
  <si>
    <t>Nuclear pore glycoprotein p62</t>
  </si>
  <si>
    <t>Hippocalcin-like protein 1</t>
  </si>
  <si>
    <t>Squalene synthase</t>
  </si>
  <si>
    <t>Transgelin-2</t>
  </si>
  <si>
    <t>Transaldolase</t>
  </si>
  <si>
    <t>Electron transfer flavoprotein subunit beta</t>
  </si>
  <si>
    <t>RNA-binding motif protein, X chromosome</t>
  </si>
  <si>
    <t>Vitamin K-dependent gamma-carboxylase</t>
  </si>
  <si>
    <t>V-type proton ATPase catalytic subunit A</t>
  </si>
  <si>
    <t>Stress-70 protein, mitochondrial</t>
  </si>
  <si>
    <t>Eukaryotic initiation factor 4A-III</t>
  </si>
  <si>
    <t>40S ribosomal protein S19</t>
  </si>
  <si>
    <t>60S ribosomal protein L3</t>
  </si>
  <si>
    <t>Collagen alpha-1(XV) chain</t>
  </si>
  <si>
    <t>Isoform 3 of Collagen alpha-1(XVIII) chain</t>
  </si>
  <si>
    <t>Dolichyl-diphosphooligosaccharide--protein glycosyltransferase 48 kDa subunit</t>
  </si>
  <si>
    <t>Acidic leucine-rich nuclear phosphoprotein 32 family member A</t>
  </si>
  <si>
    <t>Flap endonuclease 1</t>
  </si>
  <si>
    <t>Macrophage-capping protein</t>
  </si>
  <si>
    <t>Interleukin-6 receptor subunit beta</t>
  </si>
  <si>
    <t>Alpha-taxilin</t>
  </si>
  <si>
    <t>T-complex protein 1 subunit zeta</t>
  </si>
  <si>
    <t>Nicotinamide N-methyltransferase</t>
  </si>
  <si>
    <t>Proteasome subunit beta type-10</t>
  </si>
  <si>
    <t>Signal transducer and activator of transcription 3</t>
  </si>
  <si>
    <t>Ubiquitin carboxyl-terminal hydrolase 8</t>
  </si>
  <si>
    <t>Malate dehydrogenase, cytoplasmic</t>
  </si>
  <si>
    <t>Malate dehydrogenase, mitochondrial</t>
  </si>
  <si>
    <t>Trifunctional enzyme subunit alpha, mitochondrial</t>
  </si>
  <si>
    <t>Eukaryotic translation initiation factor 2 subunit 3</t>
  </si>
  <si>
    <t>Isoform ID-B of DNA-binding protein inhibitor ID-1</t>
  </si>
  <si>
    <t>Centrin-2</t>
  </si>
  <si>
    <t>Eukaryotic translation initiation factor 2D</t>
  </si>
  <si>
    <t>Isoform 2 of Protein Wnt-5a</t>
  </si>
  <si>
    <t>Protein BUD31 homolog</t>
  </si>
  <si>
    <t>Ubiquitin-like modifier-activating enzyme 7</t>
  </si>
  <si>
    <t>Isoform 2 of N-alpha-acetyltransferase 10</t>
  </si>
  <si>
    <t>Tyrosine-protein kinase CSK</t>
  </si>
  <si>
    <t>Glycine--tRNA ligase</t>
  </si>
  <si>
    <t>Isoleucine--tRNA ligase, cytoplasmic</t>
  </si>
  <si>
    <t>Eukaryotic translation initiation factor 1</t>
  </si>
  <si>
    <t>Protein kinase C iota type</t>
  </si>
  <si>
    <t>Beta-centractin</t>
  </si>
  <si>
    <t>Isoform 2 of Enoyl-CoA delta isomerase 1, mitochondrial</t>
  </si>
  <si>
    <t>Isoform Gamma of Lamina-associated polypeptide 2, isoforms beta/gamma</t>
  </si>
  <si>
    <t>Signal transducer and activator of transcription 1-alpha/beta</t>
  </si>
  <si>
    <t>Signal transducer and activator of transcription 6</t>
  </si>
  <si>
    <t>Superkiller viralicidic activity 2-like 2</t>
  </si>
  <si>
    <t>Aldo-keto reductase family 1 member C3</t>
  </si>
  <si>
    <t>Isoform 6 of Rho GTPase-activating protein 25</t>
  </si>
  <si>
    <t>Phosphatidylinositol 4,5-bisphosphate 3-kinase catalytic subunit alpha isoform</t>
  </si>
  <si>
    <t>Serine/threonine-protein kinase mTOR</t>
  </si>
  <si>
    <t>Epidermal growth factor receptor substrate 15</t>
  </si>
  <si>
    <t>Caspase-3</t>
  </si>
  <si>
    <t>Caspase-2</t>
  </si>
  <si>
    <t>Isoform 7 of Abelson tyrosine-protein kinase 2</t>
  </si>
  <si>
    <t>Leucine-rich PPR motif-containing protein, mitochondrial</t>
  </si>
  <si>
    <t>3-ketoacyl-CoA thiolase, mitochondrial</t>
  </si>
  <si>
    <t>60S ribosomal protein L35</t>
  </si>
  <si>
    <t>Cyclin-dependent kinase inhibitor 2A, isoforms 1/2/3</t>
  </si>
  <si>
    <t>Cyclin-dependent kinase 4 inhibitor C</t>
  </si>
  <si>
    <t>Lysosomal Pro-X carboxypeptidase</t>
  </si>
  <si>
    <t>Isoform C of Endothelin-converting enzyme 1</t>
  </si>
  <si>
    <t>Isoform 2 of Excitatory amino acid transporter 1</t>
  </si>
  <si>
    <t>Excitatory amino acid transporter 3</t>
  </si>
  <si>
    <t>Neutral amino acid transporter A</t>
  </si>
  <si>
    <t>Platelet-activating factor acetylhydrolase IB subunit alpha</t>
  </si>
  <si>
    <t>Cell surface glycoprotein MUC18</t>
  </si>
  <si>
    <t>Isoform 2 of Carnitine O-acetyltransferase</t>
  </si>
  <si>
    <t>Cathepsin O</t>
  </si>
  <si>
    <t>Cathepsin K</t>
  </si>
  <si>
    <t>Glycerol-3-phosphate dehydrogenase, mitochondrial</t>
  </si>
  <si>
    <t>Isoform 2 of Glycerol-3-phosphate dehydrogenase, mitochondrial</t>
  </si>
  <si>
    <t>Translocon-associated protein subunit alpha</t>
  </si>
  <si>
    <t>Tyrosine-protein phosphatase non-receptor type 9</t>
  </si>
  <si>
    <t>Ran-specific GTPase-activating protein</t>
  </si>
  <si>
    <t>Nicotinamide phosphoribosyltransferase</t>
  </si>
  <si>
    <t>26S protease regulatory subunit 6B</t>
  </si>
  <si>
    <t>Elongation factor Ts, mitochondrial</t>
  </si>
  <si>
    <t>Peptidyl-prolyl cis-trans isomerase C</t>
  </si>
  <si>
    <t>Voltage-dependent anion-selective channel protein 2</t>
  </si>
  <si>
    <t>Short/branched chain specific acyl-CoA dehydrogenase, mitochondrial</t>
  </si>
  <si>
    <t>Chromobox protein homolog 5</t>
  </si>
  <si>
    <t>Isoform Short of Ubiquitin carboxyl-terminal hydrolase 5</t>
  </si>
  <si>
    <t>Isoform 3 of Mitogen-activated protein kinase 8</t>
  </si>
  <si>
    <t>Isoform Alpha-1 of Mitogen-activated protein kinase 9</t>
  </si>
  <si>
    <t>Dual specificity mitogen-activated protein kinase kinase 4</t>
  </si>
  <si>
    <t>Ran GTPase-activating protein 1</t>
  </si>
  <si>
    <t>ATP-dependent DNA helicase Q1</t>
  </si>
  <si>
    <t>Isoform 2 of Putative ribosomal RNA methyltransferase NOP2</t>
  </si>
  <si>
    <t>Adapter molecule crk</t>
  </si>
  <si>
    <t>Crk-like protein</t>
  </si>
  <si>
    <t>Translation initiation factor IF-2, mitochondrial</t>
  </si>
  <si>
    <t>Glutathione S-transferase Mu 5</t>
  </si>
  <si>
    <t>Cyclin-dependent kinase inhibitor 1B</t>
  </si>
  <si>
    <t>Dual specificity mitogen-activated protein kinase kinase 3</t>
  </si>
  <si>
    <t>Isoform 1 of Dual specificity mitogen-activated protein kinase kinase 3</t>
  </si>
  <si>
    <t>Isoform 1 of Lys-63-specific deubiquitinase BRCC36</t>
  </si>
  <si>
    <t>60S ribosomal protein L5</t>
  </si>
  <si>
    <t>60S ribosomal protein L21</t>
  </si>
  <si>
    <t>40S ribosomal protein S9</t>
  </si>
  <si>
    <t>40S ribosomal protein S10</t>
  </si>
  <si>
    <t>Microtubule-associated protein 1B</t>
  </si>
  <si>
    <t>Glucosamine-6-phosphate isomerase 1</t>
  </si>
  <si>
    <t>Isoform 4 of E3 ubiquitin-protein ligase NEDD4</t>
  </si>
  <si>
    <t>Utrophin</t>
  </si>
  <si>
    <t>Ras GTPase-activating-like protein IQGAP1</t>
  </si>
  <si>
    <t>Isoform GN-1 of Glycogenin-1</t>
  </si>
  <si>
    <t>Dolichyl-diphosphooligosaccharide--protein glycosyltransferase subunit STT3A</t>
  </si>
  <si>
    <t>Guanine nucleotide exchange factor MSS4</t>
  </si>
  <si>
    <t>Cytosolic phospholipase A2</t>
  </si>
  <si>
    <t>F-actin-capping protein subunit alpha-2</t>
  </si>
  <si>
    <t>F-actin-capping protein subunit beta</t>
  </si>
  <si>
    <t>Isoform 2 of F-actin-capping protein subunit beta</t>
  </si>
  <si>
    <t>Eukaryotic translation initiation factor 1A, X-chromosomal</t>
  </si>
  <si>
    <t>Aldehyde dehydrogenase family 1 member A3</t>
  </si>
  <si>
    <t>60S ribosomal protein L29</t>
  </si>
  <si>
    <t>Zinc finger protein 36, C3H1 type-like 2</t>
  </si>
  <si>
    <t>Cytochrome b-c1 complex subunit Rieske, mitochondrial</t>
  </si>
  <si>
    <t>Sodium- and chloride-dependent creatine transporter 1</t>
  </si>
  <si>
    <t>ATP synthase subunit O, mitochondrial</t>
  </si>
  <si>
    <t>Isoform 3 of LIM and senescent cell antigen-like-containing domain protein 1</t>
  </si>
  <si>
    <t>Glioma pathogenesis-related protein 1</t>
  </si>
  <si>
    <t>Prolyl endopeptidase</t>
  </si>
  <si>
    <t>NADP-dependent malic enzyme</t>
  </si>
  <si>
    <t>Coatomer subunit delta</t>
  </si>
  <si>
    <t>Lanosterol synthase</t>
  </si>
  <si>
    <t>Glutamate--cysteine ligase catalytic subunit</t>
  </si>
  <si>
    <t>Glutamate--cysteine ligase regulatory subunit</t>
  </si>
  <si>
    <t>Protein PRRC2A</t>
  </si>
  <si>
    <t>Glutathione synthetase</t>
  </si>
  <si>
    <t>T-complex protein 1 subunit epsilon</t>
  </si>
  <si>
    <t>Nestin</t>
  </si>
  <si>
    <t>Heat shock 70 kDa protein 13</t>
  </si>
  <si>
    <t>Isocitrate dehydrogenase [NADP], mitochondrial</t>
  </si>
  <si>
    <t>Phosphatidylinositol transfer protein beta isoform</t>
  </si>
  <si>
    <t>Isoform 4 of Mannan-binding lectin serine protease 1</t>
  </si>
  <si>
    <t>Isoform 2 of CD97 antigen</t>
  </si>
  <si>
    <t>MARCKS-related protein</t>
  </si>
  <si>
    <t>Calcium signal-modulating cyclophilin ligand</t>
  </si>
  <si>
    <t>MAP kinase-activated protein kinase 2</t>
  </si>
  <si>
    <t>4-trimethylaminobutyraldehyde dehydrogenase</t>
  </si>
  <si>
    <t>60S ribosomal protein L34</t>
  </si>
  <si>
    <t>Ribose-5-phosphate isomerase</t>
  </si>
  <si>
    <t>Protein ERGIC-53</t>
  </si>
  <si>
    <t>Nuclear autoantigenic sperm protein</t>
  </si>
  <si>
    <t>Fatty acid synthase</t>
  </si>
  <si>
    <t>Protein farnesyltransferase/geranylgeranyltransferase type-1 subunit alpha</t>
  </si>
  <si>
    <t>Protein farnesyltransferase subunit beta</t>
  </si>
  <si>
    <t>Deoxyhypusine synthase</t>
  </si>
  <si>
    <t>T-complex protein 1 subunit gamma</t>
  </si>
  <si>
    <t>Isoform 1B of Beta-arrestin-1</t>
  </si>
  <si>
    <t>Elongation factor Tu, mitochondrial</t>
  </si>
  <si>
    <t>Isoform 2 of Alpha-aminoadipic semialdehyde dehydrogenase</t>
  </si>
  <si>
    <t>Ubiquitin-conjugating enzyme E2 R1</t>
  </si>
  <si>
    <t>Inositol polyphosphate 1-phosphatase</t>
  </si>
  <si>
    <t>Signal recognition particle 9 kDa protein</t>
  </si>
  <si>
    <t>Ubiquitin-conjugating enzyme E2 A</t>
  </si>
  <si>
    <t>Choline-phosphate cytidylyltransferase A</t>
  </si>
  <si>
    <t>Alanine--tRNA ligase, cytoplasmic</t>
  </si>
  <si>
    <t>Isoform 3 of Cysteine--tRNA ligase, cytoplasmic</t>
  </si>
  <si>
    <t>Serine--tRNA ligase, cytoplasmic</t>
  </si>
  <si>
    <t>Caspase-4</t>
  </si>
  <si>
    <t>Proteasome subunit beta type-2</t>
  </si>
  <si>
    <t>Isoform 2 of Very long-chain specific acyl-CoA dehydrogenase, mitochondrial</t>
  </si>
  <si>
    <t>Isoform 4 of YLP motif-containing protein 1</t>
  </si>
  <si>
    <t>Acyl-coenzyme A thioesterase 2, mitochondrial</t>
  </si>
  <si>
    <t>Transmembrane emp24 domain-containing protein 10</t>
  </si>
  <si>
    <t>RNA-binding protein 25</t>
  </si>
  <si>
    <t>Isoform 4 of Protein numb homolog</t>
  </si>
  <si>
    <t>Translation initiation factor eIF-2B subunit beta</t>
  </si>
  <si>
    <t>Histidine triad nucleotide-binding protein 1</t>
  </si>
  <si>
    <t>Nuclear pore complex protein Nup153</t>
  </si>
  <si>
    <t>E3 SUMO-protein ligase RanBP2</t>
  </si>
  <si>
    <t>Isoform 1 of Regulator of G-protein signaling 3</t>
  </si>
  <si>
    <t>Glycogen synthase kinase-3 alpha</t>
  </si>
  <si>
    <t>Glycogen synthase kinase-3 beta</t>
  </si>
  <si>
    <t>Cytosolic purine 5-nucleotidase</t>
  </si>
  <si>
    <t>Selenide, water dikinase 1</t>
  </si>
  <si>
    <t>5-formyltetrahydrofolate cyclo-ligase</t>
  </si>
  <si>
    <t>GMP synthase [glutamine-hydrolyzing]</t>
  </si>
  <si>
    <t>Double-strand break repair protein MRE11A</t>
  </si>
  <si>
    <t>Histamine N-methyltransferase</t>
  </si>
  <si>
    <t>Guanine nucleotide-binding protein G(q) subunit alpha</t>
  </si>
  <si>
    <t>Guanine nucleotide-binding protein G(I)/G(S)/G(O) subunit gamma-10</t>
  </si>
  <si>
    <t>Isocitrate dehydrogenase [NAD] subunit alpha, mitochondrial</t>
  </si>
  <si>
    <t>Sulfotransferase 1A3/1A4</t>
  </si>
  <si>
    <t>Sulfotransferase 1A1</t>
  </si>
  <si>
    <t>Cysteine-rich protein 1</t>
  </si>
  <si>
    <t>Matrix metalloproteinase-14</t>
  </si>
  <si>
    <t>Protoporphyrinogen oxidase</t>
  </si>
  <si>
    <t>Emerin</t>
  </si>
  <si>
    <t>Carnitine O-palmitoyltransferase 1, liver isoform</t>
  </si>
  <si>
    <t>Serpin B8</t>
  </si>
  <si>
    <t>Serpin B9</t>
  </si>
  <si>
    <t>PDZ and LIM domain protein 4</t>
  </si>
  <si>
    <t>Hsc70-interacting protein</t>
  </si>
  <si>
    <t>Vasodilator-stimulated phosphoprotein</t>
  </si>
  <si>
    <t>Methionine aminopeptidase 2</t>
  </si>
  <si>
    <t>Bis(5-nucleosyl)-tetraphosphatase [asymmetrical]</t>
  </si>
  <si>
    <t>Cyclin-dependent kinase 7</t>
  </si>
  <si>
    <t>Biotin--protein ligase</t>
  </si>
  <si>
    <t>Kinetochore-associated protein 1</t>
  </si>
  <si>
    <t>Ras association domain-containing protein 2</t>
  </si>
  <si>
    <t>Basal cell adhesion molecule</t>
  </si>
  <si>
    <t>Palmitoyl-protein thioesterase 1</t>
  </si>
  <si>
    <t>60S ribosomal protein L14</t>
  </si>
  <si>
    <t>T-complex protein 1 subunit theta</t>
  </si>
  <si>
    <t>T-complex protein 1 subunit delta</t>
  </si>
  <si>
    <t>Fragile X mental retardation syndrome-related protein 2</t>
  </si>
  <si>
    <t>Ras-related protein Rab-5C</t>
  </si>
  <si>
    <t>Ras-related protein Rab-7a</t>
  </si>
  <si>
    <t>Ras-related protein Rab-9A</t>
  </si>
  <si>
    <t>Ras-related protein Rab-13</t>
  </si>
  <si>
    <t>Ras-related protein Rab-28</t>
  </si>
  <si>
    <t>Isoform Short of Ras-related protein Rab-27A</t>
  </si>
  <si>
    <t>1-phosphatidylinositol 4,5-bisphosphate phosphodiesterase delta-1</t>
  </si>
  <si>
    <t>Death-associated protein 1</t>
  </si>
  <si>
    <t>Dual specificity protein phosphatase 3</t>
  </si>
  <si>
    <t>Isoform 4 of RNA-binding protein Nova-1</t>
  </si>
  <si>
    <t>Isoform Short of Probable global transcription activator SNF2L2</t>
  </si>
  <si>
    <t>Isocitrate dehydrogenase [NAD] subunit gamma, mitochondrial</t>
  </si>
  <si>
    <t>Galactokinase</t>
  </si>
  <si>
    <t>Translocon-associated protein subunit delta</t>
  </si>
  <si>
    <t>B-cell receptor-associated protein 31</t>
  </si>
  <si>
    <t>Thiopurine S-methyltransferase</t>
  </si>
  <si>
    <t>Methyl-CpG-binding protein 2</t>
  </si>
  <si>
    <t>Isoform 2 of Host cell factor 1</t>
  </si>
  <si>
    <t>Peroxisomal multifunctional enzyme type 2</t>
  </si>
  <si>
    <t>26S proteasome non-ATPase regulatory subunit 7</t>
  </si>
  <si>
    <t>Ubiquitin-conjugating enzyme E2 D1</t>
  </si>
  <si>
    <t>Sulfite oxidase, mitochondrial</t>
  </si>
  <si>
    <t>N-sulphoglucosamine sulphohydrolase</t>
  </si>
  <si>
    <t>Signal transducer and activator of transcription 5B</t>
  </si>
  <si>
    <t>Isoform 3 of H(+)/Cl(-) exchange transporter 3</t>
  </si>
  <si>
    <t>H(+)/Cl(-) exchange transporter 5</t>
  </si>
  <si>
    <t>Plexin-A3</t>
  </si>
  <si>
    <t>Vesicle-associated membrane protein 7</t>
  </si>
  <si>
    <t>Ribosomal protein S6 kinase alpha-3</t>
  </si>
  <si>
    <t>Isoform 2 of 3-oxo-5-beta-steroid 4-dehydrogenase</t>
  </si>
  <si>
    <t>Hepatoma-derived growth factor</t>
  </si>
  <si>
    <t>Lumican</t>
  </si>
  <si>
    <t>Calponin-1</t>
  </si>
  <si>
    <t>Isoform 2 of CDK-activating kinase assembly factor MAT1</t>
  </si>
  <si>
    <t>NADH dehydrogenase [ubiquinone] 1 alpha subcomplex subunit 8</t>
  </si>
  <si>
    <t>Heterogeneous nuclear ribonucleoprotein A3</t>
  </si>
  <si>
    <t>Isoform 2 of Heterogeneous nuclear ribonucleoprotein M</t>
  </si>
  <si>
    <t>Importin subunit alpha-2</t>
  </si>
  <si>
    <t>Importin subunit alpha-1</t>
  </si>
  <si>
    <t>Rap1 GTPase-GDP dissociation stimulator 1</t>
  </si>
  <si>
    <t>Isoform 4 of Rap1 GTPase-GDP dissociation stimulator 1</t>
  </si>
  <si>
    <t>Rho GDP-dissociation inhibitor 1</t>
  </si>
  <si>
    <t>Heterogeneous nuclear ribonucleoprotein F</t>
  </si>
  <si>
    <t>Isoform 2 of Signal transducer and activator of transcription 2</t>
  </si>
  <si>
    <t>Transcription initiation factor IIA subunit 1</t>
  </si>
  <si>
    <t>Transcription initiation factor IIA subunit 2</t>
  </si>
  <si>
    <t>Isoform 3 of Guanine nucleotide exchange factor VAV2</t>
  </si>
  <si>
    <t>Ribonuclease UK114</t>
  </si>
  <si>
    <t>Hexokinase-2</t>
  </si>
  <si>
    <t>Ephrin-B2</t>
  </si>
  <si>
    <t>39S ribosomal protein L12, mitochondrial</t>
  </si>
  <si>
    <t>Bifunctional heparan sulfate N-deacetylase/N-sulfotransferase 1</t>
  </si>
  <si>
    <t>Thimet oligopeptidase</t>
  </si>
  <si>
    <t>F-actin-capping protein subunit alpha-1</t>
  </si>
  <si>
    <t>Cysteine-rich protein 2</t>
  </si>
  <si>
    <t>Biliverdin reductase A</t>
  </si>
  <si>
    <t>Tricarboxylate transport protein, mitochondrial</t>
  </si>
  <si>
    <t>Arfaptin-2</t>
  </si>
  <si>
    <t>Arfaptin-1</t>
  </si>
  <si>
    <t>Isoform A of Arfaptin-1</t>
  </si>
  <si>
    <t>Nucleoside diphosphate-linked moiety X motif 6</t>
  </si>
  <si>
    <t>Isoform 2 of Cytosolic Fe-S cluster assembly factor NUBP1</t>
  </si>
  <si>
    <t>ATP-citrate synthase</t>
  </si>
  <si>
    <t>Methionine aminopeptidase 1</t>
  </si>
  <si>
    <t>Succinyl-CoA ligase [ADP/GDP-forming] subunit alpha, mitochondrial</t>
  </si>
  <si>
    <t>Diphosphomevalonate decarboxylase</t>
  </si>
  <si>
    <t>Geranylgeranyl transferase type-1 subunit beta</t>
  </si>
  <si>
    <t>Geranylgeranyl transferase type-2 subunit beta</t>
  </si>
  <si>
    <t>Coatomer subunit alpha</t>
  </si>
  <si>
    <t>Dipeptidyl peptidase 1</t>
  </si>
  <si>
    <t>Isoform 2 of Clathrin heavy chain 2</t>
  </si>
  <si>
    <t>Cytochrome c-type heme lyase</t>
  </si>
  <si>
    <t>Mitogen-activated protein kinase 12</t>
  </si>
  <si>
    <t>Sodium/myo-inositol cotransporter</t>
  </si>
  <si>
    <t>Pituitary tumor-transforming gene 1 protein-interacting protein</t>
  </si>
  <si>
    <t>DNA-directed RNA polymerases I, II, and III subunit RPABC4</t>
  </si>
  <si>
    <t>Isoform B2 of Smoothelin</t>
  </si>
  <si>
    <t>Monocarboxylate transporter 1</t>
  </si>
  <si>
    <t>Isoform 2 of IST1 homolog</t>
  </si>
  <si>
    <t>Protein transport protein Sec24C</t>
  </si>
  <si>
    <t>Activated RNA polymerase II transcriptional coactivator p15</t>
  </si>
  <si>
    <t>Arginine--tRNA ligase, cytoplasmic</t>
  </si>
  <si>
    <t>Isoform Monomeric of Arginine--tRNA ligase, cytoplasmic</t>
  </si>
  <si>
    <t>Ataxin-1</t>
  </si>
  <si>
    <t>Atrophin-1</t>
  </si>
  <si>
    <t>Tyrosine--tRNA ligase, cytoplasmic</t>
  </si>
  <si>
    <t>Ubiquitin carboxyl-terminal hydrolase 14</t>
  </si>
  <si>
    <t>Isoform 2 of 5-AMP-activated protein kinase subunit gamma-1</t>
  </si>
  <si>
    <t>5-AMP-activated protein kinase catalytic subunit alpha-2</t>
  </si>
  <si>
    <t>Heat shock-related 70 kDa protein 2</t>
  </si>
  <si>
    <t>Branched-chain-amino-acid aminotransferase, cytosolic</t>
  </si>
  <si>
    <t>Potassium-transporting ATPase alpha chain 2</t>
  </si>
  <si>
    <t>Sodium/potassium-transporting ATPase subunit beta-3</t>
  </si>
  <si>
    <t>UV excision repair protein RAD23 homolog A</t>
  </si>
  <si>
    <t>UV excision repair protein RAD23 homolog B</t>
  </si>
  <si>
    <t>Alpha-N-acetylglucosaminidase</t>
  </si>
  <si>
    <t>Galactocerebrosidase</t>
  </si>
  <si>
    <t>Adenylate kinase 2, mitochondrial</t>
  </si>
  <si>
    <t>Isoform Short of Delta-1-pyrroline-5-carboxylate synthase</t>
  </si>
  <si>
    <t>Alpha-soluble NSF attachment protein</t>
  </si>
  <si>
    <t>[Protein ADP-ribosylarginine] hydrolase</t>
  </si>
  <si>
    <t>Eukaryotic translation initiation factor 5</t>
  </si>
  <si>
    <t>Isoform 2 of Solute carrier family 12 member 2</t>
  </si>
  <si>
    <t>26S proteasome non-ATPase regulatory subunit 4</t>
  </si>
  <si>
    <t>Developmentally-regulated GTP-binding protein 2</t>
  </si>
  <si>
    <t>GTP-binding protein GEM</t>
  </si>
  <si>
    <t>GTP-binding protein RAD</t>
  </si>
  <si>
    <t>Isoform 3 of Exportin-2</t>
  </si>
  <si>
    <t>Transitional endoplasmic reticulum ATPase</t>
  </si>
  <si>
    <t>Microfibrillar-associated protein 1</t>
  </si>
  <si>
    <t>Isoform 2 of Microfibril-associated glycoprotein 3</t>
  </si>
  <si>
    <t>Mesencephalic astrocyte-derived neurotrophic factor</t>
  </si>
  <si>
    <t>Caspase-7</t>
  </si>
  <si>
    <t>Caspase-6</t>
  </si>
  <si>
    <t>Adenosine kinase</t>
  </si>
  <si>
    <t>Laminin subunit beta-2</t>
  </si>
  <si>
    <t>Cyclin-dependent kinase 4 inhibitor D</t>
  </si>
  <si>
    <t>Cadherin-6</t>
  </si>
  <si>
    <t>Protein arginine N-methyltransferase 2</t>
  </si>
  <si>
    <t>Protein SEC13 homolog</t>
  </si>
  <si>
    <t>FAD-linked sulfhydryl oxidase ALR</t>
  </si>
  <si>
    <t>Heterogeneous nuclear ribonucleoprotein H2</t>
  </si>
  <si>
    <t>Glycoprotein Xg</t>
  </si>
  <si>
    <t>Succinyl-CoA:3-ketoacid coenzyme A transferase 1, mitochondrial</t>
  </si>
  <si>
    <t>Eukaryotic translation initiation factor 3 subunit B</t>
  </si>
  <si>
    <t>IgG receptor FcRn large subunit p51</t>
  </si>
  <si>
    <t>BH3-interacting domain death agonist</t>
  </si>
  <si>
    <t>NADH dehydrogenase [ubiquinone] flavoprotein 3, mitochondrial</t>
  </si>
  <si>
    <t>Isoform 2 of NADH dehydrogenase [ubiquinone] flavoprotein 3, mitochondrial</t>
  </si>
  <si>
    <t>Methionine--tRNA ligase, cytoplasmic</t>
  </si>
  <si>
    <t>Integrin alpha-1</t>
  </si>
  <si>
    <t>Cx9C motif-containing protein 4</t>
  </si>
  <si>
    <t>AP-1 complex subunit sigma-2</t>
  </si>
  <si>
    <t>6.8 kDa mitochondrial proteolipid</t>
  </si>
  <si>
    <t>ATP synthase subunit epsilon, mitochondrial</t>
  </si>
  <si>
    <t>ATP synthase subunit e, mitochondrial</t>
  </si>
  <si>
    <t>Histone deacetylase 4</t>
  </si>
  <si>
    <t>Eukaryotic translation initiation factor 6</t>
  </si>
  <si>
    <t>Isoform 2 of C-terminal-binding protein 2</t>
  </si>
  <si>
    <t>Peroxisomal biogenesis factor 3</t>
  </si>
  <si>
    <t>Isoform D of Beta-secretase 1</t>
  </si>
  <si>
    <t>Isoform 3 of 3-keto-steroid reductase</t>
  </si>
  <si>
    <t>Isoform 5 of Breast cancer anti-estrogen resistance protein 1</t>
  </si>
  <si>
    <t>Syntaxin-17</t>
  </si>
  <si>
    <t>RWD domain-containing protein 2B</t>
  </si>
  <si>
    <t>Uncharacterized protein C21orf59</t>
  </si>
  <si>
    <t>Isoform D of MAP3K7 C-terminal-like protein</t>
  </si>
  <si>
    <t>Isoform 2 of tRNA (guanine-N(7)-)-methyltransferase subunit WDR4</t>
  </si>
  <si>
    <t>Transmembrane protein 33</t>
  </si>
  <si>
    <t>Synaptojanin-2-binding protein</t>
  </si>
  <si>
    <t>Isoform 3 of Coronin-7</t>
  </si>
  <si>
    <t>Sorting nexin-16</t>
  </si>
  <si>
    <t>Selenocysteine-specific elongation factor</t>
  </si>
  <si>
    <t>Sestrin-2</t>
  </si>
  <si>
    <t>Myotrophin</t>
  </si>
  <si>
    <t>Guanine nucleotide-binding protein G(I)/G(S)/G(O) subunit gamma-2</t>
  </si>
  <si>
    <t>Protein transport protein Sec61 subunit gamma</t>
  </si>
  <si>
    <t>Isoform 2 of Triosephosphate isomerase</t>
  </si>
  <si>
    <t>Isoform 4 of Triosephosphate isomerase</t>
  </si>
  <si>
    <t>Eukaryotic translation initiation factor 3 subunit E</t>
  </si>
  <si>
    <t>Protein transport protein Sec61 subunit beta</t>
  </si>
  <si>
    <t>Phosphatidylinositol 3,4,5-trisphosphate 3-phosphatase and dual-specificity protein phosphatase PTEN</t>
  </si>
  <si>
    <t>Serine/threonine-protein phosphatase 4 catalytic subunit</t>
  </si>
  <si>
    <t>Gamma-aminobutyric acid receptor-associated protein-like 2</t>
  </si>
  <si>
    <t>Reactive oxygen species modulator 1</t>
  </si>
  <si>
    <t>Isoform 2 of Ubiquitin-conjugating enzyme E2 G2</t>
  </si>
  <si>
    <t>Ras-related C3 botulinum toxin substrate 3</t>
  </si>
  <si>
    <t>Eukaryotic initiation factor 4A-I</t>
  </si>
  <si>
    <t>40S ribosomal protein S20</t>
  </si>
  <si>
    <t>Isoform 2 of Synaptosomal-associated protein 25</t>
  </si>
  <si>
    <t>Ribose-phosphate pyrophosphokinase 1</t>
  </si>
  <si>
    <t>26S proteasome complex subunit DSS1</t>
  </si>
  <si>
    <t>Protein S100-A10</t>
  </si>
  <si>
    <t>Cell division control protein 42 homolog</t>
  </si>
  <si>
    <t>Isoform 1 of Cell division control protein 42 homolog</t>
  </si>
  <si>
    <t>Destrin</t>
  </si>
  <si>
    <t>Glia maturation factor beta</t>
  </si>
  <si>
    <t>Ras-related protein Rab-8A</t>
  </si>
  <si>
    <t>Signal peptidase complex subunit 3</t>
  </si>
  <si>
    <t>Signal recognition particle 54 kDa protein</t>
  </si>
  <si>
    <t>Ras-related protein Rab-4B</t>
  </si>
  <si>
    <t>Ras-related protein Rab-2A</t>
  </si>
  <si>
    <t>Ras-related protein Rab-5B</t>
  </si>
  <si>
    <t>Ras-related protein Rab-10</t>
  </si>
  <si>
    <t>Ubiquitin-conjugating enzyme E2 D3</t>
  </si>
  <si>
    <t>NEDD8-conjugating enzyme Ubc12</t>
  </si>
  <si>
    <t>Ubiquitin-conjugating enzyme E2 K</t>
  </si>
  <si>
    <t>Ubiquitin-conjugating enzyme E2 N</t>
  </si>
  <si>
    <t>Ras-related protein Rab-14</t>
  </si>
  <si>
    <t>Actin-related protein 3</t>
  </si>
  <si>
    <t>Actin-related protein 2</t>
  </si>
  <si>
    <t>Alpha-centractin</t>
  </si>
  <si>
    <t>COP9 signalosome complex subunit 2</t>
  </si>
  <si>
    <t>DNA-directed RNA polymerases I, II, and III subunit RPABC2</t>
  </si>
  <si>
    <t>ATP-binding cassette sub-family E member 1</t>
  </si>
  <si>
    <t>Ras-related protein Rap-1b</t>
  </si>
  <si>
    <t>Ras-related protein Rap-2b</t>
  </si>
  <si>
    <t>Isoform 2 of Protein max</t>
  </si>
  <si>
    <t>40S ribosomal protein S3a</t>
  </si>
  <si>
    <t>60S ribosomal protein L26</t>
  </si>
  <si>
    <t>Proteasome activator complex subunit 3</t>
  </si>
  <si>
    <t>Protein mago nashi homolog</t>
  </si>
  <si>
    <t>Transforming protein RhoA</t>
  </si>
  <si>
    <t>Rho-related GTP-binding protein RhoE</t>
  </si>
  <si>
    <t>Neurocalcin-delta</t>
  </si>
  <si>
    <t>10 kDa heat shock protein, mitochondrial</t>
  </si>
  <si>
    <t>Prefoldin subunit 3</t>
  </si>
  <si>
    <t>Syntaxin-binding protein 1</t>
  </si>
  <si>
    <t>Beta-2-microglobulin</t>
  </si>
  <si>
    <t>Transforming growth factor beta-2</t>
  </si>
  <si>
    <t>cAMP-dependent protein kinase inhibitor alpha</t>
  </si>
  <si>
    <t>60S ribosomal protein L37</t>
  </si>
  <si>
    <t>Guanine nucleotide-binding protein G(I)/G(S)/G(O) subunit gamma-11</t>
  </si>
  <si>
    <t>Isoform 2 of Ubiquitin-fold modifier 1</t>
  </si>
  <si>
    <t>DDB1- and CUL4-associated factor 7</t>
  </si>
  <si>
    <t>WD repeat-containing protein 5</t>
  </si>
  <si>
    <t>Nuclear transport factor 2</t>
  </si>
  <si>
    <t>Isoform 3 of Heterogeneous nuclear ribonucleoprotein K</t>
  </si>
  <si>
    <t>14-3-3 protein gamma</t>
  </si>
  <si>
    <t>Ras-related protein R-Ras2</t>
  </si>
  <si>
    <t>Mitochondrial import inner membrane translocase subunit Tim10</t>
  </si>
  <si>
    <t>40S ribosomal protein S7</t>
  </si>
  <si>
    <t>Serine/threonine-protein phosphatase PP1-alpha catalytic subunit</t>
  </si>
  <si>
    <t>Serine/threonine-protein phosphatase PP1-beta catalytic subunit</t>
  </si>
  <si>
    <t>Neuronal calcium sensor 1</t>
  </si>
  <si>
    <t>26S protease regulatory subunit 4</t>
  </si>
  <si>
    <t>Isoform 2 of 26S protease regulatory subunit 8</t>
  </si>
  <si>
    <t>40S ribosomal protein S8</t>
  </si>
  <si>
    <t>40S ribosomal protein S16</t>
  </si>
  <si>
    <t>Ubiquitin-conjugating enzyme E2 G1</t>
  </si>
  <si>
    <t>14-3-3 protein epsilon</t>
  </si>
  <si>
    <t>40S ribosomal protein S14</t>
  </si>
  <si>
    <t>40S ribosomal protein S18</t>
  </si>
  <si>
    <t>40S ribosomal protein S29</t>
  </si>
  <si>
    <t>40S ribosomal protein S13</t>
  </si>
  <si>
    <t>40S ribosomal protein S11</t>
  </si>
  <si>
    <t>Small nuclear ribonucleoprotein E</t>
  </si>
  <si>
    <t>Small nuclear ribonucleoprotein F</t>
  </si>
  <si>
    <t>Small nuclear ribonucleoprotein G</t>
  </si>
  <si>
    <t>U6 snRNA-associated Sm-like protein LSm3</t>
  </si>
  <si>
    <t>U6 snRNA-associated Sm-like protein LSm6</t>
  </si>
  <si>
    <t>Small nuclear ribonucleoprotein Sm D1</t>
  </si>
  <si>
    <t>Small nuclear ribonucleoprotein Sm D2</t>
  </si>
  <si>
    <t>Thymosin beta-4</t>
  </si>
  <si>
    <t>ADP-ribosylation factor 6</t>
  </si>
  <si>
    <t>26S protease regulatory subunit 10B</t>
  </si>
  <si>
    <t>TATA box-binding protein-like protein 1</t>
  </si>
  <si>
    <t>60S ribosomal protein L7a</t>
  </si>
  <si>
    <t>DNA-directed RNA polymerase II subunit RPB7</t>
  </si>
  <si>
    <t>Eukaryotic peptide chain release factor subunit 1</t>
  </si>
  <si>
    <t>Isoform 4 of Cellular nucleic acid-binding protein</t>
  </si>
  <si>
    <t>40S ribosomal protein S4, X isoform</t>
  </si>
  <si>
    <t>Serine/threonine-protein phosphatase 2A catalytic subunit beta isoform</t>
  </si>
  <si>
    <t>Actin, aortic smooth muscle</t>
  </si>
  <si>
    <t>Rho-related GTP-binding protein RhoB</t>
  </si>
  <si>
    <t>60S ribosomal protein L23a</t>
  </si>
  <si>
    <t>40S ribosomal protein S6</t>
  </si>
  <si>
    <t>Histone H4</t>
  </si>
  <si>
    <t>Ras-related protein Rab-1A</t>
  </si>
  <si>
    <t>60S ribosomal protein L23</t>
  </si>
  <si>
    <t>Ras-related protein Rap-1A</t>
  </si>
  <si>
    <t>40S ribosomal protein S25</t>
  </si>
  <si>
    <t>40S ribosomal protein S28</t>
  </si>
  <si>
    <t>Guanine nucleotide-binding protein G(I)/G(S)/G(T) subunit beta-1</t>
  </si>
  <si>
    <t>E3 ubiquitin-protein ligase RBX1</t>
  </si>
  <si>
    <t>60S ribosomal protein L30</t>
  </si>
  <si>
    <t>60S ribosomal protein L10a</t>
  </si>
  <si>
    <t>Isoform 2 of 60S ribosomal protein L11</t>
  </si>
  <si>
    <t>Peptidyl-prolyl cis-trans isomerase A</t>
  </si>
  <si>
    <t>Peptidyl-prolyl cis-trans isomerase FKBP1A</t>
  </si>
  <si>
    <t>Ubiquitin-40S ribosomal protein S27a</t>
  </si>
  <si>
    <t>Ubiquitin-60S ribosomal protein L40</t>
  </si>
  <si>
    <t>Growth factor receptor-bound protein 2</t>
  </si>
  <si>
    <t>Isoform 3 of Transformer-2 protein homolog beta</t>
  </si>
  <si>
    <t>Ras-related C3 botulinum toxin substrate 1</t>
  </si>
  <si>
    <t>AP-2 complex subunit beta</t>
  </si>
  <si>
    <t>Guanine nucleotide-binding protein G(s) subunit alpha isoforms short</t>
  </si>
  <si>
    <t>Guanine nucleotide-binding protein G(i) subunit alpha-1</t>
  </si>
  <si>
    <t>14-3-3 protein zeta/delta</t>
  </si>
  <si>
    <t>Ubiquitin-conjugating enzyme E2 B</t>
  </si>
  <si>
    <t>Serine/threonine-protein phosphatase 2A 55 kDa regulatory subunit B alpha isoform</t>
  </si>
  <si>
    <t>Dynein light chain 1, cytoplasmic</t>
  </si>
  <si>
    <t>60S ribosomal protein L38</t>
  </si>
  <si>
    <t>Guanine nucleotide-binding protein G(I)/G(S)/G(O) subunit gamma-5</t>
  </si>
  <si>
    <t>Guanine nucleotide-binding protein subunit beta-2-like 1</t>
  </si>
  <si>
    <t>Nuclease-sensitive element-binding protein 1</t>
  </si>
  <si>
    <t>Tropomyosin alpha-4 chain</t>
  </si>
  <si>
    <t>Isoform 2 of Tropomyosin alpha-4 chain</t>
  </si>
  <si>
    <t>Ubiquitin-conjugating enzyme E2 L3</t>
  </si>
  <si>
    <t>Elongation factor 1-alpha 1</t>
  </si>
  <si>
    <t>Isoform 2 of Peptidyl-prolyl cis-trans isomerase FKBP1B</t>
  </si>
  <si>
    <t>Tubulin beta-4B chain</t>
  </si>
  <si>
    <t>Platelet-activating factor acetylhydrolase IB subunit beta</t>
  </si>
  <si>
    <t>Hemoglobin subunit beta</t>
  </si>
  <si>
    <t>Hemoglobin subunit alpha</t>
  </si>
  <si>
    <t>Coxsackievirus and adenovirus receptor</t>
  </si>
  <si>
    <t>Immunoglobulin-binding protein 1</t>
  </si>
  <si>
    <t>Tyrosine-protein phosphatase non-receptor type substrate 1</t>
  </si>
  <si>
    <t>Phosphoserine phosphatase</t>
  </si>
  <si>
    <t>Isoform 2 of General transcription factor II-I</t>
  </si>
  <si>
    <t>Phosphatidylinositol 5-phosphate 4-kinase type-2 beta</t>
  </si>
  <si>
    <t>T-complex protein 1 subunit beta</t>
  </si>
  <si>
    <t>mRNA export factor</t>
  </si>
  <si>
    <t>Glutathione S-transferase omega-1</t>
  </si>
  <si>
    <t>Disintegrin and metalloproteinase domain-containing protein 17</t>
  </si>
  <si>
    <t>Biogenesis of lysosome-related organelles complex 1 subunit 1</t>
  </si>
  <si>
    <t>Isoform 4 of Sushi repeat-containing protein SRPX</t>
  </si>
  <si>
    <t>Interleukin-13 receptor subunit alpha-1</t>
  </si>
  <si>
    <t>Interferon-induced 35 kDa protein</t>
  </si>
  <si>
    <t>Metallothionein-1X</t>
  </si>
  <si>
    <t>Nucleobindin-2</t>
  </si>
  <si>
    <t>Brain acid soluble protein 1</t>
  </si>
  <si>
    <t>Dermcidin</t>
  </si>
  <si>
    <t>TATA element modulatory factor</t>
  </si>
  <si>
    <t>28S ribosomal protein S36, mitochondrial</t>
  </si>
  <si>
    <t>28S ribosomal protein S6, mitochondrial</t>
  </si>
  <si>
    <t>SAP domain-containing ribonucleoprotein</t>
  </si>
  <si>
    <t>Serine beta-lactamase-like protein LACTB, mitochondrial</t>
  </si>
  <si>
    <t>Conserved oligomeric Golgi complex subunit 7</t>
  </si>
  <si>
    <t>Mothers against decapentaplegic homolog 3</t>
  </si>
  <si>
    <t>ADP-ribosylation factor 1</t>
  </si>
  <si>
    <t>ADP-ribosylation factor 5</t>
  </si>
  <si>
    <t>Enhancer of rudimentary homolog</t>
  </si>
  <si>
    <t>Rho-related GTP-binding protein RhoG</t>
  </si>
  <si>
    <t>60S ribosomal protein L19</t>
  </si>
  <si>
    <t>Isoform 4 of Small EDRK-rich factor 2</t>
  </si>
  <si>
    <t>Isoform 3 of Matrix-remodeling-associated protein 7</t>
  </si>
  <si>
    <t>Forkhead box protein K1</t>
  </si>
  <si>
    <t>Isoform 3 of Disabled homolog 2</t>
  </si>
  <si>
    <t>Isoform Short of Very low-density lipoprotein receptor</t>
  </si>
  <si>
    <t>Basement membrane-specific heparan sulfate proteoglycan core protein</t>
  </si>
  <si>
    <t>E3 ubiquitin-protein ligase XIAP</t>
  </si>
  <si>
    <t>Ephrin-B1</t>
  </si>
  <si>
    <t>Protein FAM3A</t>
  </si>
  <si>
    <t>Isoform 2 of RNA-binding protein 10</t>
  </si>
  <si>
    <t>Putative RNA-binding protein 3</t>
  </si>
  <si>
    <t>Isoform 2 of 55 kDa erythrocyte membrane protein</t>
  </si>
  <si>
    <t>Transcription factor A, mitochondrial</t>
  </si>
  <si>
    <t>Phosphatidylinositol transfer protein alpha isoform</t>
  </si>
  <si>
    <t>Isoform B of Phosphate carrier protein, mitochondrial</t>
  </si>
  <si>
    <t>Vigilin</t>
  </si>
  <si>
    <t>Cyclin-dependent kinase 6</t>
  </si>
  <si>
    <t>Cyclin-dependent kinase 5</t>
  </si>
  <si>
    <t>Cyclin-dependent kinase 16</t>
  </si>
  <si>
    <t>Transcriptional activator protein Pur-alpha</t>
  </si>
  <si>
    <t>Isoform 2 of Cdc42 effector protein 1</t>
  </si>
  <si>
    <t>Isoform 2 of Clathrin heavy chain 1</t>
  </si>
  <si>
    <t>Isoform 4 of Nuclear factor NF-kappa-B p100 subunit</t>
  </si>
  <si>
    <t>Peptidyl-prolyl cis-trans isomerase FKBP3</t>
  </si>
  <si>
    <t>Receptor expression-enhancing protein 5</t>
  </si>
  <si>
    <t>Sorbitol dehydrogenase</t>
  </si>
  <si>
    <t>Isoform Short of Heterogeneous nuclear ribonucleoprotein U</t>
  </si>
  <si>
    <t>Interferon regulatory factor 9</t>
  </si>
  <si>
    <t>Spectrin beta chain, non-erythrocytic 1</t>
  </si>
  <si>
    <t>Isoform 2 of Nucleolysin TIAR</t>
  </si>
  <si>
    <t>Protein SET</t>
  </si>
  <si>
    <t>Forkhead box protein K2</t>
  </si>
  <si>
    <t>N-acetylgalactosamine kinase</t>
  </si>
  <si>
    <t>Di-N-acetylchitobiase</t>
  </si>
  <si>
    <t>Fatty acid-binding protein, epidermal</t>
  </si>
  <si>
    <t>Isoform 2 of Adenylyl cyclase-associated protein 1</t>
  </si>
  <si>
    <t>Hydroxymethylglutaryl-CoA synthase, cytoplasmic</t>
  </si>
  <si>
    <t>Large neutral amino acids transporter small subunit 1</t>
  </si>
  <si>
    <t>Protein Dr1</t>
  </si>
  <si>
    <t>6-phosphofructokinase type C</t>
  </si>
  <si>
    <t>Cerebellar degeneration-related protein 2</t>
  </si>
  <si>
    <t>Inositol polyphosphate 5-phosphatase OCRL-1</t>
  </si>
  <si>
    <t>1-phosphatidylinositol 4,5-bisphosphate phosphodiesterase beta-3</t>
  </si>
  <si>
    <t>Tyrosine-protein kinase transmembrane receptor ROR2</t>
  </si>
  <si>
    <t>Transgelin</t>
  </si>
  <si>
    <t>Isoform 2 of N-acylethanolamine-hydrolyzing acid amidase</t>
  </si>
  <si>
    <t>Dihydroorotate dehydrogenase (quinone), mitochondrial</t>
  </si>
  <si>
    <t>Protein kinase C epsilon type</t>
  </si>
  <si>
    <t>Methylmalonate-semialdehyde dehydrogenase [acylating], mitochondrial</t>
  </si>
  <si>
    <t>Sterol 26-hydroxylase, mitochondrial</t>
  </si>
  <si>
    <t>D-beta-hydroxybutyrate dehydrogenase, mitochondrial</t>
  </si>
  <si>
    <t>Semenogelin-2</t>
  </si>
  <si>
    <t>Isoform 2 of Collagen alpha-1(VII) chain</t>
  </si>
  <si>
    <t>Amyloid beta A4 precursor protein-binding family A member 1</t>
  </si>
  <si>
    <t>Desmoglein-1</t>
  </si>
  <si>
    <t>60S ribosomal protein L18a</t>
  </si>
  <si>
    <t>Dual specificity mitogen-activated protein kinase kinase 1</t>
  </si>
  <si>
    <t>Peptidyl-prolyl cis-trans isomerase FKBP4</t>
  </si>
  <si>
    <t>Procollagen-lysine,2-oxoglutarate 5-dioxygenase 1</t>
  </si>
  <si>
    <t>Nucleobindin-1</t>
  </si>
  <si>
    <t>60S ribosomal protein L6</t>
  </si>
  <si>
    <t>Isoform 3 of A-kinase anchor protein 12</t>
  </si>
  <si>
    <t>Dystonin</t>
  </si>
  <si>
    <t>Isoform 3 of Dystonin</t>
  </si>
  <si>
    <t>Glutathione S-transferase Mu 4</t>
  </si>
  <si>
    <t>Guanine nucleotide-binding protein subunit alpha-12</t>
  </si>
  <si>
    <t>Caveolin-1</t>
  </si>
  <si>
    <t>Aminoacylase-1</t>
  </si>
  <si>
    <t>Tumor necrosis factor alpha-induced protein 2</t>
  </si>
  <si>
    <t>6-pyruvoyl tetrahydrobiopterin synthase</t>
  </si>
  <si>
    <t>Urokinase plasminogen activator surface receptor</t>
  </si>
  <si>
    <t>Antigen peptide transporter 2</t>
  </si>
  <si>
    <t>1,4-alpha-glucan-branching enzyme</t>
  </si>
  <si>
    <t>Isoform 5 of Copper-transporting ATPase 1</t>
  </si>
  <si>
    <t>Neurogenic locus notch homolog protein 2</t>
  </si>
  <si>
    <t>Transducin-like enhancer protein 1</t>
  </si>
  <si>
    <t>Lactoylglutathione lyase</t>
  </si>
  <si>
    <t>Activin receptor type-1</t>
  </si>
  <si>
    <t>Aldo-keto reductase family 1 member C1</t>
  </si>
  <si>
    <t>14-3-3 protein eta</t>
  </si>
  <si>
    <t>Proteolipid protein 2</t>
  </si>
  <si>
    <t>Cleavage stimulation factor subunit 1</t>
  </si>
  <si>
    <t>Isoform III of Ubiquitin-protein ligase E3A</t>
  </si>
  <si>
    <t>Isoform 3 of Dynamin-1</t>
  </si>
  <si>
    <t>Tyrosine-protein phosphatase non-receptor type 12</t>
  </si>
  <si>
    <t>Isoform 2 of Serine/arginine-rich splicing factor 11</t>
  </si>
  <si>
    <t>Elongation factor 1-alpha 2</t>
  </si>
  <si>
    <t>Protein kinase C delta type</t>
  </si>
  <si>
    <t>Caldesmon</t>
  </si>
  <si>
    <t>Tyrosine-protein phosphatase non-receptor type 11</t>
  </si>
  <si>
    <t>3-ketodihydrosphingosine reductase</t>
  </si>
  <si>
    <t>Serine/threonine-protein phosphatase 2A regulatory subunit B subunit alpha</t>
  </si>
  <si>
    <t>Amidophosphoribosyltransferase</t>
  </si>
  <si>
    <t>Isoform 2 of Glutamine--fructose-6-phosphate aminotransferase [isomerizing] 1</t>
  </si>
  <si>
    <t>Aldehyde oxidase</t>
  </si>
  <si>
    <t>Proteasome activator complex subunit 1</t>
  </si>
  <si>
    <t>Recombining binding protein suppressor of hairless</t>
  </si>
  <si>
    <t>Isoform 3 of Amyloid-like protein 2</t>
  </si>
  <si>
    <t>GA-binding protein alpha chain</t>
  </si>
  <si>
    <t>Peroxiredoxin-1</t>
  </si>
  <si>
    <t>Complement component 1 Q subcomponent-binding protein, mitochondrial</t>
  </si>
  <si>
    <t>Cytoskeleton-associated protein 4</t>
  </si>
  <si>
    <t>Isoform 2 of Collagen alpha-1(XVI) chain</t>
  </si>
  <si>
    <t>Zinc finger protein 36, C3H1 type-like 1</t>
  </si>
  <si>
    <t>Dermatopontin</t>
  </si>
  <si>
    <t>KH domain-containing, RNA-binding, signal transduction-associated protein 1</t>
  </si>
  <si>
    <t>Isoform Epsilon of Apoptosis regulator BAX</t>
  </si>
  <si>
    <t>Isoform 2 of Induced myeloid leukemia cell differentiation protein Mcl-1</t>
  </si>
  <si>
    <t>Isoform G of Kinesin light chain 1</t>
  </si>
  <si>
    <t>Isoform N of Kinesin light chain 1</t>
  </si>
  <si>
    <t>Activated CDC42 kinase 1</t>
  </si>
  <si>
    <t>Prolow-density lipoprotein receptor-related protein 1</t>
  </si>
  <si>
    <t>Rho GTPase-activating protein 1</t>
  </si>
  <si>
    <t>Isoform 2 of Serine/threonine-protein phosphatase 2B catalytic subunit alpha isoform</t>
  </si>
  <si>
    <t>Quinone oxidoreductase</t>
  </si>
  <si>
    <t>Sodium-dependent phosphate transporter 2</t>
  </si>
  <si>
    <t>Golgin subfamily A member 3</t>
  </si>
  <si>
    <t>Golgin subfamily A member 2</t>
  </si>
  <si>
    <t>Galectin-3-binding protein</t>
  </si>
  <si>
    <t>Peroxisomal bifunctional enzyme</t>
  </si>
  <si>
    <t>Testican-1</t>
  </si>
  <si>
    <t>Leukocyte surface antigen CD47</t>
  </si>
  <si>
    <t>Peptidyl-prolyl cis-trans isomerase D</t>
  </si>
  <si>
    <t>Isoform 2 of Calmodulin-regulated spectrin-associated protein 2</t>
  </si>
  <si>
    <t>Isoform 2 of Protein spire homolog 1</t>
  </si>
  <si>
    <t>Schlafen family member 5</t>
  </si>
  <si>
    <t>Mitotic-spindle organizing protein 1</t>
  </si>
  <si>
    <t>Protein VAC14 homolog</t>
  </si>
  <si>
    <t>KIAA0100 protein</t>
  </si>
  <si>
    <t>tRNA (cytosine(34)-C(5))-methyltransferase</t>
  </si>
  <si>
    <t>Isoform 3 of Histone-binding protein RBBP4</t>
  </si>
  <si>
    <t>Nuclear cap-binding protein subunit 1</t>
  </si>
  <si>
    <t>Alpha-1,6-mannosylglycoprotein 6-beta-N-acetylglucosaminyltransferase A</t>
  </si>
  <si>
    <t>Neuroblast differentiation-associated protein AHNAK</t>
  </si>
  <si>
    <t>Isoform 2 of Neuroblast differentiation-associated protein AHNAK</t>
  </si>
  <si>
    <t>FCH domain only protein 2</t>
  </si>
  <si>
    <t>Elongator complex protein 6</t>
  </si>
  <si>
    <t>Heat shock 70 kDa protein 14</t>
  </si>
  <si>
    <t>Secernin-3</t>
  </si>
  <si>
    <t>Fanconi anemia-associated protein of 100 kDa</t>
  </si>
  <si>
    <t>Ragulator complex protein LAMTOR4</t>
  </si>
  <si>
    <t>Isoform 2 of Nexilin</t>
  </si>
  <si>
    <t>Alpha-1,6-mannosyl-glycoprotein 2-beta-N-acetylglucosaminyltransferase</t>
  </si>
  <si>
    <t>Polypeptide N-acetylgalactosaminyltransferase 2</t>
  </si>
  <si>
    <t>Isoform B of AP-1 complex subunit beta-1</t>
  </si>
  <si>
    <t>Isoform C of AP-1 complex subunit beta-1</t>
  </si>
  <si>
    <t>Mitochondrial-processing peptidase subunit alpha</t>
  </si>
  <si>
    <t>Isoform 3 of CMP-N-acetylneuraminate-beta-galactosamide-alpha-2,3-sialyltransferase 4</t>
  </si>
  <si>
    <t>Secernin-1</t>
  </si>
  <si>
    <t>WASH complex subunit strumpellin</t>
  </si>
  <si>
    <t>Twinfilin-1</t>
  </si>
  <si>
    <t>Aspartyl/asparaginyl beta-hydroxylase</t>
  </si>
  <si>
    <t>Isoform 3 of A-kinase anchor protein 13</t>
  </si>
  <si>
    <t>Isoform 2 of EGF-containing fibulin-like extracellular matrix protein 1</t>
  </si>
  <si>
    <t>Follistatin-related protein 1</t>
  </si>
  <si>
    <t>Syntaxin-4</t>
  </si>
  <si>
    <t>G-rich sequence factor 1</t>
  </si>
  <si>
    <t>Splicing factor 3A subunit 3</t>
  </si>
  <si>
    <t>Dihydropyrimidine dehydrogenase [NADP(+)]</t>
  </si>
  <si>
    <t>Seprase</t>
  </si>
  <si>
    <t>Isoform 2 of Seprase</t>
  </si>
  <si>
    <t>Tumor suppressor p53-binding protein 1</t>
  </si>
  <si>
    <t>Transmembrane protein 115</t>
  </si>
  <si>
    <t>Aminoacyl tRNA synthase complex-interacting multifunctional protein 1</t>
  </si>
  <si>
    <t>Interleukin enhancer-binding factor 2</t>
  </si>
  <si>
    <t>Interleukin enhancer-binding factor 3</t>
  </si>
  <si>
    <t>Vesicular integral-membrane protein VIP36</t>
  </si>
  <si>
    <t>Isoform 2 of Tyrosine-protein phosphatase non-receptor type 13</t>
  </si>
  <si>
    <t>Epidermal growth factor receptor kinase substrate 8</t>
  </si>
  <si>
    <t>Ankyrin-3</t>
  </si>
  <si>
    <t>Isoform 5 of Disks large homolog 1</t>
  </si>
  <si>
    <t>Transcription initiation factor TFIID subunit 10</t>
  </si>
  <si>
    <t>Unconventional myosin-Ie</t>
  </si>
  <si>
    <t>Nuclear inhibitor of protein phosphatase 1</t>
  </si>
  <si>
    <t>Protein tyrosine phosphatase type IVA 2</t>
  </si>
  <si>
    <t>Isoform 4 of Active breakpoint cluster region-related protein</t>
  </si>
  <si>
    <t>Vesicle transport protein SEC20</t>
  </si>
  <si>
    <t>Cleavage stimulation factor subunit 3</t>
  </si>
  <si>
    <t>Delta(3,5)-Delta(2,4)-dienoyl-CoA isomerase, mitochondrial</t>
  </si>
  <si>
    <t>Isoform 2 of Rho GTPase-activating protein 5</t>
  </si>
  <si>
    <t>Isoform Alpha of Striatin-3</t>
  </si>
  <si>
    <t>Serine/threonine-protein kinase 4</t>
  </si>
  <si>
    <t>Protein flightless-1 homolog</t>
  </si>
  <si>
    <t>Bifunctional coenzyme A synthase</t>
  </si>
  <si>
    <t>Isoform 2 of Ubiquitin carboxyl-terminal hydrolase 4</t>
  </si>
  <si>
    <t>S-methyl-5-thioadenosine phosphorylase</t>
  </si>
  <si>
    <t>5-AMP-activated protein kinase catalytic subunit alpha-1</t>
  </si>
  <si>
    <t>Liprin-alpha-1</t>
  </si>
  <si>
    <t>TAR DNA-binding protein 43</t>
  </si>
  <si>
    <t>Serine/threonine-protein kinase PAK 1</t>
  </si>
  <si>
    <t>Protein FADD</t>
  </si>
  <si>
    <t>Peroxiredoxin-4</t>
  </si>
  <si>
    <t>Mitogen-activated protein kinase 7</t>
  </si>
  <si>
    <t>Serine/threonine-protein kinase PAK 2</t>
  </si>
  <si>
    <t>Chromobox protein homolog 3</t>
  </si>
  <si>
    <t>Serine/threonine-protein kinase 3</t>
  </si>
  <si>
    <t>Syntaxin-5</t>
  </si>
  <si>
    <t>26S proteasome non-ATPase regulatory subunit 2</t>
  </si>
  <si>
    <t>DnaJ homolog subfamily C member 3</t>
  </si>
  <si>
    <t>Selenium-binding protein 1</t>
  </si>
  <si>
    <t>Nucleoside diphosphate kinase 3</t>
  </si>
  <si>
    <t>Serine/arginine-rich splicing factor 9</t>
  </si>
  <si>
    <t>Isoform SRP40-4 of Serine/arginine-rich splicing factor 5</t>
  </si>
  <si>
    <t>Isoform SRP55-3 of Serine/arginine-rich splicing factor 6</t>
  </si>
  <si>
    <t>Transcription intermediary factor 1-beta</t>
  </si>
  <si>
    <t>Isoform B of Syntaxin-3</t>
  </si>
  <si>
    <t>Ras GTPase-activating protein-binding protein 1</t>
  </si>
  <si>
    <t>N-myc-interactor</t>
  </si>
  <si>
    <t>Inactive tyrosine-protein kinase 7</t>
  </si>
  <si>
    <t>Isoform 3 of Polyadenylate-binding protein 4</t>
  </si>
  <si>
    <t>Isoform 2 of Growth factor receptor-bound protein 10</t>
  </si>
  <si>
    <t>Interferon-induced protein with tetratricopeptide repeats 5</t>
  </si>
  <si>
    <t>Urea transporter 1</t>
  </si>
  <si>
    <t>Eukaryotic translation initiation factor 3 subunit I</t>
  </si>
  <si>
    <t>Isoform 2 of Peptidyl-prolyl cis-trans isomerase-like 2</t>
  </si>
  <si>
    <t>Isoform 4 of Serine/threonine-protein phosphatase 2A 56 kDa regulatory subunit gamma isoform</t>
  </si>
  <si>
    <t>C-terminal-binding protein 1</t>
  </si>
  <si>
    <t>Phosducin-like protein</t>
  </si>
  <si>
    <t>Isoform 2F of Cytoplasmic dynein 1 intermediate chain 2</t>
  </si>
  <si>
    <t>Integrin-linked protein kinase</t>
  </si>
  <si>
    <t>NAD(P) transhydrogenase, mitochondrial</t>
  </si>
  <si>
    <t>Alpha-1-syntrophin</t>
  </si>
  <si>
    <t>Beta-2-syntrophin</t>
  </si>
  <si>
    <t>Protein unc-119 homolog A</t>
  </si>
  <si>
    <t>Zinc transporter ZIP6</t>
  </si>
  <si>
    <t>Splicing factor 3B subunit 2</t>
  </si>
  <si>
    <t>Isoform 4 of Protein OS-9</t>
  </si>
  <si>
    <t>Isoform 3 of Golgin subfamily A member 4</t>
  </si>
  <si>
    <t>28 kDa heat- and acid-stable phosphoprotein</t>
  </si>
  <si>
    <t>Disintegrin and metalloproteinase domain-containing protein 9</t>
  </si>
  <si>
    <t>Isoform 8 of Disintegrin and metalloproteinase domain-containing protein 15</t>
  </si>
  <si>
    <t>Transmembrane emp24 domain-containing protein 1</t>
  </si>
  <si>
    <t>Peptidyl-prolyl cis-trans isomerase FKBP5</t>
  </si>
  <si>
    <t>Rho-associated protein kinase 1</t>
  </si>
  <si>
    <t>Isoform 2 of GRB2-associated-binding protein 1</t>
  </si>
  <si>
    <t>V-type proton ATPase 116 kDa subunit a isoform 3</t>
  </si>
  <si>
    <t>Isoform 3 of Phosphatidylinositol-binding clathrin assembly protein</t>
  </si>
  <si>
    <t>Myotubularin</t>
  </si>
  <si>
    <t>Sequestosome-1</t>
  </si>
  <si>
    <t>Isoform 3 of Metaxin-1</t>
  </si>
  <si>
    <t>Tubulin beta-3 chain</t>
  </si>
  <si>
    <t>Peptidyl-prolyl cis-trans isomerase NIMA-interacting 1</t>
  </si>
  <si>
    <t>Eukaryotic translation initiation factor 4E-binding protein 1</t>
  </si>
  <si>
    <t>Eukaryotic translation initiation factor 4E-binding protein 2</t>
  </si>
  <si>
    <t>Receptor-interacting serine/threonine-protein kinase 1</t>
  </si>
  <si>
    <t>NEDD8-activating enzyme E1 regulatory subunit</t>
  </si>
  <si>
    <t>Inositol-tetrakisphosphate 1-kinase</t>
  </si>
  <si>
    <t>SNW domain-containing protein 1</t>
  </si>
  <si>
    <t>Stromal interaction molecule 1</t>
  </si>
  <si>
    <t>Isoform Short of Transformer-2 protein homolog alpha</t>
  </si>
  <si>
    <t>Sorting nexin-1</t>
  </si>
  <si>
    <t>Periodic tryptophan protein 1 homolog</t>
  </si>
  <si>
    <t>Cullin-1</t>
  </si>
  <si>
    <t>Cullin-2</t>
  </si>
  <si>
    <t>Isoform 2 of Cullin-3</t>
  </si>
  <si>
    <t>Cullin-4A</t>
  </si>
  <si>
    <t>Apoptosis-stimulating of p53 protein 2</t>
  </si>
  <si>
    <t>GDP-L-fucose synthase</t>
  </si>
  <si>
    <t>Ras-related protein Rab-31</t>
  </si>
  <si>
    <t>Ras-related protein Rab-32</t>
  </si>
  <si>
    <t>Trophoblast glycoprotein</t>
  </si>
  <si>
    <t>Isoform 5 of Four and a half LIM domains protein 1</t>
  </si>
  <si>
    <t>Four and a half LIM domains protein 3</t>
  </si>
  <si>
    <t>Ras and Rab interactor 1</t>
  </si>
  <si>
    <t>Isoform Alpha-7X1B of Integrin alpha-7</t>
  </si>
  <si>
    <t>Mannosyl-oligosaccharide glucosidase</t>
  </si>
  <si>
    <t>Isoform 2 of CD166 antigen</t>
  </si>
  <si>
    <t>ADP-ribosylation factor-related protein 1</t>
  </si>
  <si>
    <t>Spectrin alpha chain, non-erythrocytic 1</t>
  </si>
  <si>
    <t>Isoform 3 of Spectrin alpha chain, non-erythrocytic 1</t>
  </si>
  <si>
    <t>Methylglutaconyl-CoA hydratase, mitochondrial</t>
  </si>
  <si>
    <t>Exosome complex component RRP4</t>
  </si>
  <si>
    <t>Bone morphogenetic protein receptor type-2</t>
  </si>
  <si>
    <t>Beta-1-syntrophin</t>
  </si>
  <si>
    <t>Tubulin beta-2A chain</t>
  </si>
  <si>
    <t>Bystin</t>
  </si>
  <si>
    <t>Isoform Short of Rap guanine nucleotide exchange factor 1</t>
  </si>
  <si>
    <t>Isopentenyl-diphosphate Delta-isomerase 1</t>
  </si>
  <si>
    <t>Isoform 2 of Core-binding factor subunit beta</t>
  </si>
  <si>
    <t>Isoform 2 of Nuclear transcription factor Y subunit gamma</t>
  </si>
  <si>
    <t>Isoform Beta of cGMP-dependent protein kinase 1</t>
  </si>
  <si>
    <t>Isoform 2 of Cytoskeleton-associated protein 5</t>
  </si>
  <si>
    <t>Cold-inducible RNA-binding protein</t>
  </si>
  <si>
    <t>Calcium/calmodulin-dependent protein kinase type 1</t>
  </si>
  <si>
    <t>Coactosin-like protein</t>
  </si>
  <si>
    <t>Cytochrome c oxidase copper chaperone</t>
  </si>
  <si>
    <t>Isoform 3 of Heterogeneous nuclear ribonucleoprotein D0</t>
  </si>
  <si>
    <t>Lysosome membrane protein 2</t>
  </si>
  <si>
    <t>Isoform 2 of Nidogen-2</t>
  </si>
  <si>
    <t>Isoform 4 of Low-density lipoprotein receptor-related protein 8</t>
  </si>
  <si>
    <t>Dystroglycan</t>
  </si>
  <si>
    <t>Isoform PDE1C1 of Calcium/calmodulin-dependent 3,5-cyclic nucleotide phosphodiesterase 1C</t>
  </si>
  <si>
    <t>Ubiquitin conjugation factor E4 A</t>
  </si>
  <si>
    <t>Scaffold attachment factor B2</t>
  </si>
  <si>
    <t>Eukaryotic translation initiation factor 3 subunit A</t>
  </si>
  <si>
    <t>Protein scribble homolog</t>
  </si>
  <si>
    <t>Malectin</t>
  </si>
  <si>
    <t>Tubulin--tyrosine ligase-like protein 12</t>
  </si>
  <si>
    <t>Dedicator of cytokinesis protein 1</t>
  </si>
  <si>
    <t>Isoform LCRMP-4 of Dihydropyrimidinase-related protein 3</t>
  </si>
  <si>
    <t>Cytoplasmic dynein 1 heavy chain 1</t>
  </si>
  <si>
    <t>Translation initiation factor eIF-2B subunit alpha</t>
  </si>
  <si>
    <t>Isoform 2 of Eukaryotic initiation factor 4A-II</t>
  </si>
  <si>
    <t>Transcription elongation factor B polypeptide 3</t>
  </si>
  <si>
    <t>Isoform 2 of Src substrate cortactin</t>
  </si>
  <si>
    <t>Flotillin-2</t>
  </si>
  <si>
    <t>Reticulocalbin-2</t>
  </si>
  <si>
    <t>E3 ubiquitin/ISG15 ligase TRIM25</t>
  </si>
  <si>
    <t>Filamin-C</t>
  </si>
  <si>
    <t>Isoform 2 of Peptidyl-prolyl cis-trans isomerase FKBP8</t>
  </si>
  <si>
    <t>Protein FAM50A</t>
  </si>
  <si>
    <t>Protein FRG1</t>
  </si>
  <si>
    <t>Frizzled-2</t>
  </si>
  <si>
    <t>Guanine nucleotide-binding protein subunit alpha-13</t>
  </si>
  <si>
    <t>Guanidinoacetate N-methyltransferase</t>
  </si>
  <si>
    <t>UDP-glucose 4-epimerase</t>
  </si>
  <si>
    <t>Leucine-rich repeat-containing protein 32</t>
  </si>
  <si>
    <t>Isoform 2 of Growth arrest-specific protein 6</t>
  </si>
  <si>
    <t>Isoform 2 of Caprin-1</t>
  </si>
  <si>
    <t>Isoform 3 of RNA-binding protein 39</t>
  </si>
  <si>
    <t>Isoform 3 of Enhancer of filamentation 1</t>
  </si>
  <si>
    <t>Protocadherin Fat 1</t>
  </si>
  <si>
    <t>Isoform 2 of Hyaluronan-binding protein 2</t>
  </si>
  <si>
    <t>Squalene monooxygenase</t>
  </si>
  <si>
    <t>Protein disulfide-isomerase A5</t>
  </si>
  <si>
    <t>Type I inositol 1,4,5-trisphosphate 5-phosphatase</t>
  </si>
  <si>
    <t>Plastin-1</t>
  </si>
  <si>
    <t>Interferon regulatory factor 3</t>
  </si>
  <si>
    <t>L antigen family member 3</t>
  </si>
  <si>
    <t>Isoform 3 of E3 ubiquitin-protein ligase TRIP12</t>
  </si>
  <si>
    <t>Isoform 4 of Mediator of DNA damage checkpoint protein 1</t>
  </si>
  <si>
    <t>Clathrin interactor 1</t>
  </si>
  <si>
    <t>Ubiquitin carboxyl-terminal hydrolase 10</t>
  </si>
  <si>
    <t>LDLR chaperone MESD</t>
  </si>
  <si>
    <t>Neutral alpha-glucosidase AB</t>
  </si>
  <si>
    <t>Isoform 2 of Neutral alpha-glucosidase AB</t>
  </si>
  <si>
    <t>Raftlin</t>
  </si>
  <si>
    <t>Sarcospan</t>
  </si>
  <si>
    <t>Lamin-B receptor</t>
  </si>
  <si>
    <t>Major vault protein</t>
  </si>
  <si>
    <t>Isoform 2 of Golgin subfamily B member 1</t>
  </si>
  <si>
    <t>Caspase-8</t>
  </si>
  <si>
    <t>N-alpha-acetyltransferase 30</t>
  </si>
  <si>
    <t>LIM and SH3 domain protein 1</t>
  </si>
  <si>
    <t>Metal regulatory transcription factor 1</t>
  </si>
  <si>
    <t>Isoform 2 of Prostaglandin reductase 1</t>
  </si>
  <si>
    <t>Isoform 13 of Nuclear factor of activated T-cells, cytoplasmic 4</t>
  </si>
  <si>
    <t>Ras-related protein Rab-39A</t>
  </si>
  <si>
    <t>Zinc finger protein 638</t>
  </si>
  <si>
    <t>Importin subunit beta-1</t>
  </si>
  <si>
    <t>Nucleolar and coiled-body phosphoprotein 1</t>
  </si>
  <si>
    <t>Nuclear mitotic apparatus protein 1</t>
  </si>
  <si>
    <t>Isoform 2 of Sarcolemmal membrane-associated protein</t>
  </si>
  <si>
    <t>Isoform 3 of GTPase-activating protein and VPS9 domain-containing protein 1</t>
  </si>
  <si>
    <t>UBX domain-containing protein 2B</t>
  </si>
  <si>
    <t>Isoform 2 of N-alpha-acetyltransferase 25, NatB auxiliary subunit</t>
  </si>
  <si>
    <t>ER membrane protein complex subunit 2</t>
  </si>
  <si>
    <t>26S proteasome non-ATPase regulatory subunit 6</t>
  </si>
  <si>
    <t>Isoform 3 of Homocysteine-responsive endoplasmic reticulum-resident ubiquitin-like domain member 1 protein</t>
  </si>
  <si>
    <t>Lysosomal-associated transmembrane protein 4A</t>
  </si>
  <si>
    <t>BRISC complex subunit Abro1</t>
  </si>
  <si>
    <t>Exosome complex component RRP42</t>
  </si>
  <si>
    <t>Isoform 2 of 116 kDa U5 small nuclear ribonucleoprotein component</t>
  </si>
  <si>
    <t>Probable leucine--tRNA ligase, mitochondrial</t>
  </si>
  <si>
    <t>Isoform 2 of R3H domain-containing protein 1</t>
  </si>
  <si>
    <t>Sorting nexin-17</t>
  </si>
  <si>
    <t>Isoform 2 of Zinc transporter ZIP14</t>
  </si>
  <si>
    <t>Lysine--tRNA ligase</t>
  </si>
  <si>
    <t>Eukaryotic translation initiation factor 4H</t>
  </si>
  <si>
    <t>Isoform Short of Eukaryotic translation initiation factor 4H</t>
  </si>
  <si>
    <t>Arf-GAP with coiled-coil, ANK repeat and PH domain-containing protein 2</t>
  </si>
  <si>
    <t>WD repeat-containing protein 43</t>
  </si>
  <si>
    <t>Isoform 2 of Peroxisomal acyl-coenzyme A oxidase 1</t>
  </si>
  <si>
    <t>Early endosome antigen 1</t>
  </si>
  <si>
    <t>Platelet-activating factor acetylhydrolase IB subunit gamma</t>
  </si>
  <si>
    <t>Procollagen C-endopeptidase enhancer 1</t>
  </si>
  <si>
    <t>[Pyruvate dehydrogenase [lipoamide]] kinase isozyme 1, mitochondrial</t>
  </si>
  <si>
    <t>[Pyruvate dehydrogenase [lipoamide]] kinase isozyme 2, mitochondrial</t>
  </si>
  <si>
    <t>Astrocytic phosphoprotein PEA-15</t>
  </si>
  <si>
    <t>Phosphoglucomutase-like protein 5</t>
  </si>
  <si>
    <t>Phosphomevalonate kinase</t>
  </si>
  <si>
    <t>Serine/threonine-protein kinase D1</t>
  </si>
  <si>
    <t>1-phosphatidylinositol 4,5-bisphosphate phosphodiesterase beta-4</t>
  </si>
  <si>
    <t>Plectin</t>
  </si>
  <si>
    <t>Isoform 3 of Plectin</t>
  </si>
  <si>
    <t>Isoform 4 of Plectin</t>
  </si>
  <si>
    <t>Isoform 8 of Plectin</t>
  </si>
  <si>
    <t>Nodal modulator 1</t>
  </si>
  <si>
    <t>Isoform 2 of Transcription elongation factor A protein-like 1</t>
  </si>
  <si>
    <t>Serine/threonine-protein phosphatase 2A 56 kDa regulatory subunit alpha isoform</t>
  </si>
  <si>
    <t>Isoform Beta-2 of Serine/threonine-protein phosphatase 2A 56 kDa regulatory subunit beta isoform</t>
  </si>
  <si>
    <t>Inorganic pyrophosphatase</t>
  </si>
  <si>
    <t>Serine/threonine-protein kinase 38</t>
  </si>
  <si>
    <t>Poliovirus receptor-related protein 1</t>
  </si>
  <si>
    <t>Isoform 2 of Non-POU domain-containing octamer-binding protein</t>
  </si>
  <si>
    <t>Nicotinate-nucleotide pyrophosphorylase [carboxylating]</t>
  </si>
  <si>
    <t>Rab GTPase-binding effector protein 1</t>
  </si>
  <si>
    <t>Isoform 2 of Ras GTPase-activating protein 2</t>
  </si>
  <si>
    <t>Ras-related protein Rab-35</t>
  </si>
  <si>
    <t>Isoform 2 of Retinoblastoma-binding protein 5</t>
  </si>
  <si>
    <t>Reticulocalbin-1</t>
  </si>
  <si>
    <t>RalA-binding protein 1</t>
  </si>
  <si>
    <t>Lethal(2) giant larvae protein homolog 1</t>
  </si>
  <si>
    <t>Transmembrane emp24 domain-containing protein 2</t>
  </si>
  <si>
    <t>Poly(rC)-binding protein 1</t>
  </si>
  <si>
    <t>Transcription elongation factor B polypeptide 2</t>
  </si>
  <si>
    <t>GTP-binding protein Rheb</t>
  </si>
  <si>
    <t>Ubiquitin-protein ligase E3C</t>
  </si>
  <si>
    <t>Splicing factor 3B subunit 3</t>
  </si>
  <si>
    <t>Ras suppressor protein 1</t>
  </si>
  <si>
    <t>Calponin-3</t>
  </si>
  <si>
    <t>Scaffold attachment factor B1</t>
  </si>
  <si>
    <t>Splicing factor 3B subunit 4</t>
  </si>
  <si>
    <t>Splicing factor 3A subunit 2</t>
  </si>
  <si>
    <t>Protein phosphatase 1 regulatory subunit 7</t>
  </si>
  <si>
    <t>Protein transport protein Sec23B</t>
  </si>
  <si>
    <t>Isoform 2 of Cytohesin-1</t>
  </si>
  <si>
    <t>Splicing factor 3A subunit 1</t>
  </si>
  <si>
    <t>SH2 domain-containing adapter protein B</t>
  </si>
  <si>
    <t>Regucalcin</t>
  </si>
  <si>
    <t>Sperm surface protein Sp17</t>
  </si>
  <si>
    <t>Isoform 2 of Surfeit locus protein 1</t>
  </si>
  <si>
    <t>Transcription initiation factor TFIID subunit 7</t>
  </si>
  <si>
    <t>Isoform 4 of Microtubule-associated protein RP/EB family member 2</t>
  </si>
  <si>
    <t>Transforming growth factor-beta-induced protein ig-h3</t>
  </si>
  <si>
    <t>Na(+)/H(+) exchange regulatory cofactor NHE-RF2</t>
  </si>
  <si>
    <t>Tumor necrosis factor receptor type 1-associated DEATH domain protein</t>
  </si>
  <si>
    <t>Isoform 5 of Splicing factor 1</t>
  </si>
  <si>
    <t>Cdc42-interacting protein 4</t>
  </si>
  <si>
    <t>Isoform 2 of Cdc42-interacting protein 4</t>
  </si>
  <si>
    <t>Thyroid receptor-interacting protein 11</t>
  </si>
  <si>
    <t>Pachytene checkpoint protein 2 homolog</t>
  </si>
  <si>
    <t>Activating signal cointegrator 1</t>
  </si>
  <si>
    <t>Thyroid receptor-interacting protein 6</t>
  </si>
  <si>
    <t>Microtubule-associated protein RP/EB family member 1</t>
  </si>
  <si>
    <t>TSC22 domain family protein 1</t>
  </si>
  <si>
    <t>ELAV-like protein 1</t>
  </si>
  <si>
    <t>Sterol-4-alpha-carboxylate 3-dehydrogenase, decarboxylating</t>
  </si>
  <si>
    <t>Isoform 3 of NGFI-A-binding protein 2</t>
  </si>
  <si>
    <t>Ovarian cancer G-protein coupled receptor 1</t>
  </si>
  <si>
    <t>Isoform Del-1790 of Myosin light chain kinase, smooth muscle</t>
  </si>
  <si>
    <t>Isoform 2 of TGF-beta-activated kinase 1 and MAP3K7-binding protein 1</t>
  </si>
  <si>
    <t>Neutral amino acid transporter B(0)</t>
  </si>
  <si>
    <t>Mitogen-activated protein kinase 11</t>
  </si>
  <si>
    <t>Ras-related protein Rab-30</t>
  </si>
  <si>
    <t>Mitochondrial import receptor subunit TOM34</t>
  </si>
  <si>
    <t>Isoform Short of Mothers against decapentaplegic homolog 2</t>
  </si>
  <si>
    <t>Methylsterol monooxygenase 1</t>
  </si>
  <si>
    <t>Tubulin-specific chaperone C</t>
  </si>
  <si>
    <t>Ubiquitin-conjugating enzyme E2 variant 2</t>
  </si>
  <si>
    <t>Isoform 2 of Serine/threonine-protein kinase STK11</t>
  </si>
  <si>
    <t>Isoform 2 of Syntaxin-binding protein 2</t>
  </si>
  <si>
    <t>Coiled-coil domain-containing protein 85B</t>
  </si>
  <si>
    <t>Vesicle-associated membrane protein 3</t>
  </si>
  <si>
    <t>Adipogenesis regulatory factor</t>
  </si>
  <si>
    <t>V-type proton ATPase subunit S1</t>
  </si>
  <si>
    <t>Zyxin</t>
  </si>
  <si>
    <t>Heat shock protein beta-2</t>
  </si>
  <si>
    <t>Electron transfer flavoprotein-ubiquinone oxidoreductase, mitochondrial</t>
  </si>
  <si>
    <t>Beta-synuclein</t>
  </si>
  <si>
    <t>Septin-7</t>
  </si>
  <si>
    <t>Proteasomal ubiquitin receptor ADRM1</t>
  </si>
  <si>
    <t>Coiled-coil domain-containing protein 6</t>
  </si>
  <si>
    <t>Isoform 3 of UDP-N-acetylhexosamine pyrophosphorylase</t>
  </si>
  <si>
    <t>Transcription factor E2F4</t>
  </si>
  <si>
    <t>Isoform 2 of Insulin-like growth factor-binding protein 7</t>
  </si>
  <si>
    <t>Alpha-internexin</t>
  </si>
  <si>
    <t>Isoform 2 of Laminin subunit alpha-4</t>
  </si>
  <si>
    <t>Isoform 2 of 26S proteasome non-ATPase regulatory subunit 5</t>
  </si>
  <si>
    <t>Serine/threonine-protein kinase N1</t>
  </si>
  <si>
    <t>Serine/threonine-protein kinase N2</t>
  </si>
  <si>
    <t>DNA damage-binding protein 1</t>
  </si>
  <si>
    <t>Mitogen-activated protein kinase 14</t>
  </si>
  <si>
    <t>Hsp90 co-chaperone Cdc37</t>
  </si>
  <si>
    <t>Dihydropyrimidinase-related protein 2</t>
  </si>
  <si>
    <t>Calcium/calmodulin-dependent protein kinase type IV</t>
  </si>
  <si>
    <t>Beta-sarcoglycan</t>
  </si>
  <si>
    <t>Extracellular matrix protein 1</t>
  </si>
  <si>
    <t>Isoform 2 of Cardiotrophin-1</t>
  </si>
  <si>
    <t>Isoform 5 of Occludin</t>
  </si>
  <si>
    <t>Male-enhanced antigen 1</t>
  </si>
  <si>
    <t>Drebrin</t>
  </si>
  <si>
    <t>MAP kinase-activated protein kinase 3</t>
  </si>
  <si>
    <t>Prostacyclin synthase</t>
  </si>
  <si>
    <t>Fascin</t>
  </si>
  <si>
    <t>Alpha-mannosidase 2</t>
  </si>
  <si>
    <t>NADH dehydrogenase [ubiquinone] 1 alpha subcomplex subunit 5</t>
  </si>
  <si>
    <t>Isoform 2 of Kynureninase</t>
  </si>
  <si>
    <t>Putative ATP-dependent Clp protease proteolytic subunit, mitochondrial</t>
  </si>
  <si>
    <t>Thiosulfate sulfurtransferase</t>
  </si>
  <si>
    <t>Ubiquitin-conjugating enzyme E2 S</t>
  </si>
  <si>
    <t>Histone H2B type 2-E</t>
  </si>
  <si>
    <t>Reticulon-1</t>
  </si>
  <si>
    <t>Phosphoenolpyruvate carboxykinase [GTP], mitochondrial</t>
  </si>
  <si>
    <t>Tyrosine-protein phosphatase non-receptor type 21</t>
  </si>
  <si>
    <t>Uridine phosphorylase 1</t>
  </si>
  <si>
    <t>Discoidin domain-containing receptor 2</t>
  </si>
  <si>
    <t>Lanosterol 14-alpha demethylase</t>
  </si>
  <si>
    <t>UTP--glucose-1-phosphate uridylyltransferase</t>
  </si>
  <si>
    <t>Deoxyguanosine kinase, mitochondrial</t>
  </si>
  <si>
    <t>V-type proton ATPase subunit F</t>
  </si>
  <si>
    <t>Isoform 2 of Putative deoxyribonuclease TATDN3</t>
  </si>
  <si>
    <t>UPF0532 protein C7orf60</t>
  </si>
  <si>
    <t>Inverted formin-2</t>
  </si>
  <si>
    <t>Sister chromatid cohesion protein PDS5 homolog A</t>
  </si>
  <si>
    <t>Rho GTPase-activating protein 31</t>
  </si>
  <si>
    <t>Isoform 2 of AP2-associated protein kinase 1</t>
  </si>
  <si>
    <t>Vimentin-type intermediate filament-associated coiled-coil protein</t>
  </si>
  <si>
    <t>Isoform 2 of Peroxisomal leader peptide-processing protease</t>
  </si>
  <si>
    <t>GDP-Man:Man(3)GlcNAc(2)-PP-Dol alpha-1,2-mannosyltransferase</t>
  </si>
  <si>
    <t>Glutamine-rich protein 1</t>
  </si>
  <si>
    <t>RELA protein</t>
  </si>
  <si>
    <t>WD40 repeat-containing protein SMU1</t>
  </si>
  <si>
    <t>Syntaxin 1B alternative isoform deltaTM</t>
  </si>
  <si>
    <t>Isoform 5 of Hereditary hemochromatosis protein</t>
  </si>
  <si>
    <t>Isoform 3 of Leucine-rich repeat flightless-interacting protein 1</t>
  </si>
  <si>
    <t>Isoform 4 of Leucine-rich repeat flightless-interacting protein 1</t>
  </si>
  <si>
    <t>Prolyl 3-hydroxylase 1</t>
  </si>
  <si>
    <t>tRNA (guanine(37)-N1)-methyltransferase</t>
  </si>
  <si>
    <t>DNA-directed RNA polymerase I subunit RPA43</t>
  </si>
  <si>
    <t>Isoform 2 of MAP7 domain-containing protein 1</t>
  </si>
  <si>
    <t>UDP-N-acetylhexosamine pyrophosphorylase-like protein 1</t>
  </si>
  <si>
    <t>Isoform 3 of Solute carrier family 25 member 35</t>
  </si>
  <si>
    <t>UPF0538 protein C2orf76</t>
  </si>
  <si>
    <t>Alpha-ketoglutarate-dependent dioxygenase alkB homolog 6</t>
  </si>
  <si>
    <t>Bifunctional ATP-dependent dihydroxyacetone kinase/FAD-AMP lyase (cyclizing)</t>
  </si>
  <si>
    <t>Protein LSM12 homolog</t>
  </si>
  <si>
    <t>Putative tRNA pseudouridine synthase Pus10</t>
  </si>
  <si>
    <t>Inactive hydroxysteroid dehydrogenase-like protein 1</t>
  </si>
  <si>
    <t>Mitochondrial 10-formyltetrahydrofolate dehydrogenase</t>
  </si>
  <si>
    <t>N-acetylglucosamine-1-phosphotransferase subunits alpha/beta</t>
  </si>
  <si>
    <t>Isoform 4 of Girdin</t>
  </si>
  <si>
    <t>Rab-like protein 6</t>
  </si>
  <si>
    <t>Tubulin beta-8 chain</t>
  </si>
  <si>
    <t>Mitochondrial import inner membrane translocase subunit TIM50</t>
  </si>
  <si>
    <t>Galectin-related protein</t>
  </si>
  <si>
    <t>Isoform 2 of Alpha-(1,3)-fucosyltransferase 11</t>
  </si>
  <si>
    <t>Isoform 2 of Cerebral dopamine neurotrophic factor</t>
  </si>
  <si>
    <t>UPF0489 protein C5orf22</t>
  </si>
  <si>
    <t>Cytochrome c oxidase assembly protein COX19</t>
  </si>
  <si>
    <t>Vacuolar protein sorting-associated protein 26B</t>
  </si>
  <si>
    <t>Protein CCSMST1</t>
  </si>
  <si>
    <t>NAD kinase domain-containing protein 1, mitochondrial</t>
  </si>
  <si>
    <t>Hydrocephalus-inducing protein homolog</t>
  </si>
  <si>
    <t>BTB/POZ domain-containing protein KCTD21</t>
  </si>
  <si>
    <t>Isoform 2 of Glucoside xylosyltransferase 1</t>
  </si>
  <si>
    <t>Acyl-CoA synthetase family member 3, mitochondrial</t>
  </si>
  <si>
    <t>Isoform 4 of Prolyl endopeptidase-like</t>
  </si>
  <si>
    <t>TBC1 domain family member 10B</t>
  </si>
  <si>
    <t>Isoform 3 of Anoctamin-6</t>
  </si>
  <si>
    <t>Isoform 3 of 1-phosphatidylinositol 4,5-bisphosphate phosphodiesterase eta-1</t>
  </si>
  <si>
    <t>Isoform 3 of Filamin A-interacting protein 1-like</t>
  </si>
  <si>
    <t>Sushi, von Willebrand factor type A, EGF and pentraxin domain-containing protein 1</t>
  </si>
  <si>
    <t>Dynein light chain 1, axonemal</t>
  </si>
  <si>
    <t>GRIP1-associated protein 1</t>
  </si>
  <si>
    <t>Transmembrane protein 119</t>
  </si>
  <si>
    <t>B-cell CLL/lymphoma 7 protein family member A</t>
  </si>
  <si>
    <t>HCG41426, isoform CRA_c</t>
  </si>
  <si>
    <t>Peroxisomal 2,4-dienoyl-CoA reductase</t>
  </si>
  <si>
    <t>Isoform 2 of Membralin</t>
  </si>
  <si>
    <t>Raftlin-2</t>
  </si>
  <si>
    <t>Isoform 2 of Protein FAM98B</t>
  </si>
  <si>
    <t>Rho GTPase-activating protein 29</t>
  </si>
  <si>
    <t>Isoform 2 of Programmed cell death protein 4</t>
  </si>
  <si>
    <t>Fibronectin type III domain-containing protein 3B</t>
  </si>
  <si>
    <t>Metallophosphoesterase 1</t>
  </si>
  <si>
    <t>Quinone oxidoreductase PIG3</t>
  </si>
  <si>
    <t>Transmembrane protein 35</t>
  </si>
  <si>
    <t>Protein Hikeshi</t>
  </si>
  <si>
    <t>Pleckstrin homology-like domain family A member 2</t>
  </si>
  <si>
    <t>Isoform 2 of PDZ and LIM domain protein 3</t>
  </si>
  <si>
    <t>Estradiol 17-beta-dehydrogenase 12</t>
  </si>
  <si>
    <t>Beta-lactamase-like protein 2</t>
  </si>
  <si>
    <t>Single-strand selective monofunctional uracil DNA glycosylase</t>
  </si>
  <si>
    <t>Protein LBH</t>
  </si>
  <si>
    <t>BolA-like protein 3</t>
  </si>
  <si>
    <t>HCLS1-binding protein 3</t>
  </si>
  <si>
    <t>Isoform 3 of Cytochrome b reductase 1</t>
  </si>
  <si>
    <t>Isoform 4 of Amyotrophic lateral sclerosis 2 chromosomal region candidate gene 11 protein</t>
  </si>
  <si>
    <t>Beta-actin-like protein 2</t>
  </si>
  <si>
    <t>Proline-rich protein 16</t>
  </si>
  <si>
    <t>OCIA domain-containing protein 2</t>
  </si>
  <si>
    <t>Vesicle transport protein SFT2C</t>
  </si>
  <si>
    <t>Inactive N-acetylated-alpha-linked acidic dipeptidase-like protein 2</t>
  </si>
  <si>
    <t>Putative heat shock protein HSP 90-beta 2</t>
  </si>
  <si>
    <t>Putative heat shock protein HSP 90-alpha A4</t>
  </si>
  <si>
    <t>Isoform 3 of DDB1- and CUL4-associated factor 6</t>
  </si>
  <si>
    <t>Putative 60S ribosomal protein L39-like 5</t>
  </si>
  <si>
    <t>Isoform 6 of Protein YIF1B</t>
  </si>
  <si>
    <t>Oxidoreductase-like domain-containing protein 1</t>
  </si>
  <si>
    <t>Ribonuclease ZC3H12A</t>
  </si>
  <si>
    <t>RILP-like protein 1</t>
  </si>
  <si>
    <t>PDZ domain-containing protein 11</t>
  </si>
  <si>
    <t>Tumor necrosis factor alpha-induced protein 8-like protein 3</t>
  </si>
  <si>
    <t>Isoform 2 of Probable E3 ubiquitin-protein ligase HERC4</t>
  </si>
  <si>
    <t>cAMP-dependent protein kinase inhibitor gamma</t>
  </si>
  <si>
    <t>Discoidin, CUB and LCCL domain-containing protein 1</t>
  </si>
  <si>
    <t>Metalloproteinase inhibitor 1</t>
  </si>
  <si>
    <t>Metaxin-3</t>
  </si>
  <si>
    <t>Rab-like protein 3</t>
  </si>
  <si>
    <t>2-methoxy-6-polyprenyl-1,4-benzoquinol methylase, mitochondrial</t>
  </si>
  <si>
    <t>SH3 domain-containing protein 19</t>
  </si>
  <si>
    <t>Tubulin beta chain</t>
  </si>
  <si>
    <t>Isoform 2 of Nodal modulator 2</t>
  </si>
  <si>
    <t>Probable glutamate--tRNA ligase, mitochondrial</t>
  </si>
  <si>
    <t>Methyltransferase-like protein 10</t>
  </si>
  <si>
    <t>Vinculin (Fragment)</t>
  </si>
  <si>
    <t>Protein DPCD</t>
  </si>
  <si>
    <t>Elongation factor 1-alpha 1 (Fragment)</t>
  </si>
  <si>
    <t>Rho-related GTP-binding protein RhoC (Fragment)</t>
  </si>
  <si>
    <t>Melanoma inhibitory activity protein 3</t>
  </si>
  <si>
    <t>Nucleoporin p58/p45 (Fragment)</t>
  </si>
  <si>
    <t>Serine/arginine-rich-splicing factor 10</t>
  </si>
  <si>
    <t>Presequence protease, mitochondrial</t>
  </si>
  <si>
    <t>NHL repeat-containing protein 3</t>
  </si>
  <si>
    <t>Proteasome assembly chaperone 4</t>
  </si>
  <si>
    <t>Transcription factor Dp-1 (Fragment)</t>
  </si>
  <si>
    <t>Isoform 2 of WD repeat-containing protein 44</t>
  </si>
  <si>
    <t>High mobility group nucleosome-binding domain-containing protein 5 (Fragment)</t>
  </si>
  <si>
    <t>Protein PRRC2B</t>
  </si>
  <si>
    <t>Isoform 2 of Ras-related protein Rab-41</t>
  </si>
  <si>
    <t>Isoform 2 of Tight junction-associated protein 1</t>
  </si>
  <si>
    <t>Isoform 3 of Cytochrome c oxidase assembly factor 6 homolog</t>
  </si>
  <si>
    <t>Glucocorticoid modulatory element binding protein 2, isoform CRA_a</t>
  </si>
  <si>
    <t>Torsin-1A-interacting protein 1</t>
  </si>
  <si>
    <t>Alanine--tRNA ligase, mitochondrial</t>
  </si>
  <si>
    <t>Folylpolyglutamate synthase, mitochondrial (Fragment)</t>
  </si>
  <si>
    <t>Torsin-2A</t>
  </si>
  <si>
    <t>IQ motif and SEC7 domain-containing protein 2</t>
  </si>
  <si>
    <t>FERM and PDZ domain-containing protein 3</t>
  </si>
  <si>
    <t>Isoform 3 of PCI domain-containing protein 2</t>
  </si>
  <si>
    <t>Intracellular hyaluronan-binding protein 4</t>
  </si>
  <si>
    <t>Engulfment and cell motility protein 2</t>
  </si>
  <si>
    <t>Double-stranded RNA-binding protein Staufen homolog 1</t>
  </si>
  <si>
    <t>Transmembrane protein 230 (Fragment)</t>
  </si>
  <si>
    <t>Mortality factor 4-like protein 2 (Fragment)</t>
  </si>
  <si>
    <t>Uncharacterized protein KIAA1755</t>
  </si>
  <si>
    <t>Sorting nexin-21</t>
  </si>
  <si>
    <t>Long-chain fatty acid transport protein 3</t>
  </si>
  <si>
    <t>Sterile alpha motif domain-containing protein 9</t>
  </si>
  <si>
    <t>Collectin-12</t>
  </si>
  <si>
    <t>Isoform 4 of Cytospin-B</t>
  </si>
  <si>
    <t>Isoform 3 of Serine/threonine-protein phosphatase 4 regulatory subunit 3B</t>
  </si>
  <si>
    <t>WD repeat domain phosphoinositide-interacting protein 3</t>
  </si>
  <si>
    <t>Isoform 2 of WD repeat domain phosphoinositide-interacting protein 1</t>
  </si>
  <si>
    <t>EGF domain-specific O-linked N-acetylglucosamine transferase</t>
  </si>
  <si>
    <t>Tubulin-specific chaperone cofactor E-like protein</t>
  </si>
  <si>
    <t>Peroxisomal biogenesis factor 19 (Fragment)</t>
  </si>
  <si>
    <t>ATP synthase subunit b, mitochondrial</t>
  </si>
  <si>
    <t>Bcl-2-like protein 1 (Fragment)</t>
  </si>
  <si>
    <t>Dolichol-phosphate mannosyltransferase</t>
  </si>
  <si>
    <t>Proteasome inhibitor PI31 subunit</t>
  </si>
  <si>
    <t>Isoform 4 of Rab GTPase-activating protein 1-like</t>
  </si>
  <si>
    <t>Isoform 7 of Rab GTPase-activating protein 1-like</t>
  </si>
  <si>
    <t>Mitogen-activated protein kinase 13</t>
  </si>
  <si>
    <t>Cytochrome c oxidase protein 20 homolog</t>
  </si>
  <si>
    <t>Exosome complex component MTR3</t>
  </si>
  <si>
    <t>Methylenetetrahydrofolate reductase</t>
  </si>
  <si>
    <t>Neural proliferation differentiation and control protein 1</t>
  </si>
  <si>
    <t>cGMP-dependent protein kinase 1</t>
  </si>
  <si>
    <t>Phosphatidylinositol 4,5-bisphosphate 3-kinase catalytic subunit delta isoform</t>
  </si>
  <si>
    <t>Hippocampus abundant transcript-like protein 1</t>
  </si>
  <si>
    <t>Isoform 2 of Phytanoyl-CoA dioxygenase domain-containing protein 1</t>
  </si>
  <si>
    <t>HLA class I histocompatibility antigen, A-68 alpha chain</t>
  </si>
  <si>
    <t>Casein kinase 2, beta polypeptide, isoform CRA_d</t>
  </si>
  <si>
    <t>Dynamin-binding protein</t>
  </si>
  <si>
    <t>Low density lipoprotein receptor adapter protein 1</t>
  </si>
  <si>
    <t>Calcium/calmodulin-dependent protein kinase (CaM kinase) II gamma, isoform CRA_n</t>
  </si>
  <si>
    <t>Protein odr-4 homolog</t>
  </si>
  <si>
    <t>DNL-type zinc finger protein</t>
  </si>
  <si>
    <t>Isoform 2 of NHS-like protein 1</t>
  </si>
  <si>
    <t>Ceramide synthase 2 (Fragment)</t>
  </si>
  <si>
    <t>Tumor protein p63-regulated gene 1-like protein</t>
  </si>
  <si>
    <t>Isoform 3 of Formin-binding protein 1-like</t>
  </si>
  <si>
    <t>Palmitoyl-protein thioesterase 1 (Fragment)</t>
  </si>
  <si>
    <t>SH3 domain-binding glutamic acid-rich-like protein 3</t>
  </si>
  <si>
    <t>Probable arginine--tRNA ligase, mitochondrial</t>
  </si>
  <si>
    <t>Pygopus homolog 2</t>
  </si>
  <si>
    <t>Cyclin-dependent kinases regulatory subunit 1</t>
  </si>
  <si>
    <t>Acyl-coenzyme A thioesterase THEM4</t>
  </si>
  <si>
    <t>FK506-binding protein 15</t>
  </si>
  <si>
    <t>G-protein-signaling modulator 2 (Fragment)</t>
  </si>
  <si>
    <t>Probable ATP-dependent RNA helicase DDX59</t>
  </si>
  <si>
    <t>Pumilio homolog 1</t>
  </si>
  <si>
    <t>UPF0668 protein C10orf76</t>
  </si>
  <si>
    <t>Transmembrane protein 63B</t>
  </si>
  <si>
    <t>Isoform 2 of Ligand-dependent nuclear receptor-interacting factor 1</t>
  </si>
  <si>
    <t>Isoform 2 of Multidrug resistance-associated protein 7</t>
  </si>
  <si>
    <t>Putative transferase CAF17, mitochondrial</t>
  </si>
  <si>
    <t>Probable inactive glycosyltransferase 25 family member 3</t>
  </si>
  <si>
    <t>Isoform 2 of Protrudin</t>
  </si>
  <si>
    <t>CREB-regulated transcription coactivator 2</t>
  </si>
  <si>
    <t>Pleckstrin homology domain containing, family O member 1</t>
  </si>
  <si>
    <t>Isoform 3 of E3 ubiquitin-protein ligase UBR4</t>
  </si>
  <si>
    <t>Acyl-Coenzyme A dehydrogenase, C-4 to C-12 straight chain, isoform CRA_a</t>
  </si>
  <si>
    <t>Protein FAM219A (Fragment)</t>
  </si>
  <si>
    <t>Syntaxin-binding protein 5</t>
  </si>
  <si>
    <t>Rho GTPase-activating protein 21</t>
  </si>
  <si>
    <t>Isoform 2 of Calmodulin-regulated spectrin-associated protein 1</t>
  </si>
  <si>
    <t>Ubiquitin-associated protein 2</t>
  </si>
  <si>
    <t>Probable gluconokinase</t>
  </si>
  <si>
    <t>UPF0553 protein C9orf64</t>
  </si>
  <si>
    <t>Protein FAM69A</t>
  </si>
  <si>
    <t>RAB6-interacting golgin</t>
  </si>
  <si>
    <t>Cell division cycle protein 16 homolog</t>
  </si>
  <si>
    <t>Isoform 2 of Acyl-CoA-binding domain-containing protein 5</t>
  </si>
  <si>
    <t>Protein COX6A1P2</t>
  </si>
  <si>
    <t>Actin, alpha skeletal muscle</t>
  </si>
  <si>
    <t>Nuclear pore complex protein Nup133</t>
  </si>
  <si>
    <t>Isoform 2 of RNA-binding protein 26</t>
  </si>
  <si>
    <t>Mediator complex subunit 22</t>
  </si>
  <si>
    <t>Surfeit 4</t>
  </si>
  <si>
    <t>Adenylate kinase isoenzyme 1</t>
  </si>
  <si>
    <t>Pre-mRNA-splicing factor 18 (Fragment)</t>
  </si>
  <si>
    <t>Protein LSM14 homolog B (Fragment)</t>
  </si>
  <si>
    <t>Adipogenesis regulatory factor (Fragment)</t>
  </si>
  <si>
    <t>Isoform 2 of Probable E3 ubiquitin-protein ligase Roquin</t>
  </si>
  <si>
    <t>Opioid growth factor receptor-like protein 1</t>
  </si>
  <si>
    <t>Ribosyldihydronicotinamide dehydrogenase [quinone]</t>
  </si>
  <si>
    <t>Protein DDI1 homolog 2</t>
  </si>
  <si>
    <t>Uncharacterized protein C20orf194</t>
  </si>
  <si>
    <t>Histone deacetylase 1 (Fragment)</t>
  </si>
  <si>
    <t>NADH dehydrogenase [ubiquinone] 1 alpha subcomplex assembly factor 5</t>
  </si>
  <si>
    <t>5-nucleotidase domain-containing protein 1</t>
  </si>
  <si>
    <t>PX domain-containing protein 1</t>
  </si>
  <si>
    <t>Transmembrane and coiled-coil domain-containing protein 4</t>
  </si>
  <si>
    <t>Thiamine transporter 1</t>
  </si>
  <si>
    <t>Vesicle transport protein SFT2B</t>
  </si>
  <si>
    <t>Rootletin</t>
  </si>
  <si>
    <t>RNA-binding E3 ubiquitin-protein ligase MEX3C</t>
  </si>
  <si>
    <t>Complex III assembly factor LYRM7</t>
  </si>
  <si>
    <t>Isoform 4 of Vacuolar protein sorting-associated protein 53 homolog</t>
  </si>
  <si>
    <t>Striatin-interacting protein 1</t>
  </si>
  <si>
    <t>Alpha/beta hydrolase domain-containing protein 17B</t>
  </si>
  <si>
    <t>Isoform 2 of Regulation of nuclear pre-mRNA domain-containing protein 2</t>
  </si>
  <si>
    <t>Growth hormone-inducible transmembrane protein</t>
  </si>
  <si>
    <t>E3 ubiquitin-protein ligase BRE1A</t>
  </si>
  <si>
    <t>VWFA and cache domain-containing protein 1</t>
  </si>
  <si>
    <t>Zinc finger protein 318</t>
  </si>
  <si>
    <t>Protein FAM171A1</t>
  </si>
  <si>
    <t>Isoform 2 of Leucine-rich repeat and calponin homology domain-containing protein 2</t>
  </si>
  <si>
    <t>UPF0369 protein C6orf57</t>
  </si>
  <si>
    <t>Microsomal glutathione S-transferase 3</t>
  </si>
  <si>
    <t>Pleckstrin homology domain-containing family M member 2</t>
  </si>
  <si>
    <t>Isoform 2 of Ubiquitin thioesterase OTU1</t>
  </si>
  <si>
    <t>Solute carrier family 2, facilitated glucose transporter member 8</t>
  </si>
  <si>
    <t>BRO1 domain-containing protein BROX</t>
  </si>
  <si>
    <t>Focadhesin</t>
  </si>
  <si>
    <t>Sorting nexin-30</t>
  </si>
  <si>
    <t>Isoform 2 of Disabled homolog 2-interacting protein</t>
  </si>
  <si>
    <t>Partitioning defective 3 homolog</t>
  </si>
  <si>
    <t>Lysophospholipase-like protein 1</t>
  </si>
  <si>
    <t>Platelet endothelial aggregation receptor 1</t>
  </si>
  <si>
    <t>Isoform 2 of Terminal uridylyltransferase 7</t>
  </si>
  <si>
    <t>Isoform 2 of Renalase</t>
  </si>
  <si>
    <t>N-alpha-acetyltransferase 35, NatC auxiliary subunit</t>
  </si>
  <si>
    <t>Isoform 2 of Transmembrane protein C9orf91</t>
  </si>
  <si>
    <t>Leucine-rich repeat-containing protein 16A</t>
  </si>
  <si>
    <t>CUGBP Elav-like family member 2</t>
  </si>
  <si>
    <t>BRI2, membrane form</t>
  </si>
  <si>
    <t>Protein FAM160B1</t>
  </si>
  <si>
    <t>SPRY domain-containing protein 7</t>
  </si>
  <si>
    <t>NADH dehydrogenase (Ubiquinone) 1 beta subcomplex, 8, 19kDa, isoform CRA_a</t>
  </si>
  <si>
    <t>Protein QIL1</t>
  </si>
  <si>
    <t>E3 ubiquitin-protein ligase RNF123</t>
  </si>
  <si>
    <t>Isoform 3 of F-box/WD repeat-containing protein 9</t>
  </si>
  <si>
    <t>CD276 antigen</t>
  </si>
  <si>
    <t>E3 ubiquitin-protein ligase RNF213</t>
  </si>
  <si>
    <t>AP-1 complex-associated regulatory protein</t>
  </si>
  <si>
    <t>Isoform 3 of KN motif and ankyrin repeat domain-containing protein 2</t>
  </si>
  <si>
    <t>WASH complex subunit FAM21A</t>
  </si>
  <si>
    <t>Isoform 2 of TBC1 domain family member 9B</t>
  </si>
  <si>
    <t>Serine/threonine-protein phosphatase 2A 55 kDa regulatory subunit B delta isoform</t>
  </si>
  <si>
    <t>ADP-ribosylation factor-like protein 6-interacting protein 4</t>
  </si>
  <si>
    <t>Isoform 3 of Kazrin</t>
  </si>
  <si>
    <t>Glycosyltransferase 8 domain-containing protein 1</t>
  </si>
  <si>
    <t>Tensin-3</t>
  </si>
  <si>
    <t>Metallo-beta-lactamase domain-containing protein 2</t>
  </si>
  <si>
    <t>LMBR1 domain-containing protein 2</t>
  </si>
  <si>
    <t>Putative uncharacterized protein DKFZp781L1143</t>
  </si>
  <si>
    <t>Isoform 2 of Integrator complex subunit 3</t>
  </si>
  <si>
    <t>Isoform 6 of Rho GTPase-activating protein 17</t>
  </si>
  <si>
    <t>Isoform 3 of CWF19-like protein 1</t>
  </si>
  <si>
    <t>Isoform 2 of Cytospin-A</t>
  </si>
  <si>
    <t>Uncharacterized protein C12orf73</t>
  </si>
  <si>
    <t>Isoform 2 of Scavenger receptor class A member 3</t>
  </si>
  <si>
    <t>NADH-cytochrome b5 reductase 2</t>
  </si>
  <si>
    <t>Atlastin-3</t>
  </si>
  <si>
    <t>Adenosine deaminase-like protein</t>
  </si>
  <si>
    <t>Nucleoredoxin</t>
  </si>
  <si>
    <t>Tetratricopeptide repeat protein 19, mitochondrial</t>
  </si>
  <si>
    <t>HLA class I histocompatibility antigen, alpha chain E</t>
  </si>
  <si>
    <t>Isoform 5 of DNA-directed RNA polymerase II subunit GRINL1A, isoforms 4/5</t>
  </si>
  <si>
    <t>Vasorin</t>
  </si>
  <si>
    <t>Isoform 3 of Anamorsin</t>
  </si>
  <si>
    <t>Isoform 2 of AN1-type zinc finger protein 6</t>
  </si>
  <si>
    <t>SET and MYND domain-containing protein 5</t>
  </si>
  <si>
    <t>Putative peptidyl-tRNA hydrolase PTRHD1</t>
  </si>
  <si>
    <t>OTU domain-containing protein 7B</t>
  </si>
  <si>
    <t>Selenoprotein S</t>
  </si>
  <si>
    <t>THO complex subunit 7 homolog</t>
  </si>
  <si>
    <t>Glutamine-dependent NAD(+) synthetase</t>
  </si>
  <si>
    <t>Isoform 3 of Elongator complex protein 2</t>
  </si>
  <si>
    <t>Ragulator complex protein LAMTOR1</t>
  </si>
  <si>
    <t>Dehydrogenase/reductase SDR family member 7B</t>
  </si>
  <si>
    <t>Twinfilin-2</t>
  </si>
  <si>
    <t>Desumoylating isopeptidase 1</t>
  </si>
  <si>
    <t>Uncharacterized protein KIAA0930</t>
  </si>
  <si>
    <t>Em:AP000351.3 protein</t>
  </si>
  <si>
    <t>Transport and Golgi organization 2 homolog</t>
  </si>
  <si>
    <t>Isoform 2 of Serine/threonine-protein phosphatase 4 regulatory subunit 3A</t>
  </si>
  <si>
    <t>Ras-related protein Rab-12</t>
  </si>
  <si>
    <t>Isoform 3 of Protein SDE2 homolog</t>
  </si>
  <si>
    <t>Isoform 3 of Nipped-B-like protein</t>
  </si>
  <si>
    <t>Teneurin-4</t>
  </si>
  <si>
    <t>2-oxoglutarate and iron-dependent oxygenase domain-containing protein 2</t>
  </si>
  <si>
    <t>Uncharacterized family 31 glucosidase KIAA1161</t>
  </si>
  <si>
    <t>MFS-type transporter SLC18B1</t>
  </si>
  <si>
    <t>TMF-regulated nuclear protein 1</t>
  </si>
  <si>
    <t>UPF0544 protein C5orf45</t>
  </si>
  <si>
    <t>Calcium-binding mitochondrial carrier protein SCaMC-1</t>
  </si>
  <si>
    <t>Receptor expression-enhancing protein 3</t>
  </si>
  <si>
    <t>All-trans-retinol 13,14-reductase</t>
  </si>
  <si>
    <t>RAD50-interacting protein 1</t>
  </si>
  <si>
    <t>Isoform 2 of Transmembrane protein 214</t>
  </si>
  <si>
    <t>Tectonic-3</t>
  </si>
  <si>
    <t>Inactive Ufm1-specific protease 1</t>
  </si>
  <si>
    <t>3-hydroxyisobutyryl-CoA hydrolase, mitochondrial</t>
  </si>
  <si>
    <t>Ankyrin repeat domain-containing protein 54</t>
  </si>
  <si>
    <t>Transmembrane anterior posterior transformation protein 1 homolog</t>
  </si>
  <si>
    <t>Phostensin</t>
  </si>
  <si>
    <t>THO complex subunit 3</t>
  </si>
  <si>
    <t>Polymerase I and transcript release factor</t>
  </si>
  <si>
    <t>Cdc42 effector protein 5</t>
  </si>
  <si>
    <t>Endoplasmic reticulum aminopeptidase 2</t>
  </si>
  <si>
    <t>Parafibromin</t>
  </si>
  <si>
    <t>39S ribosomal protein L14, mitochondrial</t>
  </si>
  <si>
    <t>Long-chain fatty acid transport protein 4</t>
  </si>
  <si>
    <t>Isoform 2 of Coiled-coil and C2 domain-containing protein 1A</t>
  </si>
  <si>
    <t>tRNA-dihydrouridine(16/17) synthase [NAD(P)(+)]-like</t>
  </si>
  <si>
    <t>UPF0598 protein C8orf82</t>
  </si>
  <si>
    <t>Enhancer of mRNA-decapping protein 4</t>
  </si>
  <si>
    <t>Putative protein arginine N-methyltransferase 10</t>
  </si>
  <si>
    <t>SCY1-like protein 2</t>
  </si>
  <si>
    <t>Tetratricopeptide repeat protein 27</t>
  </si>
  <si>
    <t>Protein CASC4</t>
  </si>
  <si>
    <t>Adrenodoxin-like protein, mitochondrial</t>
  </si>
  <si>
    <t>WD repeat-containing protein 73</t>
  </si>
  <si>
    <t>Mitotic-spindle organizing protein 2A</t>
  </si>
  <si>
    <t>Acylpyruvase FAHD1, mitochondrial</t>
  </si>
  <si>
    <t>Uncharacterized protein C8orf47</t>
  </si>
  <si>
    <t>Protein FAM171B</t>
  </si>
  <si>
    <t>TLD domain-containing protein KIAA1609</t>
  </si>
  <si>
    <t>Glucose 1,6-bisphosphate synthase</t>
  </si>
  <si>
    <t>Alpha- and gamma-adaptin-binding protein p34</t>
  </si>
  <si>
    <t>Tetratricopeptide repeat protein 37</t>
  </si>
  <si>
    <t>Aspartate--tRNA ligase, mitochondrial</t>
  </si>
  <si>
    <t>Transmembrane protein 65</t>
  </si>
  <si>
    <t>Coiled-coil domain-containing protein 174</t>
  </si>
  <si>
    <t>Isoform 2 of Hydroxyacylglutathione hydrolase-like protein</t>
  </si>
  <si>
    <t>Tripartite motif-containing protein 65</t>
  </si>
  <si>
    <t>Isoform 5 of Zinc finger CCCH domain-containing protein 14</t>
  </si>
  <si>
    <t>Consortin</t>
  </si>
  <si>
    <t>2-oxoglutarate and iron-dependent oxygenase domain-containing protein 3</t>
  </si>
  <si>
    <t>La-related protein 1</t>
  </si>
  <si>
    <t>Zinc transporter 9</t>
  </si>
  <si>
    <t>Isoform 1 of Peroxisomal N(1)-acetyl-spermine/spermidine oxidase</t>
  </si>
  <si>
    <t>Biogenesis of lysosome-related organelles complex 1 subunit 3</t>
  </si>
  <si>
    <t>Biogenesis of lysosome-related organelles complex 1 subunit 2</t>
  </si>
  <si>
    <t>Isoform 2 of Type-1 angiotensin II receptor-associated protein</t>
  </si>
  <si>
    <t>Methionine aminopeptidase 1D, mitochondrial</t>
  </si>
  <si>
    <t>Monofunctional C1-tetrahydrofolate synthase, mitochondrial</t>
  </si>
  <si>
    <t>Isoform 3 of Aftiphilin</t>
  </si>
  <si>
    <t>Isoform 3 of Pre-mRNA 3-end-processing factor FIP1</t>
  </si>
  <si>
    <t>Isoform 3 of CREB-regulated transcription coactivator 1</t>
  </si>
  <si>
    <t>Chondroitin sulfate proteoglycan 4</t>
  </si>
  <si>
    <t>Isoform 2 of DBH-like monooxygenase protein 1</t>
  </si>
  <si>
    <t>All-trans retinoic acid-induced differentiation factor</t>
  </si>
  <si>
    <t>KDEL motif-containing protein 1</t>
  </si>
  <si>
    <t>E3 ubiquitin-protein ligase LRSAM1</t>
  </si>
  <si>
    <t>Protein FAM198B</t>
  </si>
  <si>
    <t>Isoform 3 of Transmembrane and coiled-coil domain-containing protein 3</t>
  </si>
  <si>
    <t>Dehydrogenase/reductase SDR family member 11</t>
  </si>
  <si>
    <t>Isoform 3 of Lysocardiolipin acyltransferase 1</t>
  </si>
  <si>
    <t>Protein PET117 homolog, mitochondrial</t>
  </si>
  <si>
    <t>Bombesin receptor-activated protein C6orf89</t>
  </si>
  <si>
    <t>Peptidyl-prolyl cis-trans isomerase CWC27 homolog</t>
  </si>
  <si>
    <t>Isoform 2 of Layilin</t>
  </si>
  <si>
    <t>Methyltransferase-like protein 7B</t>
  </si>
  <si>
    <t>Plexin domain-containing protein 2</t>
  </si>
  <si>
    <t>Isoform 6 of Seizure 6-like protein 2</t>
  </si>
  <si>
    <t>Isoform 4 of Cysteine-rich with EGF-like domain protein 2</t>
  </si>
  <si>
    <t>Collagen and calcium-binding EGF domain-containing protein 1</t>
  </si>
  <si>
    <t>WD repeat-containing protein 82</t>
  </si>
  <si>
    <t>Protein FAM151B</t>
  </si>
  <si>
    <t>Apolipoprotein O-like</t>
  </si>
  <si>
    <t>Isoform 2 of Brain-specific angiogenesis inhibitor 1-associated protein 2-like protein 2</t>
  </si>
  <si>
    <t>Isoform 3 of Protocadherin Fat 4</t>
  </si>
  <si>
    <t>Protocadherin-23</t>
  </si>
  <si>
    <t>Isoform 2 of Dipeptidyl peptidase 8</t>
  </si>
  <si>
    <t>Phosphofurin acidic cluster sorting protein 1</t>
  </si>
  <si>
    <t>Myosin phosphatase Rho-interacting protein</t>
  </si>
  <si>
    <t>Rab11 family-interacting protein 1</t>
  </si>
  <si>
    <t>Nicotinate phosphoribosyltransferase</t>
  </si>
  <si>
    <t>Very-long-chain (3R)-3-hydroxyacyl-[acyl-carrier protein] dehydratase 2</t>
  </si>
  <si>
    <t>Beta-1,3-glucosyltransferase</t>
  </si>
  <si>
    <t>Isoform 3 of PERQ amino acid-rich with GYF domain-containing protein 2</t>
  </si>
  <si>
    <t>CD109 antigen</t>
  </si>
  <si>
    <t>Isoform 3 of Thyroid adenoma-associated protein</t>
  </si>
  <si>
    <t>Hydroxysteroid dehydrogenase-like protein 2</t>
  </si>
  <si>
    <t>Isoform 3 of Kynurenine--oxoglutarate transaminase 3</t>
  </si>
  <si>
    <t>Ceramide synthase 6</t>
  </si>
  <si>
    <t>Protein phosphatase 1 regulatory subunit 21</t>
  </si>
  <si>
    <t>Isoform 2 of Nesprin-3</t>
  </si>
  <si>
    <t>GDP-D-glucose phosphorylase 1</t>
  </si>
  <si>
    <t>Probable C-mannosyltransferase DPY19L3</t>
  </si>
  <si>
    <t>Sulfhydryl oxidase 2</t>
  </si>
  <si>
    <t>Isoform 2 of Protein FAM65A</t>
  </si>
  <si>
    <t>Uncharacterized protein C1orf122</t>
  </si>
  <si>
    <t>Major facilitator superfamily domain-containing protein 6</t>
  </si>
  <si>
    <t>Isoform 2 of Transmembrane protein with metallophosphoesterase domain</t>
  </si>
  <si>
    <t>Isoform 3 of Ankyrin repeat domain-containing protein 13D</t>
  </si>
  <si>
    <t>Isoform 5 of Coiled-coil domain-containing protein 149</t>
  </si>
  <si>
    <t>Uncharacterized protein C15orf52</t>
  </si>
  <si>
    <t>Lipoma HMGIC fusion partner-like 2 protein</t>
  </si>
  <si>
    <t>8-oxo-dGDP phosphatase NUDT18</t>
  </si>
  <si>
    <t>Isoform 5 of PAX-interacting protein 1</t>
  </si>
  <si>
    <t>Lysophospholipid acyltransferase 2</t>
  </si>
  <si>
    <t>Isoform 2 of Transmembrane and TPR repeat-containing protein 3</t>
  </si>
  <si>
    <t>Isoform 3 of Vacuolar protein sorting-associated protein 13C</t>
  </si>
  <si>
    <t>Acyl-CoA dehydrogenase family member 11</t>
  </si>
  <si>
    <t>Isoform RMO1ac of Ras-associated and pleckstrin homology domains-containing protein 1</t>
  </si>
  <si>
    <t>MOB kinase activator 2</t>
  </si>
  <si>
    <t>Inhibitor of nuclear factor kappa-B kinase-interacting protein</t>
  </si>
  <si>
    <t>Isoform 4 of Inhibitor of nuclear factor kappa-B kinase-interacting protein</t>
  </si>
  <si>
    <t>Isoform 2 of Protein FRA10AC1</t>
  </si>
  <si>
    <t>Ubiquitin-conjugating enzyme E2 R2</t>
  </si>
  <si>
    <t>Casein kinase 1, alpha 1, isoform CRA_g</t>
  </si>
  <si>
    <t>MTSS1-like protein</t>
  </si>
  <si>
    <t>Coiled-coil domain-containing protein 80</t>
  </si>
  <si>
    <t>Isoform 5 of Butyrophilin subfamily 2 member A1</t>
  </si>
  <si>
    <t>Transcription elongation factor SPT6</t>
  </si>
  <si>
    <t>Staphylococcal nuclease domain-containing protein 1</t>
  </si>
  <si>
    <t>Probable ATP-dependent RNA helicase DDX46</t>
  </si>
  <si>
    <t>Isoform 3 of Protein RUFY3</t>
  </si>
  <si>
    <t>Isoform 2 of Synaptic vesicle glycoprotein 2A</t>
  </si>
  <si>
    <t>Mitochondrial ribonuclease P protein 1</t>
  </si>
  <si>
    <t>Basic leucine zipper and W2 domain-containing protein 1</t>
  </si>
  <si>
    <t>Leucine-rich repeat-containing protein 8D</t>
  </si>
  <si>
    <t>Alpha/beta hydrolase domain-containing protein 13</t>
  </si>
  <si>
    <t>Eukaryotic translation initiation factor 3 subunit M</t>
  </si>
  <si>
    <t>7SK snRNA methylphosphate capping enzyme</t>
  </si>
  <si>
    <t>Armadillo repeat-containing X-linked protein 2</t>
  </si>
  <si>
    <t>Isoform 2 of Arginine/serine-rich coiled-coil protein 2</t>
  </si>
  <si>
    <t>Cytoplasmic FMR1-interacting protein 1</t>
  </si>
  <si>
    <t>NADH dehydrogenase [ubiquinone] complex I, assembly factor 7</t>
  </si>
  <si>
    <t>Golgi to ER traffic protein 4 homolog</t>
  </si>
  <si>
    <t>Lysophosphatidylcholine acyltransferase 2</t>
  </si>
  <si>
    <t>Mitochondrial enolase superfamily member 1</t>
  </si>
  <si>
    <t>EPM2A-interacting protein 1</t>
  </si>
  <si>
    <t>Isoform 2 of Putative pre-mRNA-splicing factor ATP-dependent RNA helicase DHX32</t>
  </si>
  <si>
    <t>Serine/threonine-protein kinase TAO1</t>
  </si>
  <si>
    <t>SH3 domain-binding protein 5-like</t>
  </si>
  <si>
    <t>Lysine-specific demethylase 3B</t>
  </si>
  <si>
    <t>Charged multivesicular body protein 1b</t>
  </si>
  <si>
    <t>Ribonucleoside-diphosphate reductase subunit M2 B</t>
  </si>
  <si>
    <t>Heparan sulfate 2-O-sulfotransferase 1</t>
  </si>
  <si>
    <t>Isoform 6 of STE20-related kinase adapter protein alpha</t>
  </si>
  <si>
    <t>Magnesium transporter NIPA1</t>
  </si>
  <si>
    <t>Protein-methionine sulfoxide oxidase MICAL3</t>
  </si>
  <si>
    <t>Dymeclin</t>
  </si>
  <si>
    <t>PHD finger-like domain-containing protein 5A</t>
  </si>
  <si>
    <t>Thioredoxin-like protein AAED1</t>
  </si>
  <si>
    <t>G protein-regulated inducer of neurite outgrowth 1</t>
  </si>
  <si>
    <t>Isoform 4 of PTB-containing, cubilin and LRP1-interacting protein</t>
  </si>
  <si>
    <t>Elongation factor Tu GTP-binding domain-containing protein 1</t>
  </si>
  <si>
    <t>Probable C-mannosyltransferase DPY19L4</t>
  </si>
  <si>
    <t>Neuronal growth regulator 1</t>
  </si>
  <si>
    <t>LysM and putative peptidoglycan-binding domain-containing protein 3</t>
  </si>
  <si>
    <t>Isoform 2 of UPF0317 protein C14orf159, mitochondrial</t>
  </si>
  <si>
    <t>Uncharacterized protein C10orf118</t>
  </si>
  <si>
    <t>LisH domain-containing protein ARMC9</t>
  </si>
  <si>
    <t>Zinc finger FYVE domain-containing protein 16</t>
  </si>
  <si>
    <t>Nuclear fragile X mental retardation-interacting protein 2</t>
  </si>
  <si>
    <t>Isoform 2 of SUZ domain-containing protein 1</t>
  </si>
  <si>
    <t>Mitochondrial antiviral-signaling protein</t>
  </si>
  <si>
    <t>Cytochrome P450 2U1</t>
  </si>
  <si>
    <t>ATP-dependent RNA helicase DHX29</t>
  </si>
  <si>
    <t>Low-density lipoprotein receptor-related protein 10</t>
  </si>
  <si>
    <t>COMM domain-containing protein 6</t>
  </si>
  <si>
    <t>Isoform 2 of tRNA (guanine(10)-N2)-methyltransferase homolog</t>
  </si>
  <si>
    <t>HD domain-containing protein 2</t>
  </si>
  <si>
    <t>Isoform 3 of HAUS augmin-like complex subunit 6</t>
  </si>
  <si>
    <t>KDEL motif-containing protein 2</t>
  </si>
  <si>
    <t>LIM and senescent cell antigen-like-containing domain protein 2</t>
  </si>
  <si>
    <t>HEAT repeat-containing protein 3</t>
  </si>
  <si>
    <t>Hepatoma-derived growth factor-related protein 2</t>
  </si>
  <si>
    <t>L-xylulose reductase</t>
  </si>
  <si>
    <t>Isoform 2 of Golgin subfamily A member 7</t>
  </si>
  <si>
    <t>Wings apart-like protein homolog</t>
  </si>
  <si>
    <t>Isoform 2 of R3H and coiled-coil domain-containing protein 1-like</t>
  </si>
  <si>
    <t>Podocan</t>
  </si>
  <si>
    <t>Isoform 2 of Interferon regulatory factor 2-binding protein 2</t>
  </si>
  <si>
    <t>Amyloid beta A4 precursor protein-binding family B member 1-interacting protein</t>
  </si>
  <si>
    <t>Calmodulin-lysine N-methyltransferase</t>
  </si>
  <si>
    <t>Isoform 2 of Coiled-coil domain-containing protein 91</t>
  </si>
  <si>
    <t>SLIT-ROBO Rho GTPase-activating protein 1</t>
  </si>
  <si>
    <t>Isoform 4 of E3 ubiquitin-protein ligase RBBP6</t>
  </si>
  <si>
    <t>E3 ubiquitin-protein ligase SH3RF1</t>
  </si>
  <si>
    <t>Protein prenyltransferase alpha subunit repeat-containing protein 1</t>
  </si>
  <si>
    <t>UPF0552 protein C15orf38</t>
  </si>
  <si>
    <t>Tectonin beta-propeller repeat-containing protein 1</t>
  </si>
  <si>
    <t>Rab9 effector protein with kelch motifs</t>
  </si>
  <si>
    <t>Allergin-1</t>
  </si>
  <si>
    <t>mTERF domain-containing protein 2</t>
  </si>
  <si>
    <t>Isoform 2 of E3 ubiquitin-protein ligase HUWE1</t>
  </si>
  <si>
    <t>Cytoplasmic tRNA 2-thiolation protein 1</t>
  </si>
  <si>
    <t>PX domain-containing protein kinase-like protein</t>
  </si>
  <si>
    <t>Transcription initiation factor TFIID subunit 8</t>
  </si>
  <si>
    <t>Ubiquitin-conjugating enzyme E2 Q1</t>
  </si>
  <si>
    <t>Isoform 4 of UPF0469 protein KIAA0907</t>
  </si>
  <si>
    <t>Isoform 3 of Transmembrane emp24 domain-containing protein 4</t>
  </si>
  <si>
    <t>Calcium/calmodulin-dependent protein kinase II inhibitor 1</t>
  </si>
  <si>
    <t>Protein zer-1 homolog</t>
  </si>
  <si>
    <t>Polypeptide N-acetylgalactosaminyltransferase 5</t>
  </si>
  <si>
    <t>Transmembrane protein 179B</t>
  </si>
  <si>
    <t>N-acetylgalactosaminyltransferase 7</t>
  </si>
  <si>
    <t>Amphoterin-induced protein 2</t>
  </si>
  <si>
    <t>Pleckstrin homology-like domain family B member 2</t>
  </si>
  <si>
    <t>Serologically defined colon cancer antigen 8</t>
  </si>
  <si>
    <t>Polypeptide N-acetylgalactosaminyltransferase 10</t>
  </si>
  <si>
    <t>Glutaredoxin-related protein 5, mitochondrial</t>
  </si>
  <si>
    <t>Trafficking protein particle complex subunit 6B</t>
  </si>
  <si>
    <t>Transmembrane protein 55B</t>
  </si>
  <si>
    <t>C-type lectin domain family 14 member A</t>
  </si>
  <si>
    <t>Isoform 4 of Protein PAT1 homolog 1</t>
  </si>
  <si>
    <t>Transmembrane protein 150A</t>
  </si>
  <si>
    <t>Isoform 2 of TBC1 domain family member 1</t>
  </si>
  <si>
    <t>Dipeptidyl peptidase 9</t>
  </si>
  <si>
    <t>Isoform 2 of E3 ubiquitin-protein ligase synoviolin</t>
  </si>
  <si>
    <t>tRNA 2-phosphotransferase 1</t>
  </si>
  <si>
    <t>Protein prune homolog</t>
  </si>
  <si>
    <t>Isoform 3 of 39S ribosomal protein L52, mitochondrial</t>
  </si>
  <si>
    <t>Histone-lysine N-methyltransferase setd3</t>
  </si>
  <si>
    <t>Full-length cDNA clone CS0DI002YH20 of Placenta of Homo sapiens (human)</t>
  </si>
  <si>
    <t>Acyl-coenzyme A thioesterase 1</t>
  </si>
  <si>
    <t>Iron-sulfur cluster assembly 2 homolog, mitochondrial</t>
  </si>
  <si>
    <t>N6-adenosine-methyltransferase 70 kDa subunit</t>
  </si>
  <si>
    <t>Isoform 2 of LIM domain-binding protein 1</t>
  </si>
  <si>
    <t>YrdC domain-containing protein, mitochondrial</t>
  </si>
  <si>
    <t>Protein LYRIC</t>
  </si>
  <si>
    <t>Isoform 2 of Zinc finger protein 598</t>
  </si>
  <si>
    <t>Glycerol-3-phosphate acyltransferase 4</t>
  </si>
  <si>
    <t>Kinectin</t>
  </si>
  <si>
    <t>Isoform 4 of B-cell CLL/lymphoma 9-like protein</t>
  </si>
  <si>
    <t>Isoform 2 of Pleckstrin homology-like domain family B member 1</t>
  </si>
  <si>
    <t>Ubiquitin carboxyl-terminal hydrolase 48</t>
  </si>
  <si>
    <t>TXNDC5 protein</t>
  </si>
  <si>
    <t>Isoform 2 of 5-nucleotidase domain-containing protein 3</t>
  </si>
  <si>
    <t>Acetoacetyl-CoA synthetase</t>
  </si>
  <si>
    <t>Leucine zipper protein 1</t>
  </si>
  <si>
    <t>Integral membrane protein GPR180</t>
  </si>
  <si>
    <t>Protein FAM160B2</t>
  </si>
  <si>
    <t>Uncharacterized protein C11orf74</t>
  </si>
  <si>
    <t>Isoform 2 of Vacuolar protein-sorting-associated protein 36</t>
  </si>
  <si>
    <t>Cullin-associated NEDD8-dissociated protein 1</t>
  </si>
  <si>
    <t>Glucocorticoid-induced transcript 1 protein</t>
  </si>
  <si>
    <t>WAS protein family, member 3, isoform CRA_a</t>
  </si>
  <si>
    <t>Protein FAM134C</t>
  </si>
  <si>
    <t>Protein Hook homolog 3</t>
  </si>
  <si>
    <t>SEC14 domain and spectrin repeat-containing protein 1</t>
  </si>
  <si>
    <t>Isoform 2 of Rho guanine nucleotide exchange factor 25</t>
  </si>
  <si>
    <t>Isoform 2 of COMM domain-containing protein 7</t>
  </si>
  <si>
    <t>Archaemetzincin-2</t>
  </si>
  <si>
    <t>Isoform 3 of THO complex subunit 6 homolog</t>
  </si>
  <si>
    <t>Isoform 2 of Poly(ADP-ribose) glycohydrolase</t>
  </si>
  <si>
    <t>Isoform 2 of Liprin-beta-1</t>
  </si>
  <si>
    <t>Isoform 2 of Valacyclovir hydrolase</t>
  </si>
  <si>
    <t>Sodium-independent sulfate anion transporter</t>
  </si>
  <si>
    <t>Osteopetrosis-associated transmembrane protein 1</t>
  </si>
  <si>
    <t>Myotubularin-related protein 13</t>
  </si>
  <si>
    <t>FCH and double SH3 domains protein 1</t>
  </si>
  <si>
    <t>Nuclear receptor 2C2-associated protein</t>
  </si>
  <si>
    <t>Coiled-coil domain-containing protein 25</t>
  </si>
  <si>
    <t>Stimulator of interferon genes protein</t>
  </si>
  <si>
    <t>CCDC43 protein</t>
  </si>
  <si>
    <t>Cerebellar degeneration-related protein 2-like</t>
  </si>
  <si>
    <t>Transmembrane protein 17</t>
  </si>
  <si>
    <t>Ras-specific guanine nucleotide-releasing factor RalGPS2</t>
  </si>
  <si>
    <t>Isoform 1 of Histone-arginine methyltransferase CARM1</t>
  </si>
  <si>
    <t>Isoform 1 of Nitrilase homolog 1</t>
  </si>
  <si>
    <t>COMM domain-containing protein 2</t>
  </si>
  <si>
    <t>ATP-dependent RNA helicase DDX42</t>
  </si>
  <si>
    <t>Spermatogenesis-associated serine-rich protein 2</t>
  </si>
  <si>
    <t>Isoform 4 of Serine/threonine-protein kinase VRK2</t>
  </si>
  <si>
    <t>CDK2-associated and cullin domain-containing protein 1</t>
  </si>
  <si>
    <t>NADH dehydrogenase [ubiquinone] 1 alpha subcomplex subunit 11</t>
  </si>
  <si>
    <t>HEAT repeat-containing protein 2</t>
  </si>
  <si>
    <t>Syntaxin-12</t>
  </si>
  <si>
    <t>ERO1-like protein beta</t>
  </si>
  <si>
    <t>Decaprenyl-diphosphate synthase subunit 2</t>
  </si>
  <si>
    <t>Isoform 4 of Threonine synthase-like 2</t>
  </si>
  <si>
    <t>Isoform 2 of Transcriptional repressor p66-alpha</t>
  </si>
  <si>
    <t>Copine-8</t>
  </si>
  <si>
    <t>Isoform 4 of G-protein-signaling modulator 1</t>
  </si>
  <si>
    <t>Ras-related protein Rab-43</t>
  </si>
  <si>
    <t>Tyrosine-protein kinase SgK223</t>
  </si>
  <si>
    <t>Isoform 2 of Calcium/calmodulin-dependent protein kinase type 1D</t>
  </si>
  <si>
    <t>TIR domain-containing adapter molecule 1</t>
  </si>
  <si>
    <t>ELKS/Rab6-interacting/CAST family member 1</t>
  </si>
  <si>
    <t>Isoform 2 of Palmitoyltransferase ZDHHC13</t>
  </si>
  <si>
    <t>Cytokine receptor-like factor 3</t>
  </si>
  <si>
    <t>Trafficking protein particle complex subunit 5</t>
  </si>
  <si>
    <t>RELT-like protein 1</t>
  </si>
  <si>
    <t>5-phosphohydroxy-L-lysine phospho-lyase</t>
  </si>
  <si>
    <t>Phospholipase D3</t>
  </si>
  <si>
    <t>Laccase domain-containing protein 1</t>
  </si>
  <si>
    <t>Ankyrin repeat and MYND domain-containing protein 2</t>
  </si>
  <si>
    <t>LysM and putative peptidoglycan-binding domain-containing protein 2</t>
  </si>
  <si>
    <t>LIX1-like protein</t>
  </si>
  <si>
    <t>NudC domain-containing protein 3</t>
  </si>
  <si>
    <t>Isoform 3 of Protein AHNAK2</t>
  </si>
  <si>
    <t>Methylmalonic aciduria type A protein, mitochondrial</t>
  </si>
  <si>
    <t>Prolyl 3-hydroxylase 2</t>
  </si>
  <si>
    <t>Coiled-coil domain-containing protein 50</t>
  </si>
  <si>
    <t>Malonyl-CoA-acyl carrier protein transacylase, mitochondrial</t>
  </si>
  <si>
    <t>ATP-dependent (S)-NAD(P)H-hydrate dehydratase</t>
  </si>
  <si>
    <t>Mitofusin-1</t>
  </si>
  <si>
    <t>Choline transporter-like protein 2</t>
  </si>
  <si>
    <t>Inositol 1,4,5-trisphosphate receptor-interacting protein</t>
  </si>
  <si>
    <t>WD repeat and FYVE domain-containing protein 1</t>
  </si>
  <si>
    <t>Testis-expressed sequence 2 protein</t>
  </si>
  <si>
    <t>Isoform 2 of MAP7 domain-containing protein 3</t>
  </si>
  <si>
    <t>Protein NOXP20</t>
  </si>
  <si>
    <t>DCN1-like protein 3</t>
  </si>
  <si>
    <t>GRIP and coiled-coil domain-containing protein 2</t>
  </si>
  <si>
    <t>E3 ubiquitin-protein ligase UBR1</t>
  </si>
  <si>
    <t>Isoform 4 of E3 ubiquitin-protein ligase UBR2</t>
  </si>
  <si>
    <t>Isoform 2 of Hydroxyacid-oxoacid transhydrogenase, mitochondrial</t>
  </si>
  <si>
    <t>Isoform 6 of Ankyrin repeat and KH domain-containing protein 1</t>
  </si>
  <si>
    <t>SURP and G-patch domain-containing protein 1</t>
  </si>
  <si>
    <t>Ubiquitin-conjugating enzyme E2 variant 3</t>
  </si>
  <si>
    <t>Isoform 2 of Cell division cycle and apoptosis regulator protein 1</t>
  </si>
  <si>
    <t>DnaJ homolog subfamily C member 10</t>
  </si>
  <si>
    <t>Isoform 4 of Mitochondrial Rho GTPase 1</t>
  </si>
  <si>
    <t>Isoform 2 of NAD-dependent protein deacetylase sirtuin-2</t>
  </si>
  <si>
    <t>Uncharacterized protein C9orf40</t>
  </si>
  <si>
    <t>Uncharacterized protein KIAA1704</t>
  </si>
  <si>
    <t>Isoform 3 of Neuropathy target esterase</t>
  </si>
  <si>
    <t>Intraflagellar transport protein 20 homolog</t>
  </si>
  <si>
    <t>MICAL-like protein 2</t>
  </si>
  <si>
    <t>Isoform 2 of Transmembrane protein 192</t>
  </si>
  <si>
    <t>Protein MB21D2</t>
  </si>
  <si>
    <t>Isoform 3 of Stromal membrane-associated protein 1</t>
  </si>
  <si>
    <t>DIS3-like exonuclease 2</t>
  </si>
  <si>
    <t>ATP-dependent RNA helicase SUPV3L1, mitochondrial</t>
  </si>
  <si>
    <t>Eukaryotic peptide chain release factor GTP-binding subunit ERF3B</t>
  </si>
  <si>
    <t>Isoform 2 of Coiled-coil domain-containing protein 146</t>
  </si>
  <si>
    <t>Exocyst complex component 8</t>
  </si>
  <si>
    <t>Isoform 2 of E3 ubiquitin-protein ligase TRIM22</t>
  </si>
  <si>
    <t>Threonine synthase-like 1</t>
  </si>
  <si>
    <t>Uncharacterized protein KIAA2013</t>
  </si>
  <si>
    <t>E3 ubiquitin-protein ligase HACE1</t>
  </si>
  <si>
    <t>Calcium uptake protein 2, mitochondrial</t>
  </si>
  <si>
    <t>Ankyrin repeat domain-containing protein 13A</t>
  </si>
  <si>
    <t>Isoform 3 of Phosphatase and actin regulator 4</t>
  </si>
  <si>
    <t>Metaxin 2</t>
  </si>
  <si>
    <t>RNA pseudouridylate synthase domain-containing protein 2</t>
  </si>
  <si>
    <t>ELMO domain-containing protein 2</t>
  </si>
  <si>
    <t>Aldehyde dehydrogenase family 16 member A1</t>
  </si>
  <si>
    <t>mRNA-decapping enzyme 1B</t>
  </si>
  <si>
    <t>Isoform 2 of Protein-associating with the carboxyl-terminal domain of ezrin</t>
  </si>
  <si>
    <t>Isoform 3 of CKLF-like MARVEL transmembrane domain-containing protein 4</t>
  </si>
  <si>
    <t>Retinol dehydrogenase 10</t>
  </si>
  <si>
    <t>Uncharacterized protein C8orf59</t>
  </si>
  <si>
    <t>Vitamin K epoxide reductase complex subunit 1-like protein 1</t>
  </si>
  <si>
    <t>L-fucose kinase</t>
  </si>
  <si>
    <t>Citrate lyase subunit beta-like protein, mitochondrial</t>
  </si>
  <si>
    <t>Spartin</t>
  </si>
  <si>
    <t>Tetratricopeptide repeat protein 5</t>
  </si>
  <si>
    <t>Isoform 7 of Mesoderm induction early response protein 1</t>
  </si>
  <si>
    <t>Cell cycle exit and neuronal differentiation protein 1</t>
  </si>
  <si>
    <t>Regulatory-associated protein of mTOR</t>
  </si>
  <si>
    <t>Protein canopy homolog 4</t>
  </si>
  <si>
    <t>Sodium-dependent phosphate transport protein 2C</t>
  </si>
  <si>
    <t>Adenylosuccinate synthetase isozyme 1</t>
  </si>
  <si>
    <t>Isoform 2 of DBIRD complex subunit KIAA1967</t>
  </si>
  <si>
    <t>Mimitin, mitochondrial</t>
  </si>
  <si>
    <t>UPF0462 protein C4orf33</t>
  </si>
  <si>
    <t>Vacuolar protein sorting-associated protein 52 homolog</t>
  </si>
  <si>
    <t>Nuclear pore complex protein Nup93</t>
  </si>
  <si>
    <t>Cap-specific mRNA (nucleoside-2-O-)-methyltransferase 1</t>
  </si>
  <si>
    <t>Leucine-rich repeat-containing protein 47</t>
  </si>
  <si>
    <t>Carbonic anhydrase 13</t>
  </si>
  <si>
    <t>Isoform 2 of Zinc transporter ZIP11</t>
  </si>
  <si>
    <t>Ankyrin repeat domain-containing protein 35</t>
  </si>
  <si>
    <t>Isoform 3 of Armadillo repeat-containing protein 10</t>
  </si>
  <si>
    <t>Isoform 3 of GH3 domain-containing protein</t>
  </si>
  <si>
    <t>Pyridine nucleotide-disulfide oxidoreductase domain-containing protein 2</t>
  </si>
  <si>
    <t>Monoacylglycerol lipase ABHD12</t>
  </si>
  <si>
    <t>Coiled-coil domain-containing protein 23</t>
  </si>
  <si>
    <t>Glycerol-3-phosphate dehydrogenase 1-like protein</t>
  </si>
  <si>
    <t>Metallothionein-1M</t>
  </si>
  <si>
    <t>Protein Dos</t>
  </si>
  <si>
    <t>Solute carrier family 35 member F6</t>
  </si>
  <si>
    <t>Rho GTPase-activating protein 18</t>
  </si>
  <si>
    <t>Isoform 3 of Activating signal cointegrator 1 complex subunit 3</t>
  </si>
  <si>
    <t>EH domain-binding protein 1-like protein 1</t>
  </si>
  <si>
    <t>MICAL-like protein 1</t>
  </si>
  <si>
    <t>MAGUK p55 subfamily member 5</t>
  </si>
  <si>
    <t>Isoform 2 of Synaptopodin</t>
  </si>
  <si>
    <t>Formin-binding protein 4</t>
  </si>
  <si>
    <t>D-2-hydroxyglutarate dehydrogenase, mitochondrial</t>
  </si>
  <si>
    <t>Secreted frizzled-related protein 1</t>
  </si>
  <si>
    <t>RING1 and YY1-binding protein</t>
  </si>
  <si>
    <t>Isoform 2 of Probable hydrolase PNKD</t>
  </si>
  <si>
    <t>Isoform 2 of Sesquipedalian-1</t>
  </si>
  <si>
    <t>Misshapen-like kinase 1</t>
  </si>
  <si>
    <t>Mitochondrial import receptor subunit TOM5 homolog</t>
  </si>
  <si>
    <t>Guanosine-3,5-bis(diphosphate) 3-pyrophosphohydrolase MESH1</t>
  </si>
  <si>
    <t>Zinc-binding alcohol dehydrogenase domain-containing protein 2</t>
  </si>
  <si>
    <t>Mitochondrial intermembrane space import and assembly protein 40</t>
  </si>
  <si>
    <t>Membrane magnesium transporter 1</t>
  </si>
  <si>
    <t>Actin filament-associated protein 1</t>
  </si>
  <si>
    <t>Isoform 2 of Oxidation resistance protein 1</t>
  </si>
  <si>
    <t>Tetratricopeptide repeat protein 39C</t>
  </si>
  <si>
    <t>Isoform 2 of TGF-beta-activated kinase 1 and MAP3K7-binding protein 3</t>
  </si>
  <si>
    <t>Isoform 2 of Small integral membrane protein 20</t>
  </si>
  <si>
    <t>Isoform 2 of Macoilin</t>
  </si>
  <si>
    <t>Isoform 4 of Protein FAM89B</t>
  </si>
  <si>
    <t>Dehydrogenase/reductase SDR family member on chromosome X</t>
  </si>
  <si>
    <t>Uncharacterized protein C12orf45</t>
  </si>
  <si>
    <t>Protein FAM63A</t>
  </si>
  <si>
    <t>CDGSH iron-sulfur domain-containing protein 2</t>
  </si>
  <si>
    <t>ATP synthase mitochondrial F1 complex assembly factor 2</t>
  </si>
  <si>
    <t>Protein jagunal homolog 1</t>
  </si>
  <si>
    <t>39S ribosomal protein L50, mitochondrial</t>
  </si>
  <si>
    <t>Eukaryotic translation initiation factor 4E type 3</t>
  </si>
  <si>
    <t>Isoform 2 of BTB/POZ domain-containing protein KCTD17</t>
  </si>
  <si>
    <t>COMM domain-containing protein 1</t>
  </si>
  <si>
    <t>Isoform 2 of Cleavage and polyadenylation specificity factor subunit 7</t>
  </si>
  <si>
    <t>Solute carrier family 15 member 4</t>
  </si>
  <si>
    <t>Isoform 2 of ADAMTS-like protein 1</t>
  </si>
  <si>
    <t>ADP-ribosylation factor GTPase-activating protein 2</t>
  </si>
  <si>
    <t>OTU domain-containing protein 6B</t>
  </si>
  <si>
    <t>UPF0690 protein C1orf52</t>
  </si>
  <si>
    <t>Acyl-CoA-binding domain-containing protein 7</t>
  </si>
  <si>
    <t>Methyltransferase-like protein 25</t>
  </si>
  <si>
    <t>ADP-ribosylation factor GTPase-activating protein 1</t>
  </si>
  <si>
    <t>Isoform 4 of ER membrane protein complex subunit 1</t>
  </si>
  <si>
    <t>Isoform 3 of Cyclin-Y-like protein 1</t>
  </si>
  <si>
    <t>Uncharacterized protein C4orf32</t>
  </si>
  <si>
    <t>Prostaglandin reductase 2</t>
  </si>
  <si>
    <t>UPF0565 protein C2orf69</t>
  </si>
  <si>
    <t>Isoform 2 of Protein enabled homolog</t>
  </si>
  <si>
    <t>G patch domain-containing protein 11</t>
  </si>
  <si>
    <t>Uncharacterized protein C12orf29</t>
  </si>
  <si>
    <t>Isoform 2 of Nuclear envelope phosphatase-regulatory subunit 1</t>
  </si>
  <si>
    <t>Probable E3 ubiquitin-protein ligase DTX3</t>
  </si>
  <si>
    <t>Isoform 2 of Activating signal cointegrator 1 complex subunit 1</t>
  </si>
  <si>
    <t>Leucine-rich repeat-containing protein 57</t>
  </si>
  <si>
    <t>Isoform 2 of WD repeat, SAM and U-box domain-containing protein 1</t>
  </si>
  <si>
    <t>Ubiquitin carboxyl-terminal hydrolase 38</t>
  </si>
  <si>
    <t>Mixed lineage kinase domain-like protein</t>
  </si>
  <si>
    <t>Parkinson disease 7 domain-containing protein 1</t>
  </si>
  <si>
    <t>Serine/threonine-protein phosphatase 6 regulatory ankyrin repeat subunit C</t>
  </si>
  <si>
    <t>Isoform 3 of Probable phospholipid-transporting ATPase IG</t>
  </si>
  <si>
    <t>NHL repeat-containing protein 2</t>
  </si>
  <si>
    <t>Late secretory pathway protein AVL9 homolog</t>
  </si>
  <si>
    <t>Solute carrier family 43 member 3</t>
  </si>
  <si>
    <t>Xyloside xylosyltransferase 1</t>
  </si>
  <si>
    <t>Isoform 2 of Golgi membrane protein 1</t>
  </si>
  <si>
    <t>Procollagen galactosyltransferase 1</t>
  </si>
  <si>
    <t>Sulfatase-modifying factor 1</t>
  </si>
  <si>
    <t>Protein O-glucosyltransferase 1</t>
  </si>
  <si>
    <t>Prenylcysteine oxidase-like</t>
  </si>
  <si>
    <t>Transmembrane protein 87A</t>
  </si>
  <si>
    <t>Retinol dehydrogenase 13</t>
  </si>
  <si>
    <t>ATPase family AAA domain-containing protein 1</t>
  </si>
  <si>
    <t>Saccharopine dehydrogenase-like oxidoreductase</t>
  </si>
  <si>
    <t>Protein FAM134A</t>
  </si>
  <si>
    <t>Isoform 2 of Plasminogen activator inhibitor 1 RNA-binding protein</t>
  </si>
  <si>
    <t>LEM domain-containing protein 2</t>
  </si>
  <si>
    <t>Adaptin ear-binding coat-associated protein 1</t>
  </si>
  <si>
    <t>Isoform 2 of Protein FAM98A</t>
  </si>
  <si>
    <t>Group XV phospholipase A2</t>
  </si>
  <si>
    <t>Isoform 3 of Sugar phosphate exchanger 3</t>
  </si>
  <si>
    <t>Isoform 2 of Myotubularin-related protein 14</t>
  </si>
  <si>
    <t>Isoform 4 of Sn1-specific diacylglycerol lipase beta</t>
  </si>
  <si>
    <t>Carbohydrate sulfotransferase 14</t>
  </si>
  <si>
    <t>Polypeptide N-acetylgalactosaminyltransferase 6</t>
  </si>
  <si>
    <t>Pyruvate dehydrogenase phosphatase regulatory subunit, mitochondrial</t>
  </si>
  <si>
    <t>NAD(P)H-hydrate epimerase</t>
  </si>
  <si>
    <t>RING finger protein 214</t>
  </si>
  <si>
    <t>Liprin-beta-2</t>
  </si>
  <si>
    <t>Isoform 2 of Protein LSM14 homolog A</t>
  </si>
  <si>
    <t>Isoform 3 of Cyclin-Y</t>
  </si>
  <si>
    <t>Paraneoplastic antigen Ma1</t>
  </si>
  <si>
    <t>LRRN4 C-terminal-like protein</t>
  </si>
  <si>
    <t>MAPK-interacting and spindle-stabilizing protein-like</t>
  </si>
  <si>
    <t>Probable aminopeptidase NPEPL1</t>
  </si>
  <si>
    <t>Isoform 3 of EH domain-binding protein 1</t>
  </si>
  <si>
    <t>Isoform 6 of Trinucleotide repeat-containing gene 6A protein</t>
  </si>
  <si>
    <t>Transmembrane protein 104</t>
  </si>
  <si>
    <t>Isoform 2 of ATP-binding cassette sub-family F member 1</t>
  </si>
  <si>
    <t>Isoform 3 of Calcium uniporter protein, mitochondrial</t>
  </si>
  <si>
    <t>Glutathione S-transferase C-terminal domain-containing protein</t>
  </si>
  <si>
    <t>Isoform 2 of Phospholipase DDHD1</t>
  </si>
  <si>
    <t>PDZ domain-containing protein 8</t>
  </si>
  <si>
    <t>DCC-interacting protein 13-beta</t>
  </si>
  <si>
    <t>Zinc transporter 7</t>
  </si>
  <si>
    <t>Isoform 2 of Neuron navigator 1</t>
  </si>
  <si>
    <t>Isoform 2 of Vacuolar protein sorting-associated protein 37A</t>
  </si>
  <si>
    <t>F-box only protein 22</t>
  </si>
  <si>
    <t>Lysophosphatidylcholine acyltransferase 1</t>
  </si>
  <si>
    <t>Biorientation of chromosomes in cell division protein 1-like 1</t>
  </si>
  <si>
    <t>Isoform 2 of FAD synthase</t>
  </si>
  <si>
    <t>Nucleoporin Nup43</t>
  </si>
  <si>
    <t>Nucleoporin Nup37</t>
  </si>
  <si>
    <t>Cytosolic endo-beta-N-acetylglucosaminidase</t>
  </si>
  <si>
    <t>Torsin-1A-interacting protein 2</t>
  </si>
  <si>
    <t>Thiosulfate sulfurtransferase/rhodanese-like domain-containing protein 1</t>
  </si>
  <si>
    <t>Alpha/beta hydrolase domain-containing protein 11</t>
  </si>
  <si>
    <t>Isoform 2 of Syntaxin-binding protein 6</t>
  </si>
  <si>
    <t>Neuroligin-2</t>
  </si>
  <si>
    <t>Cell adhesion molecule 4</t>
  </si>
  <si>
    <t>Isoform 3 of E3 ubiquitin-protein ligase Praja-1</t>
  </si>
  <si>
    <t>Tubulin--tyrosine ligase</t>
  </si>
  <si>
    <t>Small VCP/p97-interacting protein</t>
  </si>
  <si>
    <t>Atlastin-2</t>
  </si>
  <si>
    <t>Putative phospholipase B-like 2</t>
  </si>
  <si>
    <t>Isoform 2 of Ras association domain-containing protein 8</t>
  </si>
  <si>
    <t>Phosphatidylcholine:ceramide cholinephosphotransferase 2</t>
  </si>
  <si>
    <t>Tudor domain-containing protein 7</t>
  </si>
  <si>
    <t>GTPase IMAP family member 7</t>
  </si>
  <si>
    <t>Protein NEDD1</t>
  </si>
  <si>
    <t>Anaphase-promoting complex subunit CDC26</t>
  </si>
  <si>
    <t>Isoform 2 of Nuclear receptor coactivator 7</t>
  </si>
  <si>
    <t>Isoform 2 of Multiple coagulation factor deficiency protein 2</t>
  </si>
  <si>
    <t>Protein phosphatase PTC7 homolog</t>
  </si>
  <si>
    <t>Isoform 2 of Vang-like protein 1</t>
  </si>
  <si>
    <t>Growth arrest and DNA damage-inducible proteins-interacting protein 1</t>
  </si>
  <si>
    <t>WD repeat-containing protein 48</t>
  </si>
  <si>
    <t>Isoform 2 of Centrosomal protein of 76 kDa</t>
  </si>
  <si>
    <t>Protein phosphatase 1 regulatory subunit 35</t>
  </si>
  <si>
    <t>Nuclear protein localization protein 4 homolog</t>
  </si>
  <si>
    <t>Uncharacterized protein CXorf38</t>
  </si>
  <si>
    <t>Isoform 3 of Spermatogenesis-associated protein 20</t>
  </si>
  <si>
    <t>Ras and Rab interactor 3</t>
  </si>
  <si>
    <t>Isoform 2 of Ganglioside-induced differentiation-associated protein 1</t>
  </si>
  <si>
    <t>Iron-sulfur protein NUBPL</t>
  </si>
  <si>
    <t>Abhydrolase domain-containing protein 4</t>
  </si>
  <si>
    <t>Isoform 3 of Adenosine 3-phospho 5-phosphosulfate transporter 1</t>
  </si>
  <si>
    <t>Isoform 2 of Pumilio homolog 2</t>
  </si>
  <si>
    <t>T-cell immunomodulatory protein</t>
  </si>
  <si>
    <t>Isoform 2 of Golgin subfamily A member 5</t>
  </si>
  <si>
    <t>Isoform 2 of THAP domain-containing protein 6</t>
  </si>
  <si>
    <t>Probable cationic amino acid transporter</t>
  </si>
  <si>
    <t>NEDD8-activating enzyme E1 catalytic subunit</t>
  </si>
  <si>
    <t>Isoform 4 of Zinc finger and SCAN domain-containing protein 18</t>
  </si>
  <si>
    <t>N-acylneuraminate-9-phosphatase</t>
  </si>
  <si>
    <t>Guanine nucleotide exchange factor for Rab-3A</t>
  </si>
  <si>
    <t>Phosphatidylinositol 5-phosphate 4-kinase type-2 gamma</t>
  </si>
  <si>
    <t>Isoform 2 of TBC1 domain family member 15</t>
  </si>
  <si>
    <t>Retinol dehydrogenase 11</t>
  </si>
  <si>
    <t>Isoform 2 of Mitochondria-eating protein</t>
  </si>
  <si>
    <t>Leucine-rich repeat-containing protein 20</t>
  </si>
  <si>
    <t>UPF0729 protein C18orf32</t>
  </si>
  <si>
    <t>5(3)-deoxyribonucleotidase, cytosolic type</t>
  </si>
  <si>
    <t>Isoform 2 of Protein FAM45A</t>
  </si>
  <si>
    <t>Phosphatidylinositol 4-kinase type 2-beta</t>
  </si>
  <si>
    <t>Dolichyl-diphosphooligosaccharide--protein glycosyltransferase subunit STT3B</t>
  </si>
  <si>
    <t>Polyribonucleotide nucleotidyltransferase 1, mitochondrial</t>
  </si>
  <si>
    <t>Isoform 5 of Minor histocompatibility antigen H13</t>
  </si>
  <si>
    <t>Cytoplasmic dynein 2 light intermediate chain 1</t>
  </si>
  <si>
    <t>Isoform 6 of CD99 antigen-like protein 2</t>
  </si>
  <si>
    <t>Protein bicaudal D homolog 2</t>
  </si>
  <si>
    <t>Serine/threonine-protein kinase Nek9</t>
  </si>
  <si>
    <t>Alanine aminotransferase 2</t>
  </si>
  <si>
    <t>Pleckstrin homology domain-containing family O member 2</t>
  </si>
  <si>
    <t>Protein MGARP</t>
  </si>
  <si>
    <t>Biogenesis of lysosome-related organelles complex 1 subunit 5</t>
  </si>
  <si>
    <t>Isoform 3 of Breast carcinoma-amplified sequence 4</t>
  </si>
  <si>
    <t>Disks large homolog 5</t>
  </si>
  <si>
    <t>Glucosamine-6-phosphate isomerase 2</t>
  </si>
  <si>
    <t>Serine/threonine-protein kinase Nek7</t>
  </si>
  <si>
    <t>Isoform 2 of RB1-inducible coiled-coil protein 1</t>
  </si>
  <si>
    <t>Isoform 3 of Arf-GAP with SH3 domain, ANK repeat and PH domain-containing protein 3</t>
  </si>
  <si>
    <t>Protein-methionine sulfoxide oxidase MICAL1</t>
  </si>
  <si>
    <t>Dynein heavy chain 5, axonemal</t>
  </si>
  <si>
    <t>Protein phosphatase Slingshot homolog 3</t>
  </si>
  <si>
    <t>Putative methyltransferase NSUN6</t>
  </si>
  <si>
    <t>D-tyrosyl-tRNA(Tyr) deacylase 1</t>
  </si>
  <si>
    <t>Probable glutathione peroxidase 8</t>
  </si>
  <si>
    <t>Isoform 3 of Sugar phosphate exchanger 2</t>
  </si>
  <si>
    <t>SH3 domain-containing RING finger protein 3</t>
  </si>
  <si>
    <t>Isoform 2 of Sorting nexin-29</t>
  </si>
  <si>
    <t>Isoform 2 of Smith-Magenis syndrome chromosomal region candidate gene 8 protein</t>
  </si>
  <si>
    <t>Importin-4</t>
  </si>
  <si>
    <t>Arginine/serine-rich protein PNISR</t>
  </si>
  <si>
    <t>Isoform 2 of Serine/threonine-protein phosphatase 4 regulatory subunit 1</t>
  </si>
  <si>
    <t>Ubiquitin-associated and SH3 domain-containing protein B</t>
  </si>
  <si>
    <t>Leucine-rich repeat-containing protein 15</t>
  </si>
  <si>
    <t>Protein Shroom3</t>
  </si>
  <si>
    <t>WAS/WASL-interacting protein family member 2</t>
  </si>
  <si>
    <t>1-acylglycerol-3-phosphate O-acyltransferase ABHD5</t>
  </si>
  <si>
    <t>Histone-lysine N-methyltransferase SETD7</t>
  </si>
  <si>
    <t>Pyridine nucleotide-disulfide oxidoreductase domain-containing protein 1</t>
  </si>
  <si>
    <t>E3 ubiquitin-protein ligase RNF139</t>
  </si>
  <si>
    <t>Isoform 2 of Sec1 family domain-containing protein 2</t>
  </si>
  <si>
    <t>Isoform 2 of Stromal membrane-associated protein 2</t>
  </si>
  <si>
    <t>Zinc finger CCCH domain-containing protein 15</t>
  </si>
  <si>
    <t>Peptidyl-prolyl cis-trans isomerase-like 4</t>
  </si>
  <si>
    <t>Tsukushin</t>
  </si>
  <si>
    <t>Isoform 3 of PHD finger protein 10</t>
  </si>
  <si>
    <t>Ras-related protein Rab-2B</t>
  </si>
  <si>
    <t>RelA-associated inhibitor</t>
  </si>
  <si>
    <t>Protein FAM172A</t>
  </si>
  <si>
    <t>Protein Churchill</t>
  </si>
  <si>
    <t>UPF0444 transmembrane protein C12orf23</t>
  </si>
  <si>
    <t>Isoform 3 of Histone deacetylase 7</t>
  </si>
  <si>
    <t>Serine/threonine/tyrosine-interacting protein</t>
  </si>
  <si>
    <t>Isoform 2 of Phosphatidylglycerophosphatase and protein-tyrosine phosphatase 1</t>
  </si>
  <si>
    <t>Programmed cell death 6-interacting protein</t>
  </si>
  <si>
    <t>Sodium-dependent phosphate transporter 1</t>
  </si>
  <si>
    <t>Filamin-binding LIM protein 1</t>
  </si>
  <si>
    <t>UPF0235 protein C15orf40</t>
  </si>
  <si>
    <t>Cation transport regulator-like protein 2</t>
  </si>
  <si>
    <t>Charged multivesicular body protein 7</t>
  </si>
  <si>
    <t>Protein THEM6</t>
  </si>
  <si>
    <t>Isoform 4 of Protein prune homolog 2</t>
  </si>
  <si>
    <t>N-acetyltransferase 14</t>
  </si>
  <si>
    <t>Sorting nexin-33</t>
  </si>
  <si>
    <t>Lactation elevated protein 1</t>
  </si>
  <si>
    <t>RNA polymerase-associated protein LEO1</t>
  </si>
  <si>
    <t>40S ribosomal protein S21</t>
  </si>
  <si>
    <t>RING finger protein 141</t>
  </si>
  <si>
    <t>N(6)-adenine-specific DNA methyltransferase 2</t>
  </si>
  <si>
    <t>NudC domain-containing protein 2</t>
  </si>
  <si>
    <t>U4/U6.U5 small nuclear ribonucleoprotein 27 kDa protein</t>
  </si>
  <si>
    <t>Ankyrin repeat domain-containing protein 49</t>
  </si>
  <si>
    <t>Sec1 family domain-containing protein 1</t>
  </si>
  <si>
    <t>Isoform 3 of Ubiquitin-conjugating enzyme E2 Q2</t>
  </si>
  <si>
    <t>Soluble calcium-activated nucleotidase 1</t>
  </si>
  <si>
    <t>Trafficking protein particle complex subunit 12</t>
  </si>
  <si>
    <t>Fatty acyl-CoA reductase 1</t>
  </si>
  <si>
    <t>Ubiquitin-like domain-containing CTD phosphatase 1</t>
  </si>
  <si>
    <t>tRNA-splicing endonuclease subunit Sen15</t>
  </si>
  <si>
    <t>PEST proteolytic signal-containing nuclear protein</t>
  </si>
  <si>
    <t>SPRY domain-containing protein 4</t>
  </si>
  <si>
    <t>Isoform 2 of Lysosomal protein NCU-G1</t>
  </si>
  <si>
    <t>Uncharacterized protein C2orf47, mitochondrial</t>
  </si>
  <si>
    <t>Probable tRNA pseudouridine synthase 1</t>
  </si>
  <si>
    <t>Choline transporter-like protein 1</t>
  </si>
  <si>
    <t>Ataxin-2-like protein</t>
  </si>
  <si>
    <t>Cytoglobin</t>
  </si>
  <si>
    <t>Reticulon-4-interacting protein 1, mitochondrial</t>
  </si>
  <si>
    <t>Selenoprotein M</t>
  </si>
  <si>
    <t>Negative elongation factor B</t>
  </si>
  <si>
    <t>Isoform 3 of Palladin</t>
  </si>
  <si>
    <t>Isoform 2 of Splicing regulatory glutamine/lysine-rich protein 1</t>
  </si>
  <si>
    <t>Gem-associated protein 6</t>
  </si>
  <si>
    <t>Isoform 4 of ATR-interacting protein</t>
  </si>
  <si>
    <t>Paraspeckle component 1</t>
  </si>
  <si>
    <t>Nesprin-2</t>
  </si>
  <si>
    <t>Transcriptional repressor p66-beta</t>
  </si>
  <si>
    <t>Isoform 2 of Brain and acute leukemia cytoplasmic protein</t>
  </si>
  <si>
    <t>DnaJ homolog subfamily C member 9</t>
  </si>
  <si>
    <t>Isoform 3 of Beta-catenin-like protein 1</t>
  </si>
  <si>
    <t>Protein phosphatase Slingshot homolog 1</t>
  </si>
  <si>
    <t>Cysteine protease ATG4A</t>
  </si>
  <si>
    <t>Protein ELYS</t>
  </si>
  <si>
    <t>Ovarian cancer-associated gene 2 protein</t>
  </si>
  <si>
    <t>Protein LZIC</t>
  </si>
  <si>
    <t>Immunity-related GTPase family Q protein</t>
  </si>
  <si>
    <t>C-type lectin domain family 2 member B</t>
  </si>
  <si>
    <t>ATP-dependent RNA helicase DDX1</t>
  </si>
  <si>
    <t>Isoform 3 of SEC14-like protein 1</t>
  </si>
  <si>
    <t>Zinc transporter SLC39A7</t>
  </si>
  <si>
    <t>Estradiol 17-beta-dehydrogenase 8</t>
  </si>
  <si>
    <t>Piezo-type mechanosensitive ion channel component 1</t>
  </si>
  <si>
    <t>Protein FAM3C</t>
  </si>
  <si>
    <t>T-complex protein 1 subunit zeta-2</t>
  </si>
  <si>
    <t>Golgi-specific brefeldin A-resistance guanine nucleotide exchange factor 1</t>
  </si>
  <si>
    <t>RNA polymerase-associated protein RTF1 homolog</t>
  </si>
  <si>
    <t>Transmembrane 9 superfamily member 4</t>
  </si>
  <si>
    <t>Retrograde Golgi transport protein RGP1 homolog</t>
  </si>
  <si>
    <t>Wiskott-Aldrich syndrome protein family member 1</t>
  </si>
  <si>
    <t>Isoform 2 of Protein FAM168A</t>
  </si>
  <si>
    <t>AP-3 complex subunit sigma-1</t>
  </si>
  <si>
    <t>Hamartin</t>
  </si>
  <si>
    <t>UBX domain-containing protein 4</t>
  </si>
  <si>
    <t>Protein NDRG1</t>
  </si>
  <si>
    <t>Isoform Beta of Heat shock protein 105 kDa</t>
  </si>
  <si>
    <t>TBC1 domain family member 5</t>
  </si>
  <si>
    <t>La-related protein 4B</t>
  </si>
  <si>
    <t>Translational activator GCN1</t>
  </si>
  <si>
    <t>Pre-mRNA-splicing factor ATP-dependent RNA helicase PRP16</t>
  </si>
  <si>
    <t>Nuclear pore complex protein Nup205</t>
  </si>
  <si>
    <t>Amyloid protein-binding protein 2</t>
  </si>
  <si>
    <t>Ankyrin repeat and SAM domain-containing protein 1A</t>
  </si>
  <si>
    <t>Peroxidasin homolog</t>
  </si>
  <si>
    <t>Isoform 2 of Delta-sarcoglycan</t>
  </si>
  <si>
    <t>Protein FAN</t>
  </si>
  <si>
    <t>Neurogranin</t>
  </si>
  <si>
    <t>Acidic leucine-rich nuclear phosphoprotein 32 family member B</t>
  </si>
  <si>
    <t>Poliovirus receptor-related protein 2</t>
  </si>
  <si>
    <t>Isoform Alpha of Poliovirus receptor-related protein 2</t>
  </si>
  <si>
    <t>Geranylgeranyl transferase type-2 subunit alpha</t>
  </si>
  <si>
    <t>Isoform 2 of Protein TFG</t>
  </si>
  <si>
    <t>USP6 N-terminal-like protein</t>
  </si>
  <si>
    <t>Actin-related protein 2/3 complex subunit 1A</t>
  </si>
  <si>
    <t>11-cis retinol dehydrogenase</t>
  </si>
  <si>
    <t>Isoform 2 of Signal transducing adapter molecule 1</t>
  </si>
  <si>
    <t>Synaptonemal complex protein SC65</t>
  </si>
  <si>
    <t>Symplekin</t>
  </si>
  <si>
    <t>Isoform Short of TATA-binding protein-associated factor 2N</t>
  </si>
  <si>
    <t>Golgin subfamily A member 1</t>
  </si>
  <si>
    <t>Gamma-glutamyl hydrolase</t>
  </si>
  <si>
    <t>Isoform 4 of X-linked retinitis pigmentosa GTPase regulator</t>
  </si>
  <si>
    <t>Isoform 3 of Bcl-2-like protein 2</t>
  </si>
  <si>
    <t>TRAF family member-associated NF-kappa-B activator</t>
  </si>
  <si>
    <t>Isoform 3 of Neogenin</t>
  </si>
  <si>
    <t>Phosphomannomutase 1</t>
  </si>
  <si>
    <t>Isoform 3 of DNA repair protein RAD50</t>
  </si>
  <si>
    <t>Osteoclast-stimulating factor 1</t>
  </si>
  <si>
    <t>Isoform 3 of Rho guanine nucleotide exchange factor 1</t>
  </si>
  <si>
    <t>DNA repair endonuclease XPF</t>
  </si>
  <si>
    <t>Ubiquitin fusion degradation protein 1 homolog</t>
  </si>
  <si>
    <t>Golgi apparatus protein 1</t>
  </si>
  <si>
    <t>Isoform 2 of Regulator of nonsense transcripts 1</t>
  </si>
  <si>
    <t>COP9 signalosome complex subunit 5</t>
  </si>
  <si>
    <t>G patch domain and KOW motifs-containing protein</t>
  </si>
  <si>
    <t>Ras-related protein Rab-8B</t>
  </si>
  <si>
    <t>Bcl2 antagonist of cell death</t>
  </si>
  <si>
    <t>Far upstream element-binding protein 2</t>
  </si>
  <si>
    <t>Glutaryl-CoA dehydrogenase, mitochondrial</t>
  </si>
  <si>
    <t>GTP-binding protein Rit1</t>
  </si>
  <si>
    <t>Peroxisomal membrane protein PEX13</t>
  </si>
  <si>
    <t>Isoform 2 of Transportin-1</t>
  </si>
  <si>
    <t>Isoform 2 of Rho guanine nucleotide exchange factor 2</t>
  </si>
  <si>
    <t>Glomulin</t>
  </si>
  <si>
    <t>Ubiquitin carboxyl-terminal hydrolase 13</t>
  </si>
  <si>
    <t>Isoform 2 of Probable ubiquitin carboxyl-terminal hydrolase FAF-X</t>
  </si>
  <si>
    <t>Isoform 2 of N-acetyltransferase 6</t>
  </si>
  <si>
    <t>Cullin-5</t>
  </si>
  <si>
    <t>Lipoma-preferred partner</t>
  </si>
  <si>
    <t>Exostosin-2</t>
  </si>
  <si>
    <t>Histone H2A type 1-C</t>
  </si>
  <si>
    <t>Protein tyrosine phosphatase type IVA 1</t>
  </si>
  <si>
    <t>Isoform 2 of Secretory carrier-associated membrane protein 4</t>
  </si>
  <si>
    <t>Transcription elongation factor A protein-like 3</t>
  </si>
  <si>
    <t>Pre-rRNA-processing protein TSR2 homolog</t>
  </si>
  <si>
    <t>Riboflavin kinase</t>
  </si>
  <si>
    <t>UPF0556 protein C19orf10</t>
  </si>
  <si>
    <t>E3 ubiquitin-protein ligase RNF34</t>
  </si>
  <si>
    <t>Isoform 3 of Transmembrane protein 54</t>
  </si>
  <si>
    <t>Protein YIPF5</t>
  </si>
  <si>
    <t>Isoform 3 of Immunoglobulin superfamily member 8</t>
  </si>
  <si>
    <t>Ras-related protein Rab-24</t>
  </si>
  <si>
    <t>Zinc finger protein 622</t>
  </si>
  <si>
    <t>Isoform 3 of Ribosome-releasing factor 2, mitochondrial</t>
  </si>
  <si>
    <t>Isoform 2 of 7-methylguanosine phosphate-specific 5-nucleotidase</t>
  </si>
  <si>
    <t>Isoform 2 of Nicalin</t>
  </si>
  <si>
    <t>Isoform 2 of Endoplasmic reticulum-Golgi intermediate compartment protein 1</t>
  </si>
  <si>
    <t>Isoform 3 of tRNA modification GTPase GTPBP3, mitochondrial</t>
  </si>
  <si>
    <t>Protein TBRG4</t>
  </si>
  <si>
    <t>MOSC domain-containing protein 2, mitochondrial</t>
  </si>
  <si>
    <t>Protein phosphatase 1 regulatory subunit 14A</t>
  </si>
  <si>
    <t>Coiled-coil domain-containing protein 102A</t>
  </si>
  <si>
    <t>Isoform 2 of GDP-fucose transporter 1</t>
  </si>
  <si>
    <t>Coiled-coil domain-containing protein 47</t>
  </si>
  <si>
    <t>Synapse-associated protein 1</t>
  </si>
  <si>
    <t>Exocyst complex component 4</t>
  </si>
  <si>
    <t>Putative monooxygenase p33MONOX</t>
  </si>
  <si>
    <t>Isoform 2 of Putative monooxygenase p33MONOX</t>
  </si>
  <si>
    <t>Isochorismatase domain-containing protein 2, mitochondrial</t>
  </si>
  <si>
    <t>Protein N-terminal asparagine amidohydrolase</t>
  </si>
  <si>
    <t>Far upstream element-binding protein 1</t>
  </si>
  <si>
    <t>Isoform 2 of Far upstream element-binding protein 1</t>
  </si>
  <si>
    <t>Solute carrier family 25 member 46</t>
  </si>
  <si>
    <t>Leucine-rich repeat-containing protein 59</t>
  </si>
  <si>
    <t>Ras-related protein Rab-7b</t>
  </si>
  <si>
    <t>Isoform 1 of Vesicle transport through interaction with t-SNAREs homolog 1A</t>
  </si>
  <si>
    <t>Mas-related G-protein coupled receptor member F</t>
  </si>
  <si>
    <t>Isoform 2 of Pre-B-cell leukemia transcription factor-interacting protein 1</t>
  </si>
  <si>
    <t>Mitochondrial calcium uniporter regulator 1</t>
  </si>
  <si>
    <t>Uncharacterized protein KIAA1143</t>
  </si>
  <si>
    <t>Ribulose-phosphate 3-epimerase</t>
  </si>
  <si>
    <t>Peptidyl-prolyl cis-trans isomerase FKBP10</t>
  </si>
  <si>
    <t>Isoform 2 of Uncharacterized protein C18orf25</t>
  </si>
  <si>
    <t>Exosome complex component RRP43</t>
  </si>
  <si>
    <t>Proline-rich AKT1 substrate 1</t>
  </si>
  <si>
    <t>UPF0693 protein C10orf32</t>
  </si>
  <si>
    <t>Mitochondrial import receptor subunit TOM6 homolog</t>
  </si>
  <si>
    <t>SH3 domain-containing kinase-binding protein 1</t>
  </si>
  <si>
    <t>Cyclic AMP-responsive element-binding protein 3-like protein 1</t>
  </si>
  <si>
    <t>E3 ubiquitin-protein ligase RNF25</t>
  </si>
  <si>
    <t>Axin interactor, dorsalization-associated protein</t>
  </si>
  <si>
    <t>ADP-ribosylation factor-like protein 8A</t>
  </si>
  <si>
    <t>Protein FAM105B</t>
  </si>
  <si>
    <t>Coiled-coil-helix-coiled-coil-helix domain-containing protein 1</t>
  </si>
  <si>
    <t>Peptidylprolyl isomerase domain and WD repeat-containing protein 1</t>
  </si>
  <si>
    <t>Sel1 repeat-containing protein 1</t>
  </si>
  <si>
    <t>Isoform 2 of Phosphotriesterase-related protein</t>
  </si>
  <si>
    <t>MOB kinase activator 3A</t>
  </si>
  <si>
    <t>Autophagy-related protein 2 homolog B</t>
  </si>
  <si>
    <t>TBC1 domain family member 20</t>
  </si>
  <si>
    <t>Protein FAM136A</t>
  </si>
  <si>
    <t>FGGY carbohydrate kinase domain-containing protein</t>
  </si>
  <si>
    <t>EF-hand domain-containing protein D2</t>
  </si>
  <si>
    <t>Aldose 1-epimerase</t>
  </si>
  <si>
    <t>Pyrroline-5-carboxylate reductase 2</t>
  </si>
  <si>
    <t>m7GpppX diphosphatase</t>
  </si>
  <si>
    <t>Protein phosphatase 1 regulatory subunit 14B</t>
  </si>
  <si>
    <t>Isoform 4 of Serologically defined colon cancer antigen 3</t>
  </si>
  <si>
    <t>Isoform 4 of 5-methylcytosine rRNA methyltransferase NSUN4</t>
  </si>
  <si>
    <t>Inactive rhomboid protein 1</t>
  </si>
  <si>
    <t>F-box/LRR-repeat protein 8</t>
  </si>
  <si>
    <t>Phosphopantothenoylcysteine decarboxylase</t>
  </si>
  <si>
    <t>Collagen triple helix repeat-containing protein 1</t>
  </si>
  <si>
    <t>EVI5-like protein</t>
  </si>
  <si>
    <t>Isochorismatase domain-containing protein 1</t>
  </si>
  <si>
    <t>GRIP and coiled-coil domain-containing protein 1</t>
  </si>
  <si>
    <t>FLYWCH family member 2</t>
  </si>
  <si>
    <t>Solute carrier family 25 member 36</t>
  </si>
  <si>
    <t>HAUS augmin-like complex subunit 1</t>
  </si>
  <si>
    <t>FAS-associated factor 2</t>
  </si>
  <si>
    <t>Coiled-coil domain-containing protein 124</t>
  </si>
  <si>
    <t>Isoform 3 of FAD-dependent oxidoreductase domain-containing protein 1</t>
  </si>
  <si>
    <t>Optineurin</t>
  </si>
  <si>
    <t>Isoform 2 of AP-2 complex subunit mu</t>
  </si>
  <si>
    <t>Isoform 3 of Gamma-tubulin complex component 3</t>
  </si>
  <si>
    <t>Probable RNA polymerase II nuclear localization protein SLC7A6OS</t>
  </si>
  <si>
    <t>BTB/POZ domain-containing protein KCTD12</t>
  </si>
  <si>
    <t>Leucine-rich repeat-containing protein 58</t>
  </si>
  <si>
    <t>Reticulocalbin-3</t>
  </si>
  <si>
    <t>Isoform 2 of Mitochondrial import inner membrane translocase subunit TIM14</t>
  </si>
  <si>
    <t>Regulator of microtubule dynamics protein 1</t>
  </si>
  <si>
    <t>Enoyl-CoA hydratase domain-containing protein 3, mitochondrial</t>
  </si>
  <si>
    <t>Protein shisa-4</t>
  </si>
  <si>
    <t>U8 snoRNA-decapping enzyme</t>
  </si>
  <si>
    <t>Anaphase-promoting complex subunit 16</t>
  </si>
  <si>
    <t>Protein DGCR14</t>
  </si>
  <si>
    <t>Carboxymethylenebutenolidase homolog</t>
  </si>
  <si>
    <t>StAR-related lipid transfer protein 4</t>
  </si>
  <si>
    <t>Isoform C of Galectin-12</t>
  </si>
  <si>
    <t>Dynein heavy chain 11, axonemal</t>
  </si>
  <si>
    <t>Cysteine protease ATG4C</t>
  </si>
  <si>
    <t>RING finger and SPRY domain-containing protein 1</t>
  </si>
  <si>
    <t>Tripartite motif-containing protein 44</t>
  </si>
  <si>
    <t>Endoplasmic reticulum lectin 1</t>
  </si>
  <si>
    <t>Protein FAM122A</t>
  </si>
  <si>
    <t>Isoform 3 of Ribosome-recycling factor, mitochondrial</t>
  </si>
  <si>
    <t>Nogo-B receptor</t>
  </si>
  <si>
    <t>Isoform 2 of Protein Spindly</t>
  </si>
  <si>
    <t>Protein YIPF6</t>
  </si>
  <si>
    <t>Nucleoporin SEH1</t>
  </si>
  <si>
    <t>Mitochondrial assembly of ribosomal large subunit protein 1</t>
  </si>
  <si>
    <t>Transcription elongation factor A protein-like 4</t>
  </si>
  <si>
    <t>KIF1-binding protein</t>
  </si>
  <si>
    <t>Glucosamine 6-phosphate N-acetyltransferase</t>
  </si>
  <si>
    <t>Protein KTI12 homolog</t>
  </si>
  <si>
    <t>39S ribosomal protein L53, mitochondrial</t>
  </si>
  <si>
    <t>Trans-L-3-hydroxyproline dehydratase</t>
  </si>
  <si>
    <t>Isoform 2 of DAZ-associated protein 1</t>
  </si>
  <si>
    <t>Small glutamine-rich tetratricopeptide repeat-containing protein beta</t>
  </si>
  <si>
    <t>Coiled-coil domain-containing protein 51</t>
  </si>
  <si>
    <t>C1GALT1-specific chaperone 1</t>
  </si>
  <si>
    <t>RNA-binding protein 33</t>
  </si>
  <si>
    <t>Dysbindin</t>
  </si>
  <si>
    <t>Small integral membrane protein 12</t>
  </si>
  <si>
    <t>Multivesicular body subunit 12A</t>
  </si>
  <si>
    <t>Cob(I)yrinic acid a,c-diamide adenosyltransferase, mitochondrial</t>
  </si>
  <si>
    <t>Diamine acetyltransferase 2</t>
  </si>
  <si>
    <t>Isoform 2 of Nuclear receptor-binding factor 2</t>
  </si>
  <si>
    <t>Interleukin-17 receptor A</t>
  </si>
  <si>
    <t>Coiled-coil domain-containing protein 97</t>
  </si>
  <si>
    <t>CB1 cannabinoid receptor-interacting protein 1</t>
  </si>
  <si>
    <t>Isoform 2 of Protein MEF2BNB</t>
  </si>
  <si>
    <t>AMSH-like protease</t>
  </si>
  <si>
    <t>Dynein light chain 2, cytoplasmic</t>
  </si>
  <si>
    <t>WD repeat-containing protein 89</t>
  </si>
  <si>
    <t>Copine-2</t>
  </si>
  <si>
    <t>Protein S100-A16</t>
  </si>
  <si>
    <t>Signal-induced proliferation-associated protein 1</t>
  </si>
  <si>
    <t>DPH3 homolog</t>
  </si>
  <si>
    <t>tRNA (adenine(58)-N(1))-methyltransferase catalytic subunit TRMT61A</t>
  </si>
  <si>
    <t>Charged multivesicular body protein 6</t>
  </si>
  <si>
    <t>Phosphoglucomutase-2</t>
  </si>
  <si>
    <t>Mediator of RNA polymerase II transcription subunit 8</t>
  </si>
  <si>
    <t>Coiled-coil domain-containing protein 104</t>
  </si>
  <si>
    <t>tRNA-dihydrouridine(47) synthase [NAD(P)(+)]-like</t>
  </si>
  <si>
    <t>Diphosphoinositol polyphosphate phosphohydrolase 3-beta</t>
  </si>
  <si>
    <t>Serine dehydratase-like</t>
  </si>
  <si>
    <t>Pyridoxal phosphate phosphatase</t>
  </si>
  <si>
    <t>E3 ubiquitin-protein ligase RNF185</t>
  </si>
  <si>
    <t>DCN1-like protein 1</t>
  </si>
  <si>
    <t>Fumarylacetoacetate hydrolase domain-containing protein 2A</t>
  </si>
  <si>
    <t>Isoform 2 of Scavenger receptor class F member 2</t>
  </si>
  <si>
    <t>Uncharacterized protein C17orf59</t>
  </si>
  <si>
    <t>Methionine--tRNA ligase, mitochondrial</t>
  </si>
  <si>
    <t>Putative ataxin-7-like protein 3B</t>
  </si>
  <si>
    <t>Methylthioribulose-1-phosphate dehydratase</t>
  </si>
  <si>
    <t>Zinc finger C2HC domain-containing protein 1A</t>
  </si>
  <si>
    <t>Vacuolar-sorting protein SNF8</t>
  </si>
  <si>
    <t>Zinc finger CCCH-type antiviral protein 1-like</t>
  </si>
  <si>
    <t>Isoform 4 of Uncharacterized protein C1orf159</t>
  </si>
  <si>
    <t>PDZ and LIM domain protein 5</t>
  </si>
  <si>
    <t>Cysteine-rich with EGF-like domain protein 1</t>
  </si>
  <si>
    <t>ERO1-like protein alpha</t>
  </si>
  <si>
    <t>UPF0562 protein C7orf55</t>
  </si>
  <si>
    <t>Isoform 2 of Putative adenosylhomocysteinase 3</t>
  </si>
  <si>
    <t>Isoform 2 of CDKN2AIP N-terminal-like protein</t>
  </si>
  <si>
    <t>Receptor expression-enhancing protein 6</t>
  </si>
  <si>
    <t>Serine/threonine-protein phosphatase PGAM5, mitochondrial</t>
  </si>
  <si>
    <t>Isoform 2 of Integrator complex subunit 4</t>
  </si>
  <si>
    <t>DDRGK domain-containing protein 1</t>
  </si>
  <si>
    <t>Probable 2-oxoglutarate dehydrogenase E1 component DHKTD1, mitochondrial</t>
  </si>
  <si>
    <t>Selenocysteine lyase</t>
  </si>
  <si>
    <t>Far upstream element-binding protein 3</t>
  </si>
  <si>
    <t>Splicing factor 45</t>
  </si>
  <si>
    <t>Cytochrome c oxidase assembly protein COX14</t>
  </si>
  <si>
    <t>Williams-Beuren syndrome chromosomal region 16 protein</t>
  </si>
  <si>
    <t>Succinyl-CoA ligase [GDP-forming] subunit beta, mitochondrial</t>
  </si>
  <si>
    <t>F-box/LRR-repeat protein 20</t>
  </si>
  <si>
    <t>Mannose-1-phosphate guanyltransferase alpha</t>
  </si>
  <si>
    <t>Biorientation of chromosomes in cell division protein 1</t>
  </si>
  <si>
    <t>Alpha/beta hydrolase domain-containing protein 14B</t>
  </si>
  <si>
    <t>Isoform 2 of Peptide-N(4)-(N-acetyl-beta-glucosaminyl)asparagine amidase</t>
  </si>
  <si>
    <t>Up-regulated during skeletal muscle growth protein 5</t>
  </si>
  <si>
    <t>PRKC apoptosis WT1 regulator protein</t>
  </si>
  <si>
    <t>Isoform 2 of E3 ubiquitin-protein ligase Itchy homolog</t>
  </si>
  <si>
    <t>Kin of IRRE-like protein 1</t>
  </si>
  <si>
    <t>Leucine-rich repeats and immunoglobulin-like domains protein 1</t>
  </si>
  <si>
    <t>CDK5 regulatory subunit-associated protein 3</t>
  </si>
  <si>
    <t>Isoform 2 of Vam6/Vps39-like protein</t>
  </si>
  <si>
    <t>Deubiquitinating protein VCIP135</t>
  </si>
  <si>
    <t>Protein disulfide-isomerase TMX3</t>
  </si>
  <si>
    <t>Isoform 2 of DDB1- and CUL4-associated factor 5</t>
  </si>
  <si>
    <t>Chromosome alignment-maintaining phosphoprotein 1</t>
  </si>
  <si>
    <t>E3 ubiquitin-protein ligase ZFP91</t>
  </si>
  <si>
    <t>Protocadherin-16</t>
  </si>
  <si>
    <t>PDZ and LIM domain protein 2</t>
  </si>
  <si>
    <t>Isoform 2 of E3 ubiquitin-protein ligase RNF170</t>
  </si>
  <si>
    <t>Isoform 2 of Cleft lip and palate transmembrane protein 1-like protein</t>
  </si>
  <si>
    <t>Lymphokine-activated killer T-cell-originated protein kinase</t>
  </si>
  <si>
    <t>DnaJ homolog subfamily C member 1</t>
  </si>
  <si>
    <t>Protein FAM84A</t>
  </si>
  <si>
    <t>Exocyst complex component 2</t>
  </si>
  <si>
    <t>Cytosolic non-specific dipeptidase</t>
  </si>
  <si>
    <t>Zinc finger RNA-binding protein</t>
  </si>
  <si>
    <t>Protein FAM210B</t>
  </si>
  <si>
    <t>Sorting nexin-27</t>
  </si>
  <si>
    <t>Tripartite motif-containing protein 47</t>
  </si>
  <si>
    <t>Sentrin-specific protease 8</t>
  </si>
  <si>
    <t>Dehydrogenase/reductase SDR family member 1</t>
  </si>
  <si>
    <t>Ubiquitin-conjugating enzyme E2 E2</t>
  </si>
  <si>
    <t>Isoform 2 of Cyclic nucleotide-binding domain-containing protein 2</t>
  </si>
  <si>
    <t>Protein PRRC1</t>
  </si>
  <si>
    <t>Isoform 4 of F-box/LRR-repeat protein 18</t>
  </si>
  <si>
    <t>Isoform 2 of Transmembrane protein 68</t>
  </si>
  <si>
    <t>Isoform 2 of BTB/POZ domain-containing protein KCTD7</t>
  </si>
  <si>
    <t>Conserved oligomeric Golgi complex subunit 8</t>
  </si>
  <si>
    <t>WD repeat-containing protein 92</t>
  </si>
  <si>
    <t>Isoform 2 of Lysophospholipid acyltransferase 7</t>
  </si>
  <si>
    <t>Zinc finger protein 830</t>
  </si>
  <si>
    <t>Zinc finger matrin-type protein 2</t>
  </si>
  <si>
    <t>Coiled-coil domain-containing protein 115</t>
  </si>
  <si>
    <t>Nucleosome assembly protein 1-like 5</t>
  </si>
  <si>
    <t>Isoform A of Chloride intracellular channel protein 6</t>
  </si>
  <si>
    <t>Isoform 3 of Arf-GAP with Rho-GAP domain, ANK repeat and PH domain-containing protein 1</t>
  </si>
  <si>
    <t>Arf-GAP with coiled-coil, ANK repeat and PH domain-containing protein 3</t>
  </si>
  <si>
    <t>Importin-9</t>
  </si>
  <si>
    <t>Discoidin, CUB and LCCL domain-containing protein 2</t>
  </si>
  <si>
    <t>Isoform 2 of G-protein coupled receptor 124</t>
  </si>
  <si>
    <t>Rho guanine nucleotide exchange factor 17</t>
  </si>
  <si>
    <t>Methylmalonyl-CoA epimerase, mitochondrial</t>
  </si>
  <si>
    <t>RNA-binding protein 14</t>
  </si>
  <si>
    <t>Isoform 2 of E3 ubiquitin-protein ligase NEDD4-like</t>
  </si>
  <si>
    <t>Isoform 4 of Serine/threonine-protein kinase Nek1</t>
  </si>
  <si>
    <t>Pseudouridylate synthase 7 homolog</t>
  </si>
  <si>
    <t>Isoform 2 of Perilipin-4</t>
  </si>
  <si>
    <t>Isoform 2 of CCA tRNA nucleotidyltransferase 1, mitochondrial</t>
  </si>
  <si>
    <t>Isoform 2 of Transmembrane protein 237</t>
  </si>
  <si>
    <t>Alpha-ketoglutarate-dependent dioxygenase alkB homolog 3</t>
  </si>
  <si>
    <t>Rho GTPase-activating protein 7</t>
  </si>
  <si>
    <t>Serine/threonine-protein phosphatase 1 regulatory subunit 10</t>
  </si>
  <si>
    <t>Sodium-coupled neutral amino acid transporter 2</t>
  </si>
  <si>
    <t>Proton myo-inositol cotransporter</t>
  </si>
  <si>
    <t>Myotubularin-related protein 9</t>
  </si>
  <si>
    <t>Vacuolar protein sorting-associated protein 35</t>
  </si>
  <si>
    <t>Transcriptional activator protein Pur-beta</t>
  </si>
  <si>
    <t>1-aminocyclopropane-1-carboxylate synthase-like protein 1</t>
  </si>
  <si>
    <t>Exportin-6</t>
  </si>
  <si>
    <t>Isoform 4 of Membrane-associated guanylate kinase, WW and PDZ domain-containing protein 1</t>
  </si>
  <si>
    <t>Pannexin-1</t>
  </si>
  <si>
    <t>Nucleus accumbens-associated protein 1</t>
  </si>
  <si>
    <t>Isoform 2 of Sorting nexin-18</t>
  </si>
  <si>
    <t>Isoform 2 of Vacuolar protein sorting-associated protein 13A</t>
  </si>
  <si>
    <t>Isoform 3 of Mediator of RNA polymerase II transcription subunit 15</t>
  </si>
  <si>
    <t>Elongation factor G, mitochondrial</t>
  </si>
  <si>
    <t>Endoplasmic reticulum-Golgi intermediate compartment protein 2</t>
  </si>
  <si>
    <t>Calcium/calmodulin-dependent protein kinase kinase 2</t>
  </si>
  <si>
    <t>NudC domain-containing protein 1</t>
  </si>
  <si>
    <t>Isoform 5 of Protein LAP2</t>
  </si>
  <si>
    <t>Isoform 3 of Formin-binding protein 1</t>
  </si>
  <si>
    <t>Isoform 2 of Hemicentin-1</t>
  </si>
  <si>
    <t>UPF0585 protein C16orf13</t>
  </si>
  <si>
    <t>TP53-regulating kinase</t>
  </si>
  <si>
    <t>Isoform 2 of GPI transamidase component PIG-S</t>
  </si>
  <si>
    <t>Ran-binding protein 9</t>
  </si>
  <si>
    <t>Chloride channel CLIC-like protein 1</t>
  </si>
  <si>
    <t>Ubiquitin-like protein 7</t>
  </si>
  <si>
    <t>LysM and putative peptidoglycan-binding domain-containing protein 1</t>
  </si>
  <si>
    <t>Pleckstrin homology domain-containing family F member 1</t>
  </si>
  <si>
    <t>Neurabin-2</t>
  </si>
  <si>
    <t>Isoform 2 of Transmembrane protein 209</t>
  </si>
  <si>
    <t>Isoform 2 of Disrupted in renal carcinoma protein 2</t>
  </si>
  <si>
    <t>Glutathione peroxidase 7</t>
  </si>
  <si>
    <t>Cytochrome P450 2S1</t>
  </si>
  <si>
    <t>Protein IWS1 homolog</t>
  </si>
  <si>
    <t>2-aminoethanethiol dioxygenase</t>
  </si>
  <si>
    <t>Isoform 2 of Remodeling and spacing factor 1</t>
  </si>
  <si>
    <t>RUN and FYVE domain-containing protein 1</t>
  </si>
  <si>
    <t>MMS19 nucleotide excision repair protein homolog</t>
  </si>
  <si>
    <t>Sodium/hydrogen exchanger 7</t>
  </si>
  <si>
    <t>Niban-like protein 1</t>
  </si>
  <si>
    <t>Isoform 3 of ATP-dependent zinc metalloprotease YME1L1</t>
  </si>
  <si>
    <t>Regulator of microtubule dynamics protein 3</t>
  </si>
  <si>
    <t>Transcription factor 12</t>
  </si>
  <si>
    <t>C-Myc-binding protein</t>
  </si>
  <si>
    <t>Peroxisomal acyl-coenzyme A oxidase 2</t>
  </si>
  <si>
    <t>Tubulin-folding cofactor B</t>
  </si>
  <si>
    <t>Proteasome subunit beta type-7</t>
  </si>
  <si>
    <t>Ethanolamine-phosphate cytidylyltransferase</t>
  </si>
  <si>
    <t>26S proteasome non-ATPase regulatory subunit 1</t>
  </si>
  <si>
    <t>Stromal cell-derived factor 2</t>
  </si>
  <si>
    <t>Prefoldin subunit 5</t>
  </si>
  <si>
    <t>Platelet-activating factor acetylhydrolase 2, cytoplasmic</t>
  </si>
  <si>
    <t>Protein DJ-1</t>
  </si>
  <si>
    <t>GAS2-like protein 1</t>
  </si>
  <si>
    <t>Sialidase-1</t>
  </si>
  <si>
    <t>Sortilin</t>
  </si>
  <si>
    <t>Synaptic vesicle membrane protein VAT-1 homolog</t>
  </si>
  <si>
    <t>Perilipin-2</t>
  </si>
  <si>
    <t>Nuclear pore complex protein Nup88</t>
  </si>
  <si>
    <t>Isoform 2 of Plakophilin-4</t>
  </si>
  <si>
    <t>Neuroserpin</t>
  </si>
  <si>
    <t>Isoform 2 of TSC22 domain family protein 3</t>
  </si>
  <si>
    <t>Protein S100-A13</t>
  </si>
  <si>
    <t>Mitochondrial import inner membrane translocase subunit Tim17-A</t>
  </si>
  <si>
    <t>Translin-associated protein X</t>
  </si>
  <si>
    <t>Necdin</t>
  </si>
  <si>
    <t>Tetratricopeptide repeat protein 1</t>
  </si>
  <si>
    <t>DnaJ homolog subfamily C member 7</t>
  </si>
  <si>
    <t>Protein C10</t>
  </si>
  <si>
    <t>Oncostatin-M-specific receptor subunit beta</t>
  </si>
  <si>
    <t>Calcineurin B homologous protein 1</t>
  </si>
  <si>
    <t>Cell growth regulator with EF hand domain protein 1</t>
  </si>
  <si>
    <t>Monoglyceride lipase</t>
  </si>
  <si>
    <t>Isoform 4 of Ataxin-2</t>
  </si>
  <si>
    <t>Docking protein 1</t>
  </si>
  <si>
    <t>Methionine synthase</t>
  </si>
  <si>
    <t>3-hydroxyacyl-CoA dehydrogenase type-2</t>
  </si>
  <si>
    <t>Sigma non-opioid intracellular receptor 1</t>
  </si>
  <si>
    <t>Isoform 3 of Heterogeneous nuclear ribonucleoprotein A/B</t>
  </si>
  <si>
    <t>Nucleosome assembly protein 1-like 4</t>
  </si>
  <si>
    <t>Gamma-soluble NSF attachment protein</t>
  </si>
  <si>
    <t>Thioredoxin, mitochondrial</t>
  </si>
  <si>
    <t>ATP synthase subunit s, mitochondrial</t>
  </si>
  <si>
    <t>Mitochondrial intermediate peptidase</t>
  </si>
  <si>
    <t>Transmembrane 9 superfamily member 2</t>
  </si>
  <si>
    <t>Equilibrative nucleoside transporter 1</t>
  </si>
  <si>
    <t>T-complex protein 1 subunit eta</t>
  </si>
  <si>
    <t>Isoform 3 of T-complex protein 1 subunit eta</t>
  </si>
  <si>
    <t>AT-rich interactive domain-containing protein 3A</t>
  </si>
  <si>
    <t>Isoform 2 of Tyrosine-protein phosphatase non-receptor type 18</t>
  </si>
  <si>
    <t>Endophilin-A2</t>
  </si>
  <si>
    <t>Retinoic acid receptor responder protein 2</t>
  </si>
  <si>
    <t>Myocilin</t>
  </si>
  <si>
    <t>Isoform 5 of A-kinase anchor protein 9</t>
  </si>
  <si>
    <t>Protein NipSnap homolog 1</t>
  </si>
  <si>
    <t>Actin-related protein 2/3 complex subunit 5-like protein</t>
  </si>
  <si>
    <t>UPF0415 protein C7orf25</t>
  </si>
  <si>
    <t>Zinc finger FYVE domain-containing protein 21</t>
  </si>
  <si>
    <t>Programmed cell death 1 ligand 2</t>
  </si>
  <si>
    <t>Isoform 4 of Zinc phosphodiesterase ELAC protein 2</t>
  </si>
  <si>
    <t>Uncharacterized protein C19orf43</t>
  </si>
  <si>
    <t>O-acetyl-ADP-ribose deacetylase MACROD1</t>
  </si>
  <si>
    <t>Evolutionarily conserved signaling intermediate in Toll pathway, mitochondrial</t>
  </si>
  <si>
    <t>Isoform 2 of Uncharacterized protein C17orf62</t>
  </si>
  <si>
    <t>Vitamin K epoxide reductase complex subunit 1</t>
  </si>
  <si>
    <t>Diphthamide biosynthesis protein 2</t>
  </si>
  <si>
    <t>Myb-binding protein 1A</t>
  </si>
  <si>
    <t>Transmembrane protein 47</t>
  </si>
  <si>
    <t>Fermitin family homolog 1</t>
  </si>
  <si>
    <t>Mitochondrial genome maintenance exonuclease 1</t>
  </si>
  <si>
    <t>FYVE and coiled-coil domain-containing protein 1</t>
  </si>
  <si>
    <t>Isoform 2 of Mitochondrial 2-oxodicarboxylate carrier</t>
  </si>
  <si>
    <t>Acyl-CoA-binding domain-containing protein 6</t>
  </si>
  <si>
    <t>Coronin-1B</t>
  </si>
  <si>
    <t>Thioredoxin domain-containing protein 17</t>
  </si>
  <si>
    <t>Calcineurin-like phosphoesterase domain-containing protein 1</t>
  </si>
  <si>
    <t>Vacuolar protein-sorting-associated protein 25</t>
  </si>
  <si>
    <t>Isoform 2 of Receptor expression-enhancing protein 2</t>
  </si>
  <si>
    <t>45 kDa calcium-binding protein</t>
  </si>
  <si>
    <t>Programmed cell death protein 2-like</t>
  </si>
  <si>
    <t>Proteasomal ATPase-associated factor 1</t>
  </si>
  <si>
    <t>Isoform 2 of Partner of Y14 and mago</t>
  </si>
  <si>
    <t>Apoptosis-inducing factor 2</t>
  </si>
  <si>
    <t>Isoform 2 of ADP-dependent glucokinase</t>
  </si>
  <si>
    <t>Serine/threonine-protein kinase RIO1</t>
  </si>
  <si>
    <t>La-related protein 6</t>
  </si>
  <si>
    <t>Mitochondrial nucleoid factor 1</t>
  </si>
  <si>
    <t>Migration and invasion enhancer 1</t>
  </si>
  <si>
    <t>Suppressor of IKBKE 1</t>
  </si>
  <si>
    <t>Protein pelota homolog</t>
  </si>
  <si>
    <t>Isoform 2 of Redox-regulatory protein FAM213A</t>
  </si>
  <si>
    <t>Endoplasmic reticulum resident protein 44</t>
  </si>
  <si>
    <t>Latexin</t>
  </si>
  <si>
    <t>Transmembrane protein 175</t>
  </si>
  <si>
    <t>Autophagy-related protein 101</t>
  </si>
  <si>
    <t>Cancer-related nucleoside-triphosphatase</t>
  </si>
  <si>
    <t>Homocysteine-responsive endoplasmic reticulum-resident ubiquitin-like domain member 2 protein</t>
  </si>
  <si>
    <t>Agmatinase, mitochondrial</t>
  </si>
  <si>
    <t>Uncharacterized protein C19orf52</t>
  </si>
  <si>
    <t>Protease-associated domain-containing protein 1</t>
  </si>
  <si>
    <t>Translational activator of cytochrome c oxidase 1</t>
  </si>
  <si>
    <t>Haloacid dehalogenase-like hydrolase domain-containing protein 3</t>
  </si>
  <si>
    <t>Isoform 3 of Uncharacterized protein C17orf80</t>
  </si>
  <si>
    <t>Isoform 2 of Extended synaptotagmin-1</t>
  </si>
  <si>
    <t>Ubiquitin-associated domain-containing protein 1</t>
  </si>
  <si>
    <t>Transmembrane protein 204</t>
  </si>
  <si>
    <t>Isoform 4 of Malcavernin</t>
  </si>
  <si>
    <t>Protein YIPF4</t>
  </si>
  <si>
    <t>Isoform 2 of Rhotekin</t>
  </si>
  <si>
    <t>UPF0183 protein C16orf70</t>
  </si>
  <si>
    <t>Isoform 2 of EF-hand calcium-binding domain-containing protein 4B</t>
  </si>
  <si>
    <t>Coiled-coil-helix-coiled-coil-helix domain-containing protein 5</t>
  </si>
  <si>
    <t>Protein canopy homolog 3</t>
  </si>
  <si>
    <t>Chitobiosyldiphosphodolichol beta-mannosyltransferase</t>
  </si>
  <si>
    <t>Proteasome assembly chaperone 3</t>
  </si>
  <si>
    <t>COP9 signalosome complex subunit 4</t>
  </si>
  <si>
    <t>Death-inducer obliterator 1</t>
  </si>
  <si>
    <t>Isoform 2 of Mini-chromosome maintenance complex-binding protein</t>
  </si>
  <si>
    <t>RNMT-activating mini protein</t>
  </si>
  <si>
    <t>Acidic leucine-rich nuclear phosphoprotein 32 family member E</t>
  </si>
  <si>
    <t>Phosphatidylinositol 4-kinase type 2-alpha</t>
  </si>
  <si>
    <t>Transmembrane protein 43</t>
  </si>
  <si>
    <t>WD repeat-containing protein 85</t>
  </si>
  <si>
    <t>Alpha-tocopherol transfer protein-like</t>
  </si>
  <si>
    <t>Plasma alpha-L-fucosidase</t>
  </si>
  <si>
    <t>Protein FAM203A</t>
  </si>
  <si>
    <t>Dehydrogenase/reductase SDR family member 4</t>
  </si>
  <si>
    <t>Thiamine-triphosphatase</t>
  </si>
  <si>
    <t>Isoform 3 of Lipase maturation factor 2</t>
  </si>
  <si>
    <t>NADH dehydrogenase [ubiquinone] 1 alpha subcomplex assembly factor 3</t>
  </si>
  <si>
    <t>Deoxyhypusine hydroxylase</t>
  </si>
  <si>
    <t>Isoform 2 of MAP kinase-interacting serine/threonine-protein kinase 1</t>
  </si>
  <si>
    <t>Isoform 2 of Transmembrane protein 70, mitochondrial</t>
  </si>
  <si>
    <t>Spondin-2</t>
  </si>
  <si>
    <t>Mediator of RNA polymerase II transcription subunit 18</t>
  </si>
  <si>
    <t>Iron-sulfur cluster assembly 1 homolog, mitochondrial</t>
  </si>
  <si>
    <t>Tubulin beta-6 chain</t>
  </si>
  <si>
    <t>Uncharacterized protein C9orf142</t>
  </si>
  <si>
    <t>Isoform 2 of Heterogeneous nuclear ribonucleoprotein U-like protein 1</t>
  </si>
  <si>
    <t>Isoform 3 of Protein misato homolog 1</t>
  </si>
  <si>
    <t>EF-hand domain-containing protein D1</t>
  </si>
  <si>
    <t>Isoform 3 of Oxidoreductase HTATIP2</t>
  </si>
  <si>
    <t>Telomerase Cajal body protein 1</t>
  </si>
  <si>
    <t>3-hydroxybutyrate dehydrogenase type 2</t>
  </si>
  <si>
    <t>UPF0184 protein C9orf16</t>
  </si>
  <si>
    <t>Dol-P-Man:Man(7)GlcNAc(2)-PP-Dol alpha-1,6-mannosyltransferase</t>
  </si>
  <si>
    <t>Uncharacterized protein C1orf50</t>
  </si>
  <si>
    <t>Methylthioribose-1-phosphate isomerase</t>
  </si>
  <si>
    <t>Monoacylglycerol lipase ABHD6</t>
  </si>
  <si>
    <t>WD repeat-containing protein 18</t>
  </si>
  <si>
    <t>THUMP domain-containing protein 3</t>
  </si>
  <si>
    <t>1,2-dihydroxy-3-keto-5-methylthiopentene dioxygenase</t>
  </si>
  <si>
    <t>Isoform 2 of RING finger protein 126</t>
  </si>
  <si>
    <t>Isoform 2 of Centrosome-associated protein CEP250</t>
  </si>
  <si>
    <t>Trans-2-enoyl-CoA reductase, mitochondrial</t>
  </si>
  <si>
    <t>N-terminal Xaa-Pro-Lys N-methyltransferase 1</t>
  </si>
  <si>
    <t>Katanin p80 WD40 repeat-containing subunit B1</t>
  </si>
  <si>
    <t>Adenosine monophosphate-protein transferase FICD</t>
  </si>
  <si>
    <t>Isoform 2 of Target of rapamycin complex subunit LST8</t>
  </si>
  <si>
    <t>Transmembrane protein 109</t>
  </si>
  <si>
    <t>Protein PBDC1</t>
  </si>
  <si>
    <t>Phosphatidylserine synthase 2</t>
  </si>
  <si>
    <t>Isoform 3 of U3 small nucleolar RNA-associated protein 14 homolog A</t>
  </si>
  <si>
    <t>Dual specificity protein phosphatase 23</t>
  </si>
  <si>
    <t>Transmembrane emp24 domain-containing protein 9</t>
  </si>
  <si>
    <t>Selenoprotein O</t>
  </si>
  <si>
    <t>Gamma-glutamylaminecyclotransferase</t>
  </si>
  <si>
    <t>Mitochondrial import inner membrane translocase subunit Tim21</t>
  </si>
  <si>
    <t>Tubulin polymerization-promoting protein family member 3</t>
  </si>
  <si>
    <t>Isoform 2 of Elongation of very long chain fatty acids protein 1</t>
  </si>
  <si>
    <t>DET1- and DDB1-associated protein 1</t>
  </si>
  <si>
    <t>Katanin p60 ATPase-containing subunit A-like 1</t>
  </si>
  <si>
    <t>HIRA-interacting protein 3</t>
  </si>
  <si>
    <t>Intraflagellar transport protein 27 homolog</t>
  </si>
  <si>
    <t>Coiled-coil domain-containing protein 94</t>
  </si>
  <si>
    <t>Isoform 2 of ADP-ribose pyrophosphatase, mitochondrial</t>
  </si>
  <si>
    <t>Threonine--tRNA ligase, mitochondrial</t>
  </si>
  <si>
    <t>Acetyl-CoA acetyltransferase, cytosolic</t>
  </si>
  <si>
    <t>FUN14 domain-containing protein 2</t>
  </si>
  <si>
    <t>RNA polymerase II-associated protein 1</t>
  </si>
  <si>
    <t>Splicing factor 3B subunit 5</t>
  </si>
  <si>
    <t>Sideroflexin-3</t>
  </si>
  <si>
    <t>Caspase recruitment domain-containing protein 10</t>
  </si>
  <si>
    <t>Kanadaptin</t>
  </si>
  <si>
    <t>Tapasin-related protein</t>
  </si>
  <si>
    <t>Junctional adhesion molecule C</t>
  </si>
  <si>
    <t>Histidine triad nucleotide-binding protein 2, mitochondrial</t>
  </si>
  <si>
    <t>Sphingosine-1-phosphate phosphatase 1</t>
  </si>
  <si>
    <t>Oxysterol-binding protein-related protein 10</t>
  </si>
  <si>
    <t>Rab11 family-interacting protein 5</t>
  </si>
  <si>
    <t>Isoform 2 of Bcl-2-binding component 3</t>
  </si>
  <si>
    <t>Isoform 2 of Transmembrane protein 120A</t>
  </si>
  <si>
    <t>N-alpha-acetyltransferase 15, NatA auxiliary subunit</t>
  </si>
  <si>
    <t>Bcl-2-like protein 13</t>
  </si>
  <si>
    <t>Solute carrier family 12 member 9</t>
  </si>
  <si>
    <t>Isoform 5 of Serrate RNA effector molecule homolog</t>
  </si>
  <si>
    <t>Queuine tRNA-ribosyltransferase</t>
  </si>
  <si>
    <t>Uncharacterized protein C14orf142</t>
  </si>
  <si>
    <t>Oxysterol-binding protein-related protein 1</t>
  </si>
  <si>
    <t>Isoform 1 of Cat eye syndrome critical region protein 5</t>
  </si>
  <si>
    <t>Inosine triphosphate pyrophosphatase</t>
  </si>
  <si>
    <t>Charged multivesicular body protein 4a</t>
  </si>
  <si>
    <t>Polymerase delta-interacting protein 3</t>
  </si>
  <si>
    <t>Guanine nucleotide-binding protein subunit beta-like protein 1</t>
  </si>
  <si>
    <t>39S ribosomal protein L1, mitochondrial</t>
  </si>
  <si>
    <t>RanBP-type and C3HC4-type zinc finger-containing protein 1</t>
  </si>
  <si>
    <t>Sulfiredoxin-1</t>
  </si>
  <si>
    <t>28S ribosomal protein S26, mitochondrial</t>
  </si>
  <si>
    <t>Neurolysin, mitochondrial</t>
  </si>
  <si>
    <t>Centrosomal protein of 41 kDa</t>
  </si>
  <si>
    <t>Isoform 3 of TBC1 domain family member 2A</t>
  </si>
  <si>
    <t>Isoform 4 of Pantothenate kinase 2, mitochondrial</t>
  </si>
  <si>
    <t>Isoform 2 of FERM domain-containing protein 8</t>
  </si>
  <si>
    <t>Equilibrative nucleoside transporter 3</t>
  </si>
  <si>
    <t>tRNA pseudouridine(38/39) synthase</t>
  </si>
  <si>
    <t>Isoform 3 of Oxysterol-binding protein-related protein 8</t>
  </si>
  <si>
    <t>Isoform 2 of Regulator of nonsense transcripts 3B</t>
  </si>
  <si>
    <t>F-box-like/WD repeat-containing protein TBL1XR1</t>
  </si>
  <si>
    <t>Ubiquitin-like protein 5</t>
  </si>
  <si>
    <t>Isoform 3 of Protein phosphatase 1 regulatory subunit 12C</t>
  </si>
  <si>
    <t>Group XIIA secretory phospholipase A2</t>
  </si>
  <si>
    <t>NKG2D ligand 3</t>
  </si>
  <si>
    <t>NKG2D ligand 2</t>
  </si>
  <si>
    <t>Protein Niban</t>
  </si>
  <si>
    <t>Uridine-cytidine kinase 2</t>
  </si>
  <si>
    <t>Isoform 2 of Apoptosis inhibitor 5</t>
  </si>
  <si>
    <t>Protein sprouty homolog 4</t>
  </si>
  <si>
    <t>Protein dpy-30 homolog</t>
  </si>
  <si>
    <t>Isoform Beta of Tripartite motif-containing protein 4</t>
  </si>
  <si>
    <t>Protein FAM117A</t>
  </si>
  <si>
    <t>Alpha-ketoglutarate-dependent dioxygenase FTO</t>
  </si>
  <si>
    <t>Isoform 2 of Palmitoyltransferase ZDHHC5</t>
  </si>
  <si>
    <t>Transport and Golgi organization 6 homolog</t>
  </si>
  <si>
    <t>182 kDa tankyrase-1-binding protein</t>
  </si>
  <si>
    <t>Ubiquitin-conjugating enzyme E2 O</t>
  </si>
  <si>
    <t>Isoform 2 of Protein TANC1</t>
  </si>
  <si>
    <t>Isoform 2 of Protein tweety homolog 3</t>
  </si>
  <si>
    <t>Myotubularin-related protein 12</t>
  </si>
  <si>
    <t>Isoform 2 of STE20-related kinase adapter protein beta</t>
  </si>
  <si>
    <t>Ribosome biogenesis protein WDR12</t>
  </si>
  <si>
    <t>UPF0687 protein C20orf27</t>
  </si>
  <si>
    <t>Neurensin-2</t>
  </si>
  <si>
    <t>PITH domain-containing protein 1</t>
  </si>
  <si>
    <t>Derlin-2</t>
  </si>
  <si>
    <t>COMM domain-containing protein 5</t>
  </si>
  <si>
    <t>WD repeat-containing protein 61</t>
  </si>
  <si>
    <t>Isoform 2 of SRA stem-loop-interacting RNA-binding protein, mitochondrial</t>
  </si>
  <si>
    <t>Serine racemase</t>
  </si>
  <si>
    <t>Isoform 2 of Coiled-coil domain-containing protein 90B, mitochondrial</t>
  </si>
  <si>
    <t>Isoform 2 of NIF3-like protein 1</t>
  </si>
  <si>
    <t>Egl nine homolog 1</t>
  </si>
  <si>
    <t>Protein FAM192A</t>
  </si>
  <si>
    <t>WW domain-containing transcription regulator protein 1</t>
  </si>
  <si>
    <t>Twisted gastrulation protein homolog 1</t>
  </si>
  <si>
    <t>Isoform 2 of Mitochondrial fission factor</t>
  </si>
  <si>
    <t>Ubiquitin-like modifier-activating enzyme 5</t>
  </si>
  <si>
    <t>Phospholysine phosphohistidine inorganic pyrophosphate phosphatase</t>
  </si>
  <si>
    <t>Isoform 3 of Mitochondrial fission regulator 1-like</t>
  </si>
  <si>
    <t>Transmembrane protein 126A</t>
  </si>
  <si>
    <t>Polyadenylate-binding protein-interacting protein 1</t>
  </si>
  <si>
    <t>Isoform 2 of Caseinolytic peptidase B protein homolog</t>
  </si>
  <si>
    <t>Ras-related protein Rab-33B</t>
  </si>
  <si>
    <t>Protein FAM107B</t>
  </si>
  <si>
    <t>Isoform 2 of Kinesin light chain 2</t>
  </si>
  <si>
    <t>Integrin-linked kinase-associated serine/threonine phosphatase 2C</t>
  </si>
  <si>
    <t>5-3 exoribonuclease 2</t>
  </si>
  <si>
    <t>Toll-interacting protein</t>
  </si>
  <si>
    <t>Sharpin</t>
  </si>
  <si>
    <t>ADP-ribosylation factor-like protein 6</t>
  </si>
  <si>
    <t>Nuclear speckle splicing regulatory protein 1</t>
  </si>
  <si>
    <t>Cleavage stimulation factor subunit 2 tau variant</t>
  </si>
  <si>
    <t>Ras-related protein Rab-6C</t>
  </si>
  <si>
    <t>Protein FAM49A</t>
  </si>
  <si>
    <t>Haloacid dehalogenase-like hydrolase domain-containing protein 2</t>
  </si>
  <si>
    <t>Glutamyl-tRNA(Gln) amidotransferase subunit A, mitochondrial</t>
  </si>
  <si>
    <t>Ras-related protein Rab-1B</t>
  </si>
  <si>
    <t>Testis-specific Y-encoded-like protein 1</t>
  </si>
  <si>
    <t>VIP36-like protein</t>
  </si>
  <si>
    <t>Protein SMG9</t>
  </si>
  <si>
    <t>Ester hydrolase C11orf54</t>
  </si>
  <si>
    <t>Protein ITFG3</t>
  </si>
  <si>
    <t>Isoform 2 of Oxysterol-binding protein-related protein 5</t>
  </si>
  <si>
    <t>Beta-soluble NSF attachment protein</t>
  </si>
  <si>
    <t>Nucleotide exchange factor SIL1</t>
  </si>
  <si>
    <t>Interferon regulatory factor 2-binding protein-like</t>
  </si>
  <si>
    <t>Nuclear ubiquitous casein and cyclin-dependent kinase substrate 1</t>
  </si>
  <si>
    <t>Isoform 3 of Activating signal cointegrator 1 complex subunit 2</t>
  </si>
  <si>
    <t>Isoform 3 of Regulator of nonsense transcripts 3A</t>
  </si>
  <si>
    <t>Rabenosyn-5</t>
  </si>
  <si>
    <t>Iron-sulfur cluster assembly enzyme ISCU, mitochondrial</t>
  </si>
  <si>
    <t>Isoform 2 of Oxysterol-binding protein-related protein 2</t>
  </si>
  <si>
    <t>Autophagy protein 5</t>
  </si>
  <si>
    <t>Tetraspanin-10</t>
  </si>
  <si>
    <t>EH domain-containing protein 4</t>
  </si>
  <si>
    <t>Uncharacterized protein C1orf21</t>
  </si>
  <si>
    <t>Vacuolar protein sorting-associated protein 33B</t>
  </si>
  <si>
    <t>Isoform 2 of Vacuolar protein sorting-associated protein 16 homolog</t>
  </si>
  <si>
    <t>Vacuolar protein sorting-associated protein 11 homolog</t>
  </si>
  <si>
    <t>Mitochondrial folate transporter/carrier</t>
  </si>
  <si>
    <t>Isoform 1 of TRIO and F-actin-binding protein</t>
  </si>
  <si>
    <t>Isoform 2 of STE20-like serine/threonine-protein kinase</t>
  </si>
  <si>
    <t>Peptidyl-prolyl cis-trans isomerase-like 3</t>
  </si>
  <si>
    <t>Phosducin-like protein 3</t>
  </si>
  <si>
    <t>Serine/threonine-protein kinase TAO3</t>
  </si>
  <si>
    <t>Rab3 GTPase-activating protein non-catalytic subunit</t>
  </si>
  <si>
    <t>Isoform 3 of Diphthine synthase</t>
  </si>
  <si>
    <t>Inorganic pyrophosphatase 2, mitochondrial</t>
  </si>
  <si>
    <t>39S ribosomal protein L46, mitochondrial</t>
  </si>
  <si>
    <t>Pinin</t>
  </si>
  <si>
    <t>Isoform 2 of Band 4.1-like protein 4B</t>
  </si>
  <si>
    <t>Isoform 2 of Transmembrane protein 245</t>
  </si>
  <si>
    <t>BTB/POZ domain-containing adapter for CUL3-mediated RhoA degradation protein 3</t>
  </si>
  <si>
    <t>Isoform 2 of UPF0696 protein C11orf68</t>
  </si>
  <si>
    <t>Isoform 2 of UDP-N-acetylglucosamine--dolichyl-phosphate N-acetylglucosaminephosphotransferase</t>
  </si>
  <si>
    <t>BolA-like protein 2</t>
  </si>
  <si>
    <t>Thioredoxin-related transmembrane protein 1</t>
  </si>
  <si>
    <t>Golgi resident protein GCP60</t>
  </si>
  <si>
    <t>Cdc42 effector protein 4</t>
  </si>
  <si>
    <t>Tyrosine-protein phosphatase non-receptor type 23</t>
  </si>
  <si>
    <t>Isoform 2 of Protein unc-45 homolog A</t>
  </si>
  <si>
    <t>Isoform 3 of Major facilitator superfamily domain-containing protein 1</t>
  </si>
  <si>
    <t>Pancreatic progenitor cell differentiation and proliferation factor</t>
  </si>
  <si>
    <t>Isoform 2 of DnaJ homolog subfamily C member 5</t>
  </si>
  <si>
    <t>Uncharacterized protein C1orf198</t>
  </si>
  <si>
    <t>Charged multivesicular body protein 4b</t>
  </si>
  <si>
    <t>Isoform 2 of RWD domain-containing protein 1</t>
  </si>
  <si>
    <t>CUE domain-containing protein 2</t>
  </si>
  <si>
    <t>F-box/LRR-repeat protein 15</t>
  </si>
  <si>
    <t>Fructosamine-3-kinase</t>
  </si>
  <si>
    <t>Microtubule-associated proteins 1A/1B light chain 3A</t>
  </si>
  <si>
    <t>Torsin-3A</t>
  </si>
  <si>
    <t>Aminopeptidase B</t>
  </si>
  <si>
    <t>Golgi phosphoprotein 3-like</t>
  </si>
  <si>
    <t>Golgi phosphoprotein 3</t>
  </si>
  <si>
    <t>Probable tRNA threonylcarbamoyladenosine biosynthesis protein OSGEPL1</t>
  </si>
  <si>
    <t>Isoform 2 of Band 4.1-like protein 1</t>
  </si>
  <si>
    <t>Golgi-associated plant pathogenesis-related protein 1</t>
  </si>
  <si>
    <t>Zinc fingers and homeoboxes protein 3</t>
  </si>
  <si>
    <t>Isoform 1b of Oxysterol-binding protein-related protein 3</t>
  </si>
  <si>
    <t>EH domain-containing protein 1</t>
  </si>
  <si>
    <t>Isoform 2 of E3 ubiquitin-protein ligase NRDP1</t>
  </si>
  <si>
    <t>Isoform 2 of Regulator of cell cycle RGCC</t>
  </si>
  <si>
    <t>Phosphorylated CTD-interacting factor 1</t>
  </si>
  <si>
    <t>Alpha-1,3/1,6-mannosyltransferase ALG2</t>
  </si>
  <si>
    <t>Rab GTPase-binding effector protein 2</t>
  </si>
  <si>
    <t>Dimethyladenosine transferase 2, mitochondrial</t>
  </si>
  <si>
    <t>CUB domain-containing protein 1</t>
  </si>
  <si>
    <t>Isoform 2 of UPF0428 protein CXorf56</t>
  </si>
  <si>
    <t>MIP18 family protein FAM96A</t>
  </si>
  <si>
    <t>CST complex subunit STN1</t>
  </si>
  <si>
    <t>CXADR-like membrane protein</t>
  </si>
  <si>
    <t>XK-related protein 8</t>
  </si>
  <si>
    <t>Coiled-coil domain-containing protein 134</t>
  </si>
  <si>
    <t>Receptor expression-enhancing protein 4</t>
  </si>
  <si>
    <t>Uncharacterized protein C6orf106</t>
  </si>
  <si>
    <t>Isoform 2 of Optic atrophy 3 protein</t>
  </si>
  <si>
    <t>Cytosolic Fe-S cluster assembly factor NARFL</t>
  </si>
  <si>
    <t>Acyl-CoA synthetase short-chain family member 3, mitochondrial</t>
  </si>
  <si>
    <t>5-azacytidine-induced protein 2</t>
  </si>
  <si>
    <t>Epidermal growth factor receptor kinase substrate 8-like protein 2</t>
  </si>
  <si>
    <t>RNA polymerase II-associated protein 3</t>
  </si>
  <si>
    <t>Isoform 5 of Breast carcinoma-amplified sequence 3</t>
  </si>
  <si>
    <t>Alpha-1,2-mannosyltransferase ALG9</t>
  </si>
  <si>
    <t>Anthrax toxin receptor 1</t>
  </si>
  <si>
    <t>Isoform 2 of Transmembrane protein 134</t>
  </si>
  <si>
    <t>WD repeat-containing protein 55</t>
  </si>
  <si>
    <t>Isoform 3 of Ran-binding protein 3</t>
  </si>
  <si>
    <t>dCTP pyrophosphatase 1</t>
  </si>
  <si>
    <t>Isoform 2 of SH2 domain-containing protein 4A</t>
  </si>
  <si>
    <t>Pseudopodium-enriched atypical kinase 1</t>
  </si>
  <si>
    <t>Histone-lysine N-methyltransferase SMYD3</t>
  </si>
  <si>
    <t>Isoform 2 of Syncoilin</t>
  </si>
  <si>
    <t>Mth938 domain-containing protein</t>
  </si>
  <si>
    <t>Isoform 2 of WD repeat-containing protein 26</t>
  </si>
  <si>
    <t>Probable cation-transporting ATPase 13A3</t>
  </si>
  <si>
    <t>Putative transmembrane protein 185B</t>
  </si>
  <si>
    <t>Platelet receptor Gi24</t>
  </si>
  <si>
    <t>Prostaglandin E synthase 2</t>
  </si>
  <si>
    <t>Phosphorylated adapter RNA export protein</t>
  </si>
  <si>
    <t>Ubiquitin-conjugating enzyme E2 Z</t>
  </si>
  <si>
    <t>Gem-associated protein 7</t>
  </si>
  <si>
    <t>Acyl-CoA dehydrogenase family member 9, mitochondrial</t>
  </si>
  <si>
    <t>Isoform 2 of 5-nucleotidase domain-containing protein 2</t>
  </si>
  <si>
    <t>Caspase activity and apoptosis inhibitor 1</t>
  </si>
  <si>
    <t>Uncharacterized protein C10orf88</t>
  </si>
  <si>
    <t>Protein FAM188A</t>
  </si>
  <si>
    <t>MOB kinase activator 1A</t>
  </si>
  <si>
    <t>AN1-type zinc finger protein 3</t>
  </si>
  <si>
    <t>Pleckstrin homology domain-containing family F member 2</t>
  </si>
  <si>
    <t>Golgi reassembly-stacking protein 2</t>
  </si>
  <si>
    <t>Mitochondrial glutamate carrier 1</t>
  </si>
  <si>
    <t>Proline-serine-threonine phosphatase-interacting protein 2</t>
  </si>
  <si>
    <t>Mediator of RNA polymerase II transcription subunit 20</t>
  </si>
  <si>
    <t>Queuine tRNA-ribosyltransferase subunit QTRTD1</t>
  </si>
  <si>
    <t>WD repeat-containing protein 54</t>
  </si>
  <si>
    <t>UPF0364 protein C6orf211</t>
  </si>
  <si>
    <t>Pantothenate kinase 3</t>
  </si>
  <si>
    <t>Leucine-rich repeat-containing protein 40</t>
  </si>
  <si>
    <t>Sideroflexin-1</t>
  </si>
  <si>
    <t>Vacuolar protein sorting-associated protein 37B</t>
  </si>
  <si>
    <t>Calcium-binding protein 39-like</t>
  </si>
  <si>
    <t>Isoform 2 of JmjC domain-containing protein 4</t>
  </si>
  <si>
    <t>GPN-loop GTPase 2</t>
  </si>
  <si>
    <t>Ketosamine-3-kinase</t>
  </si>
  <si>
    <t>TBC1 domain family member 17</t>
  </si>
  <si>
    <t>Probable cysteine--tRNA ligase, mitochondrial</t>
  </si>
  <si>
    <t>Phosphopantothenate--cysteine ligase</t>
  </si>
  <si>
    <t>WD repeat-containing protein 41</t>
  </si>
  <si>
    <t>Isoform 2 of Sialate O-acetylesterase</t>
  </si>
  <si>
    <t>Pleckstrin homology domain-containing family A member 5</t>
  </si>
  <si>
    <t>E3 ubiquitin-protein ligase SMURF2</t>
  </si>
  <si>
    <t>Guanine nucleotide-binding protein subunit beta-4</t>
  </si>
  <si>
    <t>Exportin-5</t>
  </si>
  <si>
    <t>Tumor necrosis factor receptor superfamily member 27</t>
  </si>
  <si>
    <t>GrpE protein homolog 1, mitochondrial</t>
  </si>
  <si>
    <t>UPF0160 protein MYG1, mitochondrial</t>
  </si>
  <si>
    <t>Bcl-2-like protein 12</t>
  </si>
  <si>
    <t>Pleckstrin homology domain-containing family A member 2</t>
  </si>
  <si>
    <t>Pleckstrin homology domain-containing family A member 3</t>
  </si>
  <si>
    <t>Retinoid-inducible serine carboxypeptidase</t>
  </si>
  <si>
    <t>Calcyclin-binding protein</t>
  </si>
  <si>
    <t>Ras-related GTP-binding protein C</t>
  </si>
  <si>
    <t>SMARCA4 isoform 2</t>
  </si>
  <si>
    <t>Retinol dehydrogenase 14</t>
  </si>
  <si>
    <t>Beta-parvin</t>
  </si>
  <si>
    <t>Plasminogen receptor (KT)</t>
  </si>
  <si>
    <t>NmrA-like family domain-containing protein 1</t>
  </si>
  <si>
    <t>Transcription initiation factor TFIID subunit 9B</t>
  </si>
  <si>
    <t>1-acyl-sn-glycerol-3-phosphate acyltransferase alpha</t>
  </si>
  <si>
    <t>Putative sodium-coupled neutral amino acid transporter 10</t>
  </si>
  <si>
    <t>Ethanolamine kinase 1</t>
  </si>
  <si>
    <t>Isoform 2 of Aryl hydrocarbon receptor nuclear translocator 2</t>
  </si>
  <si>
    <t>Mitochondrial thiamine pyrophosphate carrier</t>
  </si>
  <si>
    <t>Echinoderm microtubule-associated protein-like 4</t>
  </si>
  <si>
    <t>Isoform 2 of Glyoxalase domain-containing protein 4</t>
  </si>
  <si>
    <t>Isoform 2 of Protocadherin-9</t>
  </si>
  <si>
    <t>WAP four-disulfide core domain protein 1</t>
  </si>
  <si>
    <t>Serine/threonine-protein kinase Nek6</t>
  </si>
  <si>
    <t>Methylcrotonoyl-CoA carboxylase beta chain, mitochondrial</t>
  </si>
  <si>
    <t>Protein TANC2</t>
  </si>
  <si>
    <t>Ectopic P granules protein 5 homolog</t>
  </si>
  <si>
    <t>Zinc finger protein 532</t>
  </si>
  <si>
    <t>Methyltransferase-like protein 14</t>
  </si>
  <si>
    <t>Isoform 3 of Nck-associated protein 5-like</t>
  </si>
  <si>
    <t>Isoform 4 of Synaptotagmin-like protein 2</t>
  </si>
  <si>
    <t>Synaptic vesicle membrane protein VAT-1 homolog-like</t>
  </si>
  <si>
    <t>Isoform 4 of Band 4.1-like protein 5</t>
  </si>
  <si>
    <t>Isoform 2 of GPN-loop GTPase 1</t>
  </si>
  <si>
    <t>Stromal cell-derived factor 2-like protein 1</t>
  </si>
  <si>
    <t>Endosialin</t>
  </si>
  <si>
    <t>Prolactin regulatory element-binding protein</t>
  </si>
  <si>
    <t>Steroid receptor RNA activator 1</t>
  </si>
  <si>
    <t>Isoform B of Probable cation-transporting ATPase 13A1</t>
  </si>
  <si>
    <t>Transmembrane 9 superfamily member 3</t>
  </si>
  <si>
    <t>Ran guanine nucleotide release factor</t>
  </si>
  <si>
    <t>Adipocyte plasma membrane-associated protein</t>
  </si>
  <si>
    <t>Isoform 2 of Tuftelin</t>
  </si>
  <si>
    <t>cAMP-specific 3,5-cyclic phosphodiesterase 7B</t>
  </si>
  <si>
    <t>Isoform 2 of ATP-binding cassette sub-family B member 6, mitochondrial</t>
  </si>
  <si>
    <t>ADP-ribosylation factor GTPase-activating protein 3</t>
  </si>
  <si>
    <t>Ras-related protein Rab-18</t>
  </si>
  <si>
    <t>Isoform 2 of Palmdelphin</t>
  </si>
  <si>
    <t>RNA polymerase II subunit A C-terminal domain phosphatase SSU72</t>
  </si>
  <si>
    <t>Vacuolar protein sorting-associated protein VTA1 homolog</t>
  </si>
  <si>
    <t>Isoform 3 of Calcium-independent phospholipase A2-gamma</t>
  </si>
  <si>
    <t>Tumor necrosis factor receptor superfamily member 12A</t>
  </si>
  <si>
    <t>ER membrane protein complex subunit 7</t>
  </si>
  <si>
    <t>Isoform 2 of Enhancer of yellow 2 transcription factor homolog</t>
  </si>
  <si>
    <t>Glycerophosphocholine phosphodiesterase GPCPD1</t>
  </si>
  <si>
    <t>Exosome complex component RRP41</t>
  </si>
  <si>
    <t>CD320 antigen</t>
  </si>
  <si>
    <t>Probable tRNA threonylcarbamoyladenosine biosynthesis protein OSGEP</t>
  </si>
  <si>
    <t>Probable palmitoyltransferase ZDHHC4</t>
  </si>
  <si>
    <t>Lysophosphatidic acid phosphatase type 6</t>
  </si>
  <si>
    <t>mRNA-decapping enzyme 1A</t>
  </si>
  <si>
    <t>Acyl-coenzyme A thioesterase 13</t>
  </si>
  <si>
    <t>Mediator of RNA polymerase II transcription subunit 4</t>
  </si>
  <si>
    <t>Translocase of inner mitochondrial membrane domain-containing protein 1</t>
  </si>
  <si>
    <t>Isoform 4 of Synembryn-A</t>
  </si>
  <si>
    <t>Protein GPR108</t>
  </si>
  <si>
    <t>Isoform B of 1-phosphatidylinositol 4,5-bisphosphate phosphodiesterase beta-1</t>
  </si>
  <si>
    <t>Cas scaffolding protein family member 4</t>
  </si>
  <si>
    <t>Fructose-2,6-bisphosphatase TIGAR</t>
  </si>
  <si>
    <t>Reticulon-4</t>
  </si>
  <si>
    <t>Isoform 5 of Reticulon-4</t>
  </si>
  <si>
    <t>Histidine triad nucleotide-binding protein 3</t>
  </si>
  <si>
    <t>Protein MANBAL</t>
  </si>
  <si>
    <t>Regulation of nuclear pre-mRNA domain-containing protein 1B</t>
  </si>
  <si>
    <t>Isoform 2 of Probable Xaa-Pro aminopeptidase 3</t>
  </si>
  <si>
    <t>Omega-amidase NIT2</t>
  </si>
  <si>
    <t>Cell death regulator Aven</t>
  </si>
  <si>
    <t>Poliovirus receptor-related protein 3</t>
  </si>
  <si>
    <t>Exosome complex component RRP46</t>
  </si>
  <si>
    <t>Kinesin-like protein KIF13B</t>
  </si>
  <si>
    <t>Isoform 3 of Xaa-Pro aminopeptidase 1</t>
  </si>
  <si>
    <t>Bridging integrator 3</t>
  </si>
  <si>
    <t>StAR-related lipid transfer protein 7, mitochondrial</t>
  </si>
  <si>
    <t>PDZ and LIM domain protein 7</t>
  </si>
  <si>
    <t>Acetyl-coenzyme A synthetase, cytoplasmic</t>
  </si>
  <si>
    <t>Isoform 2 of Diablo homolog, mitochondrial</t>
  </si>
  <si>
    <t>Nucleolar RNA helicase 2</t>
  </si>
  <si>
    <t>GTP-binding protein SAR1a</t>
  </si>
  <si>
    <t>DNA polymerase epsilon subunit 4</t>
  </si>
  <si>
    <t>Sialic acid synthase</t>
  </si>
  <si>
    <t>Isoform 2 of Histone-lysine N-methyltransferase ASH1L</t>
  </si>
  <si>
    <t>Translation initiation factor eIF-2B subunit gamma</t>
  </si>
  <si>
    <t>Platelet-derived growth factor C</t>
  </si>
  <si>
    <t>Sialin</t>
  </si>
  <si>
    <t>Spectrin beta chain, non-erythrocytic 5</t>
  </si>
  <si>
    <t>F-box only protein 6</t>
  </si>
  <si>
    <t>Isoform 2 of SH2B adapter protein 1</t>
  </si>
  <si>
    <t>CTP synthase 2</t>
  </si>
  <si>
    <t>DNA polymerase epsilon subunit 3</t>
  </si>
  <si>
    <t>Chromatin accessibility complex protein 1</t>
  </si>
  <si>
    <t>Phosphoribosyltransferase domain-containing protein 1</t>
  </si>
  <si>
    <t>Isoform 2 of Epimerase family protein SDR39U1</t>
  </si>
  <si>
    <t>Yae1 domain-containing protein 1</t>
  </si>
  <si>
    <t>ATP-binding cassette sub-family B member 10, mitochondrial</t>
  </si>
  <si>
    <t>Isoform 3 of Olfactomedin-like protein 3</t>
  </si>
  <si>
    <t>L-aminoadipate-semialdehyde dehydrogenase-phosphopantetheinyl transferase</t>
  </si>
  <si>
    <t>Methyltransferase-like protein 5</t>
  </si>
  <si>
    <t>COX assembly mitochondrial protein 2 homolog</t>
  </si>
  <si>
    <t>Phospholipid scramblase 4</t>
  </si>
  <si>
    <t>Ubiquilin-4</t>
  </si>
  <si>
    <t>CDC42 small effector protein 1</t>
  </si>
  <si>
    <t>Sorting nexin-15</t>
  </si>
  <si>
    <t>Heme-binding protein 1</t>
  </si>
  <si>
    <t>Ras-related protein Rab-6B</t>
  </si>
  <si>
    <t>Dual specificity protein phosphatase 22</t>
  </si>
  <si>
    <t>Vacuolar protein sorting-associated protein 45</t>
  </si>
  <si>
    <t>14 kDa phosphohistidine phosphatase</t>
  </si>
  <si>
    <t>Serine incorporator 1</t>
  </si>
  <si>
    <t>SOSS complex subunit C</t>
  </si>
  <si>
    <t>Rho GTPase-activating protein 35</t>
  </si>
  <si>
    <t>Protein FAM114A2</t>
  </si>
  <si>
    <t>Phospholipid scramblase 3</t>
  </si>
  <si>
    <t>1-acyl-sn-glycerol-3-phosphate acyltransferase delta</t>
  </si>
  <si>
    <t>Isoform 2 of 1-acyl-sn-glycerol-3-phosphate acyltransferase gamma</t>
  </si>
  <si>
    <t>Latent-transforming growth factor beta-binding protein 3</t>
  </si>
  <si>
    <t>Glutaredoxin-2, mitochondrial</t>
  </si>
  <si>
    <t>Mitochondrial import receptor subunit TOM22 homolog</t>
  </si>
  <si>
    <t>LanC-like protein 2</t>
  </si>
  <si>
    <t>Transmembrane 7 superfamily member 3</t>
  </si>
  <si>
    <t>Beta-catenin-interacting protein 1</t>
  </si>
  <si>
    <t>Isoform 5 of Homer protein homolog 3</t>
  </si>
  <si>
    <t>Phenylalanine--tRNA ligase beta subunit</t>
  </si>
  <si>
    <t>Isoleucine--tRNA ligase, mitochondrial</t>
  </si>
  <si>
    <t>Isoform 1 of Protein C19orf12</t>
  </si>
  <si>
    <t>Nuclear receptor-binding protein 2</t>
  </si>
  <si>
    <t>BMP-2-inducible protein kinase</t>
  </si>
  <si>
    <t>StAR-related lipid transfer protein 5</t>
  </si>
  <si>
    <t>Ubiquitin-like-conjugating enzyme ATG3</t>
  </si>
  <si>
    <t>Phosphatidylinositide phosphatase SAC1</t>
  </si>
  <si>
    <t>Isoform 2 of Obg-like ATPase 1</t>
  </si>
  <si>
    <t>UDP-glucuronic acid/UDP-N-acetylgalactosamine transporter</t>
  </si>
  <si>
    <t>Isoform 2 of Ethylmalonyl-CoA decarboxylase</t>
  </si>
  <si>
    <t>Isoform 2 of E3 ubiquitin-protein ligase RNF146</t>
  </si>
  <si>
    <t>RNA-binding protein 12</t>
  </si>
  <si>
    <t>p53 and DNA damage-regulated protein 1</t>
  </si>
  <si>
    <t>Mycophenolic acid acyl-glucuronide esterase, mitochondrial</t>
  </si>
  <si>
    <t>Isoform 3 of UPF0515 protein C19orf66</t>
  </si>
  <si>
    <t>Transmembrane protein 106B</t>
  </si>
  <si>
    <t>Isoform 3 of Probable lysosomal cobalamin transporter</t>
  </si>
  <si>
    <t>Biogenesis of lysosome-related organelles complex 1 subunit 4</t>
  </si>
  <si>
    <t>Protein lin-7 homolog C</t>
  </si>
  <si>
    <t>Gamma-taxilin</t>
  </si>
  <si>
    <t>SPATS2-like protein</t>
  </si>
  <si>
    <t>Ufm1-specific protease 2</t>
  </si>
  <si>
    <t>Isoform 2 of ATP-binding cassette sub-family F member 3</t>
  </si>
  <si>
    <t>Protein FAM49B</t>
  </si>
  <si>
    <t>AP-5 complex subunit sigma-1</t>
  </si>
  <si>
    <t>ATP-dependent RNA helicase DDX19A</t>
  </si>
  <si>
    <t>TBC1 domain family member 23</t>
  </si>
  <si>
    <t>Probable 8-oxo-dGTP diphosphatase NUDT15</t>
  </si>
  <si>
    <t>Isoform 2 of Exocyst complex component 1</t>
  </si>
  <si>
    <t>Isoform 3 of Integrator complex subunit 9</t>
  </si>
  <si>
    <t>Cell cycle control protein 50A</t>
  </si>
  <si>
    <t>Ubiquinol-cytochrome c reductase complex chaperone CBP3 homolog</t>
  </si>
  <si>
    <t>Isoform 2 of Septin-11</t>
  </si>
  <si>
    <t>Transmembrane protein 184C</t>
  </si>
  <si>
    <t>Putative sodium-coupled neutral amino acid transporter 7</t>
  </si>
  <si>
    <t>Pantothenate kinase 4</t>
  </si>
  <si>
    <t>TBC1 domain family member 13</t>
  </si>
  <si>
    <t>Isoform 4 of Integrator complex subunit 7</t>
  </si>
  <si>
    <t>Trimethyllysine dioxygenase, mitochondrial</t>
  </si>
  <si>
    <t>Isoform 2 of ATPase family AAA domain-containing protein 3A</t>
  </si>
  <si>
    <t>ADP-ribosylation factor-like protein 8B</t>
  </si>
  <si>
    <t>Isoform 2 of FGFR1 oncogene partner 2</t>
  </si>
  <si>
    <t>Protein eva-1 homolog B</t>
  </si>
  <si>
    <t>Isoform 3 of Protein arginine N-methyltransferase 7</t>
  </si>
  <si>
    <t>DnaJ homolog subfamily C member 17</t>
  </si>
  <si>
    <t>Protein asunder homolog</t>
  </si>
  <si>
    <t>Fas apoptotic inhibitory molecule 1</t>
  </si>
  <si>
    <t>Kelch-like protein 11</t>
  </si>
  <si>
    <t>Protein kintoun</t>
  </si>
  <si>
    <t>Pyridoxine-5-phosphate oxidase</t>
  </si>
  <si>
    <t>E3 ubiquitin-protein ligase RLIM</t>
  </si>
  <si>
    <t>Notchless protein homolog 1</t>
  </si>
  <si>
    <t>Adaptin ear-binding coat-associated protein 2</t>
  </si>
  <si>
    <t>Anoctamin-10</t>
  </si>
  <si>
    <t>Pre-mRNA-splicing factor RBM22</t>
  </si>
  <si>
    <t>Isoform 4 of BSD domain-containing protein 1</t>
  </si>
  <si>
    <t>WD repeat-containing protein 70</t>
  </si>
  <si>
    <t>Transmembrane protein 51</t>
  </si>
  <si>
    <t>Isoform 2 of Arginine and glutamate-rich protein 1</t>
  </si>
  <si>
    <t>Transmembrane protein 248</t>
  </si>
  <si>
    <t>Transmembrane protein 242</t>
  </si>
  <si>
    <t>SAFB-like transcription modulator</t>
  </si>
  <si>
    <t>CUE domain-containing protein 1</t>
  </si>
  <si>
    <t>Peptidyl-prolyl cis-trans isomerase FKBP14</t>
  </si>
  <si>
    <t>Phosphoprotein associated with glycosphingolipid-enriched microdomains 1</t>
  </si>
  <si>
    <t>Uncharacterized protein C14orf119</t>
  </si>
  <si>
    <t>PIH1 domain-containing protein 1</t>
  </si>
  <si>
    <t>Protein FAM118A</t>
  </si>
  <si>
    <t>Hypoxia-inducible factor 1-alpha inhibitor</t>
  </si>
  <si>
    <t>3-oxoacyl-[acyl-carrier-protein] synthase, mitochondrial</t>
  </si>
  <si>
    <t>Glucose-induced degradation protein 8 homolog</t>
  </si>
  <si>
    <t>UPF0587 protein C1orf123</t>
  </si>
  <si>
    <t>Nicotinamide riboside kinase 1</t>
  </si>
  <si>
    <t>UPF0609 protein C4orf27</t>
  </si>
  <si>
    <t>Interleukin-1 receptor-associated kinase 4</t>
  </si>
  <si>
    <t>Gem-associated protein 8</t>
  </si>
  <si>
    <t>Thioredoxin-like protein 4B</t>
  </si>
  <si>
    <t>COMM domain-containing protein 8</t>
  </si>
  <si>
    <t>NADH dehydrogenase [ubiquinone] 1 beta subcomplex subunit 11, mitochondrial</t>
  </si>
  <si>
    <t>OCIA domain-containing protein 1</t>
  </si>
  <si>
    <t>Poly(ADP-ribose) glycohydrolase ARH3</t>
  </si>
  <si>
    <t>E3 ubiquitin-protein ligase MARCH5</t>
  </si>
  <si>
    <t>Huntingtin-interacting protein K</t>
  </si>
  <si>
    <t>Inositol monophosphatase 3</t>
  </si>
  <si>
    <t>Mediator of RNA polymerase II transcription subunit 29</t>
  </si>
  <si>
    <t>tRNA-dihydrouridine(20) synthase [NAD(P)+]-like</t>
  </si>
  <si>
    <t>WW domain binding protein 1-like</t>
  </si>
  <si>
    <t>NAD-dependent protein deacylase sirtuin-5, mitochondrial</t>
  </si>
  <si>
    <t>WD repeat-containing protein mio</t>
  </si>
  <si>
    <t>Palmitoyltransferase ZDHHC7</t>
  </si>
  <si>
    <t>Transmembrane prolyl 4-hydroxylase</t>
  </si>
  <si>
    <t>Torsin-4A</t>
  </si>
  <si>
    <t>tRNA (guanine(26)-N(2))-dimethyltransferase</t>
  </si>
  <si>
    <t>Pyroglutamyl-peptidase 1</t>
  </si>
  <si>
    <t>Isoform 2 of Ganglioside-induced differentiation-associated protein 2</t>
  </si>
  <si>
    <t>Isoform 2 of Nuclear distribution protein nudE homolog 1</t>
  </si>
  <si>
    <t>BRCA1-A complex subunit BRE</t>
  </si>
  <si>
    <t>ADP-ribosylation factor-like protein 15</t>
  </si>
  <si>
    <t>CDKN2A-interacting protein</t>
  </si>
  <si>
    <t>Alpha-ketoglutarate-dependent dioxygenase alkB homolog 4</t>
  </si>
  <si>
    <t>Serine/threonine-protein phosphatase 4 regulatory subunit 2</t>
  </si>
  <si>
    <t>Dipeptidyl peptidase 3</t>
  </si>
  <si>
    <t>Isoform 2 of Sphingosine kinase 1</t>
  </si>
  <si>
    <t>Telomeric repeat-binding factor 2-interacting protein 1</t>
  </si>
  <si>
    <t>Cytochrome c oxidase assembly factor 4 homolog, mitochondrial</t>
  </si>
  <si>
    <t>TGF-beta-activated kinase 1 and MAP3K7-binding protein 2</t>
  </si>
  <si>
    <t>39S ribosomal protein L39, mitochondrial</t>
  </si>
  <si>
    <t>Isoform 2 of Mitogen-activated protein kinase kinase kinase MLT</t>
  </si>
  <si>
    <t>Tropomodulin-3</t>
  </si>
  <si>
    <t>BET1-like protein</t>
  </si>
  <si>
    <t>Isoform 2 of UDP-glucose:glycoprotein glucosyltransferase 1</t>
  </si>
  <si>
    <t>Isoform 2 of FAST kinase domain-containing protein 2</t>
  </si>
  <si>
    <t>Very-long-chain enoyl-CoA reductase</t>
  </si>
  <si>
    <t>Endoplasmic reticulum aminopeptidase 1</t>
  </si>
  <si>
    <t>Isoform 2 of Endoplasmic reticulum aminopeptidase 1</t>
  </si>
  <si>
    <t>Ubiquitin-associated protein 1</t>
  </si>
  <si>
    <t>Actin-related protein 10</t>
  </si>
  <si>
    <t>Vesicle transport protein USE1</t>
  </si>
  <si>
    <t>CDGSH iron-sulfur domain-containing protein 1</t>
  </si>
  <si>
    <t>Podocalyxin-like protein 2</t>
  </si>
  <si>
    <t>Formin-2</t>
  </si>
  <si>
    <t>Uncharacterized protein C9orf78</t>
  </si>
  <si>
    <t>Isoform D of Constitutive coactivator of PPAR-gamma-like protein 1</t>
  </si>
  <si>
    <t>Glycerophosphodiester phosphodiesterase 1</t>
  </si>
  <si>
    <t>Glycolipid transfer protein</t>
  </si>
  <si>
    <t>Isoform 2 of Maspardin</t>
  </si>
  <si>
    <t>Hexaprenyldihydroxybenzoate methyltransferase, mitochondrial</t>
  </si>
  <si>
    <t>Isoform 2 of Mitochondrial carrier homolog 1</t>
  </si>
  <si>
    <t>Diphosphoinositol polyphosphate phosphohydrolase 2</t>
  </si>
  <si>
    <t>Hsp70-binding protein 1</t>
  </si>
  <si>
    <t>Methionine adenosyltransferase 2 subunit beta</t>
  </si>
  <si>
    <t>Isoform 6 of Myoferlin</t>
  </si>
  <si>
    <t>Isoform 2 of Intersectin-2</t>
  </si>
  <si>
    <t>EH domain-containing protein 3</t>
  </si>
  <si>
    <t>EH domain-containing protein 2</t>
  </si>
  <si>
    <t>Isoform 2 of Rho guanine nucleotide exchange factor 12</t>
  </si>
  <si>
    <t>Isoform 3 of Aryl-hydrocarbon-interacting protein-like 1</t>
  </si>
  <si>
    <t>Isoform 3 of NCK-interacting protein with SH3 domain</t>
  </si>
  <si>
    <t>Isoform 2 of Opioid growth factor receptor</t>
  </si>
  <si>
    <t>LIM and cysteine-rich domains protein 1</t>
  </si>
  <si>
    <t>Cysteine-rich motor neuron 1 protein</t>
  </si>
  <si>
    <t>MAGUK p55 subfamily member 6</t>
  </si>
  <si>
    <t>Charged multivesicular body protein 5</t>
  </si>
  <si>
    <t>COMM domain-containing protein 9</t>
  </si>
  <si>
    <t>Spliceosome-associated protein CWC15 homolog</t>
  </si>
  <si>
    <t>Thymocyte nuclear protein 1</t>
  </si>
  <si>
    <t>NADH dehydrogenase [ubiquinone] 1 alpha subcomplex assembly factor 4</t>
  </si>
  <si>
    <t>Very-long-chain (3R)-3-hydroxyacyl-[acyl-carrier protein] dehydratase 3</t>
  </si>
  <si>
    <t>ER membrane protein complex subunit 3</t>
  </si>
  <si>
    <t>[Pyruvate dehydrogenase [acetyl-transferring]]-phosphatase 1, mitochondrial</t>
  </si>
  <si>
    <t>E3 ubiquitin-protein ligase KCMF1</t>
  </si>
  <si>
    <t>Isoform 4 of Ankycorbin</t>
  </si>
  <si>
    <t>Vesicle-associated membrane protein-associated protein A</t>
  </si>
  <si>
    <t>E3 ubiquitin-protein ligase RNF181</t>
  </si>
  <si>
    <t>GSK3-beta interaction protein</t>
  </si>
  <si>
    <t>Cytochrome c oxidase assembly protein COX16 homolog, mitochondrial</t>
  </si>
  <si>
    <t>SH3 domain-binding protein 4</t>
  </si>
  <si>
    <t>Costars family protein ABRACL</t>
  </si>
  <si>
    <t>DNA-directed RNA polymerase I subunit RPA12</t>
  </si>
  <si>
    <t>Isoform 2 of Calcium-binding and coiled-coil domain-containing protein 1</t>
  </si>
  <si>
    <t>Vacuolar protein sorting-associated protein 18 homolog</t>
  </si>
  <si>
    <t>Protein RCC2</t>
  </si>
  <si>
    <t>Isoform 2 of LisH domain and HEAT repeat-containing protein KIAA1468</t>
  </si>
  <si>
    <t>Disco-interacting protein 2 homolog B</t>
  </si>
  <si>
    <t>Junctional protein associated with coronary artery disease</t>
  </si>
  <si>
    <t>BRCA2 and CDKN1A-interacting protein</t>
  </si>
  <si>
    <t>Isoform 2 of BRCA2 and CDKN1A-interacting protein</t>
  </si>
  <si>
    <t>Coatomer subunit zeta-2</t>
  </si>
  <si>
    <t>CTTNBP2 N-terminal-like protein</t>
  </si>
  <si>
    <t>Transmembrane protein 181</t>
  </si>
  <si>
    <t>Isoform 3 of HEAT repeat-containing protein 5B</t>
  </si>
  <si>
    <t>Protocadherin-10</t>
  </si>
  <si>
    <t>Ribosome-binding protein 1</t>
  </si>
  <si>
    <t>Isoform 1 of Ribosome-binding protein 1</t>
  </si>
  <si>
    <t>Cleavage and polyadenylation specificity factor subunit 2</t>
  </si>
  <si>
    <t>Isoform 2 of Eukaryotic translation initiation factor 2-alpha kinase 4</t>
  </si>
  <si>
    <t>RNA-binding protein 27</t>
  </si>
  <si>
    <t>Ankyrin repeat and FYVE domain-containing protein 1</t>
  </si>
  <si>
    <t>Dolichol-phosphate mannosyltransferase subunit 3</t>
  </si>
  <si>
    <t>Protein IMPACT</t>
  </si>
  <si>
    <t>Ataxin-10</t>
  </si>
  <si>
    <t>Neurochondrin</t>
  </si>
  <si>
    <t>Isoform 2 of Epidermal growth factor receptor substrate 15-like 1</t>
  </si>
  <si>
    <t>SUMO-activating enzyme subunit 1</t>
  </si>
  <si>
    <t>Coatomer subunit gamma-2</t>
  </si>
  <si>
    <t>RING-box protein 2</t>
  </si>
  <si>
    <t>Isoform 2 of Phosphatidylinositol 4-kinase beta</t>
  </si>
  <si>
    <t>C-type mannose receptor 2</t>
  </si>
  <si>
    <t>Guanine nucleotide-binding protein G(I)/G(S)/G(O) subunit gamma-12</t>
  </si>
  <si>
    <t>Isoform B of Methionine synthase reductase</t>
  </si>
  <si>
    <t>Protein UXT</t>
  </si>
  <si>
    <t>Isoform 2 of Copine-7</t>
  </si>
  <si>
    <t>7-dehydrocholesterol reductase</t>
  </si>
  <si>
    <t>Tumor necrosis factor receptor superfamily member 10D</t>
  </si>
  <si>
    <t>Isoform 3 of Spastin</t>
  </si>
  <si>
    <t>tRNA (guanine-N(7)-)-methyltransferase</t>
  </si>
  <si>
    <t>Isoform 4 of PTB domain-containing engulfment adapter protein 1</t>
  </si>
  <si>
    <t>Vacuolar protein sorting-associated protein 29</t>
  </si>
  <si>
    <t>Glyoxylate reductase/hydroxypyruvate reductase</t>
  </si>
  <si>
    <t>Cathepsin Z</t>
  </si>
  <si>
    <t>E3 ubiquitin-protein ligase RNF14</t>
  </si>
  <si>
    <t>SUN domain-containing ossification factor</t>
  </si>
  <si>
    <t>SUMO-activating enzyme subunit 2</t>
  </si>
  <si>
    <t>Isoform 2 of Alpha-catulin</t>
  </si>
  <si>
    <t>Protein FAM8A1</t>
  </si>
  <si>
    <t>Protein sel-1 homolog 1</t>
  </si>
  <si>
    <t>Peflin</t>
  </si>
  <si>
    <t>COP9 signalosome complex subunit 7a</t>
  </si>
  <si>
    <t>Heat shock protein beta-7</t>
  </si>
  <si>
    <t>Alpha-aminoadipic semialdehyde synthase, mitochondrial</t>
  </si>
  <si>
    <t>Isoform 2 of CAP-Gly domain-containing linker protein 2</t>
  </si>
  <si>
    <t>Isoform 6 of Tight junction protein ZO-2</t>
  </si>
  <si>
    <t>DnaJ homolog subfamily B member 4</t>
  </si>
  <si>
    <t>Mucosa-associated lymphoid tissue lymphoma translocation protein 1</t>
  </si>
  <si>
    <t>Craniofacial development protein 1</t>
  </si>
  <si>
    <t>Myelin protein zero-like protein 1 (Fragment)</t>
  </si>
  <si>
    <t>Vesicle transport through interaction with t-SNAREs homolog 1B</t>
  </si>
  <si>
    <t>STE20/SPS1-related proline-alanine-rich protein kinase</t>
  </si>
  <si>
    <t>Isoform 1 of Gamma-adducin</t>
  </si>
  <si>
    <t>Protein NipSnap homolog 3A</t>
  </si>
  <si>
    <t>CGG triplet repeat-binding protein 1</t>
  </si>
  <si>
    <t>Isoform 2 of Phosphatidylserine decarboxylase proenzyme</t>
  </si>
  <si>
    <t>ATP-binding cassette sub-family F member 2</t>
  </si>
  <si>
    <t>Regulator of G-protein signaling 17</t>
  </si>
  <si>
    <t>Isoform 4 of Peptide chain release factor 1-like, mitochondrial</t>
  </si>
  <si>
    <t>Testin</t>
  </si>
  <si>
    <t>Secretion-regulating guanine nucleotide exchange factor</t>
  </si>
  <si>
    <t>LIM domain-containing protein 1</t>
  </si>
  <si>
    <t>Translocation protein SEC63 homolog</t>
  </si>
  <si>
    <t>Isoform 2 of Calcium channel flower homolog</t>
  </si>
  <si>
    <t>Isoform 2 of Solute carrier family 2, facilitated glucose transporter member 6</t>
  </si>
  <si>
    <t>Sushi domain-containing protein 2</t>
  </si>
  <si>
    <t>Isoform 2 of Transcription factor 20</t>
  </si>
  <si>
    <t>Protein NDRG3</t>
  </si>
  <si>
    <t>Armadillo repeat-containing X-linked protein 3</t>
  </si>
  <si>
    <t>Switch-associated protein 70</t>
  </si>
  <si>
    <t>SUN domain-containing protein 2</t>
  </si>
  <si>
    <t>Ragulator complex protein LAMTOR3</t>
  </si>
  <si>
    <t>LIM domain and actin-binding protein 1</t>
  </si>
  <si>
    <t>Isoform 4 of LIM domain and actin-binding protein 1</t>
  </si>
  <si>
    <t>Isoform 2 of AF4/FMR2 family member 4</t>
  </si>
  <si>
    <t>Cysteine and histidine-rich domain-containing protein 1</t>
  </si>
  <si>
    <t>Serine/threonine-protein kinase TBK1</t>
  </si>
  <si>
    <t>Isoform 5 of Septin-9</t>
  </si>
  <si>
    <t>Ubiquilin-2</t>
  </si>
  <si>
    <t>Metalloreductase STEAP1</t>
  </si>
  <si>
    <t>Prenylcysteine oxidase 1</t>
  </si>
  <si>
    <t>A disintegrin and metalloproteinase with thrombospondin motifs 1</t>
  </si>
  <si>
    <t>Sedoheptulokinase</t>
  </si>
  <si>
    <t>Dipeptidyl peptidase 2</t>
  </si>
  <si>
    <t>Transmembrane protein 2</t>
  </si>
  <si>
    <t>Ubiquitin carboxyl-terminal hydrolase 25</t>
  </si>
  <si>
    <t>B-cell receptor-associated protein 29</t>
  </si>
  <si>
    <t>NADH-cytochrome b5 reductase 1</t>
  </si>
  <si>
    <t>Brain-specific angiogenesis inhibitor 1-associated protein 2-like protein 1</t>
  </si>
  <si>
    <t>Prefoldin subunit 2</t>
  </si>
  <si>
    <t>GPN-loop GTPase 3</t>
  </si>
  <si>
    <t>Isoform 4 of Poly(U)-binding-splicing factor PUF60</t>
  </si>
  <si>
    <t>Nuclear receptor-binding protein</t>
  </si>
  <si>
    <t>Enolase-phosphatase E1</t>
  </si>
  <si>
    <t>Fasciculation and elongation protein zeta-2</t>
  </si>
  <si>
    <t>Ena/VASP-like protein</t>
  </si>
  <si>
    <t>Isoform 2 of V-type proton ATPase subunit H</t>
  </si>
  <si>
    <t>Transgelin-3</t>
  </si>
  <si>
    <t>Importin-11</t>
  </si>
  <si>
    <t>tRNA methyltransferase 112 homolog</t>
  </si>
  <si>
    <t>Isoform 2 of Carboxypeptidase A4</t>
  </si>
  <si>
    <t>Leucine carboxyl methyltransferase 1</t>
  </si>
  <si>
    <t>ATPase inhibitor, mitochondrial</t>
  </si>
  <si>
    <t>GTP:AMP phosphotransferase AK3, mitochondrial</t>
  </si>
  <si>
    <t>Isoform 3 of Short coiled-coil protein</t>
  </si>
  <si>
    <t>FK506-binding protein-like</t>
  </si>
  <si>
    <t>Isoform 3 of Leucyl-cystinyl aminopeptidase</t>
  </si>
  <si>
    <t>Gamma-glutamyltransferase 7</t>
  </si>
  <si>
    <t>Isoform 5 of Mitochondrial peptide methionine sulfoxide reductase</t>
  </si>
  <si>
    <t>N-acetyl-D-glucosamine kinase</t>
  </si>
  <si>
    <t>tRNA (adenine(58)-N(1))-methyltransferase non-catalytic subunit TRM6</t>
  </si>
  <si>
    <t>SH3 domain-binding glutamic acid-rich-like protein 2</t>
  </si>
  <si>
    <t>Isoform 2 of Motile sperm domain-containing protein 1</t>
  </si>
  <si>
    <t>N-acetylglucosamine-1-phosphotransferase subunit gamma</t>
  </si>
  <si>
    <t>ERBB receptor feedback inhibitor 1</t>
  </si>
  <si>
    <t>Isoform 2 of Kelch-like protein 21</t>
  </si>
  <si>
    <t>Calcium-binding mitochondrial carrier protein Aralar2</t>
  </si>
  <si>
    <t>Tubulin epsilon chain</t>
  </si>
  <si>
    <t>Drebrin-like protein</t>
  </si>
  <si>
    <t>Isoform 2 of Drebrin-like protein</t>
  </si>
  <si>
    <t>Isoform 2 of Dynactin subunit 4</t>
  </si>
  <si>
    <t>Cell division cycle protein 23 homolog</t>
  </si>
  <si>
    <t>Isoform 2 of Anaphase-promoting complex subunit 2</t>
  </si>
  <si>
    <t>Heat shock protein beta-8</t>
  </si>
  <si>
    <t>ADP-ribosylation factor-binding protein GGA2</t>
  </si>
  <si>
    <t>Isoform 4 of ADP-ribosylation factor-binding protein GGA1</t>
  </si>
  <si>
    <t>Stomatin-like protein 2, mitochondrial</t>
  </si>
  <si>
    <t>Isoform 2 of N-acetylglucosamine-1-phosphodiester alpha-N-acetylglucosaminidase</t>
  </si>
  <si>
    <t>Nocturnin</t>
  </si>
  <si>
    <t>Vacuolar protein sorting-associated protein 28 homolog</t>
  </si>
  <si>
    <t>U6 snRNA-associated Sm-like protein LSm7</t>
  </si>
  <si>
    <t>Lariat debranching enzyme</t>
  </si>
  <si>
    <t>Hematological and neurological expressed 1 protein</t>
  </si>
  <si>
    <t>Isoform 3 of F-box only protein 9</t>
  </si>
  <si>
    <t>F-box only protein 3</t>
  </si>
  <si>
    <t>A-kinase anchor protein 11</t>
  </si>
  <si>
    <t>DnaJ homolog subfamily C member 12</t>
  </si>
  <si>
    <t>F-box/LRR-repeat protein 2</t>
  </si>
  <si>
    <t>Isoform 5 of TRAF2 and NCK-interacting protein kinase</t>
  </si>
  <si>
    <t>Cleavage and polyadenylation specificity factor subunit 3</t>
  </si>
  <si>
    <t>DCC-interacting protein 13-alpha</t>
  </si>
  <si>
    <t>Peroxisomal carnitine O-octanoyltransferase</t>
  </si>
  <si>
    <t>G patch domain-containing protein 8</t>
  </si>
  <si>
    <t>Poly [ADP-ribose] polymerase 4</t>
  </si>
  <si>
    <t>ADP-sugar pyrophosphatase</t>
  </si>
  <si>
    <t>Phosphatidylcholine transfer protein</t>
  </si>
  <si>
    <t>Protein kinase C and casein kinase substrate in neurons protein 3</t>
  </si>
  <si>
    <t>Isoform 2 of F-box only protein 5</t>
  </si>
  <si>
    <t>F-box only protein 4</t>
  </si>
  <si>
    <t>Thyrotropin-releasing hormone-degrading ectoenzyme</t>
  </si>
  <si>
    <t>Isobutyryl-CoA dehydrogenase, mitochondrial</t>
  </si>
  <si>
    <t>Angiopoietin-related protein 2</t>
  </si>
  <si>
    <t>Protein argonaute-2</t>
  </si>
  <si>
    <t>Isoform 2 of Nuclear pore complex protein Nup50</t>
  </si>
  <si>
    <t>Protein CDV3 homolog</t>
  </si>
  <si>
    <t>CCR4-NOT transcription complex subunit 11</t>
  </si>
  <si>
    <t>BAG family molecular chaperone regulator 5</t>
  </si>
  <si>
    <t>Ras-related protein Rab-21</t>
  </si>
  <si>
    <t>Ras-related protein Rab-22A</t>
  </si>
  <si>
    <t>Proteasome activator complex subunit 2</t>
  </si>
  <si>
    <t>Ras-related protein Rab-23</t>
  </si>
  <si>
    <t>Malignant T-cell-amplified sequence 1</t>
  </si>
  <si>
    <t>Probable palmitoyltransferase ZDHHC8</t>
  </si>
  <si>
    <t>Zinc transporter ZIP10</t>
  </si>
  <si>
    <t>Isoform 5 of Kinase D-interacting substrate of 220 kDa</t>
  </si>
  <si>
    <t>Arf-GAP with SH3 domain, ANK repeat and PH domain-containing protein 1</t>
  </si>
  <si>
    <t>Isoform 4 of MKL/myocardin-like protein 2</t>
  </si>
  <si>
    <t>Protein HEG homolog 1</t>
  </si>
  <si>
    <t>Zinc finger MIZ domain-containing protein 1</t>
  </si>
  <si>
    <t>Isoform 2 of TBC1 domain family member 24</t>
  </si>
  <si>
    <t>Pre-mRNA-splicing factor ISY1 homolog</t>
  </si>
  <si>
    <t>E3 ubiquitin-protein ligase HECTD1</t>
  </si>
  <si>
    <t>Coronin-1C</t>
  </si>
  <si>
    <t>Isoform 2 of Apoptosis-associated speck-like protein containing a CARD</t>
  </si>
  <si>
    <t>Anaphase-promoting complex subunit 10</t>
  </si>
  <si>
    <t>Neurogenic locus notch homolog protein 3</t>
  </si>
  <si>
    <t>Isoform 5 of Unconventional myosin-VI</t>
  </si>
  <si>
    <t>Intercellular adhesion molecule 5</t>
  </si>
  <si>
    <t>Isoform 3 of NFU1 iron-sulfur cluster scaffold homolog, mitochondrial</t>
  </si>
  <si>
    <t>Pre-mRNA-processing factor 19</t>
  </si>
  <si>
    <t>Synaptopodin-2</t>
  </si>
  <si>
    <t>Ubiquilin-1</t>
  </si>
  <si>
    <t>Suppressor of fused homolog</t>
  </si>
  <si>
    <t>Neudesin</t>
  </si>
  <si>
    <t>Isoform 2 of Sorting nexin-12</t>
  </si>
  <si>
    <t>Isoform 5 of Synergin gamma</t>
  </si>
  <si>
    <t>Vacuolar protein sorting-associated protein 4A</t>
  </si>
  <si>
    <t>E3 ubiquitin-protein ligase CHIP</t>
  </si>
  <si>
    <t>Isoform 2 of E3 ubiquitin-protein ligase CHIP</t>
  </si>
  <si>
    <t>Protein kinase C and casein kinase substrate in neurons protein 2</t>
  </si>
  <si>
    <t>Melanoma-associated antigen D2</t>
  </si>
  <si>
    <t>Sorting nexin-7</t>
  </si>
  <si>
    <t>Sorting nexin-6</t>
  </si>
  <si>
    <t>Dual specificity protein phosphatase 12</t>
  </si>
  <si>
    <t>Syntaxin-8</t>
  </si>
  <si>
    <t>26S proteasome non-ATPase regulatory subunit 13</t>
  </si>
  <si>
    <t>FAS-associated factor 1</t>
  </si>
  <si>
    <t>Endothelial protein C receptor</t>
  </si>
  <si>
    <t>Peptidyl-prolyl cis-trans isomerase E</t>
  </si>
  <si>
    <t>COP9 signalosome complex subunit 3</t>
  </si>
  <si>
    <t>Multiple inositol polyphosphate phosphatase 1</t>
  </si>
  <si>
    <t>NSFL1 cofactor p47</t>
  </si>
  <si>
    <t>Isoform 3 of NSFL1 cofactor p47</t>
  </si>
  <si>
    <t>Frizzled-1</t>
  </si>
  <si>
    <t>A disintegrin and metalloproteinase with thrombospondin motifs 8</t>
  </si>
  <si>
    <t>Conserved oligomeric Golgi complex subunit 5</t>
  </si>
  <si>
    <t>Isoform 5 of Solute carrier family 12 member 4</t>
  </si>
  <si>
    <t>Protein SCAF8</t>
  </si>
  <si>
    <t>Serine/threonine-protein phosphatase 6 regulatory subunit 1</t>
  </si>
  <si>
    <t>Isoform Beta of E3 ubiquitin-protein ligase TRIM33</t>
  </si>
  <si>
    <t>Isoform 2 of Uncharacterized protein KIAA1107</t>
  </si>
  <si>
    <t>Isoform 10 of LIM and calponin homology domains-containing protein 1</t>
  </si>
  <si>
    <t>Isoform 6 of LIM and calponin homology domains-containing protein 1</t>
  </si>
  <si>
    <t>Isoform 2 of Trinucleotide repeat-containing gene 6B protein</t>
  </si>
  <si>
    <t>Isoform 2 of Exocyst complex component 7</t>
  </si>
  <si>
    <t>Ubiquitin carboxyl-terminal hydrolase 24</t>
  </si>
  <si>
    <t>Isoform 2 of TBC1 domain family member 2B</t>
  </si>
  <si>
    <t>Microtubule-associated protein RP/EB family member 3</t>
  </si>
  <si>
    <t>Isoform 2 of Hermansky-Pudlak syndrome 5 protein</t>
  </si>
  <si>
    <t>Isoform 2 of Leucine-rich repeat protein SHOC-2</t>
  </si>
  <si>
    <t>Serine/arginine repetitive matrix protein 2</t>
  </si>
  <si>
    <t>Proliferation-associated protein 2G4</t>
  </si>
  <si>
    <t>Paraplegin</t>
  </si>
  <si>
    <t>Isoform 2 of GRB2-associated-binding protein 2</t>
  </si>
  <si>
    <t>Structural maintenance of chromosomes protein 3</t>
  </si>
  <si>
    <t>Charged multivesicular body protein 2b</t>
  </si>
  <si>
    <t>Myotubularin-related protein 6</t>
  </si>
  <si>
    <t>Isoform 3 of Bifunctional UDP-N-acetylglucosamine 2-epimerase/N-acetylmannosamine kinase</t>
  </si>
  <si>
    <t>UPF0568 protein C14orf166</t>
  </si>
  <si>
    <t>RuvB-like 2</t>
  </si>
  <si>
    <t>Peptidyl-prolyl cis-trans isomerase NIMA-interacting 4</t>
  </si>
  <si>
    <t>HIG1 domain family member 1A, mitochondrial</t>
  </si>
  <si>
    <t>Isoform 2 of RAC-gamma serine/threonine-protein kinase</t>
  </si>
  <si>
    <t>Choline/ethanolamine kinase</t>
  </si>
  <si>
    <t>Phospholipase A-2-activating protein</t>
  </si>
  <si>
    <t>RuvB-like 1</t>
  </si>
  <si>
    <t>Nuclear migration protein nudC</t>
  </si>
  <si>
    <t>Mitochondrial chaperone BCS1</t>
  </si>
  <si>
    <t>Cofilin-2</t>
  </si>
  <si>
    <t>Histone chaperone ASF1A</t>
  </si>
  <si>
    <t>Developmentally-regulated GTP-binding protein 1</t>
  </si>
  <si>
    <t>Trafficking protein particle complex subunit 4</t>
  </si>
  <si>
    <t>Nck-associated protein 1</t>
  </si>
  <si>
    <t>Protein canopy homolog 2</t>
  </si>
  <si>
    <t>Uronyl 2-sulfotransferase</t>
  </si>
  <si>
    <t>Nuclease EXOG, mitochondrial</t>
  </si>
  <si>
    <t>Carbonic anhydrase 5B, mitochondrial</t>
  </si>
  <si>
    <t>Exocyst complex component 6B</t>
  </si>
  <si>
    <t>Isoform 4 of A-kinase anchor protein 2</t>
  </si>
  <si>
    <t>Disco-interacting protein 2 homolog C</t>
  </si>
  <si>
    <t>Epididymis-specific alpha-mannosidase</t>
  </si>
  <si>
    <t>Caspase recruitment domain-containing protein 8</t>
  </si>
  <si>
    <t>Probable phospholipid-transporting ATPase IF</t>
  </si>
  <si>
    <t>GDP-fucose protein O-fucosyltransferase 2</t>
  </si>
  <si>
    <t>Serine/threonine-protein kinase 38-like</t>
  </si>
  <si>
    <t>Phosphatidylinositide phosphatase SAC2</t>
  </si>
  <si>
    <t>Isoform 2 of Fibronectin type-III domain-containing protein 3A</t>
  </si>
  <si>
    <t>Nischarin</t>
  </si>
  <si>
    <t>Isoform B of Band 4.1-like protein 3</t>
  </si>
  <si>
    <t>Angiomotin-like protein 2</t>
  </si>
  <si>
    <t>Ubiquitin carboxyl-terminal hydrolase 20</t>
  </si>
  <si>
    <t>Exosome complex exonuclease RRP44</t>
  </si>
  <si>
    <t>Glutathione S-transferase kappa 1</t>
  </si>
  <si>
    <t>Ragulator complex protein LAMTOR2</t>
  </si>
  <si>
    <t>28S ribosomal protein S28, mitochondrial</t>
  </si>
  <si>
    <t>Cytochrome c oxidase assembly protein 3 homolog, mitochondrial</t>
  </si>
  <si>
    <t>Isoform 2 of Lambda-crystallin homolog</t>
  </si>
  <si>
    <t>Translation machinery-associated protein 7</t>
  </si>
  <si>
    <t>Polymerase delta-interacting protein 2</t>
  </si>
  <si>
    <t>AP-3 complex subunit mu-1</t>
  </si>
  <si>
    <t>Mitogen-activated protein kinase kinase kinase 2</t>
  </si>
  <si>
    <t>Inner nuclear membrane protein Man1</t>
  </si>
  <si>
    <t>Conserved oligomeric Golgi complex subunit 6</t>
  </si>
  <si>
    <t>Thyroid hormone receptor-associated protein 3</t>
  </si>
  <si>
    <t>Suppressor of G2 allele of SKP1 homolog</t>
  </si>
  <si>
    <t>Isoform 2 of Suppressor of G2 allele of SKP1 homolog</t>
  </si>
  <si>
    <t>Tyrosine--tRNA ligase, mitochondrial</t>
  </si>
  <si>
    <t>Isoform 3 of Ubiquinone biosynthesis monooxygenase COQ6</t>
  </si>
  <si>
    <t>Putative N-acetylglucosamine-6-phosphate deacetylase</t>
  </si>
  <si>
    <t>Acyl-coenzyme A thioesterase 9, mitochondrial</t>
  </si>
  <si>
    <t>Nitric oxide synthase-interacting protein</t>
  </si>
  <si>
    <t>Protein MEMO1</t>
  </si>
  <si>
    <t>Isoform 2 of Thioredoxin-related transmembrane protein 2</t>
  </si>
  <si>
    <t>U6 snRNA-associated Sm-like protein LSm2</t>
  </si>
  <si>
    <t>Endophilin-B1</t>
  </si>
  <si>
    <t>Complex I intermediate-associated protein 30, mitochondrial</t>
  </si>
  <si>
    <t>Calcium-binding protein 39</t>
  </si>
  <si>
    <t>Putative RNA-binding protein Luc7-like 2</t>
  </si>
  <si>
    <t>Ubiquitin-conjugating enzyme E2 J1</t>
  </si>
  <si>
    <t>Isoform 2 of Dehydrogenase/reductase SDR family member 7</t>
  </si>
  <si>
    <t>Isoform 3 of MOB-like protein phocein</t>
  </si>
  <si>
    <t>Ribosome maturation protein SBDS</t>
  </si>
  <si>
    <t>Transmembrane emp24 domain-containing protein 7</t>
  </si>
  <si>
    <t>RRP15-like protein</t>
  </si>
  <si>
    <t>Nucleolar protein 16</t>
  </si>
  <si>
    <t>Isoform 2 of TP53RK-binding protein</t>
  </si>
  <si>
    <t>RING finger protein 11</t>
  </si>
  <si>
    <t>Peptidyl-prolyl cis-trans isomerase-like 1</t>
  </si>
  <si>
    <t>Ubiquitin-fold modifier-conjugating enzyme 1</t>
  </si>
  <si>
    <t>Mitotic spindle-associated MMXD complex subunit MIP18</t>
  </si>
  <si>
    <t>Methionine-R-sulfoxide reductase B2, mitochondrial</t>
  </si>
  <si>
    <t>Mitochondrial fission 1 protein</t>
  </si>
  <si>
    <t>Adenylate kinase isoenzyme 6</t>
  </si>
  <si>
    <t>Vesicle transport protein GOT1B</t>
  </si>
  <si>
    <t>Hepatoma-derived growth factor-related protein 3</t>
  </si>
  <si>
    <t>BolA-like protein 1</t>
  </si>
  <si>
    <t>Charged multivesicular body protein 3</t>
  </si>
  <si>
    <t>Serine-threonine kinase receptor-associated protein</t>
  </si>
  <si>
    <t>tRNA-splicing ligase RtcB homolog</t>
  </si>
  <si>
    <t>F-box only protein 7</t>
  </si>
  <si>
    <t>SH3 domain-binding protein 1</t>
  </si>
  <si>
    <t>Ras-related protein Rap-2c</t>
  </si>
  <si>
    <t>Isoform 3 of StAR-related lipid transfer protein 13</t>
  </si>
  <si>
    <t>Rhomboid domain-containing protein 3</t>
  </si>
  <si>
    <t>Rab GTPase-activating protein 1</t>
  </si>
  <si>
    <t>Transmembrane emp24 domain-containing protein 3</t>
  </si>
  <si>
    <t>TSC22 domain family protein 4</t>
  </si>
  <si>
    <t>Zinc finger protein 330</t>
  </si>
  <si>
    <t>R3H and coiled-coil domain-containing protein 1</t>
  </si>
  <si>
    <t>Nucleolar complex protein 2 homolog</t>
  </si>
  <si>
    <t>60S ribosomal protein L36</t>
  </si>
  <si>
    <t>Coiled-coil domain-containing protein 9</t>
  </si>
  <si>
    <t>Pygopus homolog 1</t>
  </si>
  <si>
    <t>Isoform 4 of Deoxynucleoside triphosphate triphosphohydrolase SAMHD1</t>
  </si>
  <si>
    <t>Isoform 3 of HBS1-like protein</t>
  </si>
  <si>
    <t>5-AMP-activated protein kinase subunit beta-1</t>
  </si>
  <si>
    <t>Talin-1</t>
  </si>
  <si>
    <t>Protein SOGA2</t>
  </si>
  <si>
    <t>Isoform 2 of Protein FAM115A</t>
  </si>
  <si>
    <t>Isoform 2 of WASH complex subunit FAM21C</t>
  </si>
  <si>
    <t>Ubiquitin carboxyl-terminal hydrolase 15</t>
  </si>
  <si>
    <t>FERM, RhoGEF and pleckstrin domain-containing protein 1</t>
  </si>
  <si>
    <t>Talin-2</t>
  </si>
  <si>
    <t>Rap guanine nucleotide exchange factor 2</t>
  </si>
  <si>
    <t>Insulin receptor substrate 2</t>
  </si>
  <si>
    <t>Lysyl oxidase homolog 2</t>
  </si>
  <si>
    <t>Absent in melanoma 1 protein</t>
  </si>
  <si>
    <t>Mitogen-activated protein kinase kinase kinase kinase 5</t>
  </si>
  <si>
    <t>Isoform 6 of Cysteine protease ATG4B</t>
  </si>
  <si>
    <t>Isoform 4 of WD repeat domain phosphoinositide-interacting protein 2</t>
  </si>
  <si>
    <t>Methylmalonic aciduria and homocystinuria type C protein</t>
  </si>
  <si>
    <t>AFG3-like protein 2</t>
  </si>
  <si>
    <t>E3 ubiquitin-protein ligase ARIH1</t>
  </si>
  <si>
    <t>U6 snRNA-associated Sm-like protein LSm4</t>
  </si>
  <si>
    <t>RING finger protein 114</t>
  </si>
  <si>
    <t>Cold shock domain-containing protein C2</t>
  </si>
  <si>
    <t>Protein phosphatase methylesterase 1</t>
  </si>
  <si>
    <t>Mitochondrial import inner membrane translocase subunit Tim22</t>
  </si>
  <si>
    <t>Isoform 3 of BTB/POZ domain-containing protein KCTD3</t>
  </si>
  <si>
    <t>Isoform 2 of YTH domain family protein 2</t>
  </si>
  <si>
    <t>RNA polymerase II subunit A C-terminal domain phosphatase</t>
  </si>
  <si>
    <t>Isoform 2 of Nucleoside diphosphate kinase 7</t>
  </si>
  <si>
    <t>Pleckstrin homology-like domain family A member 3</t>
  </si>
  <si>
    <t>Mitochondrial import inner membrane translocase subunit Tim10 B</t>
  </si>
  <si>
    <t>Mitochondrial import inner membrane translocase subunit Tim9</t>
  </si>
  <si>
    <t>Isoform 2 of Ubiquitin carboxyl-terminal hydrolase isozyme L5</t>
  </si>
  <si>
    <t>CD2-associated protein</t>
  </si>
  <si>
    <t>V-type proton ATPase subunit D</t>
  </si>
  <si>
    <t>Transportin-3</t>
  </si>
  <si>
    <t>Mitochondrial import inner membrane translocase subunit Tim13</t>
  </si>
  <si>
    <t>Signal recognition particle receptor subunit beta</t>
  </si>
  <si>
    <t>HemK methyltransferase family member 2</t>
  </si>
  <si>
    <t>Isoform 2 of Collagen type IV alpha-3-binding protein</t>
  </si>
  <si>
    <t>Mannose-1-phosphate guanyltransferase beta</t>
  </si>
  <si>
    <t>Trafficking protein particle complex subunit 1</t>
  </si>
  <si>
    <t>Transient receptor potential cation channel subfamily V member 2</t>
  </si>
  <si>
    <t>Serine/threonine-protein kinase MRCK beta</t>
  </si>
  <si>
    <t>RNA-binding protein 8A</t>
  </si>
  <si>
    <t>Isoform 2 of Protein TSSC4</t>
  </si>
  <si>
    <t>Immediate early response 3-interacting protein 1</t>
  </si>
  <si>
    <t>Melanoma-associated antigen D1</t>
  </si>
  <si>
    <t>Sorting nexin-9</t>
  </si>
  <si>
    <t>Sorting nexin-8</t>
  </si>
  <si>
    <t>Sorting nexin-5</t>
  </si>
  <si>
    <t>Cytosolic Fe-S cluster assembly factor NUBP2</t>
  </si>
  <si>
    <t>Heme-binding protein 2</t>
  </si>
  <si>
    <t>MORF4 family-associated protein 1</t>
  </si>
  <si>
    <t>Isoform 4 of Leucine-rich repeat flightless-interacting protein 2</t>
  </si>
  <si>
    <t>FH1/FH2 domain-containing protein 1</t>
  </si>
  <si>
    <t>Phosphoserine aminotransferase</t>
  </si>
  <si>
    <t>Mitochondrial ornithine transporter 1</t>
  </si>
  <si>
    <t>Glypican-6</t>
  </si>
  <si>
    <t>Isoform 1 of Neuroplastin</t>
  </si>
  <si>
    <t>Carboxypeptidase Q</t>
  </si>
  <si>
    <t>Dolichyl-phosphate beta-glucosyltransferase</t>
  </si>
  <si>
    <t>Coatomer subunit gamma-1</t>
  </si>
  <si>
    <t>Ancient ubiquitous protein 1</t>
  </si>
  <si>
    <t>Isoform 2 of Peptidyl-prolyl cis-trans isomerase FKBP7</t>
  </si>
  <si>
    <t>Lipoma HMGIC fusion partner</t>
  </si>
  <si>
    <t>Chloride intracellular channel protein 4</t>
  </si>
  <si>
    <t>Isoform Cytoplasmic of Cysteine desulfurase, mitochondrial</t>
  </si>
  <si>
    <t>UPF0468 protein C16orf80</t>
  </si>
  <si>
    <t>EMILIN-1</t>
  </si>
  <si>
    <t>Mitochondrial carrier homolog 2</t>
  </si>
  <si>
    <t>Brefeldin A-inhibited guanine nucleotide-exchange protein 2</t>
  </si>
  <si>
    <t>Brefeldin A-inhibited guanine nucleotide-exchange protein 1</t>
  </si>
  <si>
    <t>Mitotic spindle assembly checkpoint protein MAD1</t>
  </si>
  <si>
    <t>Isoform A of Serine/threonine-protein kinase 24</t>
  </si>
  <si>
    <t>COMM domain-containing protein 10</t>
  </si>
  <si>
    <t>Cytoplasmic dynein 1 light intermediate chain 1</t>
  </si>
  <si>
    <t>Coiled-coil-helix-coiled-coil-helix domain-containing protein 2, mitochondrial</t>
  </si>
  <si>
    <t>Epsin-1</t>
  </si>
  <si>
    <t>Testis-expressed sequence 264 protein</t>
  </si>
  <si>
    <t>Isoform 3 of Adenylate kinase isoenzyme 5</t>
  </si>
  <si>
    <t>Zinc transporter 1</t>
  </si>
  <si>
    <t>Cytochrome c oxidase assembly protein COX11, mitochondrial</t>
  </si>
  <si>
    <t>Sulfide:quinone oxidoreductase, mitochondrial</t>
  </si>
  <si>
    <t>Isoform 5 of Roundabout homolog 1</t>
  </si>
  <si>
    <t>Isoform T1 of Sestrin-1</t>
  </si>
  <si>
    <t>Isoform 5 of Nuclear receptor coactivator 3</t>
  </si>
  <si>
    <t>Numb-like protein</t>
  </si>
  <si>
    <t>Isoform 2 of Protein piccolo</t>
  </si>
  <si>
    <t>Calpain-7</t>
  </si>
  <si>
    <t>Wiskott-Aldrich syndrome protein family member 2</t>
  </si>
  <si>
    <t>Bis(5-adenosyl)-triphosphatase ENPP4</t>
  </si>
  <si>
    <t>Motile sperm domain-containing protein 2</t>
  </si>
  <si>
    <t>26S proteasome non-ATPase regulatory subunit 8</t>
  </si>
  <si>
    <t>GDH/6PGL endoplasmic bifunctional protein</t>
  </si>
  <si>
    <t>Polycomb complex protein BMI-1</t>
  </si>
  <si>
    <t>Ran-binding protein 10</t>
  </si>
  <si>
    <t>Neuroblastoma suppressor of tumorigenicity 1 (Fragment)</t>
  </si>
  <si>
    <t>YTH domain family protein 3</t>
  </si>
  <si>
    <t>Protein S100-A6 (Fragment)</t>
  </si>
  <si>
    <t>DENN domain-containing protein 4C</t>
  </si>
  <si>
    <t>F-box only protein 2 (Fragment)</t>
  </si>
  <si>
    <t>26S protease regulatory subunit 6A</t>
  </si>
  <si>
    <t>TMEM129</t>
  </si>
  <si>
    <t>UBA6</t>
  </si>
  <si>
    <t>UHRF1BP1L</t>
  </si>
  <si>
    <t>ARHGAP10</t>
  </si>
  <si>
    <t>MARVELD2</t>
  </si>
  <si>
    <t>ILVBL</t>
  </si>
  <si>
    <t>C17orf89</t>
  </si>
  <si>
    <t>SH3PXD2B</t>
  </si>
  <si>
    <t>ACO2</t>
  </si>
  <si>
    <t>AAR2</t>
  </si>
  <si>
    <t>PRNP</t>
  </si>
  <si>
    <t>HLA-DQB1</t>
  </si>
  <si>
    <t>NBAS</t>
  </si>
  <si>
    <t>C12orf69</t>
  </si>
  <si>
    <t>KIAA1467</t>
  </si>
  <si>
    <t>FUOM</t>
  </si>
  <si>
    <t>SBNO1</t>
  </si>
  <si>
    <t>ISPD</t>
  </si>
  <si>
    <t>UCC1</t>
  </si>
  <si>
    <t>MBLAC1</t>
  </si>
  <si>
    <t>XIRP2</t>
  </si>
  <si>
    <t>CNOT1</t>
  </si>
  <si>
    <t>RAB3GAP1</t>
  </si>
  <si>
    <t>PGP</t>
  </si>
  <si>
    <t>C5orf51</t>
  </si>
  <si>
    <t>RCCD1</t>
  </si>
  <si>
    <t>HCFC1</t>
  </si>
  <si>
    <t>TSPAN14</t>
  </si>
  <si>
    <t>FAM115C</t>
  </si>
  <si>
    <t>CHMP1A</t>
  </si>
  <si>
    <t>PRCC</t>
  </si>
  <si>
    <t>DYNLT3</t>
  </si>
  <si>
    <t>HN1L</t>
  </si>
  <si>
    <t>YIF1A</t>
  </si>
  <si>
    <t>TUBAL3</t>
  </si>
  <si>
    <t>GATSL2</t>
  </si>
  <si>
    <t>UNC119B</t>
  </si>
  <si>
    <t>PHKA1</t>
  </si>
  <si>
    <t>NDEL1</t>
  </si>
  <si>
    <t>GPR89C</t>
  </si>
  <si>
    <t>ZMYM3</t>
  </si>
  <si>
    <t>BGN</t>
  </si>
  <si>
    <t>CNIH4</t>
  </si>
  <si>
    <t>SEPT8</t>
  </si>
  <si>
    <t>DIAPH2</t>
  </si>
  <si>
    <t>ANXA6</t>
  </si>
  <si>
    <t>CD9</t>
  </si>
  <si>
    <t>PIP5K1A</t>
  </si>
  <si>
    <t>MB21D1</t>
  </si>
  <si>
    <t>DNASE1L1</t>
  </si>
  <si>
    <t>FAM127A</t>
  </si>
  <si>
    <t>ZBTB8OS</t>
  </si>
  <si>
    <t>SELK</t>
  </si>
  <si>
    <t>HSPA8</t>
  </si>
  <si>
    <t>MLLT4</t>
  </si>
  <si>
    <t>RTFDC1</t>
  </si>
  <si>
    <t>LYRM9</t>
  </si>
  <si>
    <t>SNRPB</t>
  </si>
  <si>
    <t>ARMC8</t>
  </si>
  <si>
    <t>hCG_1988162</t>
  </si>
  <si>
    <t>DSCR3</t>
  </si>
  <si>
    <t>TMEM147</t>
  </si>
  <si>
    <t>SUMO3</t>
  </si>
  <si>
    <t>TUBA4A</t>
  </si>
  <si>
    <t>TSSC1</t>
  </si>
  <si>
    <t>FAM171A2</t>
  </si>
  <si>
    <t>MT1F</t>
  </si>
  <si>
    <t>CDH2</t>
  </si>
  <si>
    <t>NUDT19</t>
  </si>
  <si>
    <t>RAB34</t>
  </si>
  <si>
    <t>PIK3C3</t>
  </si>
  <si>
    <t>STX1A</t>
  </si>
  <si>
    <t>SRRM1</t>
  </si>
  <si>
    <t>PFKFB2</t>
  </si>
  <si>
    <t>DNAL4</t>
  </si>
  <si>
    <t>EIF3L</t>
  </si>
  <si>
    <t>SMCR7L</t>
  </si>
  <si>
    <t>TBC1D22A</t>
  </si>
  <si>
    <t>EWSR1</t>
  </si>
  <si>
    <t>CPNE1</t>
  </si>
  <si>
    <t>HP1BP3</t>
  </si>
  <si>
    <t>BAG6</t>
  </si>
  <si>
    <t>ABHD16A</t>
  </si>
  <si>
    <t>VARS</t>
  </si>
  <si>
    <t>MICA</t>
  </si>
  <si>
    <t>APOC3</t>
  </si>
  <si>
    <t>TSPO</t>
  </si>
  <si>
    <t>NHP2L1</t>
  </si>
  <si>
    <t>FAM76A</t>
  </si>
  <si>
    <t>HMGCL</t>
  </si>
  <si>
    <t>NRD1</t>
  </si>
  <si>
    <t>OSBPL9</t>
  </si>
  <si>
    <t>EIF4ENIF1</t>
  </si>
  <si>
    <t>RERE</t>
  </si>
  <si>
    <t>TSPAN2</t>
  </si>
  <si>
    <t>DYNLRB1</t>
  </si>
  <si>
    <t>TMED5</t>
  </si>
  <si>
    <t>CDC37L1</t>
  </si>
  <si>
    <t>FAM155A</t>
  </si>
  <si>
    <t>PHYH</t>
  </si>
  <si>
    <t>ARHGEF7</t>
  </si>
  <si>
    <t>TMEM9</t>
  </si>
  <si>
    <t>PALM2-AKAP2</t>
  </si>
  <si>
    <t>CD58</t>
  </si>
  <si>
    <t>EIF4G3</t>
  </si>
  <si>
    <t>PRSS3</t>
  </si>
  <si>
    <t>GUK1</t>
  </si>
  <si>
    <t>SOAT1</t>
  </si>
  <si>
    <t>PSAP</t>
  </si>
  <si>
    <t>TAP1</t>
  </si>
  <si>
    <t>JMJD6</t>
  </si>
  <si>
    <t>EIF3S3</t>
  </si>
  <si>
    <t>EIF3F</t>
  </si>
  <si>
    <t>LZTFL1</t>
  </si>
  <si>
    <t>WHSC2</t>
  </si>
  <si>
    <t>RGS20</t>
  </si>
  <si>
    <t>MXRA8</t>
  </si>
  <si>
    <t>PLTP</t>
  </si>
  <si>
    <t>SOD2</t>
  </si>
  <si>
    <t>FBXO18</t>
  </si>
  <si>
    <t>AP1G1</t>
  </si>
  <si>
    <t>CDIPT</t>
  </si>
  <si>
    <t>CNN2</t>
  </si>
  <si>
    <t>ANXA4</t>
  </si>
  <si>
    <t>SLC35A2</t>
  </si>
  <si>
    <t>SMS</t>
  </si>
  <si>
    <t>SNX2</t>
  </si>
  <si>
    <t>PRNPIP</t>
  </si>
  <si>
    <t>NDUFA13</t>
  </si>
  <si>
    <t>DEK</t>
  </si>
  <si>
    <t>CTNNB1</t>
  </si>
  <si>
    <t>RYR2</t>
  </si>
  <si>
    <t>PIP4K2A</t>
  </si>
  <si>
    <t>MAP1S</t>
  </si>
  <si>
    <t>RPS6KC1</t>
  </si>
  <si>
    <t>BNIP3</t>
  </si>
  <si>
    <t>DNALI1</t>
  </si>
  <si>
    <t>TMEM165</t>
  </si>
  <si>
    <t>RAB5A</t>
  </si>
  <si>
    <t>SNRPD3</t>
  </si>
  <si>
    <t>CS</t>
  </si>
  <si>
    <t>SLC23A2</t>
  </si>
  <si>
    <t>ZYG11B</t>
  </si>
  <si>
    <t>ATP5C1</t>
  </si>
  <si>
    <t>CHURC1-FNTB</t>
  </si>
  <si>
    <t>CRYBG3</t>
  </si>
  <si>
    <t>NQO1</t>
  </si>
  <si>
    <t>RPS6KB1</t>
  </si>
  <si>
    <t>PGS1</t>
  </si>
  <si>
    <t>RAB11B</t>
  </si>
  <si>
    <t>PTGES3</t>
  </si>
  <si>
    <t>WDR77</t>
  </si>
  <si>
    <t>SNX11</t>
  </si>
  <si>
    <t>TOX4</t>
  </si>
  <si>
    <t>EIF2A</t>
  </si>
  <si>
    <t>LPAR1</t>
  </si>
  <si>
    <t>ZDHHC18</t>
  </si>
  <si>
    <t>PGD</t>
  </si>
  <si>
    <t>HIST2H2BF</t>
  </si>
  <si>
    <t>SEC61A1</t>
  </si>
  <si>
    <t>ASB6</t>
  </si>
  <si>
    <t>CHM</t>
  </si>
  <si>
    <t>ZDHHC20</t>
  </si>
  <si>
    <t>TXNDC15</t>
  </si>
  <si>
    <t>C9orf41</t>
  </si>
  <si>
    <t>RNGTT</t>
  </si>
  <si>
    <t>KIAA0513</t>
  </si>
  <si>
    <t>ANXA7</t>
  </si>
  <si>
    <t>HNRNPD</t>
  </si>
  <si>
    <t>SLC9A1</t>
  </si>
  <si>
    <t>SERINC3</t>
  </si>
  <si>
    <t>BPNT1</t>
  </si>
  <si>
    <t>POFUT1</t>
  </si>
  <si>
    <t>RBKS</t>
  </si>
  <si>
    <t>ANXA11</t>
  </si>
  <si>
    <t>EIF3D</t>
  </si>
  <si>
    <t>EFEMP1</t>
  </si>
  <si>
    <t>HACL1</t>
  </si>
  <si>
    <t>QARS</t>
  </si>
  <si>
    <t>FXR1</t>
  </si>
  <si>
    <t>NUP35</t>
  </si>
  <si>
    <t>GPR176</t>
  </si>
  <si>
    <t>HDAC6</t>
  </si>
  <si>
    <t>ACAA1</t>
  </si>
  <si>
    <t>PEX5</t>
  </si>
  <si>
    <t>EDEM2</t>
  </si>
  <si>
    <t>MSANTD2</t>
  </si>
  <si>
    <t>ARMC6</t>
  </si>
  <si>
    <t>RIOK3</t>
  </si>
  <si>
    <t>SLC35B3</t>
  </si>
  <si>
    <t>SDC4</t>
  </si>
  <si>
    <t>SFRS3</t>
  </si>
  <si>
    <t>LAMP2</t>
  </si>
  <si>
    <t>STOM</t>
  </si>
  <si>
    <t>HADHB</t>
  </si>
  <si>
    <t>METTL13</t>
  </si>
  <si>
    <t>CTTN</t>
  </si>
  <si>
    <t>DVL3</t>
  </si>
  <si>
    <t>CLSTN1</t>
  </si>
  <si>
    <t>MPV17</t>
  </si>
  <si>
    <t>SYNGR1</t>
  </si>
  <si>
    <t>TSPAN9</t>
  </si>
  <si>
    <t>RFT1</t>
  </si>
  <si>
    <t>C2orf43</t>
  </si>
  <si>
    <t>EML3</t>
  </si>
  <si>
    <t>HNRPLL</t>
  </si>
  <si>
    <t>NTM</t>
  </si>
  <si>
    <t>PDIA6</t>
  </si>
  <si>
    <t>MFSD8</t>
  </si>
  <si>
    <t>PPM1F</t>
  </si>
  <si>
    <t>TOM1L2</t>
  </si>
  <si>
    <t>COG2</t>
  </si>
  <si>
    <t>TSPAN5</t>
  </si>
  <si>
    <t>ALAD</t>
  </si>
  <si>
    <t>NPEPPS</t>
  </si>
  <si>
    <t>FGD4</t>
  </si>
  <si>
    <t>DNASE2</t>
  </si>
  <si>
    <t>WBP4</t>
  </si>
  <si>
    <t>CCBL1</t>
  </si>
  <si>
    <t>STMN3</t>
  </si>
  <si>
    <t>F11R</t>
  </si>
  <si>
    <t>WARS2</t>
  </si>
  <si>
    <t>SLC27A1</t>
  </si>
  <si>
    <t>DECR1</t>
  </si>
  <si>
    <t>SMPDL3A</t>
  </si>
  <si>
    <t>DSE</t>
  </si>
  <si>
    <t>TMEM106A</t>
  </si>
  <si>
    <t>DHCR24</t>
  </si>
  <si>
    <t>GPRC5B</t>
  </si>
  <si>
    <t>ATP6AP2</t>
  </si>
  <si>
    <t>ATP1B1</t>
  </si>
  <si>
    <t>PPP1R3G</t>
  </si>
  <si>
    <t>SH3GLB2</t>
  </si>
  <si>
    <t>PPP2R5E</t>
  </si>
  <si>
    <t>SART3</t>
  </si>
  <si>
    <t>SCARB1</t>
  </si>
  <si>
    <t>COX18</t>
  </si>
  <si>
    <t>EDEM3</t>
  </si>
  <si>
    <t>MPDZ</t>
  </si>
  <si>
    <t>TAX1BP1</t>
  </si>
  <si>
    <t>EVA1A</t>
  </si>
  <si>
    <t>FAM126A</t>
  </si>
  <si>
    <t>RPL31</t>
  </si>
  <si>
    <t>STK16</t>
  </si>
  <si>
    <t>SUMO1</t>
  </si>
  <si>
    <t>PTMA</t>
  </si>
  <si>
    <t>AGFG1</t>
  </si>
  <si>
    <t>USP39</t>
  </si>
  <si>
    <t>RHBDD1</t>
  </si>
  <si>
    <t>COA5</t>
  </si>
  <si>
    <t>IMMT</t>
  </si>
  <si>
    <t>PLCB2</t>
  </si>
  <si>
    <t>BAK1</t>
  </si>
  <si>
    <t>WASH3P</t>
  </si>
  <si>
    <t>C3orf18</t>
  </si>
  <si>
    <t>ZC3HC1</t>
  </si>
  <si>
    <t>CCDC126</t>
  </si>
  <si>
    <t>PFN2</t>
  </si>
  <si>
    <t>SRI</t>
  </si>
  <si>
    <t>IL1RAP</t>
  </si>
  <si>
    <t>MEGF9</t>
  </si>
  <si>
    <t>IKBKG</t>
  </si>
  <si>
    <t>UBE2F</t>
  </si>
  <si>
    <t>UBE2E1</t>
  </si>
  <si>
    <t>TAMM41</t>
  </si>
  <si>
    <t>IQCJ-SCHIP1</t>
  </si>
  <si>
    <t>PDCD10</t>
  </si>
  <si>
    <t>RPE</t>
  </si>
  <si>
    <t>UFD1L</t>
  </si>
  <si>
    <t>TMEM98</t>
  </si>
  <si>
    <t>EBP</t>
  </si>
  <si>
    <t>C16orf62</t>
  </si>
  <si>
    <t>PLSCR1</t>
  </si>
  <si>
    <t>HDAC10</t>
  </si>
  <si>
    <t>RPSA</t>
  </si>
  <si>
    <t>NMD3</t>
  </si>
  <si>
    <t>SSR3</t>
  </si>
  <si>
    <t>SRSF7</t>
  </si>
  <si>
    <t>BSDC1</t>
  </si>
  <si>
    <t>TFPI</t>
  </si>
  <si>
    <t>SIDT2</t>
  </si>
  <si>
    <t>SPCS1</t>
  </si>
  <si>
    <t>DRAP1</t>
  </si>
  <si>
    <t>FOSL2</t>
  </si>
  <si>
    <t>TMUB1</t>
  </si>
  <si>
    <t>NCOR2</t>
  </si>
  <si>
    <t>EIF4E2</t>
  </si>
  <si>
    <t>MTMR2</t>
  </si>
  <si>
    <t>CDC42EP3</t>
  </si>
  <si>
    <t>OSCP1</t>
  </si>
  <si>
    <t>YIPF1</t>
  </si>
  <si>
    <t>GPS1</t>
  </si>
  <si>
    <t>BAG3</t>
  </si>
  <si>
    <t>CYCS</t>
  </si>
  <si>
    <t>ITM2C</t>
  </si>
  <si>
    <t>AAMP</t>
  </si>
  <si>
    <t>CBWD1</t>
  </si>
  <si>
    <t>APEH</t>
  </si>
  <si>
    <t>MYADM</t>
  </si>
  <si>
    <t>POLR2H</t>
  </si>
  <si>
    <t>APAF1</t>
  </si>
  <si>
    <t>SEPT5</t>
  </si>
  <si>
    <t>PPIG</t>
  </si>
  <si>
    <t>IP6K1</t>
  </si>
  <si>
    <t>OARD1</t>
  </si>
  <si>
    <t>NRF1</t>
  </si>
  <si>
    <t>STARD3NL</t>
  </si>
  <si>
    <t>CCDC58</t>
  </si>
  <si>
    <t>NME6</t>
  </si>
  <si>
    <t>PPIH</t>
  </si>
  <si>
    <t>STK11IP</t>
  </si>
  <si>
    <t>SEC22A</t>
  </si>
  <si>
    <t>CHCHD3</t>
  </si>
  <si>
    <t>SLC46A1</t>
  </si>
  <si>
    <t>EIF4A2</t>
  </si>
  <si>
    <t>HARS2</t>
  </si>
  <si>
    <t>VOPP1</t>
  </si>
  <si>
    <t>L2HGDH</t>
  </si>
  <si>
    <t>MPHOSPH10</t>
  </si>
  <si>
    <t>RPL24</t>
  </si>
  <si>
    <t>LPP</t>
  </si>
  <si>
    <t>POP7</t>
  </si>
  <si>
    <t>SYPL1</t>
  </si>
  <si>
    <t>NRCAM</t>
  </si>
  <si>
    <t>INPP5K</t>
  </si>
  <si>
    <t>RFC4</t>
  </si>
  <si>
    <t>PCBP4</t>
  </si>
  <si>
    <t>UBE2H</t>
  </si>
  <si>
    <t>RAPH1</t>
  </si>
  <si>
    <t>SNUPN</t>
  </si>
  <si>
    <t>BTN3A3</t>
  </si>
  <si>
    <t>SDC3</t>
  </si>
  <si>
    <t>EIF4G2</t>
  </si>
  <si>
    <t>IFIT1</t>
  </si>
  <si>
    <t>RPL32</t>
  </si>
  <si>
    <t>NDOR1</t>
  </si>
  <si>
    <t>TAPBP</t>
  </si>
  <si>
    <t>CAMK2D</t>
  </si>
  <si>
    <t>MATR3</t>
  </si>
  <si>
    <t>ERCC6</t>
  </si>
  <si>
    <t>COX7C</t>
  </si>
  <si>
    <t>PLRG1</t>
  </si>
  <si>
    <t>AMACR</t>
  </si>
  <si>
    <t>EIF4E</t>
  </si>
  <si>
    <t>HSD17B11</t>
  </si>
  <si>
    <t>TNFAIP8</t>
  </si>
  <si>
    <t>ARHGAP24</t>
  </si>
  <si>
    <t>RPS23</t>
  </si>
  <si>
    <t>ATG10</t>
  </si>
  <si>
    <t>EMB</t>
  </si>
  <si>
    <t>ALG13</t>
  </si>
  <si>
    <t>IDUA</t>
  </si>
  <si>
    <t>CDC42SE2</t>
  </si>
  <si>
    <t>GRAMD3</t>
  </si>
  <si>
    <t>SLC38A9</t>
  </si>
  <si>
    <t>SEC31A</t>
  </si>
  <si>
    <t>SPRY1</t>
  </si>
  <si>
    <t>STX18</t>
  </si>
  <si>
    <t>CXCL6</t>
  </si>
  <si>
    <t>DCK</t>
  </si>
  <si>
    <t>COL12A1</t>
  </si>
  <si>
    <t>MRPS27</t>
  </si>
  <si>
    <t>SERINC5</t>
  </si>
  <si>
    <t>CCNH</t>
  </si>
  <si>
    <t>RNASET2</t>
  </si>
  <si>
    <t>COX7A2</t>
  </si>
  <si>
    <t>SLAIN2</t>
  </si>
  <si>
    <t>CLDND1</t>
  </si>
  <si>
    <t>MFSD10</t>
  </si>
  <si>
    <t>PIK3R4</t>
  </si>
  <si>
    <t>VWA8</t>
  </si>
  <si>
    <t>REEP5</t>
  </si>
  <si>
    <t>FAM92A1</t>
  </si>
  <si>
    <t>EPHX2</t>
  </si>
  <si>
    <t>TATDN1</t>
  </si>
  <si>
    <t>TRIQK</t>
  </si>
  <si>
    <t>STMN2</t>
  </si>
  <si>
    <t>DERL1</t>
  </si>
  <si>
    <t>SLC36A1</t>
  </si>
  <si>
    <t>TCEB1</t>
  </si>
  <si>
    <t>UQCRB</t>
  </si>
  <si>
    <t>TMEM66</t>
  </si>
  <si>
    <t>TTI2</t>
  </si>
  <si>
    <t>IMPA1</t>
  </si>
  <si>
    <t>CHCHD7</t>
  </si>
  <si>
    <t>PSEN2</t>
  </si>
  <si>
    <t>PSD3</t>
  </si>
  <si>
    <t>AP3M2</t>
  </si>
  <si>
    <t>ZFAND1</t>
  </si>
  <si>
    <t>SKP1</t>
  </si>
  <si>
    <t>LYNX1</t>
  </si>
  <si>
    <t>SGK3</t>
  </si>
  <si>
    <t>CETN3</t>
  </si>
  <si>
    <t>PIGG</t>
  </si>
  <si>
    <t>COPS6</t>
  </si>
  <si>
    <t>ATHL1</t>
  </si>
  <si>
    <t>DNPEP</t>
  </si>
  <si>
    <t>ASAH1</t>
  </si>
  <si>
    <t>KIAA0319L</t>
  </si>
  <si>
    <t>NCSTN</t>
  </si>
  <si>
    <t>RIMS1</t>
  </si>
  <si>
    <t>C12orf43</t>
  </si>
  <si>
    <t>CALCOCO2</t>
  </si>
  <si>
    <t>C19orf25</t>
  </si>
  <si>
    <t>CD44</t>
  </si>
  <si>
    <t>TOM1</t>
  </si>
  <si>
    <t>PDXDC1</t>
  </si>
  <si>
    <t>PRRC2C</t>
  </si>
  <si>
    <t>STXBP4</t>
  </si>
  <si>
    <t>IFI16</t>
  </si>
  <si>
    <t>PTPRM</t>
  </si>
  <si>
    <t>NDUFV2</t>
  </si>
  <si>
    <t>SNCA</t>
  </si>
  <si>
    <t>TNIP1</t>
  </si>
  <si>
    <t>AP5M1</t>
  </si>
  <si>
    <t>NAA50</t>
  </si>
  <si>
    <t>TSEN34</t>
  </si>
  <si>
    <t>TUBGCP6</t>
  </si>
  <si>
    <t>YIPF3</t>
  </si>
  <si>
    <t>ACIN1</t>
  </si>
  <si>
    <t>MKL1</t>
  </si>
  <si>
    <t>SYNJ2</t>
  </si>
  <si>
    <t>ERMP1</t>
  </si>
  <si>
    <t>PAPSS2</t>
  </si>
  <si>
    <t>GMIP</t>
  </si>
  <si>
    <t>ATP2C1</t>
  </si>
  <si>
    <t>TNS1</t>
  </si>
  <si>
    <t>ITSN1</t>
  </si>
  <si>
    <t>MAST2</t>
  </si>
  <si>
    <t>ZC3H18</t>
  </si>
  <si>
    <t>HEPH</t>
  </si>
  <si>
    <t>TTC38</t>
  </si>
  <si>
    <t>HSPA4L</t>
  </si>
  <si>
    <t>PSEN1</t>
  </si>
  <si>
    <t>SDC2</t>
  </si>
  <si>
    <t>ITGA2</t>
  </si>
  <si>
    <t>NDUFA10</t>
  </si>
  <si>
    <t>PLAU</t>
  </si>
  <si>
    <t>PCM1</t>
  </si>
  <si>
    <t>PDPN</t>
  </si>
  <si>
    <t>RPS24</t>
  </si>
  <si>
    <t>RBMS1</t>
  </si>
  <si>
    <t>RCHY1</t>
  </si>
  <si>
    <t>BZW2</t>
  </si>
  <si>
    <t>CD36</t>
  </si>
  <si>
    <t>GDI2</t>
  </si>
  <si>
    <t>PITPNC1</t>
  </si>
  <si>
    <t>CSNK2A1</t>
  </si>
  <si>
    <t>NAV3</t>
  </si>
  <si>
    <t>DKK3</t>
  </si>
  <si>
    <t>NUP54</t>
  </si>
  <si>
    <t>PRKDC</t>
  </si>
  <si>
    <t>PCCB</t>
  </si>
  <si>
    <t>CAPN5</t>
  </si>
  <si>
    <t>ZFAND2B</t>
  </si>
  <si>
    <t>LTBP1</t>
  </si>
  <si>
    <t>MAP4</t>
  </si>
  <si>
    <t>ATG16L1</t>
  </si>
  <si>
    <t>HDHD1</t>
  </si>
  <si>
    <t>YWHAZ</t>
  </si>
  <si>
    <t>MYO6</t>
  </si>
  <si>
    <t>MON1B</t>
  </si>
  <si>
    <t>SEPT10</t>
  </si>
  <si>
    <t>IQGAP2</t>
  </si>
  <si>
    <t>ZMIZ2</t>
  </si>
  <si>
    <t>NDUFB5</t>
  </si>
  <si>
    <t>MPP2</t>
  </si>
  <si>
    <t>EIF4B</t>
  </si>
  <si>
    <t>RPL15</t>
  </si>
  <si>
    <t>DCTN1</t>
  </si>
  <si>
    <t>NCBP2</t>
  </si>
  <si>
    <t>RAVER1</t>
  </si>
  <si>
    <t>HEATR5A</t>
  </si>
  <si>
    <t>ALYREF</t>
  </si>
  <si>
    <t>SDHA</t>
  </si>
  <si>
    <t>COG1</t>
  </si>
  <si>
    <t>PAICS</t>
  </si>
  <si>
    <t>AGK</t>
  </si>
  <si>
    <t>LIMK1</t>
  </si>
  <si>
    <t>EIF2B5</t>
  </si>
  <si>
    <t>UBR7</t>
  </si>
  <si>
    <t>CNOT10</t>
  </si>
  <si>
    <t>COL6A3</t>
  </si>
  <si>
    <t>GOSR1</t>
  </si>
  <si>
    <t>HNRNPH1</t>
  </si>
  <si>
    <t>MYO1B</t>
  </si>
  <si>
    <t>CACNA1C</t>
  </si>
  <si>
    <t>DMD</t>
  </si>
  <si>
    <t>KIF13A</t>
  </si>
  <si>
    <t>ITGB6</t>
  </si>
  <si>
    <t>SGCE</t>
  </si>
  <si>
    <t>SYNE1</t>
  </si>
  <si>
    <t>XPO7</t>
  </si>
  <si>
    <t>NRP1</t>
  </si>
  <si>
    <t>DIP2A</t>
  </si>
  <si>
    <t>PDPK1</t>
  </si>
  <si>
    <t>DIAPH1</t>
  </si>
  <si>
    <t>NUP155</t>
  </si>
  <si>
    <t>ACSF2</t>
  </si>
  <si>
    <t>HADH</t>
  </si>
  <si>
    <t>TBL2</t>
  </si>
  <si>
    <t>MAPK8IP3</t>
  </si>
  <si>
    <t>RABGEF1</t>
  </si>
  <si>
    <t>PPP2R5D</t>
  </si>
  <si>
    <t>CEP97</t>
  </si>
  <si>
    <t>EPHA4</t>
  </si>
  <si>
    <t>RASA1</t>
  </si>
  <si>
    <t>SERPING1</t>
  </si>
  <si>
    <t>SLC25A44</t>
  </si>
  <si>
    <t>TSN</t>
  </si>
  <si>
    <t>COPS8</t>
  </si>
  <si>
    <t>PRDX3</t>
  </si>
  <si>
    <t>MSH2</t>
  </si>
  <si>
    <t>CYP20A1</t>
  </si>
  <si>
    <t>POLR3C</t>
  </si>
  <si>
    <t>TCOF1</t>
  </si>
  <si>
    <t>SSFA2</t>
  </si>
  <si>
    <t>MROH1</t>
  </si>
  <si>
    <t>PRKCDBP</t>
  </si>
  <si>
    <t>THY1</t>
  </si>
  <si>
    <t>PDE4DIP</t>
  </si>
  <si>
    <t>CTSB</t>
  </si>
  <si>
    <t>UBXN1</t>
  </si>
  <si>
    <t>CSF1</t>
  </si>
  <si>
    <t>CYHR1</t>
  </si>
  <si>
    <t>CD81</t>
  </si>
  <si>
    <t>EEF1D</t>
  </si>
  <si>
    <t>PARP10</t>
  </si>
  <si>
    <t>BCLAF1</t>
  </si>
  <si>
    <t>PRMT1</t>
  </si>
  <si>
    <t>SERPINH1</t>
  </si>
  <si>
    <t>TP53I11</t>
  </si>
  <si>
    <t>TMEM123</t>
  </si>
  <si>
    <t>TTC9C</t>
  </si>
  <si>
    <t>RPL8</t>
  </si>
  <si>
    <t>SPCS2</t>
  </si>
  <si>
    <t>BTF3L4</t>
  </si>
  <si>
    <t>HYOU1</t>
  </si>
  <si>
    <t>EI24</t>
  </si>
  <si>
    <t>ADM</t>
  </si>
  <si>
    <t>GPAA1</t>
  </si>
  <si>
    <t>RPL27A</t>
  </si>
  <si>
    <t>USP47</t>
  </si>
  <si>
    <t>C11orf58</t>
  </si>
  <si>
    <t>USF1</t>
  </si>
  <si>
    <t>BIRC2</t>
  </si>
  <si>
    <t>CLNS1A</t>
  </si>
  <si>
    <t>FAM118B</t>
  </si>
  <si>
    <t>PEX16</t>
  </si>
  <si>
    <t>LMO7</t>
  </si>
  <si>
    <t>HSF1</t>
  </si>
  <si>
    <t>SIRT3</t>
  </si>
  <si>
    <t>TPD52L1</t>
  </si>
  <si>
    <t>RDX</t>
  </si>
  <si>
    <t>NDUFS8</t>
  </si>
  <si>
    <t>DPP3</t>
  </si>
  <si>
    <t>ZC3H11A</t>
  </si>
  <si>
    <t>SC5D</t>
  </si>
  <si>
    <t>CARD16</t>
  </si>
  <si>
    <t>PFDN4</t>
  </si>
  <si>
    <t>CD59</t>
  </si>
  <si>
    <t>FAU</t>
  </si>
  <si>
    <t>CRYAB</t>
  </si>
  <si>
    <t>MAF1</t>
  </si>
  <si>
    <t>SETDB1</t>
  </si>
  <si>
    <t>SLC22A18</t>
  </si>
  <si>
    <t>EIF1AD</t>
  </si>
  <si>
    <t>EFEMP2</t>
  </si>
  <si>
    <t>FADS3</t>
  </si>
  <si>
    <t>SCYL1</t>
  </si>
  <si>
    <t>NEDD8-MDP1</t>
  </si>
  <si>
    <t>TM9SF1</t>
  </si>
  <si>
    <t>TUBGCP2</t>
  </si>
  <si>
    <t>PFKFB3</t>
  </si>
  <si>
    <t>MYH14</t>
  </si>
  <si>
    <t>XPO4</t>
  </si>
  <si>
    <t>C1RL</t>
  </si>
  <si>
    <t>WNK1</t>
  </si>
  <si>
    <t>SMAD5</t>
  </si>
  <si>
    <t>PODXL</t>
  </si>
  <si>
    <t>SUCLA2</t>
  </si>
  <si>
    <t>ATE1</t>
  </si>
  <si>
    <t>LTBR</t>
  </si>
  <si>
    <t>PTPRK</t>
  </si>
  <si>
    <t>DNAJB11</t>
  </si>
  <si>
    <t>DAD1</t>
  </si>
  <si>
    <t>CCDC53</t>
  </si>
  <si>
    <t>GPNMB</t>
  </si>
  <si>
    <t>HN1</t>
  </si>
  <si>
    <t>GALNT1</t>
  </si>
  <si>
    <t>REXO2</t>
  </si>
  <si>
    <t>STRN4</t>
  </si>
  <si>
    <t>OTUB1</t>
  </si>
  <si>
    <t>ATP6V0D1</t>
  </si>
  <si>
    <t>PXN</t>
  </si>
  <si>
    <t>FARP2</t>
  </si>
  <si>
    <t>TRIM59</t>
  </si>
  <si>
    <t>DHX36</t>
  </si>
  <si>
    <t>SLC3A2</t>
  </si>
  <si>
    <t>FAM120B</t>
  </si>
  <si>
    <t>GABARAPL1</t>
  </si>
  <si>
    <t>TRIM21</t>
  </si>
  <si>
    <t>TNFRSF1A</t>
  </si>
  <si>
    <t>KSR1</t>
  </si>
  <si>
    <t>SEC23IP</t>
  </si>
  <si>
    <t>RRN3</t>
  </si>
  <si>
    <t>FERMT3</t>
  </si>
  <si>
    <t>FBLN2</t>
  </si>
  <si>
    <t>ABI1</t>
  </si>
  <si>
    <t>L1CAM</t>
  </si>
  <si>
    <t>PCMTD1</t>
  </si>
  <si>
    <t>LRBA</t>
  </si>
  <si>
    <t>GOPC</t>
  </si>
  <si>
    <t>WSB2</t>
  </si>
  <si>
    <t>ANKLE2</t>
  </si>
  <si>
    <t>VMP1</t>
  </si>
  <si>
    <t>KIAA1715</t>
  </si>
  <si>
    <t>DCTN2</t>
  </si>
  <si>
    <t>HMGA2</t>
  </si>
  <si>
    <t>NRP2</t>
  </si>
  <si>
    <t>RBPMS</t>
  </si>
  <si>
    <t>SEC23A</t>
  </si>
  <si>
    <t>SHROOM2</t>
  </si>
  <si>
    <t>MANSC1</t>
  </si>
  <si>
    <t>TSG101</t>
  </si>
  <si>
    <t>RRP12</t>
  </si>
  <si>
    <t>KPNA6</t>
  </si>
  <si>
    <t>WLS</t>
  </si>
  <si>
    <t>PXMP2</t>
  </si>
  <si>
    <t>VPS37C</t>
  </si>
  <si>
    <t>EVI5</t>
  </si>
  <si>
    <t>NFATC1</t>
  </si>
  <si>
    <t>KLHL42</t>
  </si>
  <si>
    <t>AMPH</t>
  </si>
  <si>
    <t>ATP6V0A1</t>
  </si>
  <si>
    <t>BRK1</t>
  </si>
  <si>
    <t>TUBA1C</t>
  </si>
  <si>
    <t>IFNGR1</t>
  </si>
  <si>
    <t>CDC42BPA</t>
  </si>
  <si>
    <t>BCKDHA</t>
  </si>
  <si>
    <t>NAT1</t>
  </si>
  <si>
    <t>CLASP2</t>
  </si>
  <si>
    <t>TUFT1</t>
  </si>
  <si>
    <t>OXNAD1</t>
  </si>
  <si>
    <t>CDK17</t>
  </si>
  <si>
    <t>WBP11</t>
  </si>
  <si>
    <t>VDAC3</t>
  </si>
  <si>
    <t>TXNRD1</t>
  </si>
  <si>
    <t>MSRB3</t>
  </si>
  <si>
    <t>MFGE8</t>
  </si>
  <si>
    <t>OGDH</t>
  </si>
  <si>
    <t>POMGNT1</t>
  </si>
  <si>
    <t>SLC16A7</t>
  </si>
  <si>
    <t>INPP4A</t>
  </si>
  <si>
    <t>TRAP1</t>
  </si>
  <si>
    <t>MVK</t>
  </si>
  <si>
    <t>CLPTM1</t>
  </si>
  <si>
    <t>EPN2</t>
  </si>
  <si>
    <t>PDE12</t>
  </si>
  <si>
    <t>SMARCA1</t>
  </si>
  <si>
    <t>PPP3R1</t>
  </si>
  <si>
    <t>MAP2K7</t>
  </si>
  <si>
    <t>NME2</t>
  </si>
  <si>
    <t>CAD</t>
  </si>
  <si>
    <t>C12orf75</t>
  </si>
  <si>
    <t>METAP2</t>
  </si>
  <si>
    <t>DCN</t>
  </si>
  <si>
    <t>NFYB</t>
  </si>
  <si>
    <t>PLXNA1</t>
  </si>
  <si>
    <t>FKBP11</t>
  </si>
  <si>
    <t>POC1B-GALNT4</t>
  </si>
  <si>
    <t>CD63</t>
  </si>
  <si>
    <t>NAP1L1</t>
  </si>
  <si>
    <t>TENC1</t>
  </si>
  <si>
    <t>DDX23</t>
  </si>
  <si>
    <t>COPZ1</t>
  </si>
  <si>
    <t>PACS2</t>
  </si>
  <si>
    <t>CSRP2</t>
  </si>
  <si>
    <t>MON2</t>
  </si>
  <si>
    <t>TSPAN31</t>
  </si>
  <si>
    <t>SMARCC2</t>
  </si>
  <si>
    <t>SCAF11</t>
  </si>
  <si>
    <t>ARL1</t>
  </si>
  <si>
    <t>DNAJC14</t>
  </si>
  <si>
    <t>AAAS</t>
  </si>
  <si>
    <t>NACA</t>
  </si>
  <si>
    <t>C17orf49</t>
  </si>
  <si>
    <t>PPHLN1</t>
  </si>
  <si>
    <t>SLC11A2</t>
  </si>
  <si>
    <t>RBMS2</t>
  </si>
  <si>
    <t>RFX5</t>
  </si>
  <si>
    <t>SENP6</t>
  </si>
  <si>
    <t>HNRNPA1</t>
  </si>
  <si>
    <t>TRIM5</t>
  </si>
  <si>
    <t>EML1</t>
  </si>
  <si>
    <t>UBAP2L</t>
  </si>
  <si>
    <t>GPHN</t>
  </si>
  <si>
    <t>FAM162A</t>
  </si>
  <si>
    <t>FAM73A</t>
  </si>
  <si>
    <t>YTHDF1</t>
  </si>
  <si>
    <t>VEZT</t>
  </si>
  <si>
    <t>TIA1</t>
  </si>
  <si>
    <t>UNC13B</t>
  </si>
  <si>
    <t>POLD2</t>
  </si>
  <si>
    <t>SCAP</t>
  </si>
  <si>
    <t>IGF2BP2</t>
  </si>
  <si>
    <t>RFC5</t>
  </si>
  <si>
    <t>NRG1</t>
  </si>
  <si>
    <t>GRK6</t>
  </si>
  <si>
    <t>CLASP1</t>
  </si>
  <si>
    <t>MTMR1</t>
  </si>
  <si>
    <t>SEPW1</t>
  </si>
  <si>
    <t>RPL35A</t>
  </si>
  <si>
    <t>DOM3Z</t>
  </si>
  <si>
    <t>ATL1</t>
  </si>
  <si>
    <t>PHC3</t>
  </si>
  <si>
    <t>DNMT3A</t>
  </si>
  <si>
    <t>MMADHC</t>
  </si>
  <si>
    <t>SEC62</t>
  </si>
  <si>
    <t>CPSF6</t>
  </si>
  <si>
    <t>NDUFV1</t>
  </si>
  <si>
    <t>CASP1</t>
  </si>
  <si>
    <t>GSDMD</t>
  </si>
  <si>
    <t>DSCAML1</t>
  </si>
  <si>
    <t>SSSCA1</t>
  </si>
  <si>
    <t>PON2</t>
  </si>
  <si>
    <t>TJP1</t>
  </si>
  <si>
    <t>HBA2</t>
  </si>
  <si>
    <t>LOH12CR1</t>
  </si>
  <si>
    <t>ZEB1</t>
  </si>
  <si>
    <t>ISYNA1</t>
  </si>
  <si>
    <t>NUP107</t>
  </si>
  <si>
    <t>ATF7IP</t>
  </si>
  <si>
    <t>MYL6</t>
  </si>
  <si>
    <t>ACTR6</t>
  </si>
  <si>
    <t>RPL18</t>
  </si>
  <si>
    <t>TDP1</t>
  </si>
  <si>
    <t>TMEM189</t>
  </si>
  <si>
    <t>PRRX1</t>
  </si>
  <si>
    <t>ACYP1</t>
  </si>
  <si>
    <t>SPATA7</t>
  </si>
  <si>
    <t>DCAF8</t>
  </si>
  <si>
    <t>ATXN3</t>
  </si>
  <si>
    <t>VIPAS39</t>
  </si>
  <si>
    <t>AP4S1</t>
  </si>
  <si>
    <t>FRMD6</t>
  </si>
  <si>
    <t>FBLN5</t>
  </si>
  <si>
    <t>HNRNPC</t>
  </si>
  <si>
    <t>LTBP2</t>
  </si>
  <si>
    <t>NDUFA4L2</t>
  </si>
  <si>
    <t>FAM177A1</t>
  </si>
  <si>
    <t>CTAGE5</t>
  </si>
  <si>
    <t>SERPINA3</t>
  </si>
  <si>
    <t>ZFYVE1</t>
  </si>
  <si>
    <t>GSTZ1</t>
  </si>
  <si>
    <t>CDK2</t>
  </si>
  <si>
    <t>PSMA6</t>
  </si>
  <si>
    <t>TMEM48</t>
  </si>
  <si>
    <t>ARID1B</t>
  </si>
  <si>
    <t>PAPOLA</t>
  </si>
  <si>
    <t>LAMB1</t>
  </si>
  <si>
    <t>RNASEH2B</t>
  </si>
  <si>
    <t>TRAM1</t>
  </si>
  <si>
    <t>TIMM8B</t>
  </si>
  <si>
    <t>ABCB8</t>
  </si>
  <si>
    <t>COMP</t>
  </si>
  <si>
    <t>TMPO</t>
  </si>
  <si>
    <t>GPR107</t>
  </si>
  <si>
    <t>USP11</t>
  </si>
  <si>
    <t>SOS1</t>
  </si>
  <si>
    <t>ELP4</t>
  </si>
  <si>
    <t>CELF1</t>
  </si>
  <si>
    <t>TMOD2</t>
  </si>
  <si>
    <t>PDIA3</t>
  </si>
  <si>
    <t>COBLL1</t>
  </si>
  <si>
    <t>APOL1</t>
  </si>
  <si>
    <t>PUS1</t>
  </si>
  <si>
    <t>SLC43A2</t>
  </si>
  <si>
    <t>WDR45</t>
  </si>
  <si>
    <t>LEPREL2</t>
  </si>
  <si>
    <t>TACC1</t>
  </si>
  <si>
    <t>PPT2</t>
  </si>
  <si>
    <t>MVB12B</t>
  </si>
  <si>
    <t>PRKAG2</t>
  </si>
  <si>
    <t>CLCN7</t>
  </si>
  <si>
    <t>MTHFD1L</t>
  </si>
  <si>
    <t>AMPD2</t>
  </si>
  <si>
    <t>MYD88</t>
  </si>
  <si>
    <t>ZNF185</t>
  </si>
  <si>
    <t>SH3PXD2A</t>
  </si>
  <si>
    <t>ATP11A</t>
  </si>
  <si>
    <t>PTGDS</t>
  </si>
  <si>
    <t>EPB41L2</t>
  </si>
  <si>
    <t>UFM1</t>
  </si>
  <si>
    <t>ARFGAP3</t>
  </si>
  <si>
    <t>SUSD1</t>
  </si>
  <si>
    <t>PYCRL</t>
  </si>
  <si>
    <t>CALM2</t>
  </si>
  <si>
    <t>DOCK7</t>
  </si>
  <si>
    <t>TMEM222</t>
  </si>
  <si>
    <t>MCM2</t>
  </si>
  <si>
    <t>CHIC2</t>
  </si>
  <si>
    <t>ANK2</t>
  </si>
  <si>
    <t>CANX</t>
  </si>
  <si>
    <t>DGKQ</t>
  </si>
  <si>
    <t>PCBD2</t>
  </si>
  <si>
    <t>KLKB1</t>
  </si>
  <si>
    <t>C5orf24</t>
  </si>
  <si>
    <t>APBB2</t>
  </si>
  <si>
    <t>ARHGEF10</t>
  </si>
  <si>
    <t>ZDHHC14</t>
  </si>
  <si>
    <t>TXNRD3</t>
  </si>
  <si>
    <t>PTK2</t>
  </si>
  <si>
    <t>MTFR1</t>
  </si>
  <si>
    <t>YAP1</t>
  </si>
  <si>
    <t>ADAR</t>
  </si>
  <si>
    <t>RUFY2</t>
  </si>
  <si>
    <t>KIAA1549L</t>
  </si>
  <si>
    <t>SIGIRR</t>
  </si>
  <si>
    <t>REPS1</t>
  </si>
  <si>
    <t>PPP5C</t>
  </si>
  <si>
    <t>GEMIN2</t>
  </si>
  <si>
    <t>RPS2</t>
  </si>
  <si>
    <t>CADM1</t>
  </si>
  <si>
    <t>ARHGDIB</t>
  </si>
  <si>
    <t>ARHGAP23</t>
  </si>
  <si>
    <t>MRVI1</t>
  </si>
  <si>
    <t>METTL7A</t>
  </si>
  <si>
    <t>FBXO21</t>
  </si>
  <si>
    <t>FERMT2</t>
  </si>
  <si>
    <t>CCDC85C</t>
  </si>
  <si>
    <t>AJUBA</t>
  </si>
  <si>
    <t>C15orf48</t>
  </si>
  <si>
    <t>ANXA2</t>
  </si>
  <si>
    <t>SHF</t>
  </si>
  <si>
    <t>IL16</t>
  </si>
  <si>
    <t>GMPR2</t>
  </si>
  <si>
    <t>RPL28</t>
  </si>
  <si>
    <t>ALDH1A2</t>
  </si>
  <si>
    <t>C15orf57</t>
  </si>
  <si>
    <t>SEC11A</t>
  </si>
  <si>
    <t>DPH6</t>
  </si>
  <si>
    <t>UACA</t>
  </si>
  <si>
    <t>LSAMP</t>
  </si>
  <si>
    <t>CD55</t>
  </si>
  <si>
    <t>DBNDD1</t>
  </si>
  <si>
    <t>DDX17</t>
  </si>
  <si>
    <t>NUB1</t>
  </si>
  <si>
    <t>NOL3</t>
  </si>
  <si>
    <t>COMMD4</t>
  </si>
  <si>
    <t>JMJD8</t>
  </si>
  <si>
    <t>SPNS1</t>
  </si>
  <si>
    <t>TSC2</t>
  </si>
  <si>
    <t>BLOC1S6</t>
  </si>
  <si>
    <t>HEXA</t>
  </si>
  <si>
    <t>COQ7</t>
  </si>
  <si>
    <t>TK2</t>
  </si>
  <si>
    <t>UBE2I</t>
  </si>
  <si>
    <t>FUS</t>
  </si>
  <si>
    <t>RNPS1</t>
  </si>
  <si>
    <t>ALDOA</t>
  </si>
  <si>
    <t>EDC3</t>
  </si>
  <si>
    <t>ARPP19</t>
  </si>
  <si>
    <t>SNAPC5</t>
  </si>
  <si>
    <t>MT3</t>
  </si>
  <si>
    <t>hCG_2044799</t>
  </si>
  <si>
    <t>DCTN5</t>
  </si>
  <si>
    <t>ZFYVE19</t>
  </si>
  <si>
    <t>UQCRC2</t>
  </si>
  <si>
    <t>UBFD1</t>
  </si>
  <si>
    <t>ABAT</t>
  </si>
  <si>
    <t>FAM219B</t>
  </si>
  <si>
    <t>EIF3C</t>
  </si>
  <si>
    <t>VWA9</t>
  </si>
  <si>
    <t>C16orf58</t>
  </si>
  <si>
    <t>KCTD5</t>
  </si>
  <si>
    <t>CTU2</t>
  </si>
  <si>
    <t>METTL22</t>
  </si>
  <si>
    <t>MAP1LC3B</t>
  </si>
  <si>
    <t>PKM</t>
  </si>
  <si>
    <t>SLC19A1</t>
  </si>
  <si>
    <t>ARL2BP</t>
  </si>
  <si>
    <t>OGFOD1</t>
  </si>
  <si>
    <t>NOB1</t>
  </si>
  <si>
    <t>CDH11</t>
  </si>
  <si>
    <t>C16orf45</t>
  </si>
  <si>
    <t>LGALS8</t>
  </si>
  <si>
    <t>PPP6R3</t>
  </si>
  <si>
    <t>METTL21A</t>
  </si>
  <si>
    <t>ESYT2</t>
  </si>
  <si>
    <t>ERGIC3</t>
  </si>
  <si>
    <t>TPRN</t>
  </si>
  <si>
    <t>MPC1</t>
  </si>
  <si>
    <t>PCMT1</t>
  </si>
  <si>
    <t>GTF3C5</t>
  </si>
  <si>
    <t>WRB</t>
  </si>
  <si>
    <t>SP140L</t>
  </si>
  <si>
    <t>P4HB</t>
  </si>
  <si>
    <t>GTF3A</t>
  </si>
  <si>
    <t>OTUD5</t>
  </si>
  <si>
    <t>AMY2A</t>
  </si>
  <si>
    <t>SUN1</t>
  </si>
  <si>
    <t>BCL3</t>
  </si>
  <si>
    <t>NHEJ1</t>
  </si>
  <si>
    <t>PARL</t>
  </si>
  <si>
    <t>IL10RB</t>
  </si>
  <si>
    <t>IQSEC1</t>
  </si>
  <si>
    <t>RANBP1</t>
  </si>
  <si>
    <t>AP1S1</t>
  </si>
  <si>
    <t>TMEM87B</t>
  </si>
  <si>
    <t>SLC35E1</t>
  </si>
  <si>
    <t>CC2D1B</t>
  </si>
  <si>
    <t>APOO</t>
  </si>
  <si>
    <t>CMC1</t>
  </si>
  <si>
    <t>MDFIC</t>
  </si>
  <si>
    <t>MBNL1</t>
  </si>
  <si>
    <t>FXN</t>
  </si>
  <si>
    <t>XRN1</t>
  </si>
  <si>
    <t>NDFIP2</t>
  </si>
  <si>
    <t>IAH1</t>
  </si>
  <si>
    <t>GPM6B</t>
  </si>
  <si>
    <t>EFR3A</t>
  </si>
  <si>
    <t>SEPN1</t>
  </si>
  <si>
    <t>SGIP1</t>
  </si>
  <si>
    <t>MICU1</t>
  </si>
  <si>
    <t>WASH6P</t>
  </si>
  <si>
    <t>GOSR2</t>
  </si>
  <si>
    <t>RNF167</t>
  </si>
  <si>
    <t>NSF</t>
  </si>
  <si>
    <t>FAM195A</t>
  </si>
  <si>
    <t>RPGRIP1L</t>
  </si>
  <si>
    <t>ALOX15B</t>
  </si>
  <si>
    <t>CTDNEP1</t>
  </si>
  <si>
    <t>DPH1</t>
  </si>
  <si>
    <t>MYL4</t>
  </si>
  <si>
    <t>SLC25A11</t>
  </si>
  <si>
    <t>ELP5</t>
  </si>
  <si>
    <t>CLUH</t>
  </si>
  <si>
    <t>CIC</t>
  </si>
  <si>
    <t>AZI1</t>
  </si>
  <si>
    <t>ZC3H7A</t>
  </si>
  <si>
    <t>DVL2</t>
  </si>
  <si>
    <t>TOM1L1</t>
  </si>
  <si>
    <t>EIF5A</t>
  </si>
  <si>
    <t>CRYM</t>
  </si>
  <si>
    <t>ATPAF1</t>
  </si>
  <si>
    <t>PITPNA</t>
  </si>
  <si>
    <t>FAM195B</t>
  </si>
  <si>
    <t>NFKBIB</t>
  </si>
  <si>
    <t>TMEM159</t>
  </si>
  <si>
    <t>NPC2</t>
  </si>
  <si>
    <t>LDLR</t>
  </si>
  <si>
    <t>KIAA0368</t>
  </si>
  <si>
    <t>PSMD9</t>
  </si>
  <si>
    <t>BNIP2</t>
  </si>
  <si>
    <t>NCEH1</t>
  </si>
  <si>
    <t>TBC1D8B</t>
  </si>
  <si>
    <t>ANKRD44</t>
  </si>
  <si>
    <t>OXA1L</t>
  </si>
  <si>
    <t>CCS</t>
  </si>
  <si>
    <t>CEP290</t>
  </si>
  <si>
    <t>CYB5B</t>
  </si>
  <si>
    <t>COG4</t>
  </si>
  <si>
    <t>CHID1</t>
  </si>
  <si>
    <t>SEC16A</t>
  </si>
  <si>
    <t>FAM63B</t>
  </si>
  <si>
    <t>FBXL7</t>
  </si>
  <si>
    <t>BRAP</t>
  </si>
  <si>
    <t>PARVA</t>
  </si>
  <si>
    <t>MARK3</t>
  </si>
  <si>
    <t>FGFR1</t>
  </si>
  <si>
    <t>FHL2</t>
  </si>
  <si>
    <t>MYO18A</t>
  </si>
  <si>
    <t>SRSF2</t>
  </si>
  <si>
    <t>SIPA1L1</t>
  </si>
  <si>
    <t>PTPRA</t>
  </si>
  <si>
    <t>ANKRD46</t>
  </si>
  <si>
    <t>NUP98</t>
  </si>
  <si>
    <t>PHACTR2</t>
  </si>
  <si>
    <t>SIK3</t>
  </si>
  <si>
    <t>CSAD</t>
  </si>
  <si>
    <t>SYNJ1</t>
  </si>
  <si>
    <t>MRPL42</t>
  </si>
  <si>
    <t>LUC7L3</t>
  </si>
  <si>
    <t>DNAJB12</t>
  </si>
  <si>
    <t>TRABD</t>
  </si>
  <si>
    <t>MPST</t>
  </si>
  <si>
    <t>HDAC2</t>
  </si>
  <si>
    <t>PHB2</t>
  </si>
  <si>
    <t>MAP1A</t>
  </si>
  <si>
    <t>ANTXR2</t>
  </si>
  <si>
    <t>TMEM45A</t>
  </si>
  <si>
    <t>OLA1</t>
  </si>
  <si>
    <t>COPS7B</t>
  </si>
  <si>
    <t>PTRH2</t>
  </si>
  <si>
    <t>C6orf203</t>
  </si>
  <si>
    <t>PPP1R37</t>
  </si>
  <si>
    <t>THUMPD1</t>
  </si>
  <si>
    <t>SHANK2</t>
  </si>
  <si>
    <t>FAM213B</t>
  </si>
  <si>
    <t>RAN</t>
  </si>
  <si>
    <t>GBA</t>
  </si>
  <si>
    <t>SUMF2</t>
  </si>
  <si>
    <t>APOL2</t>
  </si>
  <si>
    <t>CEP170B</t>
  </si>
  <si>
    <t>BABAM1</t>
  </si>
  <si>
    <t>CDKN1A</t>
  </si>
  <si>
    <t>CCDC12</t>
  </si>
  <si>
    <t>SEPHS2</t>
  </si>
  <si>
    <t>CORIN</t>
  </si>
  <si>
    <t>TBCD</t>
  </si>
  <si>
    <t>CSNK1D</t>
  </si>
  <si>
    <t>SS18</t>
  </si>
  <si>
    <t>TMEM199</t>
  </si>
  <si>
    <t>CBX1</t>
  </si>
  <si>
    <t>TRAPPC8</t>
  </si>
  <si>
    <t>GGA3</t>
  </si>
  <si>
    <t>POLI</t>
  </si>
  <si>
    <t>NUP85</t>
  </si>
  <si>
    <t>DDX5</t>
  </si>
  <si>
    <t>SRSF1</t>
  </si>
  <si>
    <t>EIF4A1</t>
  </si>
  <si>
    <t>CHERP</t>
  </si>
  <si>
    <t>PSMB3</t>
  </si>
  <si>
    <t>SCO1</t>
  </si>
  <si>
    <t>SCRN2</t>
  </si>
  <si>
    <t>SLC39A11</t>
  </si>
  <si>
    <t>SNRPN</t>
  </si>
  <si>
    <t>ERBB2</t>
  </si>
  <si>
    <t>SAP30BP</t>
  </si>
  <si>
    <t>LIMD2</t>
  </si>
  <si>
    <t>GDPD1</t>
  </si>
  <si>
    <t>RPL17</t>
  </si>
  <si>
    <t>YTHDC1</t>
  </si>
  <si>
    <t>CDK11B</t>
  </si>
  <si>
    <t>NAT9</t>
  </si>
  <si>
    <t>ALDH3A2</t>
  </si>
  <si>
    <t>MYL12A</t>
  </si>
  <si>
    <t>ZNF207</t>
  </si>
  <si>
    <t>YES1</t>
  </si>
  <si>
    <t>VAMP2</t>
  </si>
  <si>
    <t>RNF135</t>
  </si>
  <si>
    <t>SAMD4A</t>
  </si>
  <si>
    <t>MAST4</t>
  </si>
  <si>
    <t>CRBN</t>
  </si>
  <si>
    <t>BAG1</t>
  </si>
  <si>
    <t>CHCHD6</t>
  </si>
  <si>
    <t>LMNB2</t>
  </si>
  <si>
    <t>TMCO1</t>
  </si>
  <si>
    <t>HYI</t>
  </si>
  <si>
    <t>ARSG</t>
  </si>
  <si>
    <t>CUL4B</t>
  </si>
  <si>
    <t>MLX</t>
  </si>
  <si>
    <t>PTPN2</t>
  </si>
  <si>
    <t>WBP2</t>
  </si>
  <si>
    <t>YIPF2</t>
  </si>
  <si>
    <t>SMAD4</t>
  </si>
  <si>
    <t>RPS15</t>
  </si>
  <si>
    <t>SPC24</t>
  </si>
  <si>
    <t>AP1M1</t>
  </si>
  <si>
    <t>FAM210A</t>
  </si>
  <si>
    <t>H3F3B</t>
  </si>
  <si>
    <t>CAPNS1</t>
  </si>
  <si>
    <t>STAT5A</t>
  </si>
  <si>
    <t>LONP1</t>
  </si>
  <si>
    <t>PPL</t>
  </si>
  <si>
    <t>ACOT7</t>
  </si>
  <si>
    <t>TMUB2</t>
  </si>
  <si>
    <t>CAPS</t>
  </si>
  <si>
    <t>CDC37</t>
  </si>
  <si>
    <t>PRKCSH</t>
  </si>
  <si>
    <t>STX10</t>
  </si>
  <si>
    <t>KATNAL2</t>
  </si>
  <si>
    <t>TMEM205</t>
  </si>
  <si>
    <t>ACTG1</t>
  </si>
  <si>
    <t>UBALD1</t>
  </si>
  <si>
    <t>ELOF1</t>
  </si>
  <si>
    <t>NFIX</t>
  </si>
  <si>
    <t>NARS</t>
  </si>
  <si>
    <t>C18orf8</t>
  </si>
  <si>
    <t>PSMG2</t>
  </si>
  <si>
    <t>UBXN6</t>
  </si>
  <si>
    <t>C16orf71</t>
  </si>
  <si>
    <t>QPCTL</t>
  </si>
  <si>
    <t>FXYD1</t>
  </si>
  <si>
    <t>MXRA7</t>
  </si>
  <si>
    <t>FARSA</t>
  </si>
  <si>
    <t>EIF3K</t>
  </si>
  <si>
    <t>NKIRAS2</t>
  </si>
  <si>
    <t>TK1</t>
  </si>
  <si>
    <t>BLMH</t>
  </si>
  <si>
    <t>FSTL3</t>
  </si>
  <si>
    <t>MFSD11</t>
  </si>
  <si>
    <t>FAM86A</t>
  </si>
  <si>
    <t>G6PC3</t>
  </si>
  <si>
    <t>DCAKD</t>
  </si>
  <si>
    <t>WIZ</t>
  </si>
  <si>
    <t>USF2</t>
  </si>
  <si>
    <t>KPTN</t>
  </si>
  <si>
    <t>ZNF428</t>
  </si>
  <si>
    <t>KXD1</t>
  </si>
  <si>
    <t>ZC3H4</t>
  </si>
  <si>
    <t>MPV17L2</t>
  </si>
  <si>
    <t>TUBB4A</t>
  </si>
  <si>
    <t>RPL13A</t>
  </si>
  <si>
    <t>SAMD4B</t>
  </si>
  <si>
    <t>RCN3</t>
  </si>
  <si>
    <t>JOSD2</t>
  </si>
  <si>
    <t>RPS5</t>
  </si>
  <si>
    <t>AP2S1</t>
  </si>
  <si>
    <t>PSG5</t>
  </si>
  <si>
    <t>EMC10</t>
  </si>
  <si>
    <t>MYO9B</t>
  </si>
  <si>
    <t>DMPK</t>
  </si>
  <si>
    <t>FSD1</t>
  </si>
  <si>
    <t>RABAC1</t>
  </si>
  <si>
    <t>AGPS</t>
  </si>
  <si>
    <t>KIF2A</t>
  </si>
  <si>
    <t>DDX39A</t>
  </si>
  <si>
    <t>PDLIM1</t>
  </si>
  <si>
    <t>MYO1C</t>
  </si>
  <si>
    <t>SNAP23</t>
  </si>
  <si>
    <t>AIP</t>
  </si>
  <si>
    <t>GTPBP1</t>
  </si>
  <si>
    <t>STXBP3</t>
  </si>
  <si>
    <t>AP3B1</t>
  </si>
  <si>
    <t>APBB1</t>
  </si>
  <si>
    <t>TNFRSF10A</t>
  </si>
  <si>
    <t>NFKBIE</t>
  </si>
  <si>
    <t>PSMD11</t>
  </si>
  <si>
    <t>PSMD12</t>
  </si>
  <si>
    <t>ATOX1</t>
  </si>
  <si>
    <t>PGRMC1</t>
  </si>
  <si>
    <t>SUPT5H</t>
  </si>
  <si>
    <t>DFFA</t>
  </si>
  <si>
    <t>HIP1</t>
  </si>
  <si>
    <t>CLIC1</t>
  </si>
  <si>
    <t>TNFRSF11B</t>
  </si>
  <si>
    <t>WWP2</t>
  </si>
  <si>
    <t>PDHX</t>
  </si>
  <si>
    <t>QSOX1</t>
  </si>
  <si>
    <t>DCTN6</t>
  </si>
  <si>
    <t>SLC33A1</t>
  </si>
  <si>
    <t>WASL</t>
  </si>
  <si>
    <t>IPO5</t>
  </si>
  <si>
    <t>EEF2K</t>
  </si>
  <si>
    <t>DNM1L</t>
  </si>
  <si>
    <t>RTCA</t>
  </si>
  <si>
    <t>PIK3C2A</t>
  </si>
  <si>
    <t>PIK3R2</t>
  </si>
  <si>
    <t>GOLIM4</t>
  </si>
  <si>
    <t>MANBA</t>
  </si>
  <si>
    <t>AGRN</t>
  </si>
  <si>
    <t>PLOD2</t>
  </si>
  <si>
    <t>EXOC5</t>
  </si>
  <si>
    <t>HMGN4</t>
  </si>
  <si>
    <t>NDUFA4</t>
  </si>
  <si>
    <t>PSMD14</t>
  </si>
  <si>
    <t>ZNF593</t>
  </si>
  <si>
    <t>BIN1</t>
  </si>
  <si>
    <t>KPNA3</t>
  </si>
  <si>
    <t>STK25</t>
  </si>
  <si>
    <t>BCL9</t>
  </si>
  <si>
    <t>VWA5A</t>
  </si>
  <si>
    <t>SDCBP</t>
  </si>
  <si>
    <t>NOP56</t>
  </si>
  <si>
    <t>DDX3X</t>
  </si>
  <si>
    <t>CYR61</t>
  </si>
  <si>
    <t>PIR</t>
  </si>
  <si>
    <t>KPNA4</t>
  </si>
  <si>
    <t>TRIM38</t>
  </si>
  <si>
    <t>PPP6C</t>
  </si>
  <si>
    <t>CES2</t>
  </si>
  <si>
    <t>MAN2B1</t>
  </si>
  <si>
    <t>PDXK</t>
  </si>
  <si>
    <t>PPAP2B</t>
  </si>
  <si>
    <t>ARID1A</t>
  </si>
  <si>
    <t>ISLR</t>
  </si>
  <si>
    <t>CDK2AP1</t>
  </si>
  <si>
    <t>TMEM194A</t>
  </si>
  <si>
    <t>DPYSL4</t>
  </si>
  <si>
    <t>TRAFD1</t>
  </si>
  <si>
    <t>HSPB6</t>
  </si>
  <si>
    <t>NDUFAB1</t>
  </si>
  <si>
    <t>COPE</t>
  </si>
  <si>
    <t>CDC42EP2</t>
  </si>
  <si>
    <t>AP3D1</t>
  </si>
  <si>
    <t>TOR1A</t>
  </si>
  <si>
    <t>TOR1B</t>
  </si>
  <si>
    <t>STX16</t>
  </si>
  <si>
    <t>ADAM10</t>
  </si>
  <si>
    <t>MLL2</t>
  </si>
  <si>
    <t>ITGB1BP1</t>
  </si>
  <si>
    <t>ACOT8</t>
  </si>
  <si>
    <t>PDCD5</t>
  </si>
  <si>
    <t>PRMT5</t>
  </si>
  <si>
    <t>SLC9A3R1</t>
  </si>
  <si>
    <t>HSD17B6</t>
  </si>
  <si>
    <t>TNFRSF10B</t>
  </si>
  <si>
    <t>FPGT</t>
  </si>
  <si>
    <t>TPP1</t>
  </si>
  <si>
    <t>TCERG1</t>
  </si>
  <si>
    <t>TNPO2</t>
  </si>
  <si>
    <t>MRAS</t>
  </si>
  <si>
    <t>PSMA7</t>
  </si>
  <si>
    <t>SCAMP3</t>
  </si>
  <si>
    <t>OPLAH</t>
  </si>
  <si>
    <t>BACH1</t>
  </si>
  <si>
    <t>IFIT3</t>
  </si>
  <si>
    <t>TAX1BP3</t>
  </si>
  <si>
    <t>GIPC1</t>
  </si>
  <si>
    <t>LIN7A</t>
  </si>
  <si>
    <t>IKBKB</t>
  </si>
  <si>
    <t>TIMM23</t>
  </si>
  <si>
    <t>HAT1</t>
  </si>
  <si>
    <t>UBE2L6</t>
  </si>
  <si>
    <t>CASK</t>
  </si>
  <si>
    <t>UQCRQ</t>
  </si>
  <si>
    <t>HGS</t>
  </si>
  <si>
    <t>RAB7L1</t>
  </si>
  <si>
    <t>CLGN</t>
  </si>
  <si>
    <t>PPP1R12A</t>
  </si>
  <si>
    <t>GAK</t>
  </si>
  <si>
    <t>HNRPDL</t>
  </si>
  <si>
    <t>XPO1</t>
  </si>
  <si>
    <t>BTAF1</t>
  </si>
  <si>
    <t>PLXNB2</t>
  </si>
  <si>
    <t>KHNYN</t>
  </si>
  <si>
    <t>TECPR2</t>
  </si>
  <si>
    <t>SYNM</t>
  </si>
  <si>
    <t>KIAA0355</t>
  </si>
  <si>
    <t>KIF3B</t>
  </si>
  <si>
    <t>PFAS</t>
  </si>
  <si>
    <t>NACAD</t>
  </si>
  <si>
    <t>ARHGEF11</t>
  </si>
  <si>
    <t>CHUK</t>
  </si>
  <si>
    <t>LSM1</t>
  </si>
  <si>
    <t>NPC1</t>
  </si>
  <si>
    <t>AGPAT2</t>
  </si>
  <si>
    <t>DEGS1</t>
  </si>
  <si>
    <t>SCAMP1</t>
  </si>
  <si>
    <t>SCAMP2</t>
  </si>
  <si>
    <t>ARPC1B</t>
  </si>
  <si>
    <t>ARPC2</t>
  </si>
  <si>
    <t>ARPC3</t>
  </si>
  <si>
    <t>BET1</t>
  </si>
  <si>
    <t>POLR1C</t>
  </si>
  <si>
    <t>PGRMC2</t>
  </si>
  <si>
    <t>PFDN6</t>
  </si>
  <si>
    <t>GSTA4</t>
  </si>
  <si>
    <t>GNPAT</t>
  </si>
  <si>
    <t>CASC3</t>
  </si>
  <si>
    <t>VGF</t>
  </si>
  <si>
    <t>CLIC2</t>
  </si>
  <si>
    <t>ACOX3</t>
  </si>
  <si>
    <t>RER1</t>
  </si>
  <si>
    <t>SPTLC1</t>
  </si>
  <si>
    <t>SPTLC2</t>
  </si>
  <si>
    <t>OGT</t>
  </si>
  <si>
    <t>PMM2</t>
  </si>
  <si>
    <t>INPP4B</t>
  </si>
  <si>
    <t>MID1</t>
  </si>
  <si>
    <t>HMGB3</t>
  </si>
  <si>
    <t>PPM1G</t>
  </si>
  <si>
    <t>INPPL1</t>
  </si>
  <si>
    <t>BCAT2</t>
  </si>
  <si>
    <t>NCAM2</t>
  </si>
  <si>
    <t>IPO8</t>
  </si>
  <si>
    <t>STX7</t>
  </si>
  <si>
    <t>SLC16A6</t>
  </si>
  <si>
    <t>SLC16A3</t>
  </si>
  <si>
    <t>SLC31A1</t>
  </si>
  <si>
    <t>ABCC4</t>
  </si>
  <si>
    <t>CD3EAP</t>
  </si>
  <si>
    <t>P4HA2</t>
  </si>
  <si>
    <t>YKT6</t>
  </si>
  <si>
    <t>ARPC5</t>
  </si>
  <si>
    <t>POLR2D</t>
  </si>
  <si>
    <t>RNF113A</t>
  </si>
  <si>
    <t>DHX15</t>
  </si>
  <si>
    <t>RNMT</t>
  </si>
  <si>
    <t>FLRT2</t>
  </si>
  <si>
    <t>PLXNB1</t>
  </si>
  <si>
    <t>PJA2</t>
  </si>
  <si>
    <t>PRPF4</t>
  </si>
  <si>
    <t>PHGDH</t>
  </si>
  <si>
    <t>NDUFS4</t>
  </si>
  <si>
    <t>ARHGAP6</t>
  </si>
  <si>
    <t>ADAM12</t>
  </si>
  <si>
    <t>DYNC1LI2</t>
  </si>
  <si>
    <t>PSMD3</t>
  </si>
  <si>
    <t>PAPSS1</t>
  </si>
  <si>
    <t>EFS</t>
  </si>
  <si>
    <t>SART1</t>
  </si>
  <si>
    <t>DAPK3</t>
  </si>
  <si>
    <t>TGFB1I1</t>
  </si>
  <si>
    <t>AP5Z1</t>
  </si>
  <si>
    <t>HSPA12A</t>
  </si>
  <si>
    <t>CTIF</t>
  </si>
  <si>
    <t>PPIP5K2</t>
  </si>
  <si>
    <t>MAP3K7</t>
  </si>
  <si>
    <t>LYRM1</t>
  </si>
  <si>
    <t>RIPK2</t>
  </si>
  <si>
    <t>TXNL1</t>
  </si>
  <si>
    <t>TPD52L2</t>
  </si>
  <si>
    <t>EMC8</t>
  </si>
  <si>
    <t>HTRA2</t>
  </si>
  <si>
    <t>AKR7A2</t>
  </si>
  <si>
    <t>TGOLN2</t>
  </si>
  <si>
    <t>LAMTOR5</t>
  </si>
  <si>
    <t>B3GNT1</t>
  </si>
  <si>
    <t>MED7</t>
  </si>
  <si>
    <t>WIPF1</t>
  </si>
  <si>
    <t>ATP8B1</t>
  </si>
  <si>
    <t>FOXO3</t>
  </si>
  <si>
    <t>RNF13</t>
  </si>
  <si>
    <t>DENR</t>
  </si>
  <si>
    <t>XPOT</t>
  </si>
  <si>
    <t>DNPH1</t>
  </si>
  <si>
    <t>TIMM44</t>
  </si>
  <si>
    <t>TRAPPC3</t>
  </si>
  <si>
    <t>CHMP2A</t>
  </si>
  <si>
    <t>NCK2</t>
  </si>
  <si>
    <t>TSPAN6</t>
  </si>
  <si>
    <t>RGS10</t>
  </si>
  <si>
    <t>NDUFB3</t>
  </si>
  <si>
    <t>NDUFC1</t>
  </si>
  <si>
    <t>NDUFA2</t>
  </si>
  <si>
    <t>ASNA1</t>
  </si>
  <si>
    <t>BUB3</t>
  </si>
  <si>
    <t>ACTN4</t>
  </si>
  <si>
    <t>TRIAP1</t>
  </si>
  <si>
    <t>HTATSF1</t>
  </si>
  <si>
    <t>CYTH3</t>
  </si>
  <si>
    <t>STX6</t>
  </si>
  <si>
    <t>SYNGR2</t>
  </si>
  <si>
    <t>SGTA</t>
  </si>
  <si>
    <t>LIAS</t>
  </si>
  <si>
    <t>ENSA</t>
  </si>
  <si>
    <t>SLC25A20</t>
  </si>
  <si>
    <t>SSNA1</t>
  </si>
  <si>
    <t>NUDT21</t>
  </si>
  <si>
    <t>LANCL1</t>
  </si>
  <si>
    <t>STRN</t>
  </si>
  <si>
    <t>RRP9</t>
  </si>
  <si>
    <t>SCO2</t>
  </si>
  <si>
    <t>HYAL3</t>
  </si>
  <si>
    <t>SLC37A4</t>
  </si>
  <si>
    <t>IDH3B</t>
  </si>
  <si>
    <t>CALU</t>
  </si>
  <si>
    <t>EDIL3</t>
  </si>
  <si>
    <t>AHCYL1</t>
  </si>
  <si>
    <t>KIF1C</t>
  </si>
  <si>
    <t>FIGF</t>
  </si>
  <si>
    <t>NDUFS5</t>
  </si>
  <si>
    <t>PDE6D</t>
  </si>
  <si>
    <t>TIMM8A</t>
  </si>
  <si>
    <t>GMFG</t>
  </si>
  <si>
    <t>SH3BP5</t>
  </si>
  <si>
    <t>PRPSAP2</t>
  </si>
  <si>
    <t>GNG7</t>
  </si>
  <si>
    <t>SPAG9</t>
  </si>
  <si>
    <t>OPA1</t>
  </si>
  <si>
    <t>PIP5K1C</t>
  </si>
  <si>
    <t>KIF1B</t>
  </si>
  <si>
    <t>TBC1D4</t>
  </si>
  <si>
    <t>FZD6</t>
  </si>
  <si>
    <t>NUPR1</t>
  </si>
  <si>
    <t>NME2P1</t>
  </si>
  <si>
    <t>FADS1</t>
  </si>
  <si>
    <t>DFNA5</t>
  </si>
  <si>
    <t>LY75</t>
  </si>
  <si>
    <t>MAN1A2</t>
  </si>
  <si>
    <t>ACSL4</t>
  </si>
  <si>
    <t>SNX3</t>
  </si>
  <si>
    <t>MGEA5</t>
  </si>
  <si>
    <t>ADCY9</t>
  </si>
  <si>
    <t>SORBS3</t>
  </si>
  <si>
    <t>SYNCRIP</t>
  </si>
  <si>
    <t>TPST1</t>
  </si>
  <si>
    <t>B4GALT4</t>
  </si>
  <si>
    <t>NEMF</t>
  </si>
  <si>
    <t>GMDS</t>
  </si>
  <si>
    <t>NMT2</t>
  </si>
  <si>
    <t>GREM1</t>
  </si>
  <si>
    <t>PLOD3</t>
  </si>
  <si>
    <t>SEP15</t>
  </si>
  <si>
    <t>TSPAN3</t>
  </si>
  <si>
    <t>PLIN3</t>
  </si>
  <si>
    <t>RAD1</t>
  </si>
  <si>
    <t>UGDH</t>
  </si>
  <si>
    <t>TPST2</t>
  </si>
  <si>
    <t>LPXN</t>
  </si>
  <si>
    <t>CTNND1</t>
  </si>
  <si>
    <t>USO1</t>
  </si>
  <si>
    <t>PQBP1</t>
  </si>
  <si>
    <t>TIMM17B</t>
  </si>
  <si>
    <t>PRAF2</t>
  </si>
  <si>
    <t>EIF5B</t>
  </si>
  <si>
    <t>EDF1</t>
  </si>
  <si>
    <t>DNAJA2</t>
  </si>
  <si>
    <t>BRD4</t>
  </si>
  <si>
    <t>CUTA</t>
  </si>
  <si>
    <t>PFDN1</t>
  </si>
  <si>
    <t>PPP1R11</t>
  </si>
  <si>
    <t>NBN</t>
  </si>
  <si>
    <t>ABCB7</t>
  </si>
  <si>
    <t>KIF21B</t>
  </si>
  <si>
    <t>SRGAP2</t>
  </si>
  <si>
    <t>FAM20B</t>
  </si>
  <si>
    <t>EFCAB14</t>
  </si>
  <si>
    <t>WDR1</t>
  </si>
  <si>
    <t>FZD7</t>
  </si>
  <si>
    <t>MEGF6</t>
  </si>
  <si>
    <t>ATP9A</t>
  </si>
  <si>
    <t>N4BP1</t>
  </si>
  <si>
    <t>ROCK2</t>
  </si>
  <si>
    <t>CPNE3</t>
  </si>
  <si>
    <t>ATG13</t>
  </si>
  <si>
    <t>HIP1R</t>
  </si>
  <si>
    <t>RNF40</t>
  </si>
  <si>
    <t>CAND2</t>
  </si>
  <si>
    <t>TSC22D2</t>
  </si>
  <si>
    <t>DNAJC13</t>
  </si>
  <si>
    <t>PPP6R2</t>
  </si>
  <si>
    <t>CNOT3</t>
  </si>
  <si>
    <t>SS18L1</t>
  </si>
  <si>
    <t>ANKRD17</t>
  </si>
  <si>
    <t>XYLB</t>
  </si>
  <si>
    <t>COQ9</t>
  </si>
  <si>
    <t>GGCT</t>
  </si>
  <si>
    <t>RTN2</t>
  </si>
  <si>
    <t>ZNF259</t>
  </si>
  <si>
    <t>GBAS</t>
  </si>
  <si>
    <t>SEMA7A</t>
  </si>
  <si>
    <t>PDCD6</t>
  </si>
  <si>
    <t>TBCA</t>
  </si>
  <si>
    <t>ATP6V1G1</t>
  </si>
  <si>
    <t>VPS4B</t>
  </si>
  <si>
    <t>ENTPD5</t>
  </si>
  <si>
    <t>SH3BGRL</t>
  </si>
  <si>
    <t>FLNB</t>
  </si>
  <si>
    <t>NCOR1</t>
  </si>
  <si>
    <t>VAMP4</t>
  </si>
  <si>
    <t>NDUFS6</t>
  </si>
  <si>
    <t>PEX14</t>
  </si>
  <si>
    <t>TULP3</t>
  </si>
  <si>
    <t>SPAG7</t>
  </si>
  <si>
    <t>SEC22B</t>
  </si>
  <si>
    <t>PRPF40A</t>
  </si>
  <si>
    <t>GIGYF1</t>
  </si>
  <si>
    <t>LRCH4</t>
  </si>
  <si>
    <t>VPS26A</t>
  </si>
  <si>
    <t>NDUFB1</t>
  </si>
  <si>
    <t>PMPCB</t>
  </si>
  <si>
    <t>ERN1</t>
  </si>
  <si>
    <t>PSIP1</t>
  </si>
  <si>
    <t>NDUFS3</t>
  </si>
  <si>
    <t>CLN5</t>
  </si>
  <si>
    <t>HSBP1</t>
  </si>
  <si>
    <t>ECI2</t>
  </si>
  <si>
    <t>BANF1</t>
  </si>
  <si>
    <t>SF3B1</t>
  </si>
  <si>
    <t>CSDE1</t>
  </si>
  <si>
    <t>GCAT</t>
  </si>
  <si>
    <t>NPM3</t>
  </si>
  <si>
    <t>LYPLA1</t>
  </si>
  <si>
    <t>SERPINB7</t>
  </si>
  <si>
    <t>TRMU</t>
  </si>
  <si>
    <t>TIPRL</t>
  </si>
  <si>
    <t>PPM1B</t>
  </si>
  <si>
    <t>ADAP1</t>
  </si>
  <si>
    <t>RP2</t>
  </si>
  <si>
    <t>CRTAP</t>
  </si>
  <si>
    <t>SLC25A12</t>
  </si>
  <si>
    <t>PALM</t>
  </si>
  <si>
    <t>CDC123</t>
  </si>
  <si>
    <t>BCAR3</t>
  </si>
  <si>
    <t>RPP40</t>
  </si>
  <si>
    <t>EIF3G</t>
  </si>
  <si>
    <t>EIF3J</t>
  </si>
  <si>
    <t>CBR3</t>
  </si>
  <si>
    <t>PSMD10</t>
  </si>
  <si>
    <t>ZMPSTE24</t>
  </si>
  <si>
    <t>TRAPPC6A</t>
  </si>
  <si>
    <t>IDH1</t>
  </si>
  <si>
    <t>ATRN</t>
  </si>
  <si>
    <t>RBBP9</t>
  </si>
  <si>
    <t>STAM2</t>
  </si>
  <si>
    <t>ALDH1L1</t>
  </si>
  <si>
    <t>TUSC2</t>
  </si>
  <si>
    <t>DHRS3</t>
  </si>
  <si>
    <t>PAK3</t>
  </si>
  <si>
    <t>ARL6IP5</t>
  </si>
  <si>
    <t>BCAS2</t>
  </si>
  <si>
    <t>DCTN3</t>
  </si>
  <si>
    <t>DNAJC8</t>
  </si>
  <si>
    <t>SMNDC1</t>
  </si>
  <si>
    <t>ATP5H</t>
  </si>
  <si>
    <t>FLOT1</t>
  </si>
  <si>
    <t>TRIO</t>
  </si>
  <si>
    <t>ATP5L</t>
  </si>
  <si>
    <t>CPD</t>
  </si>
  <si>
    <t>GLRX3</t>
  </si>
  <si>
    <t>WFS1</t>
  </si>
  <si>
    <t>CLPX</t>
  </si>
  <si>
    <t>SEC14L2</t>
  </si>
  <si>
    <t>STC2</t>
  </si>
  <si>
    <t>SNCG</t>
  </si>
  <si>
    <t>CIAO1</t>
  </si>
  <si>
    <t>PDE5A</t>
  </si>
  <si>
    <t>ZFAND5</t>
  </si>
  <si>
    <t>JTB</t>
  </si>
  <si>
    <t>DDAH1</t>
  </si>
  <si>
    <t>URI1</t>
  </si>
  <si>
    <t>B3GAT3</t>
  </si>
  <si>
    <t>STK10</t>
  </si>
  <si>
    <t>TOMM70A</t>
  </si>
  <si>
    <t>IPO13</t>
  </si>
  <si>
    <t>DDHD2</t>
  </si>
  <si>
    <t>MYO1D</t>
  </si>
  <si>
    <t>MICAL2</t>
  </si>
  <si>
    <t>KIAA0754</t>
  </si>
  <si>
    <t>SEC24D</t>
  </si>
  <si>
    <t>NFASC</t>
  </si>
  <si>
    <t>SUPT7L</t>
  </si>
  <si>
    <t>UFL1</t>
  </si>
  <si>
    <t>SASH1</t>
  </si>
  <si>
    <t>TMEM63A</t>
  </si>
  <si>
    <t>UBXN7</t>
  </si>
  <si>
    <t>KLHL18</t>
  </si>
  <si>
    <t>PROSC</t>
  </si>
  <si>
    <t>ERLIN2</t>
  </si>
  <si>
    <t>ENDOD1</t>
  </si>
  <si>
    <t>CDK14</t>
  </si>
  <si>
    <t>USP19</t>
  </si>
  <si>
    <t>WDR47</t>
  </si>
  <si>
    <t>AP2A2</t>
  </si>
  <si>
    <t>HEXIM1</t>
  </si>
  <si>
    <t>INMT</t>
  </si>
  <si>
    <t>DIRAS1</t>
  </si>
  <si>
    <t>AGFG2</t>
  </si>
  <si>
    <t>PRSS23</t>
  </si>
  <si>
    <t>SCAF4</t>
  </si>
  <si>
    <t>S1PR2</t>
  </si>
  <si>
    <t>NDUFB6</t>
  </si>
  <si>
    <t>MFN2</t>
  </si>
  <si>
    <t>UBE4B</t>
  </si>
  <si>
    <t>ZFPL1</t>
  </si>
  <si>
    <t>NDUFA3</t>
  </si>
  <si>
    <t>NDUFA7</t>
  </si>
  <si>
    <t>VAMP5</t>
  </si>
  <si>
    <t>RTN3</t>
  </si>
  <si>
    <t>LETM1</t>
  </si>
  <si>
    <t>PCDH8</t>
  </si>
  <si>
    <t>ZRANB2</t>
  </si>
  <si>
    <t>SNX4</t>
  </si>
  <si>
    <t>VENTX</t>
  </si>
  <si>
    <t>CCNDBP1</t>
  </si>
  <si>
    <t>VAPB</t>
  </si>
  <si>
    <t>SNAPIN</t>
  </si>
  <si>
    <t>MPZL1</t>
  </si>
  <si>
    <t>NDUFC2</t>
  </si>
  <si>
    <t>FKBP9</t>
  </si>
  <si>
    <t>PGLS</t>
  </si>
  <si>
    <t>ATG7</t>
  </si>
  <si>
    <t>TRIM16</t>
  </si>
  <si>
    <t>ZBTB7A</t>
  </si>
  <si>
    <t>LYPLA2</t>
  </si>
  <si>
    <t>IPO7</t>
  </si>
  <si>
    <t>ARIH2</t>
  </si>
  <si>
    <t>WISP1</t>
  </si>
  <si>
    <t>PGM3</t>
  </si>
  <si>
    <t>MOCS3</t>
  </si>
  <si>
    <t>CD2BP2</t>
  </si>
  <si>
    <t>ZFYVE9</t>
  </si>
  <si>
    <t>SVIL</t>
  </si>
  <si>
    <t>BAG4</t>
  </si>
  <si>
    <t>AHSA1</t>
  </si>
  <si>
    <t>ADAMTS2</t>
  </si>
  <si>
    <t>PARN</t>
  </si>
  <si>
    <t>PSMG1</t>
  </si>
  <si>
    <t>SGPL1</t>
  </si>
  <si>
    <t>SEC24A</t>
  </si>
  <si>
    <t>SEC24B</t>
  </si>
  <si>
    <t>SLC2A10</t>
  </si>
  <si>
    <t>NADK</t>
  </si>
  <si>
    <t>TDP2</t>
  </si>
  <si>
    <t>ETHE1</t>
  </si>
  <si>
    <t>ACSL3</t>
  </si>
  <si>
    <t>CNOT4</t>
  </si>
  <si>
    <t>STAMBP</t>
  </si>
  <si>
    <t>ASMTL</t>
  </si>
  <si>
    <t>CDS2</t>
  </si>
  <si>
    <t>FGFR1OP</t>
  </si>
  <si>
    <t>RAB3D</t>
  </si>
  <si>
    <t>SNAP29</t>
  </si>
  <si>
    <t>OXSR1</t>
  </si>
  <si>
    <t>GGPS1</t>
  </si>
  <si>
    <t>NAA38</t>
  </si>
  <si>
    <t>AP2A1</t>
  </si>
  <si>
    <t>DDX58</t>
  </si>
  <si>
    <t>TTC4</t>
  </si>
  <si>
    <t>TMEM50A</t>
  </si>
  <si>
    <t>SDPR</t>
  </si>
  <si>
    <t>BAG2</t>
  </si>
  <si>
    <t>CRYZL1</t>
  </si>
  <si>
    <t>AIFM1</t>
  </si>
  <si>
    <t>CLIC3</t>
  </si>
  <si>
    <t>EML2</t>
  </si>
  <si>
    <t>NUDT14</t>
  </si>
  <si>
    <t>TSPAN13</t>
  </si>
  <si>
    <t>FADS2</t>
  </si>
  <si>
    <t>DDAH2</t>
  </si>
  <si>
    <t>C6orf47</t>
  </si>
  <si>
    <t>TXNDC12</t>
  </si>
  <si>
    <t>ECD</t>
  </si>
  <si>
    <t>SYF2</t>
  </si>
  <si>
    <t>ITGBL1</t>
  </si>
  <si>
    <t>RECK</t>
  </si>
  <si>
    <t>NUDT3</t>
  </si>
  <si>
    <t>BCL10</t>
  </si>
  <si>
    <t>NDUFB10</t>
  </si>
  <si>
    <t>MOCS2</t>
  </si>
  <si>
    <t>TOMM40</t>
  </si>
  <si>
    <t>PEX11B</t>
  </si>
  <si>
    <t>PAK4</t>
  </si>
  <si>
    <t>CHEK2</t>
  </si>
  <si>
    <t>ACTL6A</t>
  </si>
  <si>
    <t>CYB5A</t>
  </si>
  <si>
    <t>ADH1B</t>
  </si>
  <si>
    <t>LDHA</t>
  </si>
  <si>
    <t>ALDH1A1</t>
  </si>
  <si>
    <t>GLUD1</t>
  </si>
  <si>
    <t>CYB5R3</t>
  </si>
  <si>
    <t>GSR</t>
  </si>
  <si>
    <t>MT-CO2</t>
  </si>
  <si>
    <t>SOD1</t>
  </si>
  <si>
    <t>PNP</t>
  </si>
  <si>
    <t>HPRT1</t>
  </si>
  <si>
    <t>GOT2</t>
  </si>
  <si>
    <t>ABL1</t>
  </si>
  <si>
    <t>EGFR</t>
  </si>
  <si>
    <t>PGK1</t>
  </si>
  <si>
    <t>C1R</t>
  </si>
  <si>
    <t>HP</t>
  </si>
  <si>
    <t>ADA</t>
  </si>
  <si>
    <t>ASS1</t>
  </si>
  <si>
    <t>A2M</t>
  </si>
  <si>
    <t>CST3</t>
  </si>
  <si>
    <t>NRAS</t>
  </si>
  <si>
    <t>HRAS</t>
  </si>
  <si>
    <t>KRAS</t>
  </si>
  <si>
    <t>TGFB1</t>
  </si>
  <si>
    <t>COL1A1</t>
  </si>
  <si>
    <t>COL2A1</t>
  </si>
  <si>
    <t>COL3A1</t>
  </si>
  <si>
    <t>COL4A1</t>
  </si>
  <si>
    <t>LMNA</t>
  </si>
  <si>
    <t>APOE</t>
  </si>
  <si>
    <t>APOA2</t>
  </si>
  <si>
    <t>FN1</t>
  </si>
  <si>
    <t>TFRC</t>
  </si>
  <si>
    <t>TF</t>
  </si>
  <si>
    <t>FTL</t>
  </si>
  <si>
    <t>FTH1</t>
  </si>
  <si>
    <t>MT2A</t>
  </si>
  <si>
    <t>MT-ATP8</t>
  </si>
  <si>
    <t>MMP1</t>
  </si>
  <si>
    <t>CAT</t>
  </si>
  <si>
    <t>FUCA1</t>
  </si>
  <si>
    <t>CSTB</t>
  </si>
  <si>
    <t>ANXA1</t>
  </si>
  <si>
    <t>OAT</t>
  </si>
  <si>
    <t>A1BG</t>
  </si>
  <si>
    <t>GAPDH</t>
  </si>
  <si>
    <t>ASL</t>
  </si>
  <si>
    <t>MT1A</t>
  </si>
  <si>
    <t>HSPB1</t>
  </si>
  <si>
    <t>RPN1</t>
  </si>
  <si>
    <t>RPN2</t>
  </si>
  <si>
    <t>GNAI2</t>
  </si>
  <si>
    <t>GYPC</t>
  </si>
  <si>
    <t>ATP1A1</t>
  </si>
  <si>
    <t>APP</t>
  </si>
  <si>
    <t>APOD</t>
  </si>
  <si>
    <t>ALDH2</t>
  </si>
  <si>
    <t>ITGB3</t>
  </si>
  <si>
    <t>HMGN1</t>
  </si>
  <si>
    <t>SERPINB2</t>
  </si>
  <si>
    <t>SERPINE1</t>
  </si>
  <si>
    <t>SLC25A5</t>
  </si>
  <si>
    <t>ISG15</t>
  </si>
  <si>
    <t>PCCA</t>
  </si>
  <si>
    <t>ALPL</t>
  </si>
  <si>
    <t>EIF2S1</t>
  </si>
  <si>
    <t>HMGN2</t>
  </si>
  <si>
    <t>ICAM1</t>
  </si>
  <si>
    <t>RPLP2</t>
  </si>
  <si>
    <t>RPLP0</t>
  </si>
  <si>
    <t>JUN</t>
  </si>
  <si>
    <t>FABP3</t>
  </si>
  <si>
    <t>SSB</t>
  </si>
  <si>
    <t>ITGB1</t>
  </si>
  <si>
    <t>COL5A2</t>
  </si>
  <si>
    <t>UROD</t>
  </si>
  <si>
    <t>FYN</t>
  </si>
  <si>
    <t>GLA</t>
  </si>
  <si>
    <t>GSN</t>
  </si>
  <si>
    <t>ATP5B</t>
  </si>
  <si>
    <t>ENO1</t>
  </si>
  <si>
    <t>PYGL</t>
  </si>
  <si>
    <t>GPI</t>
  </si>
  <si>
    <t>NPM1</t>
  </si>
  <si>
    <t>ITGAV</t>
  </si>
  <si>
    <t>SERPINE2</t>
  </si>
  <si>
    <t>EPHX1</t>
  </si>
  <si>
    <t>DBI</t>
  </si>
  <si>
    <t>LDHB</t>
  </si>
  <si>
    <t>GPX1</t>
  </si>
  <si>
    <t>PGK2</t>
  </si>
  <si>
    <t>PROS1</t>
  </si>
  <si>
    <t>H1F0</t>
  </si>
  <si>
    <t>CTSD</t>
  </si>
  <si>
    <t>CAPN1</t>
  </si>
  <si>
    <t>IVL</t>
  </si>
  <si>
    <t>HEXB</t>
  </si>
  <si>
    <t>CTSL1</t>
  </si>
  <si>
    <t>PFN1</t>
  </si>
  <si>
    <t>BPGM</t>
  </si>
  <si>
    <t>APRT</t>
  </si>
  <si>
    <t>EPRS</t>
  </si>
  <si>
    <t>HSP90AA1</t>
  </si>
  <si>
    <t>GALT</t>
  </si>
  <si>
    <t>UQCRH</t>
  </si>
  <si>
    <t>FH</t>
  </si>
  <si>
    <t>THBS1</t>
  </si>
  <si>
    <t>HSPA1A</t>
  </si>
  <si>
    <t>COL1A2</t>
  </si>
  <si>
    <t>PFKM</t>
  </si>
  <si>
    <t>HSP90AB1</t>
  </si>
  <si>
    <t>SRPR</t>
  </si>
  <si>
    <t>MMP2</t>
  </si>
  <si>
    <t>SOD3</t>
  </si>
  <si>
    <t>HMBS</t>
  </si>
  <si>
    <t>MME</t>
  </si>
  <si>
    <t>INHBA</t>
  </si>
  <si>
    <t>PDHA1</t>
  </si>
  <si>
    <t>COL4A2</t>
  </si>
  <si>
    <t>CYC1</t>
  </si>
  <si>
    <t>SNRPB2</t>
  </si>
  <si>
    <t>MYL3</t>
  </si>
  <si>
    <t>CFH</t>
  </si>
  <si>
    <t>SNRNP70</t>
  </si>
  <si>
    <t>ITGA5</t>
  </si>
  <si>
    <t>NFIC</t>
  </si>
  <si>
    <t>VIM</t>
  </si>
  <si>
    <t>GNAI3</t>
  </si>
  <si>
    <t>ANXA5</t>
  </si>
  <si>
    <t>STS</t>
  </si>
  <si>
    <t>SNRPA</t>
  </si>
  <si>
    <t>FGF2</t>
  </si>
  <si>
    <t>ENO2</t>
  </si>
  <si>
    <t>SRP19</t>
  </si>
  <si>
    <t>GSTP1</t>
  </si>
  <si>
    <t>SNRPC</t>
  </si>
  <si>
    <t>LGALS1</t>
  </si>
  <si>
    <t>QDPR</t>
  </si>
  <si>
    <t>HMGB1</t>
  </si>
  <si>
    <t>CLTA</t>
  </si>
  <si>
    <t>CLTB</t>
  </si>
  <si>
    <t>CNP</t>
  </si>
  <si>
    <t>HMOX1</t>
  </si>
  <si>
    <t>PDGFRB</t>
  </si>
  <si>
    <t>DLD</t>
  </si>
  <si>
    <t>SNRPA1</t>
  </si>
  <si>
    <t>CTSH</t>
  </si>
  <si>
    <t>COX6C</t>
  </si>
  <si>
    <t>PARP1</t>
  </si>
  <si>
    <t>UCHL1</t>
  </si>
  <si>
    <t>LTA4H</t>
  </si>
  <si>
    <t>ALDOC</t>
  </si>
  <si>
    <t>ATXN1L</t>
  </si>
  <si>
    <t>CHTF8</t>
  </si>
  <si>
    <t>TMSB15B</t>
  </si>
  <si>
    <t>POTEI</t>
  </si>
  <si>
    <t>POTEJ</t>
  </si>
  <si>
    <t>RPS17L</t>
  </si>
  <si>
    <t>SMIM13</t>
  </si>
  <si>
    <t>FDX1</t>
  </si>
  <si>
    <t>RAP2A</t>
  </si>
  <si>
    <t>SRGN</t>
  </si>
  <si>
    <t>TROVE2</t>
  </si>
  <si>
    <t>COX8A</t>
  </si>
  <si>
    <t>GAA</t>
  </si>
  <si>
    <t>RRAS</t>
  </si>
  <si>
    <t>ARAF</t>
  </si>
  <si>
    <t>DLAT</t>
  </si>
  <si>
    <t>PTPRF</t>
  </si>
  <si>
    <t>TXN</t>
  </si>
  <si>
    <t>COX5B</t>
  </si>
  <si>
    <t>CTSA</t>
  </si>
  <si>
    <t>MGST1</t>
  </si>
  <si>
    <t>MAPT</t>
  </si>
  <si>
    <t>PRKAR1A</t>
  </si>
  <si>
    <t>UROS</t>
  </si>
  <si>
    <t>ESD</t>
  </si>
  <si>
    <t>HSPD1</t>
  </si>
  <si>
    <t>CLU</t>
  </si>
  <si>
    <t>HAPLN1</t>
  </si>
  <si>
    <t>HSPA5</t>
  </si>
  <si>
    <t>LAMC1</t>
  </si>
  <si>
    <t>ACP2</t>
  </si>
  <si>
    <t>MAP2</t>
  </si>
  <si>
    <t>SLC2A1</t>
  </si>
  <si>
    <t>SLC2A3</t>
  </si>
  <si>
    <t>UMPS</t>
  </si>
  <si>
    <t>PDHB</t>
  </si>
  <si>
    <t>DBT</t>
  </si>
  <si>
    <t>PYGB</t>
  </si>
  <si>
    <t>RALA</t>
  </si>
  <si>
    <t>RALB</t>
  </si>
  <si>
    <t>BCR</t>
  </si>
  <si>
    <t>LAMP1</t>
  </si>
  <si>
    <t>TOP1</t>
  </si>
  <si>
    <t>G6PD</t>
  </si>
  <si>
    <t>UBL4A</t>
  </si>
  <si>
    <t>PC</t>
  </si>
  <si>
    <t>MTHFD1</t>
  </si>
  <si>
    <t>IGF2R</t>
  </si>
  <si>
    <t>ADH5</t>
  </si>
  <si>
    <t>CDK4</t>
  </si>
  <si>
    <t>SRF</t>
  </si>
  <si>
    <t>PRPS2</t>
  </si>
  <si>
    <t>PABPC1</t>
  </si>
  <si>
    <t>PCNA</t>
  </si>
  <si>
    <t>HARS</t>
  </si>
  <si>
    <t>COL11A1</t>
  </si>
  <si>
    <t>COL6A1</t>
  </si>
  <si>
    <t>COL6A2</t>
  </si>
  <si>
    <t>SLC25A4</t>
  </si>
  <si>
    <t>SLC25A6</t>
  </si>
  <si>
    <t>IMPDH2</t>
  </si>
  <si>
    <t>TPR</t>
  </si>
  <si>
    <t>CKB</t>
  </si>
  <si>
    <t>ANXA3</t>
  </si>
  <si>
    <t>CKMT1A</t>
  </si>
  <si>
    <t>ACTN1</t>
  </si>
  <si>
    <t>ACE</t>
  </si>
  <si>
    <t>SRC</t>
  </si>
  <si>
    <t>PEPD</t>
  </si>
  <si>
    <t>XRCC6</t>
  </si>
  <si>
    <t>XRCC5</t>
  </si>
  <si>
    <t>COX4I1</t>
  </si>
  <si>
    <t>ALAS1</t>
  </si>
  <si>
    <t>RNH1</t>
  </si>
  <si>
    <t>CYBA</t>
  </si>
  <si>
    <t>VCAN</t>
  </si>
  <si>
    <t>ITGA4</t>
  </si>
  <si>
    <t>EEF2</t>
  </si>
  <si>
    <t>PDIA4</t>
  </si>
  <si>
    <t>P4HA1</t>
  </si>
  <si>
    <t>TPT1</t>
  </si>
  <si>
    <t>F3</t>
  </si>
  <si>
    <t>HLA-A</t>
  </si>
  <si>
    <t>PLS3</t>
  </si>
  <si>
    <t>ETFA</t>
  </si>
  <si>
    <t>PRKAR2A</t>
  </si>
  <si>
    <t>ENO3</t>
  </si>
  <si>
    <t>GTF2F2</t>
  </si>
  <si>
    <t>MTHFD2</t>
  </si>
  <si>
    <t>MIF</t>
  </si>
  <si>
    <t>CD99</t>
  </si>
  <si>
    <t>FDPS</t>
  </si>
  <si>
    <t>CPM</t>
  </si>
  <si>
    <t>AKR1A1</t>
  </si>
  <si>
    <t>ACYP2</t>
  </si>
  <si>
    <t>HSP90B1</t>
  </si>
  <si>
    <t>MYL6B</t>
  </si>
  <si>
    <t>IDE</t>
  </si>
  <si>
    <t>COX6B1</t>
  </si>
  <si>
    <t>HNRNPL</t>
  </si>
  <si>
    <t>DARS</t>
  </si>
  <si>
    <t>JUP</t>
  </si>
  <si>
    <t>BRAF</t>
  </si>
  <si>
    <t>FABP4</t>
  </si>
  <si>
    <t>GLUL</t>
  </si>
  <si>
    <t>AKR1B1</t>
  </si>
  <si>
    <t>ANPEP</t>
  </si>
  <si>
    <t>PVR</t>
  </si>
  <si>
    <t>GSPT1</t>
  </si>
  <si>
    <t>ARSA</t>
  </si>
  <si>
    <t>B4GALT1</t>
  </si>
  <si>
    <t>EZR</t>
  </si>
  <si>
    <t>UCHL3</t>
  </si>
  <si>
    <t>FOSL1</t>
  </si>
  <si>
    <t>CD46</t>
  </si>
  <si>
    <t>NME1</t>
  </si>
  <si>
    <t>GNS</t>
  </si>
  <si>
    <t>ARSB</t>
  </si>
  <si>
    <t>CHN1</t>
  </si>
  <si>
    <t>DSP</t>
  </si>
  <si>
    <t>RPA2</t>
  </si>
  <si>
    <t>TIMP2</t>
  </si>
  <si>
    <t>CBR1</t>
  </si>
  <si>
    <t>ACADS</t>
  </si>
  <si>
    <t>PDGFRA</t>
  </si>
  <si>
    <t>SLC25A16</t>
  </si>
  <si>
    <t>GLB1</t>
  </si>
  <si>
    <t>PPP3CB</t>
  </si>
  <si>
    <t>NCK1</t>
  </si>
  <si>
    <t>GCFC2</t>
  </si>
  <si>
    <t>HIST1H1B</t>
  </si>
  <si>
    <t>HIST1H1C</t>
  </si>
  <si>
    <t>POR</t>
  </si>
  <si>
    <t>MGMT</t>
  </si>
  <si>
    <t>FER</t>
  </si>
  <si>
    <t>ATP2A2</t>
  </si>
  <si>
    <t>FAH</t>
  </si>
  <si>
    <t>STMN1</t>
  </si>
  <si>
    <t>YBX3</t>
  </si>
  <si>
    <t>NAGA</t>
  </si>
  <si>
    <t>HSPA6</t>
  </si>
  <si>
    <t>RHOQ</t>
  </si>
  <si>
    <t>HMGA1</t>
  </si>
  <si>
    <t>TMEM11</t>
  </si>
  <si>
    <t>GOT1</t>
  </si>
  <si>
    <t>PRKCA</t>
  </si>
  <si>
    <t>JUNB</t>
  </si>
  <si>
    <t>GJA1</t>
  </si>
  <si>
    <t>NPR3</t>
  </si>
  <si>
    <t>SMPD1</t>
  </si>
  <si>
    <t>JUND</t>
  </si>
  <si>
    <t>NDUFB7</t>
  </si>
  <si>
    <t>PRKACA</t>
  </si>
  <si>
    <t>CAPN2</t>
  </si>
  <si>
    <t>DES</t>
  </si>
  <si>
    <t>CTPS1</t>
  </si>
  <si>
    <t>ENG</t>
  </si>
  <si>
    <t>PFKL</t>
  </si>
  <si>
    <t>GM2A</t>
  </si>
  <si>
    <t>LGALS3</t>
  </si>
  <si>
    <t>IGFBP3</t>
  </si>
  <si>
    <t>TCP1</t>
  </si>
  <si>
    <t>PTPN1</t>
  </si>
  <si>
    <t>IGFBP2</t>
  </si>
  <si>
    <t>ITGB5</t>
  </si>
  <si>
    <t>ARF4</t>
  </si>
  <si>
    <t>RPL7</t>
  </si>
  <si>
    <t>EGR1</t>
  </si>
  <si>
    <t>NELFE</t>
  </si>
  <si>
    <t>PGAM1</t>
  </si>
  <si>
    <t>RCC1</t>
  </si>
  <si>
    <t>SDC1</t>
  </si>
  <si>
    <t>ATF1</t>
  </si>
  <si>
    <t>ATP5J</t>
  </si>
  <si>
    <t>PAM</t>
  </si>
  <si>
    <t>NCL</t>
  </si>
  <si>
    <t>HK1</t>
  </si>
  <si>
    <t>EIF2AK2</t>
  </si>
  <si>
    <t>TFE3</t>
  </si>
  <si>
    <t>SRM</t>
  </si>
  <si>
    <t>CSNK2A2</t>
  </si>
  <si>
    <t>NFKB1</t>
  </si>
  <si>
    <t>FST</t>
  </si>
  <si>
    <t>TYMP</t>
  </si>
  <si>
    <t>ATP2B1</t>
  </si>
  <si>
    <t>EIF2S2</t>
  </si>
  <si>
    <t>BTF3</t>
  </si>
  <si>
    <t>RAB3A</t>
  </si>
  <si>
    <t>RAB3B</t>
  </si>
  <si>
    <t>RAB4A</t>
  </si>
  <si>
    <t>PSMB1</t>
  </si>
  <si>
    <t>M6PR</t>
  </si>
  <si>
    <t>COX5A</t>
  </si>
  <si>
    <t>LMNB1</t>
  </si>
  <si>
    <t>COL5A1</t>
  </si>
  <si>
    <t>AGA</t>
  </si>
  <si>
    <t>PTMS</t>
  </si>
  <si>
    <t>GSTM3</t>
  </si>
  <si>
    <t>ATP6V1B2</t>
  </si>
  <si>
    <t>ATP6V1C1</t>
  </si>
  <si>
    <t>CSRP1</t>
  </si>
  <si>
    <t>FLNA</t>
  </si>
  <si>
    <t>NF1</t>
  </si>
  <si>
    <t>MAOA</t>
  </si>
  <si>
    <t>ACO1</t>
  </si>
  <si>
    <t>KITLG</t>
  </si>
  <si>
    <t>NT5E</t>
  </si>
  <si>
    <t>VDAC1</t>
  </si>
  <si>
    <t>SDHB</t>
  </si>
  <si>
    <t>COMT</t>
  </si>
  <si>
    <t>TGM2</t>
  </si>
  <si>
    <t>MUT</t>
  </si>
  <si>
    <t>OSBP</t>
  </si>
  <si>
    <t>GART</t>
  </si>
  <si>
    <t>IDS</t>
  </si>
  <si>
    <t>SCP2</t>
  </si>
  <si>
    <t>UBA1</t>
  </si>
  <si>
    <t>ENPP1</t>
  </si>
  <si>
    <t>GAL</t>
  </si>
  <si>
    <t>FDXR</t>
  </si>
  <si>
    <t>HNRNPA2B1</t>
  </si>
  <si>
    <t>CALB2</t>
  </si>
  <si>
    <t>CBL</t>
  </si>
  <si>
    <t>IGFBP4</t>
  </si>
  <si>
    <t>PRKACB</t>
  </si>
  <si>
    <t>FECH</t>
  </si>
  <si>
    <t>CES1</t>
  </si>
  <si>
    <t>FBLN1</t>
  </si>
  <si>
    <t>TCEA1</t>
  </si>
  <si>
    <t>PTGS1</t>
  </si>
  <si>
    <t>SFPQ</t>
  </si>
  <si>
    <t>TUBG1</t>
  </si>
  <si>
    <t>PPIB</t>
  </si>
  <si>
    <t>ME2</t>
  </si>
  <si>
    <t>WARS</t>
  </si>
  <si>
    <t>RPS3</t>
  </si>
  <si>
    <t>GCSH</t>
  </si>
  <si>
    <t>PTPRG</t>
  </si>
  <si>
    <t>SP100</t>
  </si>
  <si>
    <t>MCC</t>
  </si>
  <si>
    <t>AHCY</t>
  </si>
  <si>
    <t>CFL1</t>
  </si>
  <si>
    <t>ATP2B4</t>
  </si>
  <si>
    <t>DGKA</t>
  </si>
  <si>
    <t>CPT2</t>
  </si>
  <si>
    <t>DTYMK</t>
  </si>
  <si>
    <t>RRM1</t>
  </si>
  <si>
    <t>LAMA2</t>
  </si>
  <si>
    <t>COX7A1</t>
  </si>
  <si>
    <t>CCND1</t>
  </si>
  <si>
    <t>EEF1B2</t>
  </si>
  <si>
    <t>IGFBP6</t>
  </si>
  <si>
    <t>IGFBP5</t>
  </si>
  <si>
    <t>ACP1</t>
  </si>
  <si>
    <t>ACAT1</t>
  </si>
  <si>
    <t>TNC</t>
  </si>
  <si>
    <t>MYL9</t>
  </si>
  <si>
    <t>POLR2A</t>
  </si>
  <si>
    <t>APC</t>
  </si>
  <si>
    <t>ADRBK1</t>
  </si>
  <si>
    <t>F2R</t>
  </si>
  <si>
    <t>RPS12</t>
  </si>
  <si>
    <t>FAS</t>
  </si>
  <si>
    <t>DNAJB1</t>
  </si>
  <si>
    <t>DNAJB2</t>
  </si>
  <si>
    <t>ATP5A1</t>
  </si>
  <si>
    <t>CTSS</t>
  </si>
  <si>
    <t>PSMA1</t>
  </si>
  <si>
    <t>PSMA2</t>
  </si>
  <si>
    <t>PSMA3</t>
  </si>
  <si>
    <t>PSMA4</t>
  </si>
  <si>
    <t>ITGA3</t>
  </si>
  <si>
    <t>PTX3</t>
  </si>
  <si>
    <t>MSN</t>
  </si>
  <si>
    <t>DDX6</t>
  </si>
  <si>
    <t>RPL13</t>
  </si>
  <si>
    <t>CHML</t>
  </si>
  <si>
    <t>IVD</t>
  </si>
  <si>
    <t>S100A4</t>
  </si>
  <si>
    <t>MGAT1</t>
  </si>
  <si>
    <t>HMGB2</t>
  </si>
  <si>
    <t>PTBP1</t>
  </si>
  <si>
    <t>TARS</t>
  </si>
  <si>
    <t>EEF1G</t>
  </si>
  <si>
    <t>FKBP2</t>
  </si>
  <si>
    <t>AK4</t>
  </si>
  <si>
    <t>MAOB</t>
  </si>
  <si>
    <t>YWHAQ</t>
  </si>
  <si>
    <t>MAPK3</t>
  </si>
  <si>
    <t>DPP4</t>
  </si>
  <si>
    <t>ARNT</t>
  </si>
  <si>
    <t>RPL10</t>
  </si>
  <si>
    <t>COL8A1</t>
  </si>
  <si>
    <t>RPA1</t>
  </si>
  <si>
    <t>APEX1</t>
  </si>
  <si>
    <t>CALR</t>
  </si>
  <si>
    <t>PIK3R1</t>
  </si>
  <si>
    <t>PSMB8</t>
  </si>
  <si>
    <t>PSMA5</t>
  </si>
  <si>
    <t>PSMB4</t>
  </si>
  <si>
    <t>PSMB6</t>
  </si>
  <si>
    <t>PSMB5</t>
  </si>
  <si>
    <t>GSTM2</t>
  </si>
  <si>
    <t>LOX</t>
  </si>
  <si>
    <t>NDUFS1</t>
  </si>
  <si>
    <t>MAPK1</t>
  </si>
  <si>
    <t>ERCC5</t>
  </si>
  <si>
    <t>GRN</t>
  </si>
  <si>
    <t>LAP3</t>
  </si>
  <si>
    <t>HSD11B1</t>
  </si>
  <si>
    <t>S100A2</t>
  </si>
  <si>
    <t>GTF2E1</t>
  </si>
  <si>
    <t>CTGF</t>
  </si>
  <si>
    <t>EPHA2</t>
  </si>
  <si>
    <t>EPHB2</t>
  </si>
  <si>
    <t>SHC1</t>
  </si>
  <si>
    <t>CRABP2</t>
  </si>
  <si>
    <t>TKT</t>
  </si>
  <si>
    <t>LMOD1</t>
  </si>
  <si>
    <t>PML</t>
  </si>
  <si>
    <t>MARCKS</t>
  </si>
  <si>
    <t>GNA11</t>
  </si>
  <si>
    <t>ALDH4A1</t>
  </si>
  <si>
    <t>PBLD</t>
  </si>
  <si>
    <t>ERP29</t>
  </si>
  <si>
    <t>PRDX6</t>
  </si>
  <si>
    <t>C21orf33</t>
  </si>
  <si>
    <t>BLVRB</t>
  </si>
  <si>
    <t>PRDX5</t>
  </si>
  <si>
    <t>DDT</t>
  </si>
  <si>
    <t>ATP5D</t>
  </si>
  <si>
    <t>RPL12</t>
  </si>
  <si>
    <t>ECHS1</t>
  </si>
  <si>
    <t>CMPK1</t>
  </si>
  <si>
    <t>PEBP1</t>
  </si>
  <si>
    <t>PPP2R1A</t>
  </si>
  <si>
    <t>PPP2R1B</t>
  </si>
  <si>
    <t>PPIF</t>
  </si>
  <si>
    <t>BDKRB2</t>
  </si>
  <si>
    <t>NMT1</t>
  </si>
  <si>
    <t>HLA-C</t>
  </si>
  <si>
    <t>HMOX2</t>
  </si>
  <si>
    <t>ADSS</t>
  </si>
  <si>
    <t>AXL</t>
  </si>
  <si>
    <t>LRPAP1</t>
  </si>
  <si>
    <t>ADSL</t>
  </si>
  <si>
    <t>PKLR</t>
  </si>
  <si>
    <t>CLIP1</t>
  </si>
  <si>
    <t>GSTT1</t>
  </si>
  <si>
    <t>SERPINB1</t>
  </si>
  <si>
    <t>SLC7A1</t>
  </si>
  <si>
    <t>ALDH1B1</t>
  </si>
  <si>
    <t>GDI1</t>
  </si>
  <si>
    <t>MAT2A</t>
  </si>
  <si>
    <t>PRKAR1B</t>
  </si>
  <si>
    <t>CPS1</t>
  </si>
  <si>
    <t>DNAJA1</t>
  </si>
  <si>
    <t>AKT1</t>
  </si>
  <si>
    <t>AKT2</t>
  </si>
  <si>
    <t>UQCRC1</t>
  </si>
  <si>
    <t>HIBADH</t>
  </si>
  <si>
    <t>ATIC</t>
  </si>
  <si>
    <t>HNRNPH3</t>
  </si>
  <si>
    <t>YWHAB</t>
  </si>
  <si>
    <t>SFN</t>
  </si>
  <si>
    <t>STIP1</t>
  </si>
  <si>
    <t>S100A11</t>
  </si>
  <si>
    <t>PRDX2</t>
  </si>
  <si>
    <t>GK</t>
  </si>
  <si>
    <t>CDA</t>
  </si>
  <si>
    <t>DCTD</t>
  </si>
  <si>
    <t>PYCR1</t>
  </si>
  <si>
    <t>SLC8A1</t>
  </si>
  <si>
    <t>GBP1</t>
  </si>
  <si>
    <t>GBP2</t>
  </si>
  <si>
    <t>STX2</t>
  </si>
  <si>
    <t>CTH</t>
  </si>
  <si>
    <t>RPL9</t>
  </si>
  <si>
    <t>ACSL1</t>
  </si>
  <si>
    <t>KIF5B</t>
  </si>
  <si>
    <t>CSTF2</t>
  </si>
  <si>
    <t>LSP1</t>
  </si>
  <si>
    <t>DUT</t>
  </si>
  <si>
    <t>ABCC1</t>
  </si>
  <si>
    <t>S100A3</t>
  </si>
  <si>
    <t>ABCD1</t>
  </si>
  <si>
    <t>MAN1A1</t>
  </si>
  <si>
    <t>GALNS</t>
  </si>
  <si>
    <t>SHMT1</t>
  </si>
  <si>
    <t>SHMT2</t>
  </si>
  <si>
    <t>EVI2B</t>
  </si>
  <si>
    <t>HSPA4</t>
  </si>
  <si>
    <t>MPI</t>
  </si>
  <si>
    <t>GPC1</t>
  </si>
  <si>
    <t>CTNNA1</t>
  </si>
  <si>
    <t>PHB</t>
  </si>
  <si>
    <t>SERPINB6</t>
  </si>
  <si>
    <t>NF2</t>
  </si>
  <si>
    <t>RPA3</t>
  </si>
  <si>
    <t>RFC2</t>
  </si>
  <si>
    <t>RPL22</t>
  </si>
  <si>
    <t>GTF2F1</t>
  </si>
  <si>
    <t>SPR</t>
  </si>
  <si>
    <t>PTGS2</t>
  </si>
  <si>
    <t>RORA</t>
  </si>
  <si>
    <t>THBS2</t>
  </si>
  <si>
    <t>CBS</t>
  </si>
  <si>
    <t>FBN1</t>
  </si>
  <si>
    <t>FBN2</t>
  </si>
  <si>
    <t>IRS1</t>
  </si>
  <si>
    <t>MYH9</t>
  </si>
  <si>
    <t>MYH10</t>
  </si>
  <si>
    <t>COPB2</t>
  </si>
  <si>
    <t>ADD1</t>
  </si>
  <si>
    <t>BSG</t>
  </si>
  <si>
    <t>TIMP3</t>
  </si>
  <si>
    <t>NUP214</t>
  </si>
  <si>
    <t>GLRX</t>
  </si>
  <si>
    <t>CHKA</t>
  </si>
  <si>
    <t>PPM1A</t>
  </si>
  <si>
    <t>PSMC2</t>
  </si>
  <si>
    <t>SLC16A2</t>
  </si>
  <si>
    <t>ARL2</t>
  </si>
  <si>
    <t>ARL3</t>
  </si>
  <si>
    <t>MAP2K2</t>
  </si>
  <si>
    <t>ATP6V1E1</t>
  </si>
  <si>
    <t>CPOX</t>
  </si>
  <si>
    <t>RPL4</t>
  </si>
  <si>
    <t>NUDT1</t>
  </si>
  <si>
    <t>PGM1</t>
  </si>
  <si>
    <t>PPP1CC</t>
  </si>
  <si>
    <t>GNL1</t>
  </si>
  <si>
    <t>SERPINF1</t>
  </si>
  <si>
    <t>DLST</t>
  </si>
  <si>
    <t>GMPR</t>
  </si>
  <si>
    <t>GPX4</t>
  </si>
  <si>
    <t>SRP14</t>
  </si>
  <si>
    <t>TGFBR2</t>
  </si>
  <si>
    <t>NUP62</t>
  </si>
  <si>
    <t>HPCAL1</t>
  </si>
  <si>
    <t>FDFT1</t>
  </si>
  <si>
    <t>TAGLN2</t>
  </si>
  <si>
    <t>TALDO1</t>
  </si>
  <si>
    <t>ETFB</t>
  </si>
  <si>
    <t>RBMX</t>
  </si>
  <si>
    <t>GGCX</t>
  </si>
  <si>
    <t>ATP6V1A</t>
  </si>
  <si>
    <t>HSPA9</t>
  </si>
  <si>
    <t>EIF4A3</t>
  </si>
  <si>
    <t>RPS19</t>
  </si>
  <si>
    <t>RPL3</t>
  </si>
  <si>
    <t>COL15A1</t>
  </si>
  <si>
    <t>COL18A1</t>
  </si>
  <si>
    <t>DDOST</t>
  </si>
  <si>
    <t>ANP32A</t>
  </si>
  <si>
    <t>FEN1</t>
  </si>
  <si>
    <t>CAPG</t>
  </si>
  <si>
    <t>IL6ST</t>
  </si>
  <si>
    <t>TXLNA</t>
  </si>
  <si>
    <t>CCT6A</t>
  </si>
  <si>
    <t>NNMT</t>
  </si>
  <si>
    <t>PSMB10</t>
  </si>
  <si>
    <t>STAT3</t>
  </si>
  <si>
    <t>USP8</t>
  </si>
  <si>
    <t>MDH1</t>
  </si>
  <si>
    <t>MDH2</t>
  </si>
  <si>
    <t>HADHA</t>
  </si>
  <si>
    <t>EIF2S3</t>
  </si>
  <si>
    <t>ID1</t>
  </si>
  <si>
    <t>CETN2</t>
  </si>
  <si>
    <t>EIF2D</t>
  </si>
  <si>
    <t>WNT5A</t>
  </si>
  <si>
    <t>BUD31</t>
  </si>
  <si>
    <t>UBA7</t>
  </si>
  <si>
    <t>NAA10</t>
  </si>
  <si>
    <t>CSK</t>
  </si>
  <si>
    <t>GARS</t>
  </si>
  <si>
    <t>IARS</t>
  </si>
  <si>
    <t>EIF1</t>
  </si>
  <si>
    <t>PRKCI</t>
  </si>
  <si>
    <t>ACTR1B</t>
  </si>
  <si>
    <t>ECI1</t>
  </si>
  <si>
    <t>STAT1</t>
  </si>
  <si>
    <t>STAT6</t>
  </si>
  <si>
    <t>SKIV2L2</t>
  </si>
  <si>
    <t>AKR1C3</t>
  </si>
  <si>
    <t>ARHGAP25</t>
  </si>
  <si>
    <t>PIK3CA</t>
  </si>
  <si>
    <t>MTOR</t>
  </si>
  <si>
    <t>EPS15</t>
  </si>
  <si>
    <t>CASP3</t>
  </si>
  <si>
    <t>CASP2</t>
  </si>
  <si>
    <t>ABL2</t>
  </si>
  <si>
    <t>LRPPRC</t>
  </si>
  <si>
    <t>ACAA2</t>
  </si>
  <si>
    <t>RPL35</t>
  </si>
  <si>
    <t>CDKN2A</t>
  </si>
  <si>
    <t>CDKN2C</t>
  </si>
  <si>
    <t>PRCP</t>
  </si>
  <si>
    <t>ECE1</t>
  </si>
  <si>
    <t>SLC1A3</t>
  </si>
  <si>
    <t>SLC1A1</t>
  </si>
  <si>
    <t>SLC1A4</t>
  </si>
  <si>
    <t>PAFAH1B1</t>
  </si>
  <si>
    <t>MCAM</t>
  </si>
  <si>
    <t>CRAT</t>
  </si>
  <si>
    <t>CTSO</t>
  </si>
  <si>
    <t>CTSK</t>
  </si>
  <si>
    <t>GPD2</t>
  </si>
  <si>
    <t>SSR1</t>
  </si>
  <si>
    <t>PTPN9</t>
  </si>
  <si>
    <t>NAMPT</t>
  </si>
  <si>
    <t>PSMC4</t>
  </si>
  <si>
    <t>TSFM</t>
  </si>
  <si>
    <t>PPIC</t>
  </si>
  <si>
    <t>VDAC2</t>
  </si>
  <si>
    <t>ACADSB</t>
  </si>
  <si>
    <t>CBX5</t>
  </si>
  <si>
    <t>USP5</t>
  </si>
  <si>
    <t>MAPK8</t>
  </si>
  <si>
    <t>MAPK9</t>
  </si>
  <si>
    <t>MAP2K4</t>
  </si>
  <si>
    <t>RANGAP1</t>
  </si>
  <si>
    <t>RECQL</t>
  </si>
  <si>
    <t>NOP2</t>
  </si>
  <si>
    <t>CRK</t>
  </si>
  <si>
    <t>CRKL</t>
  </si>
  <si>
    <t>MTIF2</t>
  </si>
  <si>
    <t>GSTM5</t>
  </si>
  <si>
    <t>CDKN1B</t>
  </si>
  <si>
    <t>MAP2K3</t>
  </si>
  <si>
    <t>BRCC3</t>
  </si>
  <si>
    <t>RPL5</t>
  </si>
  <si>
    <t>RPL21</t>
  </si>
  <si>
    <t>RPS9</t>
  </si>
  <si>
    <t>RPS10</t>
  </si>
  <si>
    <t>MAP1B</t>
  </si>
  <si>
    <t>GNPDA1</t>
  </si>
  <si>
    <t>NEDD4</t>
  </si>
  <si>
    <t>UTRN</t>
  </si>
  <si>
    <t>IQGAP1</t>
  </si>
  <si>
    <t>GYG1</t>
  </si>
  <si>
    <t>STT3A</t>
  </si>
  <si>
    <t>RABIF</t>
  </si>
  <si>
    <t>PLA2G4A</t>
  </si>
  <si>
    <t>CAPZA2</t>
  </si>
  <si>
    <t>CAPZB</t>
  </si>
  <si>
    <t>EIF1AX</t>
  </si>
  <si>
    <t>ALDH1A3</t>
  </si>
  <si>
    <t>RPL29</t>
  </si>
  <si>
    <t>ZFP36L2</t>
  </si>
  <si>
    <t>UQCRFS1</t>
  </si>
  <si>
    <t>SLC6A8</t>
  </si>
  <si>
    <t>ATP5O</t>
  </si>
  <si>
    <t>LIMS1</t>
  </si>
  <si>
    <t>GLIPR1</t>
  </si>
  <si>
    <t>PREP</t>
  </si>
  <si>
    <t>ME1</t>
  </si>
  <si>
    <t>ARCN1</t>
  </si>
  <si>
    <t>LSS</t>
  </si>
  <si>
    <t>GCLC</t>
  </si>
  <si>
    <t>GCLM</t>
  </si>
  <si>
    <t>PRRC2A</t>
  </si>
  <si>
    <t>GSS</t>
  </si>
  <si>
    <t>CCT5</t>
  </si>
  <si>
    <t>NES</t>
  </si>
  <si>
    <t>HSPA13</t>
  </si>
  <si>
    <t>IDH2</t>
  </si>
  <si>
    <t>PITPNB</t>
  </si>
  <si>
    <t>MASP1</t>
  </si>
  <si>
    <t>CD97</t>
  </si>
  <si>
    <t>MARCKSL1</t>
  </si>
  <si>
    <t>CAMLG</t>
  </si>
  <si>
    <t>MAPKAPK2</t>
  </si>
  <si>
    <t>ALDH9A1</t>
  </si>
  <si>
    <t>RPL34</t>
  </si>
  <si>
    <t>RPIA</t>
  </si>
  <si>
    <t>LMAN1</t>
  </si>
  <si>
    <t>NASP</t>
  </si>
  <si>
    <t>FASN</t>
  </si>
  <si>
    <t>FNTA</t>
  </si>
  <si>
    <t>FNTB</t>
  </si>
  <si>
    <t>DHPS</t>
  </si>
  <si>
    <t>CCT3</t>
  </si>
  <si>
    <t>ARRB1</t>
  </si>
  <si>
    <t>TUFM</t>
  </si>
  <si>
    <t>ALDH7A1</t>
  </si>
  <si>
    <t>CDC34</t>
  </si>
  <si>
    <t>INPP1</t>
  </si>
  <si>
    <t>SRP9</t>
  </si>
  <si>
    <t>UBE2A</t>
  </si>
  <si>
    <t>PCYT1A</t>
  </si>
  <si>
    <t>AARS</t>
  </si>
  <si>
    <t>CARS</t>
  </si>
  <si>
    <t>SARS</t>
  </si>
  <si>
    <t>CASP4</t>
  </si>
  <si>
    <t>PSMB2</t>
  </si>
  <si>
    <t>ACADVL</t>
  </si>
  <si>
    <t>YLPM1</t>
  </si>
  <si>
    <t>ACOT2</t>
  </si>
  <si>
    <t>TMED10</t>
  </si>
  <si>
    <t>RBM25</t>
  </si>
  <si>
    <t>NUMB</t>
  </si>
  <si>
    <t>EIF2B2</t>
  </si>
  <si>
    <t>HINT1</t>
  </si>
  <si>
    <t>NUP153</t>
  </si>
  <si>
    <t>RANBP2</t>
  </si>
  <si>
    <t>RGS3</t>
  </si>
  <si>
    <t>GSK3A</t>
  </si>
  <si>
    <t>GSK3B</t>
  </si>
  <si>
    <t>NT5C2</t>
  </si>
  <si>
    <t>SEPHS1</t>
  </si>
  <si>
    <t>MTHFS</t>
  </si>
  <si>
    <t>GMPS</t>
  </si>
  <si>
    <t>MRE11A</t>
  </si>
  <si>
    <t>HNMT</t>
  </si>
  <si>
    <t>GNAQ</t>
  </si>
  <si>
    <t>GNG10</t>
  </si>
  <si>
    <t>IDH3A</t>
  </si>
  <si>
    <t>SULT1A3</t>
  </si>
  <si>
    <t>SULT1A1</t>
  </si>
  <si>
    <t>CRIP1</t>
  </si>
  <si>
    <t>MMP14</t>
  </si>
  <si>
    <t>PPOX</t>
  </si>
  <si>
    <t>EMD</t>
  </si>
  <si>
    <t>CPT1A</t>
  </si>
  <si>
    <t>SERPINB8</t>
  </si>
  <si>
    <t>SERPINB9</t>
  </si>
  <si>
    <t>PDLIM4</t>
  </si>
  <si>
    <t>ST13</t>
  </si>
  <si>
    <t>VASP</t>
  </si>
  <si>
    <t>NUDT2</t>
  </si>
  <si>
    <t>CDK7</t>
  </si>
  <si>
    <t>HLCS</t>
  </si>
  <si>
    <t>KNTC1</t>
  </si>
  <si>
    <t>RASSF2</t>
  </si>
  <si>
    <t>BCAM</t>
  </si>
  <si>
    <t>PPT1</t>
  </si>
  <si>
    <t>RPL14</t>
  </si>
  <si>
    <t>CCT8</t>
  </si>
  <si>
    <t>CCT4</t>
  </si>
  <si>
    <t>FXR2</t>
  </si>
  <si>
    <t>RAB5C</t>
  </si>
  <si>
    <t>RAB7A</t>
  </si>
  <si>
    <t>RAB9A</t>
  </si>
  <si>
    <t>RAB13</t>
  </si>
  <si>
    <t>RAB28</t>
  </si>
  <si>
    <t>RAB27A</t>
  </si>
  <si>
    <t>PLCD1</t>
  </si>
  <si>
    <t>DAP</t>
  </si>
  <si>
    <t>DUSP3</t>
  </si>
  <si>
    <t>NOVA1</t>
  </si>
  <si>
    <t>SMARCA2</t>
  </si>
  <si>
    <t>IDH3G</t>
  </si>
  <si>
    <t>GALK1</t>
  </si>
  <si>
    <t>SSR4</t>
  </si>
  <si>
    <t>BCAP31</t>
  </si>
  <si>
    <t>TPMT</t>
  </si>
  <si>
    <t>MECP2</t>
  </si>
  <si>
    <t>HSD17B4</t>
  </si>
  <si>
    <t>PSMD7</t>
  </si>
  <si>
    <t>UBE2D1</t>
  </si>
  <si>
    <t>SUOX</t>
  </si>
  <si>
    <t>SGSH</t>
  </si>
  <si>
    <t>STAT5B</t>
  </si>
  <si>
    <t>CLCN3</t>
  </si>
  <si>
    <t>CLCN5</t>
  </si>
  <si>
    <t>PLXNA3</t>
  </si>
  <si>
    <t>VAMP7</t>
  </si>
  <si>
    <t>RPS6KA3</t>
  </si>
  <si>
    <t>AKR1D1</t>
  </si>
  <si>
    <t>HDGF</t>
  </si>
  <si>
    <t>LUM</t>
  </si>
  <si>
    <t>CNN1</t>
  </si>
  <si>
    <t>MNAT1</t>
  </si>
  <si>
    <t>NDUFA8</t>
  </si>
  <si>
    <t>HNRNPA3</t>
  </si>
  <si>
    <t>HNRNPM</t>
  </si>
  <si>
    <t>KPNA2</t>
  </si>
  <si>
    <t>KPNA1</t>
  </si>
  <si>
    <t>RAP1GDS1</t>
  </si>
  <si>
    <t>ARHGDIA</t>
  </si>
  <si>
    <t>HNRNPF</t>
  </si>
  <si>
    <t>STAT2</t>
  </si>
  <si>
    <t>GTF2A1</t>
  </si>
  <si>
    <t>GTF2A2</t>
  </si>
  <si>
    <t>VAV2</t>
  </si>
  <si>
    <t>HRSP12</t>
  </si>
  <si>
    <t>HK2</t>
  </si>
  <si>
    <t>EFNB2</t>
  </si>
  <si>
    <t>MRPL12</t>
  </si>
  <si>
    <t>NDST1</t>
  </si>
  <si>
    <t>THOP1</t>
  </si>
  <si>
    <t>CAPZA1</t>
  </si>
  <si>
    <t>CRIP2</t>
  </si>
  <si>
    <t>BLVRA</t>
  </si>
  <si>
    <t>SLC25A1</t>
  </si>
  <si>
    <t>ARFIP2</t>
  </si>
  <si>
    <t>ARFIP1</t>
  </si>
  <si>
    <t>NUDT6</t>
  </si>
  <si>
    <t>NUBP1</t>
  </si>
  <si>
    <t>ACLY</t>
  </si>
  <si>
    <t>METAP1</t>
  </si>
  <si>
    <t>SUCLG1</t>
  </si>
  <si>
    <t>MVD</t>
  </si>
  <si>
    <t>PGGT1B</t>
  </si>
  <si>
    <t>RABGGTB</t>
  </si>
  <si>
    <t>COPB1</t>
  </si>
  <si>
    <t>COPA</t>
  </si>
  <si>
    <t>CTSC</t>
  </si>
  <si>
    <t>CLTCL1</t>
  </si>
  <si>
    <t>HCCS</t>
  </si>
  <si>
    <t>MAPK12</t>
  </si>
  <si>
    <t>SLC5A3</t>
  </si>
  <si>
    <t>PTTG1IP</t>
  </si>
  <si>
    <t>POLR2K</t>
  </si>
  <si>
    <t>SMTN</t>
  </si>
  <si>
    <t>SLC16A1</t>
  </si>
  <si>
    <t>IST1</t>
  </si>
  <si>
    <t>SEC24C</t>
  </si>
  <si>
    <t>SUB1</t>
  </si>
  <si>
    <t>RARS</t>
  </si>
  <si>
    <t>ATXN1</t>
  </si>
  <si>
    <t>ATN1</t>
  </si>
  <si>
    <t>YARS</t>
  </si>
  <si>
    <t>USP14</t>
  </si>
  <si>
    <t>PRKAG1</t>
  </si>
  <si>
    <t>PRKAA2</t>
  </si>
  <si>
    <t>HSPA2</t>
  </si>
  <si>
    <t>BCAT1</t>
  </si>
  <si>
    <t>ATP12A</t>
  </si>
  <si>
    <t>ATP1B3</t>
  </si>
  <si>
    <t>RAD23A</t>
  </si>
  <si>
    <t>RAD23B</t>
  </si>
  <si>
    <t>NAGLU</t>
  </si>
  <si>
    <t>GALC</t>
  </si>
  <si>
    <t>AK2</t>
  </si>
  <si>
    <t>ALDH18A1</t>
  </si>
  <si>
    <t>NAPA</t>
  </si>
  <si>
    <t>ADPRH</t>
  </si>
  <si>
    <t>EIF5</t>
  </si>
  <si>
    <t>SLC12A2</t>
  </si>
  <si>
    <t>PSMD4</t>
  </si>
  <si>
    <t>DRG2</t>
  </si>
  <si>
    <t>GEM</t>
  </si>
  <si>
    <t>RRAD</t>
  </si>
  <si>
    <t>CSE1L</t>
  </si>
  <si>
    <t>VCP</t>
  </si>
  <si>
    <t>MFAP1</t>
  </si>
  <si>
    <t>MFAP3</t>
  </si>
  <si>
    <t>MANF</t>
  </si>
  <si>
    <t>CASP7</t>
  </si>
  <si>
    <t>CASP6</t>
  </si>
  <si>
    <t>ADK</t>
  </si>
  <si>
    <t>LAMB2</t>
  </si>
  <si>
    <t>CDKN2D</t>
  </si>
  <si>
    <t>CDH6</t>
  </si>
  <si>
    <t>PRMT2</t>
  </si>
  <si>
    <t>SEC13</t>
  </si>
  <si>
    <t>GFER</t>
  </si>
  <si>
    <t>HNRNPH2</t>
  </si>
  <si>
    <t>XG</t>
  </si>
  <si>
    <t>OXCT1</t>
  </si>
  <si>
    <t>EIF3B</t>
  </si>
  <si>
    <t>FCGRT</t>
  </si>
  <si>
    <t>BID</t>
  </si>
  <si>
    <t>NDUFV3</t>
  </si>
  <si>
    <t>MARS</t>
  </si>
  <si>
    <t>ITGA1</t>
  </si>
  <si>
    <t>CMC4</t>
  </si>
  <si>
    <t>AP1S2</t>
  </si>
  <si>
    <t>MP68</t>
  </si>
  <si>
    <t>ATP5E</t>
  </si>
  <si>
    <t>ATP5I</t>
  </si>
  <si>
    <t>HDAC4</t>
  </si>
  <si>
    <t>EIF6</t>
  </si>
  <si>
    <t>CTBP2</t>
  </si>
  <si>
    <t>PEX3</t>
  </si>
  <si>
    <t>BACE1</t>
  </si>
  <si>
    <t>HSD17B7</t>
  </si>
  <si>
    <t>BCAR1</t>
  </si>
  <si>
    <t>STX17</t>
  </si>
  <si>
    <t>RWDD2B</t>
  </si>
  <si>
    <t>C21orf59</t>
  </si>
  <si>
    <t>MAP3K7CL</t>
  </si>
  <si>
    <t>WDR4</t>
  </si>
  <si>
    <t>TMEM33</t>
  </si>
  <si>
    <t>SYNJ2BP</t>
  </si>
  <si>
    <t>CORO7</t>
  </si>
  <si>
    <t>SNX16</t>
  </si>
  <si>
    <t>EEFSEC</t>
  </si>
  <si>
    <t>SESN2</t>
  </si>
  <si>
    <t>MTPN</t>
  </si>
  <si>
    <t>GNG2</t>
  </si>
  <si>
    <t>SEC61G</t>
  </si>
  <si>
    <t>TPI1</t>
  </si>
  <si>
    <t>EIF3E</t>
  </si>
  <si>
    <t>SEC61B</t>
  </si>
  <si>
    <t>PTEN</t>
  </si>
  <si>
    <t>PPP4C</t>
  </si>
  <si>
    <t>GABARAPL2</t>
  </si>
  <si>
    <t>ROMO1</t>
  </si>
  <si>
    <t>UBE2G2</t>
  </si>
  <si>
    <t>RAC3</t>
  </si>
  <si>
    <t>RPS20</t>
  </si>
  <si>
    <t>SNAP25</t>
  </si>
  <si>
    <t>PRPS1</t>
  </si>
  <si>
    <t>SHFM1</t>
  </si>
  <si>
    <t>S100A10</t>
  </si>
  <si>
    <t>CDC42</t>
  </si>
  <si>
    <t>DSTN</t>
  </si>
  <si>
    <t>GMFB</t>
  </si>
  <si>
    <t>RAB8A</t>
  </si>
  <si>
    <t>SPCS3</t>
  </si>
  <si>
    <t>SRP54</t>
  </si>
  <si>
    <t>RAB4B</t>
  </si>
  <si>
    <t>RAB2A</t>
  </si>
  <si>
    <t>RAB5B</t>
  </si>
  <si>
    <t>RAB10</t>
  </si>
  <si>
    <t>UBE2D3</t>
  </si>
  <si>
    <t>UBE2M</t>
  </si>
  <si>
    <t>UBE2K</t>
  </si>
  <si>
    <t>UBE2N</t>
  </si>
  <si>
    <t>RAB14</t>
  </si>
  <si>
    <t>ACTR3</t>
  </si>
  <si>
    <t>ACTR2</t>
  </si>
  <si>
    <t>ACTR1A</t>
  </si>
  <si>
    <t>COPS2</t>
  </si>
  <si>
    <t>POLR2F</t>
  </si>
  <si>
    <t>ABCE1</t>
  </si>
  <si>
    <t>RAP1B</t>
  </si>
  <si>
    <t>RAP2B</t>
  </si>
  <si>
    <t>MAX</t>
  </si>
  <si>
    <t>RPS3A</t>
  </si>
  <si>
    <t>RPL26</t>
  </si>
  <si>
    <t>PSME3</t>
  </si>
  <si>
    <t>MAGOH</t>
  </si>
  <si>
    <t>RHOA</t>
  </si>
  <si>
    <t>RND3</t>
  </si>
  <si>
    <t>NCALD</t>
  </si>
  <si>
    <t>HSPE1</t>
  </si>
  <si>
    <t>VBP1</t>
  </si>
  <si>
    <t>STXBP1</t>
  </si>
  <si>
    <t>B2M</t>
  </si>
  <si>
    <t>TGFB2</t>
  </si>
  <si>
    <t>PKIA</t>
  </si>
  <si>
    <t>RPL37</t>
  </si>
  <si>
    <t>GNG11</t>
  </si>
  <si>
    <t>DCAF7</t>
  </si>
  <si>
    <t>WDR5</t>
  </si>
  <si>
    <t>NUTF2</t>
  </si>
  <si>
    <t>HNRNPK</t>
  </si>
  <si>
    <t>YWHAG</t>
  </si>
  <si>
    <t>RRAS2</t>
  </si>
  <si>
    <t>TIMM10</t>
  </si>
  <si>
    <t>RPS7</t>
  </si>
  <si>
    <t>PPP1CA</t>
  </si>
  <si>
    <t>PPP1CB</t>
  </si>
  <si>
    <t>NCS1</t>
  </si>
  <si>
    <t>PSMC1</t>
  </si>
  <si>
    <t>PSMC5</t>
  </si>
  <si>
    <t>RPS8</t>
  </si>
  <si>
    <t>RPS16</t>
  </si>
  <si>
    <t>UBE2G1</t>
  </si>
  <si>
    <t>YWHAE</t>
  </si>
  <si>
    <t>RPS14</t>
  </si>
  <si>
    <t>RPS18</t>
  </si>
  <si>
    <t>RPS29</t>
  </si>
  <si>
    <t>RPS13</t>
  </si>
  <si>
    <t>RPS11</t>
  </si>
  <si>
    <t>SNRPE</t>
  </si>
  <si>
    <t>SNRPF</t>
  </si>
  <si>
    <t>SNRPG</t>
  </si>
  <si>
    <t>LSM3</t>
  </si>
  <si>
    <t>LSM6</t>
  </si>
  <si>
    <t>SNRPD1</t>
  </si>
  <si>
    <t>SNRPD2</t>
  </si>
  <si>
    <t>TMSB4X</t>
  </si>
  <si>
    <t>ARF6</t>
  </si>
  <si>
    <t>PSMC6</t>
  </si>
  <si>
    <t>TBPL1</t>
  </si>
  <si>
    <t>RPL7A</t>
  </si>
  <si>
    <t>POLR2G</t>
  </si>
  <si>
    <t>ETF1</t>
  </si>
  <si>
    <t>CNBP</t>
  </si>
  <si>
    <t>RPS4X</t>
  </si>
  <si>
    <t>PPP2CB</t>
  </si>
  <si>
    <t>ACTA2</t>
  </si>
  <si>
    <t>RHOB</t>
  </si>
  <si>
    <t>RPL23A</t>
  </si>
  <si>
    <t>RPS6</t>
  </si>
  <si>
    <t>HIST1H4A</t>
  </si>
  <si>
    <t>RAB1A</t>
  </si>
  <si>
    <t>RPL23</t>
  </si>
  <si>
    <t>RAP1A</t>
  </si>
  <si>
    <t>RPS25</t>
  </si>
  <si>
    <t>RPS28</t>
  </si>
  <si>
    <t>GNB1</t>
  </si>
  <si>
    <t>RBX1</t>
  </si>
  <si>
    <t>RPL30</t>
  </si>
  <si>
    <t>RPL10A</t>
  </si>
  <si>
    <t>RPL11</t>
  </si>
  <si>
    <t>PPIA</t>
  </si>
  <si>
    <t>FKBP1A</t>
  </si>
  <si>
    <t>RPS27A</t>
  </si>
  <si>
    <t>UBA52</t>
  </si>
  <si>
    <t>GRB2</t>
  </si>
  <si>
    <t>TRA2B</t>
  </si>
  <si>
    <t>RAC1</t>
  </si>
  <si>
    <t>AP2B1</t>
  </si>
  <si>
    <t>GNAS</t>
  </si>
  <si>
    <t>GNAI1</t>
  </si>
  <si>
    <t>UBE2B</t>
  </si>
  <si>
    <t>PPP2R2A</t>
  </si>
  <si>
    <t>DYNLL1</t>
  </si>
  <si>
    <t>RPL38</t>
  </si>
  <si>
    <t>GNG5</t>
  </si>
  <si>
    <t>GNB2L1</t>
  </si>
  <si>
    <t>YBX1</t>
  </si>
  <si>
    <t>TPM4</t>
  </si>
  <si>
    <t>UBE2L3</t>
  </si>
  <si>
    <t>EEF1A1</t>
  </si>
  <si>
    <t>FKBP1B</t>
  </si>
  <si>
    <t>TUBB4B</t>
  </si>
  <si>
    <t>PAFAH1B2</t>
  </si>
  <si>
    <t>HBB</t>
  </si>
  <si>
    <t>HBA1</t>
  </si>
  <si>
    <t>CXADR</t>
  </si>
  <si>
    <t>IGBP1</t>
  </si>
  <si>
    <t>SIRPA</t>
  </si>
  <si>
    <t>PSPH</t>
  </si>
  <si>
    <t>GTF2I</t>
  </si>
  <si>
    <t>PIP4K2B</t>
  </si>
  <si>
    <t>CCT2</t>
  </si>
  <si>
    <t>RAE1</t>
  </si>
  <si>
    <t>GSTO1</t>
  </si>
  <si>
    <t>ADAM17</t>
  </si>
  <si>
    <t>BLOC1S1</t>
  </si>
  <si>
    <t>SRPX</t>
  </si>
  <si>
    <t>IL13RA1</t>
  </si>
  <si>
    <t>IFI35</t>
  </si>
  <si>
    <t>MT1X</t>
  </si>
  <si>
    <t>NUCB2</t>
  </si>
  <si>
    <t>BASP1</t>
  </si>
  <si>
    <t>DCD</t>
  </si>
  <si>
    <t>TMF1</t>
  </si>
  <si>
    <t>MRPS36</t>
  </si>
  <si>
    <t>MRPS6</t>
  </si>
  <si>
    <t>SARNP</t>
  </si>
  <si>
    <t>LACTB</t>
  </si>
  <si>
    <t>COG7</t>
  </si>
  <si>
    <t>SMAD3</t>
  </si>
  <si>
    <t>ARF1</t>
  </si>
  <si>
    <t>ARF5</t>
  </si>
  <si>
    <t>ERH</t>
  </si>
  <si>
    <t>RHOG</t>
  </si>
  <si>
    <t>RPL19</t>
  </si>
  <si>
    <t>SERF2</t>
  </si>
  <si>
    <t>FOXK1</t>
  </si>
  <si>
    <t>DAB2</t>
  </si>
  <si>
    <t>VLDLR</t>
  </si>
  <si>
    <t>HSPG2</t>
  </si>
  <si>
    <t>XIAP</t>
  </si>
  <si>
    <t>EFNB1</t>
  </si>
  <si>
    <t>FAM3A</t>
  </si>
  <si>
    <t>RBM10</t>
  </si>
  <si>
    <t>RBM3</t>
  </si>
  <si>
    <t>MPP1</t>
  </si>
  <si>
    <t>TFAM</t>
  </si>
  <si>
    <t>SLC25A3</t>
  </si>
  <si>
    <t>HDLBP</t>
  </si>
  <si>
    <t>CDK6</t>
  </si>
  <si>
    <t>CDK5</t>
  </si>
  <si>
    <t>CDK16</t>
  </si>
  <si>
    <t>PURA</t>
  </si>
  <si>
    <t>CDC42EP1</t>
  </si>
  <si>
    <t>CLTC</t>
  </si>
  <si>
    <t>NFKB2</t>
  </si>
  <si>
    <t>FKBP3</t>
  </si>
  <si>
    <t>SORD</t>
  </si>
  <si>
    <t>HNRNPU</t>
  </si>
  <si>
    <t>IRF9</t>
  </si>
  <si>
    <t>SPTBN1</t>
  </si>
  <si>
    <t>TIAL1</t>
  </si>
  <si>
    <t>SET</t>
  </si>
  <si>
    <t>FOXK2</t>
  </si>
  <si>
    <t>GALK2</t>
  </si>
  <si>
    <t>CTBS</t>
  </si>
  <si>
    <t>FABP5</t>
  </si>
  <si>
    <t>CAP1</t>
  </si>
  <si>
    <t>HMGCS1</t>
  </si>
  <si>
    <t>SLC7A5</t>
  </si>
  <si>
    <t>DR1</t>
  </si>
  <si>
    <t>PFKP</t>
  </si>
  <si>
    <t>CDR2</t>
  </si>
  <si>
    <t>OCRL</t>
  </si>
  <si>
    <t>PLCB3</t>
  </si>
  <si>
    <t>ROR2</t>
  </si>
  <si>
    <t>TAGLN</t>
  </si>
  <si>
    <t>NAAA</t>
  </si>
  <si>
    <t>DHODH</t>
  </si>
  <si>
    <t>PRKCE</t>
  </si>
  <si>
    <t>ALDH6A1</t>
  </si>
  <si>
    <t>CYP27A1</t>
  </si>
  <si>
    <t>BDH1</t>
  </si>
  <si>
    <t>SEMG2</t>
  </si>
  <si>
    <t>COL7A1</t>
  </si>
  <si>
    <t>APBA1</t>
  </si>
  <si>
    <t>DSG1</t>
  </si>
  <si>
    <t>RPL18A</t>
  </si>
  <si>
    <t>MAP2K1</t>
  </si>
  <si>
    <t>FKBP4</t>
  </si>
  <si>
    <t>PLOD1</t>
  </si>
  <si>
    <t>NUCB1</t>
  </si>
  <si>
    <t>RPL6</t>
  </si>
  <si>
    <t>AKAP12</t>
  </si>
  <si>
    <t>DST</t>
  </si>
  <si>
    <t>GSTM4</t>
  </si>
  <si>
    <t>GNA12</t>
  </si>
  <si>
    <t>CAV1</t>
  </si>
  <si>
    <t>ACY1</t>
  </si>
  <si>
    <t>TNFAIP2</t>
  </si>
  <si>
    <t>PTS</t>
  </si>
  <si>
    <t>PLAUR</t>
  </si>
  <si>
    <t>TAP2</t>
  </si>
  <si>
    <t>GBE1</t>
  </si>
  <si>
    <t>ATP7A</t>
  </si>
  <si>
    <t>NOTCH2</t>
  </si>
  <si>
    <t>TLE1</t>
  </si>
  <si>
    <t>GLO1</t>
  </si>
  <si>
    <t>ACVR1</t>
  </si>
  <si>
    <t>AKR1C1</t>
  </si>
  <si>
    <t>YWHAH</t>
  </si>
  <si>
    <t>PLP2</t>
  </si>
  <si>
    <t>CSTF1</t>
  </si>
  <si>
    <t>UBE3A</t>
  </si>
  <si>
    <t>DNM1</t>
  </si>
  <si>
    <t>PTPN12</t>
  </si>
  <si>
    <t>SRSF11</t>
  </si>
  <si>
    <t>EEF1A2</t>
  </si>
  <si>
    <t>PRKCD</t>
  </si>
  <si>
    <t>CALD1</t>
  </si>
  <si>
    <t>PTPN11</t>
  </si>
  <si>
    <t>KDSR</t>
  </si>
  <si>
    <t>PPP2R3A</t>
  </si>
  <si>
    <t>PPAT</t>
  </si>
  <si>
    <t>GFPT1</t>
  </si>
  <si>
    <t>AOX1</t>
  </si>
  <si>
    <t>PSME1</t>
  </si>
  <si>
    <t>RBPJ</t>
  </si>
  <si>
    <t>APLP2</t>
  </si>
  <si>
    <t>GABPA</t>
  </si>
  <si>
    <t>PRDX1</t>
  </si>
  <si>
    <t>C1QBP</t>
  </si>
  <si>
    <t>CKAP4</t>
  </si>
  <si>
    <t>COL16A1</t>
  </si>
  <si>
    <t>ZFP36L1</t>
  </si>
  <si>
    <t>DPT</t>
  </si>
  <si>
    <t>KHDRBS1</t>
  </si>
  <si>
    <t>BAX</t>
  </si>
  <si>
    <t>MCL1</t>
  </si>
  <si>
    <t>KLC1</t>
  </si>
  <si>
    <t>TNK2</t>
  </si>
  <si>
    <t>LRP1</t>
  </si>
  <si>
    <t>ARHGAP1</t>
  </si>
  <si>
    <t>PPP3CA</t>
  </si>
  <si>
    <t>CRYZ</t>
  </si>
  <si>
    <t>SLC20A2</t>
  </si>
  <si>
    <t>GOLGA3</t>
  </si>
  <si>
    <t>GOLGA2</t>
  </si>
  <si>
    <t>LGALS3BP</t>
  </si>
  <si>
    <t>EHHADH</t>
  </si>
  <si>
    <t>SPOCK1</t>
  </si>
  <si>
    <t>CD47</t>
  </si>
  <si>
    <t>PPID</t>
  </si>
  <si>
    <t>CAMSAP2</t>
  </si>
  <si>
    <t>SPIRE1</t>
  </si>
  <si>
    <t>SLFN5</t>
  </si>
  <si>
    <t>MZT1</t>
  </si>
  <si>
    <t>VAC14</t>
  </si>
  <si>
    <t>KIAA0100</t>
  </si>
  <si>
    <t>NSUN2</t>
  </si>
  <si>
    <t>RBBP4</t>
  </si>
  <si>
    <t>NCBP1</t>
  </si>
  <si>
    <t>MGAT5</t>
  </si>
  <si>
    <t>AHNAK</t>
  </si>
  <si>
    <t>FCHO2</t>
  </si>
  <si>
    <t>ELP6</t>
  </si>
  <si>
    <t>HSPA14</t>
  </si>
  <si>
    <t>SCRN3</t>
  </si>
  <si>
    <t>FAAP100</t>
  </si>
  <si>
    <t>LAMTOR4</t>
  </si>
  <si>
    <t>NEXN</t>
  </si>
  <si>
    <t>MGAT2</t>
  </si>
  <si>
    <t>GALNT2</t>
  </si>
  <si>
    <t>AP1B1</t>
  </si>
  <si>
    <t>PMPCA</t>
  </si>
  <si>
    <t>ST3GAL4</t>
  </si>
  <si>
    <t>SCRN1</t>
  </si>
  <si>
    <t>KIAA0196</t>
  </si>
  <si>
    <t>TWF1</t>
  </si>
  <si>
    <t>ASPH</t>
  </si>
  <si>
    <t>AKAP13</t>
  </si>
  <si>
    <t>FSTL1</t>
  </si>
  <si>
    <t>STX4</t>
  </si>
  <si>
    <t>GRSF1</t>
  </si>
  <si>
    <t>SF3A3</t>
  </si>
  <si>
    <t>DPYD</t>
  </si>
  <si>
    <t>FAP</t>
  </si>
  <si>
    <t>TP53BP1</t>
  </si>
  <si>
    <t>TMEM115</t>
  </si>
  <si>
    <t>AIMP1</t>
  </si>
  <si>
    <t>ILF2</t>
  </si>
  <si>
    <t>ILF3</t>
  </si>
  <si>
    <t>LMAN2</t>
  </si>
  <si>
    <t>PTPN13</t>
  </si>
  <si>
    <t>EPS8</t>
  </si>
  <si>
    <t>ANK3</t>
  </si>
  <si>
    <t>DLG1</t>
  </si>
  <si>
    <t>TAF10</t>
  </si>
  <si>
    <t>MYO1E</t>
  </si>
  <si>
    <t>PPP1R8</t>
  </si>
  <si>
    <t>PTP4A2</t>
  </si>
  <si>
    <t>ABR</t>
  </si>
  <si>
    <t>BNIP1</t>
  </si>
  <si>
    <t>CSTF3</t>
  </si>
  <si>
    <t>ECH1</t>
  </si>
  <si>
    <t>ARHGAP5</t>
  </si>
  <si>
    <t>STRN3</t>
  </si>
  <si>
    <t>STK4</t>
  </si>
  <si>
    <t>FLII</t>
  </si>
  <si>
    <t>COASY</t>
  </si>
  <si>
    <t>USP4</t>
  </si>
  <si>
    <t>MTAP</t>
  </si>
  <si>
    <t>PRKAA1</t>
  </si>
  <si>
    <t>PPFIA1</t>
  </si>
  <si>
    <t>TARDBP</t>
  </si>
  <si>
    <t>PAK1</t>
  </si>
  <si>
    <t>FADD</t>
  </si>
  <si>
    <t>PRDX4</t>
  </si>
  <si>
    <t>MAPK7</t>
  </si>
  <si>
    <t>PAK2</t>
  </si>
  <si>
    <t>CBX3</t>
  </si>
  <si>
    <t>STK3</t>
  </si>
  <si>
    <t>STX5</t>
  </si>
  <si>
    <t>PSMD2</t>
  </si>
  <si>
    <t>DNAJC3</t>
  </si>
  <si>
    <t>SELENBP1</t>
  </si>
  <si>
    <t>NME3</t>
  </si>
  <si>
    <t>SRSF9</t>
  </si>
  <si>
    <t>SRSF5</t>
  </si>
  <si>
    <t>SRSF6</t>
  </si>
  <si>
    <t>TRIM28</t>
  </si>
  <si>
    <t>STX3</t>
  </si>
  <si>
    <t>G3BP1</t>
  </si>
  <si>
    <t>NMI</t>
  </si>
  <si>
    <t>PTK7</t>
  </si>
  <si>
    <t>PABPC4</t>
  </si>
  <si>
    <t>GRB10</t>
  </si>
  <si>
    <t>IFIT5</t>
  </si>
  <si>
    <t>SLC14A1</t>
  </si>
  <si>
    <t>EIF3I</t>
  </si>
  <si>
    <t>PPIL2</t>
  </si>
  <si>
    <t>PPP2R5C</t>
  </si>
  <si>
    <t>CTBP1</t>
  </si>
  <si>
    <t>PDCL</t>
  </si>
  <si>
    <t>DYNC1I2</t>
  </si>
  <si>
    <t>ILK</t>
  </si>
  <si>
    <t>NNT</t>
  </si>
  <si>
    <t>SNTA1</t>
  </si>
  <si>
    <t>SNTB2</t>
  </si>
  <si>
    <t>UNC119</t>
  </si>
  <si>
    <t>SLC39A6</t>
  </si>
  <si>
    <t>SF3B2</t>
  </si>
  <si>
    <t>OS9</t>
  </si>
  <si>
    <t>GOLGA4</t>
  </si>
  <si>
    <t>PDAP1</t>
  </si>
  <si>
    <t>ADAM9</t>
  </si>
  <si>
    <t>ADAM15</t>
  </si>
  <si>
    <t>TMED1</t>
  </si>
  <si>
    <t>FKBP5</t>
  </si>
  <si>
    <t>ROCK1</t>
  </si>
  <si>
    <t>GAB1</t>
  </si>
  <si>
    <t>TCIRG1</t>
  </si>
  <si>
    <t>PICALM</t>
  </si>
  <si>
    <t>MTM1</t>
  </si>
  <si>
    <t>SQSTM1</t>
  </si>
  <si>
    <t>MTX1</t>
  </si>
  <si>
    <t>TUBB3</t>
  </si>
  <si>
    <t>PIN1</t>
  </si>
  <si>
    <t>EIF4EBP1</t>
  </si>
  <si>
    <t>EIF4EBP2</t>
  </si>
  <si>
    <t>RIPK1</t>
  </si>
  <si>
    <t>NAE1</t>
  </si>
  <si>
    <t>ITPK1</t>
  </si>
  <si>
    <t>SNW1</t>
  </si>
  <si>
    <t>STIM1</t>
  </si>
  <si>
    <t>TRA2A</t>
  </si>
  <si>
    <t>SNX1</t>
  </si>
  <si>
    <t>PWP1</t>
  </si>
  <si>
    <t>CUL1</t>
  </si>
  <si>
    <t>CUL2</t>
  </si>
  <si>
    <t>CUL3</t>
  </si>
  <si>
    <t>CUL4A</t>
  </si>
  <si>
    <t>TP53BP2</t>
  </si>
  <si>
    <t>TSTA3</t>
  </si>
  <si>
    <t>RAB31</t>
  </si>
  <si>
    <t>RAB32</t>
  </si>
  <si>
    <t>TPBG</t>
  </si>
  <si>
    <t>FHL1</t>
  </si>
  <si>
    <t>FHL3</t>
  </si>
  <si>
    <t>RIN1</t>
  </si>
  <si>
    <t>ITGA7</t>
  </si>
  <si>
    <t>MOGS</t>
  </si>
  <si>
    <t>ALCAM</t>
  </si>
  <si>
    <t>ARFRP1</t>
  </si>
  <si>
    <t>SPTAN1</t>
  </si>
  <si>
    <t>AUH</t>
  </si>
  <si>
    <t>EXOSC2</t>
  </si>
  <si>
    <t>BMPR2</t>
  </si>
  <si>
    <t>SNTB1</t>
  </si>
  <si>
    <t>TUBB2A</t>
  </si>
  <si>
    <t>BYSL</t>
  </si>
  <si>
    <t>RAPGEF1</t>
  </si>
  <si>
    <t>IDI1</t>
  </si>
  <si>
    <t>CBFB</t>
  </si>
  <si>
    <t>NFYC</t>
  </si>
  <si>
    <t>PRKG1</t>
  </si>
  <si>
    <t>CKAP5</t>
  </si>
  <si>
    <t>CIRBP</t>
  </si>
  <si>
    <t>CAMK1</t>
  </si>
  <si>
    <t>COTL1</t>
  </si>
  <si>
    <t>COX17</t>
  </si>
  <si>
    <t>SCARB2</t>
  </si>
  <si>
    <t>NID2</t>
  </si>
  <si>
    <t>LRP8</t>
  </si>
  <si>
    <t>DAG1</t>
  </si>
  <si>
    <t>PDE1C</t>
  </si>
  <si>
    <t>UBE4A</t>
  </si>
  <si>
    <t>SAFB2</t>
  </si>
  <si>
    <t>EIF3A</t>
  </si>
  <si>
    <t>SCRIB</t>
  </si>
  <si>
    <t>MLEC</t>
  </si>
  <si>
    <t>TTLL12</t>
  </si>
  <si>
    <t>DOCK1</t>
  </si>
  <si>
    <t>DPYSL3</t>
  </si>
  <si>
    <t>DYNC1H1</t>
  </si>
  <si>
    <t>EIF2B1</t>
  </si>
  <si>
    <t>TCEB3</t>
  </si>
  <si>
    <t>FLOT2</t>
  </si>
  <si>
    <t>RCN2</t>
  </si>
  <si>
    <t>TRIM25</t>
  </si>
  <si>
    <t>FLNC</t>
  </si>
  <si>
    <t>FKBP8</t>
  </si>
  <si>
    <t>FAM50A</t>
  </si>
  <si>
    <t>FRG1</t>
  </si>
  <si>
    <t>FZD2</t>
  </si>
  <si>
    <t>GNA13</t>
  </si>
  <si>
    <t>GAMT</t>
  </si>
  <si>
    <t>GALE</t>
  </si>
  <si>
    <t>LRRC32</t>
  </si>
  <si>
    <t>GAS6</t>
  </si>
  <si>
    <t>CAPRIN1</t>
  </si>
  <si>
    <t>RBM39</t>
  </si>
  <si>
    <t>NEDD9</t>
  </si>
  <si>
    <t>FAT1</t>
  </si>
  <si>
    <t>HABP2</t>
  </si>
  <si>
    <t>SQLE</t>
  </si>
  <si>
    <t>PDIA5</t>
  </si>
  <si>
    <t>INPP5A</t>
  </si>
  <si>
    <t>PLS1</t>
  </si>
  <si>
    <t>IRF3</t>
  </si>
  <si>
    <t>LAGE3</t>
  </si>
  <si>
    <t>TRIP12</t>
  </si>
  <si>
    <t>MDC1</t>
  </si>
  <si>
    <t>CLINT1</t>
  </si>
  <si>
    <t>USP10</t>
  </si>
  <si>
    <t>MESDC2</t>
  </si>
  <si>
    <t>GANAB</t>
  </si>
  <si>
    <t>RFTN1</t>
  </si>
  <si>
    <t>SSPN</t>
  </si>
  <si>
    <t>LBR</t>
  </si>
  <si>
    <t>MVP</t>
  </si>
  <si>
    <t>GOLGB1</t>
  </si>
  <si>
    <t>CASP8</t>
  </si>
  <si>
    <t>NAA30</t>
  </si>
  <si>
    <t>LASP1</t>
  </si>
  <si>
    <t>MTF1</t>
  </si>
  <si>
    <t>PTGR1</t>
  </si>
  <si>
    <t>NFATC4</t>
  </si>
  <si>
    <t>RAB39A</t>
  </si>
  <si>
    <t>ZNF638</t>
  </si>
  <si>
    <t>KPNB1</t>
  </si>
  <si>
    <t>NOLC1</t>
  </si>
  <si>
    <t>NUMA1</t>
  </si>
  <si>
    <t>SLMAP</t>
  </si>
  <si>
    <t>GAPVD1</t>
  </si>
  <si>
    <t>UBXN2B</t>
  </si>
  <si>
    <t>NAA25</t>
  </si>
  <si>
    <t>EMC2</t>
  </si>
  <si>
    <t>PSMD6</t>
  </si>
  <si>
    <t>HERPUD1</t>
  </si>
  <si>
    <t>LAPTM4A</t>
  </si>
  <si>
    <t>FAM175B</t>
  </si>
  <si>
    <t>EXOSC7</t>
  </si>
  <si>
    <t>EFTUD2</t>
  </si>
  <si>
    <t>LARS2</t>
  </si>
  <si>
    <t>R3HDM1</t>
  </si>
  <si>
    <t>SNX17</t>
  </si>
  <si>
    <t>SLC39A14</t>
  </si>
  <si>
    <t>KARS</t>
  </si>
  <si>
    <t>EIF4H</t>
  </si>
  <si>
    <t>ACAP2</t>
  </si>
  <si>
    <t>WDR43</t>
  </si>
  <si>
    <t>ACOX1</t>
  </si>
  <si>
    <t>EEA1</t>
  </si>
  <si>
    <t>PAFAH1B3</t>
  </si>
  <si>
    <t>PCOLCE</t>
  </si>
  <si>
    <t>PDK1</t>
  </si>
  <si>
    <t>PDK2</t>
  </si>
  <si>
    <t>PEA15</t>
  </si>
  <si>
    <t>PGM5</t>
  </si>
  <si>
    <t>PMVK</t>
  </si>
  <si>
    <t>PRKD1</t>
  </si>
  <si>
    <t>PLCB4</t>
  </si>
  <si>
    <t>PLEC</t>
  </si>
  <si>
    <t>NOMO1</t>
  </si>
  <si>
    <t>TCEAL1</t>
  </si>
  <si>
    <t>PPP2R5A</t>
  </si>
  <si>
    <t>PPP2R5B</t>
  </si>
  <si>
    <t>PPA1</t>
  </si>
  <si>
    <t>STK38</t>
  </si>
  <si>
    <t>PVRL1</t>
  </si>
  <si>
    <t>NONO</t>
  </si>
  <si>
    <t>QPRT</t>
  </si>
  <si>
    <t>RABEP1</t>
  </si>
  <si>
    <t>RASA2</t>
  </si>
  <si>
    <t>RAB35</t>
  </si>
  <si>
    <t>RBBP5</t>
  </si>
  <si>
    <t>RCN1</t>
  </si>
  <si>
    <t>RALBP1</t>
  </si>
  <si>
    <t>LLGL1</t>
  </si>
  <si>
    <t>TMED2</t>
  </si>
  <si>
    <t>PCBP1</t>
  </si>
  <si>
    <t>TCEB2</t>
  </si>
  <si>
    <t>RHEB</t>
  </si>
  <si>
    <t>UBE3C</t>
  </si>
  <si>
    <t>SF3B3</t>
  </si>
  <si>
    <t>RSU1</t>
  </si>
  <si>
    <t>CNN3</t>
  </si>
  <si>
    <t>SAFB</t>
  </si>
  <si>
    <t>SF3B4</t>
  </si>
  <si>
    <t>SF3A2</t>
  </si>
  <si>
    <t>PPP1R7</t>
  </si>
  <si>
    <t>SEC23B</t>
  </si>
  <si>
    <t>CYTH1</t>
  </si>
  <si>
    <t>SF3A1</t>
  </si>
  <si>
    <t>SHB</t>
  </si>
  <si>
    <t>RGN</t>
  </si>
  <si>
    <t>SPA17</t>
  </si>
  <si>
    <t>SURF1</t>
  </si>
  <si>
    <t>TAF7</t>
  </si>
  <si>
    <t>MAPRE2</t>
  </si>
  <si>
    <t>TGFBI</t>
  </si>
  <si>
    <t>SLC9A3R2</t>
  </si>
  <si>
    <t>TRADD</t>
  </si>
  <si>
    <t>SF1</t>
  </si>
  <si>
    <t>TRIP10</t>
  </si>
  <si>
    <t>TRIP11</t>
  </si>
  <si>
    <t>TRIP13</t>
  </si>
  <si>
    <t>TRIP4</t>
  </si>
  <si>
    <t>TRIP6</t>
  </si>
  <si>
    <t>MAPRE1</t>
  </si>
  <si>
    <t>TSC22D1</t>
  </si>
  <si>
    <t>ELAVL1</t>
  </si>
  <si>
    <t>NSDHL</t>
  </si>
  <si>
    <t>NAB2</t>
  </si>
  <si>
    <t>GPR68</t>
  </si>
  <si>
    <t>MYLK</t>
  </si>
  <si>
    <t>TAB1</t>
  </si>
  <si>
    <t>SLC1A5</t>
  </si>
  <si>
    <t>MAPK11</t>
  </si>
  <si>
    <t>RAB30</t>
  </si>
  <si>
    <t>TOMM34</t>
  </si>
  <si>
    <t>SMAD2</t>
  </si>
  <si>
    <t>MSMO1</t>
  </si>
  <si>
    <t>TBCC</t>
  </si>
  <si>
    <t>UBE2V2</t>
  </si>
  <si>
    <t>STK11</t>
  </si>
  <si>
    <t>STXBP2</t>
  </si>
  <si>
    <t>CCDC85B</t>
  </si>
  <si>
    <t>VAMP3</t>
  </si>
  <si>
    <t>ADIRF</t>
  </si>
  <si>
    <t>ATP6AP1</t>
  </si>
  <si>
    <t>ZYX</t>
  </si>
  <si>
    <t>HSPB2</t>
  </si>
  <si>
    <t>ETFDH</t>
  </si>
  <si>
    <t>SNCB</t>
  </si>
  <si>
    <t>SEPT7</t>
  </si>
  <si>
    <t>ADRM1</t>
  </si>
  <si>
    <t>CCDC6</t>
  </si>
  <si>
    <t>UAP1</t>
  </si>
  <si>
    <t>E2F4</t>
  </si>
  <si>
    <t>IGFBP7</t>
  </si>
  <si>
    <t>INA</t>
  </si>
  <si>
    <t>LAMA4</t>
  </si>
  <si>
    <t>PSMD5</t>
  </si>
  <si>
    <t>PKN1</t>
  </si>
  <si>
    <t>PKN2</t>
  </si>
  <si>
    <t>DDB1</t>
  </si>
  <si>
    <t>MAPK14</t>
  </si>
  <si>
    <t>DPYSL2</t>
  </si>
  <si>
    <t>CAMK4</t>
  </si>
  <si>
    <t>SGCB</t>
  </si>
  <si>
    <t>ECM1</t>
  </si>
  <si>
    <t>CTF1</t>
  </si>
  <si>
    <t>OCLN</t>
  </si>
  <si>
    <t>MEA1</t>
  </si>
  <si>
    <t>DBN1</t>
  </si>
  <si>
    <t>MAPKAPK3</t>
  </si>
  <si>
    <t>PTGIS</t>
  </si>
  <si>
    <t>FSCN1</t>
  </si>
  <si>
    <t>MAN2A1</t>
  </si>
  <si>
    <t>NDUFA5</t>
  </si>
  <si>
    <t>KYNU</t>
  </si>
  <si>
    <t>CLPP</t>
  </si>
  <si>
    <t>TST</t>
  </si>
  <si>
    <t>UBE2S</t>
  </si>
  <si>
    <t>HIST2H2BE</t>
  </si>
  <si>
    <t>RTN1</t>
  </si>
  <si>
    <t>PCK2</t>
  </si>
  <si>
    <t>PTPN21</t>
  </si>
  <si>
    <t>UPP1</t>
  </si>
  <si>
    <t>DDR2</t>
  </si>
  <si>
    <t>CYP51A1</t>
  </si>
  <si>
    <t>UGP2</t>
  </si>
  <si>
    <t>DGUOK</t>
  </si>
  <si>
    <t>ATP6V1F</t>
  </si>
  <si>
    <t>TATDN3</t>
  </si>
  <si>
    <t>C7orf60</t>
  </si>
  <si>
    <t>INF2</t>
  </si>
  <si>
    <t>PDS5A</t>
  </si>
  <si>
    <t>ARHGAP31</t>
  </si>
  <si>
    <t>AAK1</t>
  </si>
  <si>
    <t>VMAC</t>
  </si>
  <si>
    <t>TYSND1</t>
  </si>
  <si>
    <t>ALG11</t>
  </si>
  <si>
    <t>QRICH1</t>
  </si>
  <si>
    <t>RELA</t>
  </si>
  <si>
    <t>SMU1</t>
  </si>
  <si>
    <t>STX1B</t>
  </si>
  <si>
    <t>HFE</t>
  </si>
  <si>
    <t>LRRFIP1</t>
  </si>
  <si>
    <t>LEPRE1</t>
  </si>
  <si>
    <t>TRMT5</t>
  </si>
  <si>
    <t>NME1-NME2</t>
  </si>
  <si>
    <t>TWISTNB</t>
  </si>
  <si>
    <t>MAP7D1</t>
  </si>
  <si>
    <t>UAP1L1</t>
  </si>
  <si>
    <t>SLC25A35</t>
  </si>
  <si>
    <t>C2orf76</t>
  </si>
  <si>
    <t>ALKBH6</t>
  </si>
  <si>
    <t>DAK</t>
  </si>
  <si>
    <t>LSM12</t>
  </si>
  <si>
    <t>PUS10</t>
  </si>
  <si>
    <t>HSDL1</t>
  </si>
  <si>
    <t>ALDH1L2</t>
  </si>
  <si>
    <t>GNPTAB</t>
  </si>
  <si>
    <t>CCDC88A</t>
  </si>
  <si>
    <t>RABL6</t>
  </si>
  <si>
    <t>TUBB8</t>
  </si>
  <si>
    <t>TIMM50</t>
  </si>
  <si>
    <t>LGALSL</t>
  </si>
  <si>
    <t>FUT11</t>
  </si>
  <si>
    <t>CDNF</t>
  </si>
  <si>
    <t>C5orf22</t>
  </si>
  <si>
    <t>COX19</t>
  </si>
  <si>
    <t>VPS26B</t>
  </si>
  <si>
    <t>CCSMST1</t>
  </si>
  <si>
    <t>NADKD1</t>
  </si>
  <si>
    <t>HYDIN</t>
  </si>
  <si>
    <t>KCTD21</t>
  </si>
  <si>
    <t>GXYLT1</t>
  </si>
  <si>
    <t>ACSF3</t>
  </si>
  <si>
    <t>PREPL</t>
  </si>
  <si>
    <t>TBC1D10B</t>
  </si>
  <si>
    <t>ANO6</t>
  </si>
  <si>
    <t>PLCH1</t>
  </si>
  <si>
    <t>FILIP1L</t>
  </si>
  <si>
    <t>SVEP1</t>
  </si>
  <si>
    <t>DNAL1</t>
  </si>
  <si>
    <t>GRIPAP1</t>
  </si>
  <si>
    <t>TMEM119</t>
  </si>
  <si>
    <t>BCL7A</t>
  </si>
  <si>
    <t>TACC2</t>
  </si>
  <si>
    <t>DECR2</t>
  </si>
  <si>
    <t>TMEM259</t>
  </si>
  <si>
    <t>RFTN2</t>
  </si>
  <si>
    <t>FAM98B</t>
  </si>
  <si>
    <t>ARHGAP29</t>
  </si>
  <si>
    <t>PDCD4</t>
  </si>
  <si>
    <t>FNDC3B</t>
  </si>
  <si>
    <t>MPPE1</t>
  </si>
  <si>
    <t>TP53I3</t>
  </si>
  <si>
    <t>TMEM35</t>
  </si>
  <si>
    <t>C11orf73</t>
  </si>
  <si>
    <t>PHLDA2</t>
  </si>
  <si>
    <t>PDLIM3</t>
  </si>
  <si>
    <t>HSD17B12</t>
  </si>
  <si>
    <t>LACTB2</t>
  </si>
  <si>
    <t>SMUG1</t>
  </si>
  <si>
    <t>LBH</t>
  </si>
  <si>
    <t>BOLA3</t>
  </si>
  <si>
    <t>HS1BP3</t>
  </si>
  <si>
    <t>CYBRD1</t>
  </si>
  <si>
    <t>ALS2CR11</t>
  </si>
  <si>
    <t>DKFZp686F13224</t>
  </si>
  <si>
    <t>ACTBL2</t>
  </si>
  <si>
    <t>PRR16</t>
  </si>
  <si>
    <t>OCIAD2</t>
  </si>
  <si>
    <t>SFT2D3</t>
  </si>
  <si>
    <t>NAALADL2</t>
  </si>
  <si>
    <t>HSP90AB2P</t>
  </si>
  <si>
    <t>HSP90AA4P</t>
  </si>
  <si>
    <t>DCAF6</t>
  </si>
  <si>
    <t>RPL39P5</t>
  </si>
  <si>
    <t>YIF1B</t>
  </si>
  <si>
    <t>OXLD1</t>
  </si>
  <si>
    <t>ZC3H12A</t>
  </si>
  <si>
    <t>RILPL1</t>
  </si>
  <si>
    <t>PDZD11</t>
  </si>
  <si>
    <t>TNFAIP8L3</t>
  </si>
  <si>
    <t>HERC4</t>
  </si>
  <si>
    <t>PKIG</t>
  </si>
  <si>
    <t>DCBLD1</t>
  </si>
  <si>
    <t>TIMP1</t>
  </si>
  <si>
    <t>MTX3</t>
  </si>
  <si>
    <t>RABL3</t>
  </si>
  <si>
    <t>COQ5</t>
  </si>
  <si>
    <t>SH3D19</t>
  </si>
  <si>
    <t>TUBB</t>
  </si>
  <si>
    <t>NOMO2</t>
  </si>
  <si>
    <t>EARS2</t>
  </si>
  <si>
    <t>METTL10</t>
  </si>
  <si>
    <t>VCL</t>
  </si>
  <si>
    <t>DPCD</t>
  </si>
  <si>
    <t>RHOC</t>
  </si>
  <si>
    <t>MIA3</t>
  </si>
  <si>
    <t>NUPL1</t>
  </si>
  <si>
    <t>SRSF10</t>
  </si>
  <si>
    <t>PITRM1</t>
  </si>
  <si>
    <t>NHLRC3</t>
  </si>
  <si>
    <t>PSMG4</t>
  </si>
  <si>
    <t>TFDP1</t>
  </si>
  <si>
    <t>WDR44</t>
  </si>
  <si>
    <t>HMGN5</t>
  </si>
  <si>
    <t>PRRC2B</t>
  </si>
  <si>
    <t>RAB41</t>
  </si>
  <si>
    <t>TJAP1</t>
  </si>
  <si>
    <t>COA6</t>
  </si>
  <si>
    <t>GMEB2</t>
  </si>
  <si>
    <t>TOR1AIP1</t>
  </si>
  <si>
    <t>AARS2</t>
  </si>
  <si>
    <t>FPGS</t>
  </si>
  <si>
    <t>TOR2A</t>
  </si>
  <si>
    <t>IQSEC2</t>
  </si>
  <si>
    <t>FRMPD3</t>
  </si>
  <si>
    <t>PCID2</t>
  </si>
  <si>
    <t>HABP4</t>
  </si>
  <si>
    <t>ELMO2</t>
  </si>
  <si>
    <t>STAU1</t>
  </si>
  <si>
    <t>TMEM230</t>
  </si>
  <si>
    <t>MORF4L2</t>
  </si>
  <si>
    <t>KIAA1755</t>
  </si>
  <si>
    <t>SNX21</t>
  </si>
  <si>
    <t>SLC27A3</t>
  </si>
  <si>
    <t>SAMD9</t>
  </si>
  <si>
    <t>COLEC12</t>
  </si>
  <si>
    <t>SPECC1</t>
  </si>
  <si>
    <t>SMEK2</t>
  </si>
  <si>
    <t>WDR45B</t>
  </si>
  <si>
    <t>WIPI1</t>
  </si>
  <si>
    <t>EOGT</t>
  </si>
  <si>
    <t>TBCEL</t>
  </si>
  <si>
    <t>PEX19</t>
  </si>
  <si>
    <t>ATP5F1</t>
  </si>
  <si>
    <t>BCL2L1</t>
  </si>
  <si>
    <t>DPM1</t>
  </si>
  <si>
    <t>PSMF1</t>
  </si>
  <si>
    <t>RABGAP1L</t>
  </si>
  <si>
    <t>MAPK13</t>
  </si>
  <si>
    <t>COX20</t>
  </si>
  <si>
    <t>EXOSC6</t>
  </si>
  <si>
    <t>MTHFR</t>
  </si>
  <si>
    <t>NPDC1</t>
  </si>
  <si>
    <t>PIK3CD</t>
  </si>
  <si>
    <t>HIATL1</t>
  </si>
  <si>
    <t>PHYHD1</t>
  </si>
  <si>
    <t>CSNK2B</t>
  </si>
  <si>
    <t>DNMBP</t>
  </si>
  <si>
    <t>LDLRAP1</t>
  </si>
  <si>
    <t>CAMK2G</t>
  </si>
  <si>
    <t>ODR4</t>
  </si>
  <si>
    <t>DNLZ</t>
  </si>
  <si>
    <t>NHSL1</t>
  </si>
  <si>
    <t>CERS2</t>
  </si>
  <si>
    <t>TPRG1L</t>
  </si>
  <si>
    <t>FNBP1L</t>
  </si>
  <si>
    <t>SH3BGRL3</t>
  </si>
  <si>
    <t>RARS2</t>
  </si>
  <si>
    <t>PYGO2</t>
  </si>
  <si>
    <t>CKS1B</t>
  </si>
  <si>
    <t>THEM4</t>
  </si>
  <si>
    <t>FKBP15</t>
  </si>
  <si>
    <t>GPSM2</t>
  </si>
  <si>
    <t>DDX59</t>
  </si>
  <si>
    <t>PUM1</t>
  </si>
  <si>
    <t>C10orf76</t>
  </si>
  <si>
    <t>TMEM63B</t>
  </si>
  <si>
    <t>LRIF1</t>
  </si>
  <si>
    <t>ABCC10</t>
  </si>
  <si>
    <t>IBA57</t>
  </si>
  <si>
    <t>CERCAM</t>
  </si>
  <si>
    <t>ZFYVE27</t>
  </si>
  <si>
    <t>CRTC2</t>
  </si>
  <si>
    <t>PLEKHO1</t>
  </si>
  <si>
    <t>UBR4</t>
  </si>
  <si>
    <t>ACADM</t>
  </si>
  <si>
    <t>FAM219A</t>
  </si>
  <si>
    <t>STXBP5</t>
  </si>
  <si>
    <t>ARHGAP21</t>
  </si>
  <si>
    <t>CAMSAP1</t>
  </si>
  <si>
    <t>UBAP2</t>
  </si>
  <si>
    <t>IDNK</t>
  </si>
  <si>
    <t>C9orf64</t>
  </si>
  <si>
    <t>FAM69A</t>
  </si>
  <si>
    <t>GORAB</t>
  </si>
  <si>
    <t>CDC16</t>
  </si>
  <si>
    <t>ACBD5</t>
  </si>
  <si>
    <t>COX6A1P2</t>
  </si>
  <si>
    <t>ACTA1</t>
  </si>
  <si>
    <t>NUP133</t>
  </si>
  <si>
    <t>RBM26</t>
  </si>
  <si>
    <t>MED22</t>
  </si>
  <si>
    <t>SURF4</t>
  </si>
  <si>
    <t>AK1</t>
  </si>
  <si>
    <t>PRPF18</t>
  </si>
  <si>
    <t>LSM14B</t>
  </si>
  <si>
    <t>RC3H1</t>
  </si>
  <si>
    <t>OGFRL1</t>
  </si>
  <si>
    <t>NQO2</t>
  </si>
  <si>
    <t>DDI2</t>
  </si>
  <si>
    <t>C20orf194</t>
  </si>
  <si>
    <t>HDAC1</t>
  </si>
  <si>
    <t>NDUFAF5</t>
  </si>
  <si>
    <t>NT5DC1</t>
  </si>
  <si>
    <t>PXDC1</t>
  </si>
  <si>
    <t>TMCO4</t>
  </si>
  <si>
    <t>SLC19A2</t>
  </si>
  <si>
    <t>SFT2D2</t>
  </si>
  <si>
    <t>CROCC</t>
  </si>
  <si>
    <t>MEX3C</t>
  </si>
  <si>
    <t>LYRM7</t>
  </si>
  <si>
    <t>VPS53</t>
  </si>
  <si>
    <t>STRIP1</t>
  </si>
  <si>
    <t>ABHD17B</t>
  </si>
  <si>
    <t>RPRD2</t>
  </si>
  <si>
    <t>GHITM</t>
  </si>
  <si>
    <t>RNF20</t>
  </si>
  <si>
    <t>CACHD1</t>
  </si>
  <si>
    <t>ZNF318</t>
  </si>
  <si>
    <t>FAM171A1</t>
  </si>
  <si>
    <t>LRCH2</t>
  </si>
  <si>
    <t>C6orf57</t>
  </si>
  <si>
    <t>MGST3</t>
  </si>
  <si>
    <t>PLEKHM2</t>
  </si>
  <si>
    <t>YOD1</t>
  </si>
  <si>
    <t>SLC2A8</t>
  </si>
  <si>
    <t>BROX</t>
  </si>
  <si>
    <t>FOCAD</t>
  </si>
  <si>
    <t>SNX30</t>
  </si>
  <si>
    <t>DAB2IP</t>
  </si>
  <si>
    <t>PARD3</t>
  </si>
  <si>
    <t>LYPLAL1</t>
  </si>
  <si>
    <t>PEAR1</t>
  </si>
  <si>
    <t>ZCCHC6</t>
  </si>
  <si>
    <t>RNLS</t>
  </si>
  <si>
    <t>NAA35</t>
  </si>
  <si>
    <t>C9orf91</t>
  </si>
  <si>
    <t>LRRC16A</t>
  </si>
  <si>
    <t>CELF2</t>
  </si>
  <si>
    <t>ITM2B</t>
  </si>
  <si>
    <t>FAM160B1</t>
  </si>
  <si>
    <t>SPRYD7</t>
  </si>
  <si>
    <t>NDUFB8</t>
  </si>
  <si>
    <t>QIL1</t>
  </si>
  <si>
    <t>RNF123</t>
  </si>
  <si>
    <t>FBXW9</t>
  </si>
  <si>
    <t>CD276</t>
  </si>
  <si>
    <t>RNF213</t>
  </si>
  <si>
    <t>AP1AR</t>
  </si>
  <si>
    <t>KANK2</t>
  </si>
  <si>
    <t>FAM21A</t>
  </si>
  <si>
    <t>TBC1D9B</t>
  </si>
  <si>
    <t>PPP2R2D</t>
  </si>
  <si>
    <t>ARL6IP4</t>
  </si>
  <si>
    <t>KAZN</t>
  </si>
  <si>
    <t>GLT8D1</t>
  </si>
  <si>
    <t>TNS3</t>
  </si>
  <si>
    <t>MBLAC2</t>
  </si>
  <si>
    <t>LMBRD2</t>
  </si>
  <si>
    <t>DKFZp781L1143</t>
  </si>
  <si>
    <t>INTS3</t>
  </si>
  <si>
    <t>ARHGAP17</t>
  </si>
  <si>
    <t>CWF19L1</t>
  </si>
  <si>
    <t>SPECC1L</t>
  </si>
  <si>
    <t>C12orf73</t>
  </si>
  <si>
    <t>SCARA3</t>
  </si>
  <si>
    <t>CYB5R2</t>
  </si>
  <si>
    <t>ATL3</t>
  </si>
  <si>
    <t>ADAL</t>
  </si>
  <si>
    <t>NXN</t>
  </si>
  <si>
    <t>TTC19</t>
  </si>
  <si>
    <t>HLA-E</t>
  </si>
  <si>
    <t>POLR2M</t>
  </si>
  <si>
    <t>VASN</t>
  </si>
  <si>
    <t>CIAPIN1</t>
  </si>
  <si>
    <t>ZFAND6</t>
  </si>
  <si>
    <t>SMYD5</t>
  </si>
  <si>
    <t>PTRHD1</t>
  </si>
  <si>
    <t>OTUD7B</t>
  </si>
  <si>
    <t>SELS</t>
  </si>
  <si>
    <t>THOC7</t>
  </si>
  <si>
    <t>NADSYN1</t>
  </si>
  <si>
    <t>ELP2</t>
  </si>
  <si>
    <t>LAMTOR1</t>
  </si>
  <si>
    <t>DHRS7B</t>
  </si>
  <si>
    <t>TWF2</t>
  </si>
  <si>
    <t>DESI1</t>
  </si>
  <si>
    <t>KIAA0930</t>
  </si>
  <si>
    <t>Em:AP000351.3</t>
  </si>
  <si>
    <t>TANGO2</t>
  </si>
  <si>
    <t>SMEK1</t>
  </si>
  <si>
    <t>RAB12</t>
  </si>
  <si>
    <t>SDE2</t>
  </si>
  <si>
    <t>NIPBL</t>
  </si>
  <si>
    <t>TENM4</t>
  </si>
  <si>
    <t>OGFOD2</t>
  </si>
  <si>
    <t>KIAA1161</t>
  </si>
  <si>
    <t>SLC18B1</t>
  </si>
  <si>
    <t>TRNP1</t>
  </si>
  <si>
    <t>C5orf45</t>
  </si>
  <si>
    <t>SLC25A24</t>
  </si>
  <si>
    <t>REEP3</t>
  </si>
  <si>
    <t>RETSAT</t>
  </si>
  <si>
    <t>RINT1</t>
  </si>
  <si>
    <t>TMEM214</t>
  </si>
  <si>
    <t>TCTN3</t>
  </si>
  <si>
    <t>UFSP1</t>
  </si>
  <si>
    <t>HIBCH</t>
  </si>
  <si>
    <t>ANKRD54</t>
  </si>
  <si>
    <t>TAPT1</t>
  </si>
  <si>
    <t>PPP1R18</t>
  </si>
  <si>
    <t>THOC3</t>
  </si>
  <si>
    <t>PTRF</t>
  </si>
  <si>
    <t>CDC42EP5</t>
  </si>
  <si>
    <t>ERAP2</t>
  </si>
  <si>
    <t>CDC73</t>
  </si>
  <si>
    <t>MRPL14</t>
  </si>
  <si>
    <t>SLC27A4</t>
  </si>
  <si>
    <t>CC2D1A</t>
  </si>
  <si>
    <t>DUS1L</t>
  </si>
  <si>
    <t>C8orf82</t>
  </si>
  <si>
    <t>EDC4</t>
  </si>
  <si>
    <t>PRMT10</t>
  </si>
  <si>
    <t>SCYL2</t>
  </si>
  <si>
    <t>TTC27</t>
  </si>
  <si>
    <t>CASC4</t>
  </si>
  <si>
    <t>FDX1L</t>
  </si>
  <si>
    <t>WDR73</t>
  </si>
  <si>
    <t>MZT2A</t>
  </si>
  <si>
    <t>FAHD1</t>
  </si>
  <si>
    <t>C8orf47</t>
  </si>
  <si>
    <t>FAM171B</t>
  </si>
  <si>
    <t>KIAA1609</t>
  </si>
  <si>
    <t>PGM2L1</t>
  </si>
  <si>
    <t>AAGAB</t>
  </si>
  <si>
    <t>TTC37</t>
  </si>
  <si>
    <t>DARS2</t>
  </si>
  <si>
    <t>TMEM65</t>
  </si>
  <si>
    <t>CCDC174</t>
  </si>
  <si>
    <t>HAGHL</t>
  </si>
  <si>
    <t>TRIM65</t>
  </si>
  <si>
    <t>ZC3H14</t>
  </si>
  <si>
    <t>CNST</t>
  </si>
  <si>
    <t>OGFOD3</t>
  </si>
  <si>
    <t>LARP1</t>
  </si>
  <si>
    <t>SLC30A9</t>
  </si>
  <si>
    <t>PAOX</t>
  </si>
  <si>
    <t>BLOC1S3</t>
  </si>
  <si>
    <t>BLOC1S2</t>
  </si>
  <si>
    <t>AGTRAP</t>
  </si>
  <si>
    <t>METAP1D</t>
  </si>
  <si>
    <t>AFTPH</t>
  </si>
  <si>
    <t>FIP1L1</t>
  </si>
  <si>
    <t>CRTC1</t>
  </si>
  <si>
    <t>CSPG4</t>
  </si>
  <si>
    <t>MOXD1</t>
  </si>
  <si>
    <t>ATRAID</t>
  </si>
  <si>
    <t>KDELC1</t>
  </si>
  <si>
    <t>LRSAM1</t>
  </si>
  <si>
    <t>FAM198B</t>
  </si>
  <si>
    <t>TMCO3</t>
  </si>
  <si>
    <t>DHRS11</t>
  </si>
  <si>
    <t>LCLAT1</t>
  </si>
  <si>
    <t>PET117</t>
  </si>
  <si>
    <t>C6orf89</t>
  </si>
  <si>
    <t>CWC27</t>
  </si>
  <si>
    <t>LAYN</t>
  </si>
  <si>
    <t>METTL7B</t>
  </si>
  <si>
    <t>PLXDC2</t>
  </si>
  <si>
    <t>SEZ6L2</t>
  </si>
  <si>
    <t>CRELD2</t>
  </si>
  <si>
    <t>CCBE1</t>
  </si>
  <si>
    <t>WDR82</t>
  </si>
  <si>
    <t>FAM151B</t>
  </si>
  <si>
    <t>APOOL</t>
  </si>
  <si>
    <t>BAIAP2L2</t>
  </si>
  <si>
    <t>FAT4</t>
  </si>
  <si>
    <t>DCHS2</t>
  </si>
  <si>
    <t>DPP8</t>
  </si>
  <si>
    <t>PACS1</t>
  </si>
  <si>
    <t>MPRIP</t>
  </si>
  <si>
    <t>RAB11FIP1</t>
  </si>
  <si>
    <t>NAPRT1</t>
  </si>
  <si>
    <t>PTPLB</t>
  </si>
  <si>
    <t>B3GALTL</t>
  </si>
  <si>
    <t>GIGYF2</t>
  </si>
  <si>
    <t>CD109</t>
  </si>
  <si>
    <t>THADA</t>
  </si>
  <si>
    <t>HSDL2</t>
  </si>
  <si>
    <t>CCBL2</t>
  </si>
  <si>
    <t>CERS6</t>
  </si>
  <si>
    <t>PPP1R21</t>
  </si>
  <si>
    <t>SYNE3</t>
  </si>
  <si>
    <t>GDPGP1</t>
  </si>
  <si>
    <t>DPY19L3</t>
  </si>
  <si>
    <t>QSOX2</t>
  </si>
  <si>
    <t>FAM65A</t>
  </si>
  <si>
    <t>C1orf122</t>
  </si>
  <si>
    <t>MFSD6</t>
  </si>
  <si>
    <t>TMPPE</t>
  </si>
  <si>
    <t>ANKRD13D</t>
  </si>
  <si>
    <t>CCDC149</t>
  </si>
  <si>
    <t>C15orf52</t>
  </si>
  <si>
    <t>LHFPL2</t>
  </si>
  <si>
    <t>NUDT18</t>
  </si>
  <si>
    <t>PAXIP1</t>
  </si>
  <si>
    <t>MBOAT2</t>
  </si>
  <si>
    <t>TMTC3</t>
  </si>
  <si>
    <t>VPS13C</t>
  </si>
  <si>
    <t>ACAD11</t>
  </si>
  <si>
    <t>MOB2</t>
  </si>
  <si>
    <t>IKBIP</t>
  </si>
  <si>
    <t>FRA10AC1</t>
  </si>
  <si>
    <t>UBE2R2</t>
  </si>
  <si>
    <t>CSNK1A1</t>
  </si>
  <si>
    <t>MTSS1L</t>
  </si>
  <si>
    <t>CCDC80</t>
  </si>
  <si>
    <t>BTN2A1</t>
  </si>
  <si>
    <t>SUPT6H</t>
  </si>
  <si>
    <t>SND1</t>
  </si>
  <si>
    <t>DDX46</t>
  </si>
  <si>
    <t>RUFY3</t>
  </si>
  <si>
    <t>SV2A</t>
  </si>
  <si>
    <t>TRMT10C</t>
  </si>
  <si>
    <t>BZW1</t>
  </si>
  <si>
    <t>LRRC8D</t>
  </si>
  <si>
    <t>ABHD13</t>
  </si>
  <si>
    <t>EIF3M</t>
  </si>
  <si>
    <t>MEPCE</t>
  </si>
  <si>
    <t>ARMCX2</t>
  </si>
  <si>
    <t>RSRC2</t>
  </si>
  <si>
    <t>CYFIP1</t>
  </si>
  <si>
    <t>NDUFAF7</t>
  </si>
  <si>
    <t>GET4</t>
  </si>
  <si>
    <t>LPCAT2</t>
  </si>
  <si>
    <t>ENOSF1</t>
  </si>
  <si>
    <t>EPM2AIP1</t>
  </si>
  <si>
    <t>DHX32</t>
  </si>
  <si>
    <t>TAOK1</t>
  </si>
  <si>
    <t>SH3BP5L</t>
  </si>
  <si>
    <t>KDM3B</t>
  </si>
  <si>
    <t>CHMP1B</t>
  </si>
  <si>
    <t>RRM2B</t>
  </si>
  <si>
    <t>HS2ST1</t>
  </si>
  <si>
    <t>STRADA</t>
  </si>
  <si>
    <t>NIPA1</t>
  </si>
  <si>
    <t>MICAL3</t>
  </si>
  <si>
    <t>DYM</t>
  </si>
  <si>
    <t>PHF5A</t>
  </si>
  <si>
    <t>AAED1</t>
  </si>
  <si>
    <t>GPRIN1</t>
  </si>
  <si>
    <t>PID1</t>
  </si>
  <si>
    <t>EFTUD1</t>
  </si>
  <si>
    <t>DPY19L4</t>
  </si>
  <si>
    <t>NEGR1</t>
  </si>
  <si>
    <t>LYSMD3</t>
  </si>
  <si>
    <t>C14orf159</t>
  </si>
  <si>
    <t>C10orf118</t>
  </si>
  <si>
    <t>ARMC9</t>
  </si>
  <si>
    <t>ZFYVE16</t>
  </si>
  <si>
    <t>NUFIP2</t>
  </si>
  <si>
    <t>SZRD1</t>
  </si>
  <si>
    <t>MAVS</t>
  </si>
  <si>
    <t>CYP2U1</t>
  </si>
  <si>
    <t>DHX29</t>
  </si>
  <si>
    <t>LRP10</t>
  </si>
  <si>
    <t>COMMD6</t>
  </si>
  <si>
    <t>TRMT11</t>
  </si>
  <si>
    <t>HDDC2</t>
  </si>
  <si>
    <t>HAUS6</t>
  </si>
  <si>
    <t>KDELC2</t>
  </si>
  <si>
    <t>LIMS2</t>
  </si>
  <si>
    <t>HEATR3</t>
  </si>
  <si>
    <t>HDGFRP2</t>
  </si>
  <si>
    <t>DCXR</t>
  </si>
  <si>
    <t>GOLGA7</t>
  </si>
  <si>
    <t>WAPAL</t>
  </si>
  <si>
    <t>R3HCC1L</t>
  </si>
  <si>
    <t>PODN</t>
  </si>
  <si>
    <t>IRF2BP2</t>
  </si>
  <si>
    <t>APBB1IP</t>
  </si>
  <si>
    <t>CAMKMT</t>
  </si>
  <si>
    <t>CCDC91</t>
  </si>
  <si>
    <t>SRGAP1</t>
  </si>
  <si>
    <t>RBBP6</t>
  </si>
  <si>
    <t>SH3RF1</t>
  </si>
  <si>
    <t>PTAR1</t>
  </si>
  <si>
    <t>C15orf38</t>
  </si>
  <si>
    <t>TECPR1</t>
  </si>
  <si>
    <t>RABEPK</t>
  </si>
  <si>
    <t>MILR1</t>
  </si>
  <si>
    <t>MTERFD2</t>
  </si>
  <si>
    <t>HUWE1</t>
  </si>
  <si>
    <t>CTU1</t>
  </si>
  <si>
    <t>PXK</t>
  </si>
  <si>
    <t>TAF8</t>
  </si>
  <si>
    <t>UBE2Q1</t>
  </si>
  <si>
    <t>KIAA0907</t>
  </si>
  <si>
    <t>TMED4</t>
  </si>
  <si>
    <t>CAMK2N1</t>
  </si>
  <si>
    <t>ZER1</t>
  </si>
  <si>
    <t>GALNT5</t>
  </si>
  <si>
    <t>TMEM179B</t>
  </si>
  <si>
    <t>GALNT7</t>
  </si>
  <si>
    <t>AMIGO2</t>
  </si>
  <si>
    <t>PHLDB2</t>
  </si>
  <si>
    <t>SDCCAG8</t>
  </si>
  <si>
    <t>GALNT10</t>
  </si>
  <si>
    <t>GLRX5</t>
  </si>
  <si>
    <t>TRAPPC6B</t>
  </si>
  <si>
    <t>TMEM55B</t>
  </si>
  <si>
    <t>CLEC14A</t>
  </si>
  <si>
    <t>PATL1</t>
  </si>
  <si>
    <t>TMEM150A</t>
  </si>
  <si>
    <t>TBC1D1</t>
  </si>
  <si>
    <t>DPP9</t>
  </si>
  <si>
    <t>SYVN1</t>
  </si>
  <si>
    <t>TRPT1</t>
  </si>
  <si>
    <t>PRUNE</t>
  </si>
  <si>
    <t>MRPL52</t>
  </si>
  <si>
    <t>SETD3</t>
  </si>
  <si>
    <t>LGMN</t>
  </si>
  <si>
    <t>ACOT1</t>
  </si>
  <si>
    <t>ISCA2</t>
  </si>
  <si>
    <t>METTL3</t>
  </si>
  <si>
    <t>LDB1</t>
  </si>
  <si>
    <t>YRDC</t>
  </si>
  <si>
    <t>MTDH</t>
  </si>
  <si>
    <t>ZNF598</t>
  </si>
  <si>
    <t>AGPAT6</t>
  </si>
  <si>
    <t>KTN1</t>
  </si>
  <si>
    <t>BCL9L</t>
  </si>
  <si>
    <t>PHLDB1</t>
  </si>
  <si>
    <t>USP48</t>
  </si>
  <si>
    <t>TXNDC5</t>
  </si>
  <si>
    <t>NT5DC3</t>
  </si>
  <si>
    <t>AACS</t>
  </si>
  <si>
    <t>LUZP1</t>
  </si>
  <si>
    <t>GPR180</t>
  </si>
  <si>
    <t>FAM160B2</t>
  </si>
  <si>
    <t>C11orf74</t>
  </si>
  <si>
    <t>VPS36</t>
  </si>
  <si>
    <t>CAND1</t>
  </si>
  <si>
    <t>GLCCI1</t>
  </si>
  <si>
    <t>WASF3</t>
  </si>
  <si>
    <t>FAM134C</t>
  </si>
  <si>
    <t>HOOK3</t>
  </si>
  <si>
    <t>SESTD1</t>
  </si>
  <si>
    <t>ARHGEF25</t>
  </si>
  <si>
    <t>COMMD7</t>
  </si>
  <si>
    <t>AMZ2</t>
  </si>
  <si>
    <t>THOC6</t>
  </si>
  <si>
    <t>PARG</t>
  </si>
  <si>
    <t>PPFIBP1</t>
  </si>
  <si>
    <t>BPHL</t>
  </si>
  <si>
    <t>SLC26A11</t>
  </si>
  <si>
    <t>OSTM1</t>
  </si>
  <si>
    <t>SBF2</t>
  </si>
  <si>
    <t>FCHSD1</t>
  </si>
  <si>
    <t>NR2C2AP</t>
  </si>
  <si>
    <t>CCDC25</t>
  </si>
  <si>
    <t>TMEM173</t>
  </si>
  <si>
    <t>CCDC43</t>
  </si>
  <si>
    <t>CDR2L</t>
  </si>
  <si>
    <t>TMEM17</t>
  </si>
  <si>
    <t>RALGPS2</t>
  </si>
  <si>
    <t>CARM1</t>
  </si>
  <si>
    <t>NIT1</t>
  </si>
  <si>
    <t>COMMD2</t>
  </si>
  <si>
    <t>DDX42</t>
  </si>
  <si>
    <t>SPATS2</t>
  </si>
  <si>
    <t>VRK2</t>
  </si>
  <si>
    <t>CACUL1</t>
  </si>
  <si>
    <t>NDUFA11</t>
  </si>
  <si>
    <t>HEATR2</t>
  </si>
  <si>
    <t>STX12</t>
  </si>
  <si>
    <t>ERO1LB</t>
  </si>
  <si>
    <t>PDSS2</t>
  </si>
  <si>
    <t>THNSL2</t>
  </si>
  <si>
    <t>GATAD2A</t>
  </si>
  <si>
    <t>CPNE8</t>
  </si>
  <si>
    <t>GPSM1</t>
  </si>
  <si>
    <t>RAB43</t>
  </si>
  <si>
    <t>SGK223</t>
  </si>
  <si>
    <t>CAMK1D</t>
  </si>
  <si>
    <t>TICAM1</t>
  </si>
  <si>
    <t>ERC1</t>
  </si>
  <si>
    <t>ZDHHC13</t>
  </si>
  <si>
    <t>CRLF3</t>
  </si>
  <si>
    <t>TRAPPC5</t>
  </si>
  <si>
    <t>RELL1</t>
  </si>
  <si>
    <t>AGXT2L2</t>
  </si>
  <si>
    <t>PLD3</t>
  </si>
  <si>
    <t>LACC1</t>
  </si>
  <si>
    <t>ANKMY2</t>
  </si>
  <si>
    <t>LYSMD2</t>
  </si>
  <si>
    <t>LIX1L</t>
  </si>
  <si>
    <t>NUDCD3</t>
  </si>
  <si>
    <t>AHNAK2</t>
  </si>
  <si>
    <t>MMAA</t>
  </si>
  <si>
    <t>LEPREL1</t>
  </si>
  <si>
    <t>CCDC50</t>
  </si>
  <si>
    <t>MCAT</t>
  </si>
  <si>
    <t>CARKD</t>
  </si>
  <si>
    <t>MFN1</t>
  </si>
  <si>
    <t>SLC44A2</t>
  </si>
  <si>
    <t>ITPRIP</t>
  </si>
  <si>
    <t>WDFY1</t>
  </si>
  <si>
    <t>TEX2</t>
  </si>
  <si>
    <t>MAP7D3</t>
  </si>
  <si>
    <t>FAM114A1</t>
  </si>
  <si>
    <t>DCUN1D3</t>
  </si>
  <si>
    <t>GCC2</t>
  </si>
  <si>
    <t>UBR1</t>
  </si>
  <si>
    <t>UBR2</t>
  </si>
  <si>
    <t>ADHFE1</t>
  </si>
  <si>
    <t>ANKHD1</t>
  </si>
  <si>
    <t>SUGP1</t>
  </si>
  <si>
    <t>UEVLD</t>
  </si>
  <si>
    <t>CCAR1</t>
  </si>
  <si>
    <t>DNAJC10</t>
  </si>
  <si>
    <t>RHOT1</t>
  </si>
  <si>
    <t>SIRT2</t>
  </si>
  <si>
    <t>C9orf40</t>
  </si>
  <si>
    <t>KIAA1704</t>
  </si>
  <si>
    <t>PNPLA6</t>
  </si>
  <si>
    <t>IFT20</t>
  </si>
  <si>
    <t>MICALL2</t>
  </si>
  <si>
    <t>TMEM192</t>
  </si>
  <si>
    <t>MB21D2</t>
  </si>
  <si>
    <t>SMAP1</t>
  </si>
  <si>
    <t>DIS3L2</t>
  </si>
  <si>
    <t>SUPV3L1</t>
  </si>
  <si>
    <t>GSPT2</t>
  </si>
  <si>
    <t>CCDC146</t>
  </si>
  <si>
    <t>EXOC8</t>
  </si>
  <si>
    <t>TRIM22</t>
  </si>
  <si>
    <t>THNSL1</t>
  </si>
  <si>
    <t>KIAA2013</t>
  </si>
  <si>
    <t>HACE1</t>
  </si>
  <si>
    <t>MICU2</t>
  </si>
  <si>
    <t>ANKRD13A</t>
  </si>
  <si>
    <t>PHACTR4</t>
  </si>
  <si>
    <t>MTX2</t>
  </si>
  <si>
    <t>RPUSD2</t>
  </si>
  <si>
    <t>ELMOD2</t>
  </si>
  <si>
    <t>ALDH16A1</t>
  </si>
  <si>
    <t>DCP1B</t>
  </si>
  <si>
    <t>SCYL3</t>
  </si>
  <si>
    <t>CMTM4</t>
  </si>
  <si>
    <t>RDH10</t>
  </si>
  <si>
    <t>C8orf59</t>
  </si>
  <si>
    <t>VKORC1L1</t>
  </si>
  <si>
    <t>FUK</t>
  </si>
  <si>
    <t>CLYBL</t>
  </si>
  <si>
    <t>SPG20</t>
  </si>
  <si>
    <t>TTC5</t>
  </si>
  <si>
    <t>MIER1</t>
  </si>
  <si>
    <t>CEND1</t>
  </si>
  <si>
    <t>RPTOR</t>
  </si>
  <si>
    <t>CNPY4</t>
  </si>
  <si>
    <t>SLC34A3</t>
  </si>
  <si>
    <t>ADSSL1</t>
  </si>
  <si>
    <t>KIAA1967</t>
  </si>
  <si>
    <t>NDUFAF2</t>
  </si>
  <si>
    <t>C4orf33</t>
  </si>
  <si>
    <t>VPS52</t>
  </si>
  <si>
    <t>NUP93</t>
  </si>
  <si>
    <t>FTSJD2</t>
  </si>
  <si>
    <t>LRRC47</t>
  </si>
  <si>
    <t>CA13</t>
  </si>
  <si>
    <t>ANKRD35</t>
  </si>
  <si>
    <t>ARMC10</t>
  </si>
  <si>
    <t>GHDC</t>
  </si>
  <si>
    <t>PYROXD2</t>
  </si>
  <si>
    <t>ABHD12</t>
  </si>
  <si>
    <t>CCDC23</t>
  </si>
  <si>
    <t>GPD1L</t>
  </si>
  <si>
    <t>MT1M</t>
  </si>
  <si>
    <t>DOS</t>
  </si>
  <si>
    <t>SLC35F6</t>
  </si>
  <si>
    <t>ARHGAP18</t>
  </si>
  <si>
    <t>ASCC3</t>
  </si>
  <si>
    <t>EHBP1L1</t>
  </si>
  <si>
    <t>MICALL1</t>
  </si>
  <si>
    <t>MPP5</t>
  </si>
  <si>
    <t>SYNPO</t>
  </si>
  <si>
    <t>FNBP4</t>
  </si>
  <si>
    <t>D2HGDH</t>
  </si>
  <si>
    <t>SFRP1</t>
  </si>
  <si>
    <t>RYBP</t>
  </si>
  <si>
    <t>PNKD</t>
  </si>
  <si>
    <t>FAM109A</t>
  </si>
  <si>
    <t>MINK1</t>
  </si>
  <si>
    <t>TOMM5</t>
  </si>
  <si>
    <t>HDDC3</t>
  </si>
  <si>
    <t>ZADH2</t>
  </si>
  <si>
    <t>CHCHD4</t>
  </si>
  <si>
    <t>MMGT1</t>
  </si>
  <si>
    <t>AFAP1</t>
  </si>
  <si>
    <t>OXR1</t>
  </si>
  <si>
    <t>TTC39C</t>
  </si>
  <si>
    <t>TAB3</t>
  </si>
  <si>
    <t>SMIM20</t>
  </si>
  <si>
    <t>TMEM57</t>
  </si>
  <si>
    <t>FAM89B</t>
  </si>
  <si>
    <t>DHRSX</t>
  </si>
  <si>
    <t>C12orf45</t>
  </si>
  <si>
    <t>FAM63A</t>
  </si>
  <si>
    <t>CISD2</t>
  </si>
  <si>
    <t>ATPAF2</t>
  </si>
  <si>
    <t>JAGN1</t>
  </si>
  <si>
    <t>MRPL50</t>
  </si>
  <si>
    <t>EIF4E3</t>
  </si>
  <si>
    <t>KCTD17</t>
  </si>
  <si>
    <t>COMMD1</t>
  </si>
  <si>
    <t>CPSF7</t>
  </si>
  <si>
    <t>SLC15A4</t>
  </si>
  <si>
    <t>ADAMTSL1</t>
  </si>
  <si>
    <t>ARFGAP2</t>
  </si>
  <si>
    <t>OTUD6B</t>
  </si>
  <si>
    <t>C1orf52</t>
  </si>
  <si>
    <t>ACBD7</t>
  </si>
  <si>
    <t>METTL25</t>
  </si>
  <si>
    <t>ARFGAP1</t>
  </si>
  <si>
    <t>EMC1</t>
  </si>
  <si>
    <t>CCNYL1</t>
  </si>
  <si>
    <t>C4orf32</t>
  </si>
  <si>
    <t>PTGR2</t>
  </si>
  <si>
    <t>C2orf69</t>
  </si>
  <si>
    <t>ENAH</t>
  </si>
  <si>
    <t>GPATCH11</t>
  </si>
  <si>
    <t>C12orf29</t>
  </si>
  <si>
    <t>CNEP1R1</t>
  </si>
  <si>
    <t>DTX3</t>
  </si>
  <si>
    <t>ASCC1</t>
  </si>
  <si>
    <t>LRRC57</t>
  </si>
  <si>
    <t>WDSUB1</t>
  </si>
  <si>
    <t>USP38</t>
  </si>
  <si>
    <t>MLKL</t>
  </si>
  <si>
    <t>PDDC1</t>
  </si>
  <si>
    <t>ANKRD52</t>
  </si>
  <si>
    <t>ATP11C</t>
  </si>
  <si>
    <t>NHLRC2</t>
  </si>
  <si>
    <t>AVL9</t>
  </si>
  <si>
    <t>SLC43A3</t>
  </si>
  <si>
    <t>XXYLT1</t>
  </si>
  <si>
    <t>GOLM1</t>
  </si>
  <si>
    <t>COLGALT1</t>
  </si>
  <si>
    <t>SUMF1</t>
  </si>
  <si>
    <t>POGLUT1</t>
  </si>
  <si>
    <t>PCYOX1L</t>
  </si>
  <si>
    <t>TMEM87A</t>
  </si>
  <si>
    <t>RDH13</t>
  </si>
  <si>
    <t>ATAD1</t>
  </si>
  <si>
    <t>SCCPDH</t>
  </si>
  <si>
    <t>FAM134A</t>
  </si>
  <si>
    <t>SERBP1</t>
  </si>
  <si>
    <t>LEMD2</t>
  </si>
  <si>
    <t>NECAP1</t>
  </si>
  <si>
    <t>FAM98A</t>
  </si>
  <si>
    <t>PLA2G15</t>
  </si>
  <si>
    <t>SLC37A3</t>
  </si>
  <si>
    <t>MTMR14</t>
  </si>
  <si>
    <t>DAGLB</t>
  </si>
  <si>
    <t>CHST14</t>
  </si>
  <si>
    <t>GALNT6</t>
  </si>
  <si>
    <t>PDPR</t>
  </si>
  <si>
    <t>APOA1BP</t>
  </si>
  <si>
    <t>RNF214</t>
  </si>
  <si>
    <t>PPFIBP2</t>
  </si>
  <si>
    <t>LSM14A</t>
  </si>
  <si>
    <t>CCNY</t>
  </si>
  <si>
    <t>PNMA1</t>
  </si>
  <si>
    <t>LRRN4CL</t>
  </si>
  <si>
    <t>MAPK1IP1L</t>
  </si>
  <si>
    <t>NPEPL1</t>
  </si>
  <si>
    <t>EHBP1</t>
  </si>
  <si>
    <t>TNRC6A</t>
  </si>
  <si>
    <t>TMEM104</t>
  </si>
  <si>
    <t>ABCF1</t>
  </si>
  <si>
    <t>MCU</t>
  </si>
  <si>
    <t>GSTCD</t>
  </si>
  <si>
    <t>DDHD1</t>
  </si>
  <si>
    <t>PDZD8</t>
  </si>
  <si>
    <t>APPL2</t>
  </si>
  <si>
    <t>SLC30A7</t>
  </si>
  <si>
    <t>NAV1</t>
  </si>
  <si>
    <t>VPS37A</t>
  </si>
  <si>
    <t>FBXO22</t>
  </si>
  <si>
    <t>LPCAT1</t>
  </si>
  <si>
    <t>BOD1L1</t>
  </si>
  <si>
    <t>FLAD1</t>
  </si>
  <si>
    <t>NUP43</t>
  </si>
  <si>
    <t>NUP37</t>
  </si>
  <si>
    <t>ENGASE</t>
  </si>
  <si>
    <t>TOR1AIP2</t>
  </si>
  <si>
    <t>TSTD1</t>
  </si>
  <si>
    <t>ABHD11</t>
  </si>
  <si>
    <t>STXBP6</t>
  </si>
  <si>
    <t>NLGN2</t>
  </si>
  <si>
    <t>CADM4</t>
  </si>
  <si>
    <t>PJA1</t>
  </si>
  <si>
    <t>TTL</t>
  </si>
  <si>
    <t>SVIP</t>
  </si>
  <si>
    <t>ATL2</t>
  </si>
  <si>
    <t>PLBD2</t>
  </si>
  <si>
    <t>RASSF8</t>
  </si>
  <si>
    <t>SGMS2</t>
  </si>
  <si>
    <t>TDRD7</t>
  </si>
  <si>
    <t>GIMAP7</t>
  </si>
  <si>
    <t>NEDD1</t>
  </si>
  <si>
    <t>CDC26</t>
  </si>
  <si>
    <t>NCOA7</t>
  </si>
  <si>
    <t>MCFD2</t>
  </si>
  <si>
    <t>PPTC7</t>
  </si>
  <si>
    <t>VANGL1</t>
  </si>
  <si>
    <t>GADD45GIP1</t>
  </si>
  <si>
    <t>WDR48</t>
  </si>
  <si>
    <t>CEP76</t>
  </si>
  <si>
    <t>PPP1R35</t>
  </si>
  <si>
    <t>NPLOC4</t>
  </si>
  <si>
    <t>CXorf38</t>
  </si>
  <si>
    <t>SPATA20</t>
  </si>
  <si>
    <t>RIN3</t>
  </si>
  <si>
    <t>GDAP1</t>
  </si>
  <si>
    <t>NUBPL</t>
  </si>
  <si>
    <t>ABHD4</t>
  </si>
  <si>
    <t>SLC35B2</t>
  </si>
  <si>
    <t>PUM2</t>
  </si>
  <si>
    <t>ITFG1</t>
  </si>
  <si>
    <t>GOLGA5</t>
  </si>
  <si>
    <t>THAP6</t>
  </si>
  <si>
    <t>SLC7A14</t>
  </si>
  <si>
    <t>UBA3</t>
  </si>
  <si>
    <t>ZSCAN18</t>
  </si>
  <si>
    <t>NANP</t>
  </si>
  <si>
    <t>RAB3IL1</t>
  </si>
  <si>
    <t>PIP4K2C</t>
  </si>
  <si>
    <t>TBC1D15</t>
  </si>
  <si>
    <t>RDH11</t>
  </si>
  <si>
    <t>SPATA18</t>
  </si>
  <si>
    <t>LRRC20</t>
  </si>
  <si>
    <t>C18orf32</t>
  </si>
  <si>
    <t>NT5C</t>
  </si>
  <si>
    <t>FAM45A</t>
  </si>
  <si>
    <t>PI4K2B</t>
  </si>
  <si>
    <t>STT3B</t>
  </si>
  <si>
    <t>PNPT1</t>
  </si>
  <si>
    <t>HM13</t>
  </si>
  <si>
    <t>DYNC2LI1</t>
  </si>
  <si>
    <t>CD99L2</t>
  </si>
  <si>
    <t>BICD2</t>
  </si>
  <si>
    <t>NEK9</t>
  </si>
  <si>
    <t>GPT2</t>
  </si>
  <si>
    <t>PLEKHO2</t>
  </si>
  <si>
    <t>MGARP</t>
  </si>
  <si>
    <t>BLOC1S5</t>
  </si>
  <si>
    <t>BCAS4</t>
  </si>
  <si>
    <t>DLG5</t>
  </si>
  <si>
    <t>GNPDA2</t>
  </si>
  <si>
    <t>NEK7</t>
  </si>
  <si>
    <t>RB1CC1</t>
  </si>
  <si>
    <t>ASAP3</t>
  </si>
  <si>
    <t>MICAL1</t>
  </si>
  <si>
    <t>DNAH5</t>
  </si>
  <si>
    <t>SSH3</t>
  </si>
  <si>
    <t>NSUN6</t>
  </si>
  <si>
    <t>DTD1</t>
  </si>
  <si>
    <t>GPX8</t>
  </si>
  <si>
    <t>SLC37A2</t>
  </si>
  <si>
    <t>SH3RF3</t>
  </si>
  <si>
    <t>SNX29</t>
  </si>
  <si>
    <t>SMCR8</t>
  </si>
  <si>
    <t>IPO4</t>
  </si>
  <si>
    <t>PNISR</t>
  </si>
  <si>
    <t>PPP4R1</t>
  </si>
  <si>
    <t>UBASH3B</t>
  </si>
  <si>
    <t>LRRC15</t>
  </si>
  <si>
    <t>SHROOM3</t>
  </si>
  <si>
    <t>WIPF2</t>
  </si>
  <si>
    <t>ABHD5</t>
  </si>
  <si>
    <t>SETD7</t>
  </si>
  <si>
    <t>PYROXD1</t>
  </si>
  <si>
    <t>RNF139</t>
  </si>
  <si>
    <t>SCFD2</t>
  </si>
  <si>
    <t>SMAP2</t>
  </si>
  <si>
    <t>ZC3H15</t>
  </si>
  <si>
    <t>PPIL4</t>
  </si>
  <si>
    <t>TSKU</t>
  </si>
  <si>
    <t>PHF10</t>
  </si>
  <si>
    <t>RAB2B</t>
  </si>
  <si>
    <t>PPP1R13L</t>
  </si>
  <si>
    <t>FAM172A</t>
  </si>
  <si>
    <t>CHURC1</t>
  </si>
  <si>
    <t>C12orf23</t>
  </si>
  <si>
    <t>HDAC7</t>
  </si>
  <si>
    <t>STYX</t>
  </si>
  <si>
    <t>PTPMT1</t>
  </si>
  <si>
    <t>PDCD6IP</t>
  </si>
  <si>
    <t>SLC20A1</t>
  </si>
  <si>
    <t>FBLIM1</t>
  </si>
  <si>
    <t>C15orf40</t>
  </si>
  <si>
    <t>CHAC2</t>
  </si>
  <si>
    <t>CHMP7</t>
  </si>
  <si>
    <t>THEM6</t>
  </si>
  <si>
    <t>PRUNE2</t>
  </si>
  <si>
    <t>NAT14</t>
  </si>
  <si>
    <t>SNX33</t>
  </si>
  <si>
    <t>LACE1</t>
  </si>
  <si>
    <t>LEO1</t>
  </si>
  <si>
    <t>RPS21</t>
  </si>
  <si>
    <t>RNF141</t>
  </si>
  <si>
    <t>N6AMT2</t>
  </si>
  <si>
    <t>NUDCD2</t>
  </si>
  <si>
    <t>SNRNP27</t>
  </si>
  <si>
    <t>ANKRD49</t>
  </si>
  <si>
    <t>SCFD1</t>
  </si>
  <si>
    <t>UBE2Q2</t>
  </si>
  <si>
    <t>CANT1</t>
  </si>
  <si>
    <t>TRAPPC12</t>
  </si>
  <si>
    <t>FAR1</t>
  </si>
  <si>
    <t>UBLCP1</t>
  </si>
  <si>
    <t>TSEN15</t>
  </si>
  <si>
    <t>PCNP</t>
  </si>
  <si>
    <t>SPRYD4</t>
  </si>
  <si>
    <t>C1orf85</t>
  </si>
  <si>
    <t>C2orf47</t>
  </si>
  <si>
    <t>TRUB1</t>
  </si>
  <si>
    <t>SLC44A1</t>
  </si>
  <si>
    <t>ATXN2L</t>
  </si>
  <si>
    <t>CYGB</t>
  </si>
  <si>
    <t>RTN4IP1</t>
  </si>
  <si>
    <t>SELM</t>
  </si>
  <si>
    <t>NELFB</t>
  </si>
  <si>
    <t>PALLD</t>
  </si>
  <si>
    <t>SREK1</t>
  </si>
  <si>
    <t>GEMIN6</t>
  </si>
  <si>
    <t>ATRIP</t>
  </si>
  <si>
    <t>PSPC1</t>
  </si>
  <si>
    <t>SYNE2</t>
  </si>
  <si>
    <t>GATAD2B</t>
  </si>
  <si>
    <t>BAALC</t>
  </si>
  <si>
    <t>DNAJC9</t>
  </si>
  <si>
    <t>CTNNBL1</t>
  </si>
  <si>
    <t>SSH1</t>
  </si>
  <si>
    <t>ATG4A</t>
  </si>
  <si>
    <t>AHCTF1</t>
  </si>
  <si>
    <t>OVCA2</t>
  </si>
  <si>
    <t>LZIC</t>
  </si>
  <si>
    <t>IRGQ</t>
  </si>
  <si>
    <t>CLEC2B</t>
  </si>
  <si>
    <t>DDX1</t>
  </si>
  <si>
    <t>SEC14L1</t>
  </si>
  <si>
    <t>SLC39A7</t>
  </si>
  <si>
    <t>HSD17B8</t>
  </si>
  <si>
    <t>PIEZO1</t>
  </si>
  <si>
    <t>FAM3C</t>
  </si>
  <si>
    <t>CCT6B</t>
  </si>
  <si>
    <t>GBF1</t>
  </si>
  <si>
    <t>RTF1</t>
  </si>
  <si>
    <t>TM9SF4</t>
  </si>
  <si>
    <t>RGP1</t>
  </si>
  <si>
    <t>WASF1</t>
  </si>
  <si>
    <t>FAM168A</t>
  </si>
  <si>
    <t>AP3S1</t>
  </si>
  <si>
    <t>TSC1</t>
  </si>
  <si>
    <t>UBXN4</t>
  </si>
  <si>
    <t>NDRG1</t>
  </si>
  <si>
    <t>HSPH1</t>
  </si>
  <si>
    <t>TBC1D5</t>
  </si>
  <si>
    <t>LARP4B</t>
  </si>
  <si>
    <t>GCN1L1</t>
  </si>
  <si>
    <t>DHX38</t>
  </si>
  <si>
    <t>NUP205</t>
  </si>
  <si>
    <t>APPBP2</t>
  </si>
  <si>
    <t>ANKS1A</t>
  </si>
  <si>
    <t>PXDN</t>
  </si>
  <si>
    <t>SGCD</t>
  </si>
  <si>
    <t>NSMAF</t>
  </si>
  <si>
    <t>NRGN</t>
  </si>
  <si>
    <t>ANP32B</t>
  </si>
  <si>
    <t>PVRL2</t>
  </si>
  <si>
    <t>RABGGTA</t>
  </si>
  <si>
    <t>TFG</t>
  </si>
  <si>
    <t>USP6NL</t>
  </si>
  <si>
    <t>ARPC1A</t>
  </si>
  <si>
    <t>RDH5</t>
  </si>
  <si>
    <t>STAM</t>
  </si>
  <si>
    <t>LEPREL4</t>
  </si>
  <si>
    <t>SYMPK</t>
  </si>
  <si>
    <t>TAF15</t>
  </si>
  <si>
    <t>GOLGA1</t>
  </si>
  <si>
    <t>GGH</t>
  </si>
  <si>
    <t>RPGR</t>
  </si>
  <si>
    <t>BCL2L2</t>
  </si>
  <si>
    <t>TANK</t>
  </si>
  <si>
    <t>NEO1</t>
  </si>
  <si>
    <t>PMM1</t>
  </si>
  <si>
    <t>RAD50</t>
  </si>
  <si>
    <t>OSTF1</t>
  </si>
  <si>
    <t>ARHGEF1</t>
  </si>
  <si>
    <t>ERCC4</t>
  </si>
  <si>
    <t>GLG1</t>
  </si>
  <si>
    <t>UPF1</t>
  </si>
  <si>
    <t>COPS5</t>
  </si>
  <si>
    <t>GPKOW</t>
  </si>
  <si>
    <t>RAB8B</t>
  </si>
  <si>
    <t>BAD</t>
  </si>
  <si>
    <t>KHSRP</t>
  </si>
  <si>
    <t>GCDH</t>
  </si>
  <si>
    <t>RIT1</t>
  </si>
  <si>
    <t>PEX13</t>
  </si>
  <si>
    <t>TNPO1</t>
  </si>
  <si>
    <t>ARHGEF2</t>
  </si>
  <si>
    <t>GLMN</t>
  </si>
  <si>
    <t>USP13</t>
  </si>
  <si>
    <t>USP9X</t>
  </si>
  <si>
    <t>NAT6</t>
  </si>
  <si>
    <t>CUL5</t>
  </si>
  <si>
    <t>EXT2</t>
  </si>
  <si>
    <t>HIST1H2AC</t>
  </si>
  <si>
    <t>PTP4A1</t>
  </si>
  <si>
    <t>SCAMP4</t>
  </si>
  <si>
    <t>TCEAL3</t>
  </si>
  <si>
    <t>TSR2</t>
  </si>
  <si>
    <t>RFK</t>
  </si>
  <si>
    <t>C19orf10</t>
  </si>
  <si>
    <t>RNF34</t>
  </si>
  <si>
    <t>TMEM54</t>
  </si>
  <si>
    <t>YIPF5</t>
  </si>
  <si>
    <t>IGSF8</t>
  </si>
  <si>
    <t>RAB24</t>
  </si>
  <si>
    <t>ZNF622</t>
  </si>
  <si>
    <t>GFM2</t>
  </si>
  <si>
    <t>NT5C3B</t>
  </si>
  <si>
    <t>NCLN</t>
  </si>
  <si>
    <t>ERGIC1</t>
  </si>
  <si>
    <t>GTPBP3</t>
  </si>
  <si>
    <t>TBRG4</t>
  </si>
  <si>
    <t>MARC2</t>
  </si>
  <si>
    <t>PPP1R14A</t>
  </si>
  <si>
    <t>CCDC102A</t>
  </si>
  <si>
    <t>SLC35C1</t>
  </si>
  <si>
    <t>CCDC47</t>
  </si>
  <si>
    <t>SYAP1</t>
  </si>
  <si>
    <t>EXOC4</t>
  </si>
  <si>
    <t>KIAA1191</t>
  </si>
  <si>
    <t>ISOC2</t>
  </si>
  <si>
    <t>NTAN1</t>
  </si>
  <si>
    <t>FUBP1</t>
  </si>
  <si>
    <t>SLC25A46</t>
  </si>
  <si>
    <t>LRRC59</t>
  </si>
  <si>
    <t>RAB7B</t>
  </si>
  <si>
    <t>VTI1A</t>
  </si>
  <si>
    <t>MRGPRF</t>
  </si>
  <si>
    <t>PBXIP1</t>
  </si>
  <si>
    <t>MCUR1</t>
  </si>
  <si>
    <t>KIAA1143</t>
  </si>
  <si>
    <t>FKBP10</t>
  </si>
  <si>
    <t>C18orf25</t>
  </si>
  <si>
    <t>EXOSC8</t>
  </si>
  <si>
    <t>AKT1S1</t>
  </si>
  <si>
    <t>C10orf32</t>
  </si>
  <si>
    <t>TOMM6</t>
  </si>
  <si>
    <t>SH3KBP1</t>
  </si>
  <si>
    <t>CREB3L1</t>
  </si>
  <si>
    <t>RNF25</t>
  </si>
  <si>
    <t>AIDA</t>
  </si>
  <si>
    <t>ARL8A</t>
  </si>
  <si>
    <t>FAM105B</t>
  </si>
  <si>
    <t>CHCHD1</t>
  </si>
  <si>
    <t>PPWD1</t>
  </si>
  <si>
    <t>SELRC1</t>
  </si>
  <si>
    <t>PTER</t>
  </si>
  <si>
    <t>MOB3A</t>
  </si>
  <si>
    <t>ATG2B</t>
  </si>
  <si>
    <t>TBC1D20</t>
  </si>
  <si>
    <t>FAM136A</t>
  </si>
  <si>
    <t>FGGY</t>
  </si>
  <si>
    <t>EFHD2</t>
  </si>
  <si>
    <t>GALM</t>
  </si>
  <si>
    <t>PYCR2</t>
  </si>
  <si>
    <t>DCPS</t>
  </si>
  <si>
    <t>PPP1R14B</t>
  </si>
  <si>
    <t>SDCCAG3</t>
  </si>
  <si>
    <t>NSUN4</t>
  </si>
  <si>
    <t>RHBDF1</t>
  </si>
  <si>
    <t>FBXL8</t>
  </si>
  <si>
    <t>PPCDC</t>
  </si>
  <si>
    <t>CTHRC1</t>
  </si>
  <si>
    <t>EVI5L</t>
  </si>
  <si>
    <t>ISOC1</t>
  </si>
  <si>
    <t>GCC1</t>
  </si>
  <si>
    <t>FLYWCH2</t>
  </si>
  <si>
    <t>SLC25A36</t>
  </si>
  <si>
    <t>HAUS1</t>
  </si>
  <si>
    <t>FAF2</t>
  </si>
  <si>
    <t>CCDC124</t>
  </si>
  <si>
    <t>FOXRED1</t>
  </si>
  <si>
    <t>OPTN</t>
  </si>
  <si>
    <t>AP2M1</t>
  </si>
  <si>
    <t>TUBGCP3</t>
  </si>
  <si>
    <t>SLC7A6OS</t>
  </si>
  <si>
    <t>KCTD12</t>
  </si>
  <si>
    <t>LRRC58</t>
  </si>
  <si>
    <t>DNAJC19</t>
  </si>
  <si>
    <t>RMDN1</t>
  </si>
  <si>
    <t>ECHDC3</t>
  </si>
  <si>
    <t>SHISA4</t>
  </si>
  <si>
    <t>NUDT16</t>
  </si>
  <si>
    <t>ANAPC16</t>
  </si>
  <si>
    <t>DGCR14</t>
  </si>
  <si>
    <t>CMBL</t>
  </si>
  <si>
    <t>STARD4</t>
  </si>
  <si>
    <t>LGALS12</t>
  </si>
  <si>
    <t>DNAH11</t>
  </si>
  <si>
    <t>ATG4C</t>
  </si>
  <si>
    <t>RSPRY1</t>
  </si>
  <si>
    <t>TRIM44</t>
  </si>
  <si>
    <t>ERLEC1</t>
  </si>
  <si>
    <t>FAM122A</t>
  </si>
  <si>
    <t>MRRF</t>
  </si>
  <si>
    <t>NUS1</t>
  </si>
  <si>
    <t>SPDL1</t>
  </si>
  <si>
    <t>YIPF6</t>
  </si>
  <si>
    <t>SEH1L</t>
  </si>
  <si>
    <t>MALSU1</t>
  </si>
  <si>
    <t>TCEAL4</t>
  </si>
  <si>
    <t>KIAA1279</t>
  </si>
  <si>
    <t>GNPNAT1</t>
  </si>
  <si>
    <t>KTI12</t>
  </si>
  <si>
    <t>MRPL53</t>
  </si>
  <si>
    <t>L3HYPDH</t>
  </si>
  <si>
    <t>DAZAP1</t>
  </si>
  <si>
    <t>SGTB</t>
  </si>
  <si>
    <t>CCDC51</t>
  </si>
  <si>
    <t>C1GALT1C1</t>
  </si>
  <si>
    <t>RBM33</t>
  </si>
  <si>
    <t>DTNBP1</t>
  </si>
  <si>
    <t>SMIM12</t>
  </si>
  <si>
    <t>MVB12A</t>
  </si>
  <si>
    <t>MMAB</t>
  </si>
  <si>
    <t>SAT2</t>
  </si>
  <si>
    <t>NRBF2</t>
  </si>
  <si>
    <t>IL17RA</t>
  </si>
  <si>
    <t>CCDC97</t>
  </si>
  <si>
    <t>CNRIP1</t>
  </si>
  <si>
    <t>MEF2BNB</t>
  </si>
  <si>
    <t>STAMBPL1</t>
  </si>
  <si>
    <t>DYNLL2</t>
  </si>
  <si>
    <t>WDR89</t>
  </si>
  <si>
    <t>CPNE2</t>
  </si>
  <si>
    <t>S100A16</t>
  </si>
  <si>
    <t>SIPA1</t>
  </si>
  <si>
    <t>DPH3</t>
  </si>
  <si>
    <t>TRMT61A</t>
  </si>
  <si>
    <t>CHMP6</t>
  </si>
  <si>
    <t>PGM2</t>
  </si>
  <si>
    <t>MED8</t>
  </si>
  <si>
    <t>CCDC104</t>
  </si>
  <si>
    <t>DUS3L</t>
  </si>
  <si>
    <t>NUDT11</t>
  </si>
  <si>
    <t>SDSL</t>
  </si>
  <si>
    <t>PDXP</t>
  </si>
  <si>
    <t>RNF185</t>
  </si>
  <si>
    <t>DCUN1D1</t>
  </si>
  <si>
    <t>FAHD2A</t>
  </si>
  <si>
    <t>SCARF2</t>
  </si>
  <si>
    <t>C17orf59</t>
  </si>
  <si>
    <t>MARS2</t>
  </si>
  <si>
    <t>ATXN7L3B</t>
  </si>
  <si>
    <t>APIP</t>
  </si>
  <si>
    <t>ZC2HC1A</t>
  </si>
  <si>
    <t>SNF8</t>
  </si>
  <si>
    <t>ZC3HAV1L</t>
  </si>
  <si>
    <t>C1orf159</t>
  </si>
  <si>
    <t>PDLIM5</t>
  </si>
  <si>
    <t>CRELD1</t>
  </si>
  <si>
    <t>ERO1L</t>
  </si>
  <si>
    <t>C7orf55</t>
  </si>
  <si>
    <t>AHCYL2</t>
  </si>
  <si>
    <t>CDKN2AIPNL</t>
  </si>
  <si>
    <t>REEP6</t>
  </si>
  <si>
    <t>PGAM5</t>
  </si>
  <si>
    <t>INTS4</t>
  </si>
  <si>
    <t>DDRGK1</t>
  </si>
  <si>
    <t>DHTKD1</t>
  </si>
  <si>
    <t>SCLY</t>
  </si>
  <si>
    <t>FUBP3</t>
  </si>
  <si>
    <t>RBM17</t>
  </si>
  <si>
    <t>COX14</t>
  </si>
  <si>
    <t>WBSCR16</t>
  </si>
  <si>
    <t>SUCLG2</t>
  </si>
  <si>
    <t>FBXL20</t>
  </si>
  <si>
    <t>GMPPA</t>
  </si>
  <si>
    <t>BOD1</t>
  </si>
  <si>
    <t>ABHD14B</t>
  </si>
  <si>
    <t>NGLY1</t>
  </si>
  <si>
    <t>USMG5</t>
  </si>
  <si>
    <t>PAWR</t>
  </si>
  <si>
    <t>ITCH</t>
  </si>
  <si>
    <t>KIRREL</t>
  </si>
  <si>
    <t>LRIG1</t>
  </si>
  <si>
    <t>CDK5RAP3</t>
  </si>
  <si>
    <t>VPS39</t>
  </si>
  <si>
    <t>VCPIP1</t>
  </si>
  <si>
    <t>TMX3</t>
  </si>
  <si>
    <t>DCAF5</t>
  </si>
  <si>
    <t>CHAMP1</t>
  </si>
  <si>
    <t>ZFP91</t>
  </si>
  <si>
    <t>DCHS1</t>
  </si>
  <si>
    <t>PDLIM2</t>
  </si>
  <si>
    <t>RNF170</t>
  </si>
  <si>
    <t>CLPTM1L</t>
  </si>
  <si>
    <t>PBK</t>
  </si>
  <si>
    <t>CIZ1</t>
  </si>
  <si>
    <t>DNAJC1</t>
  </si>
  <si>
    <t>FAM84A</t>
  </si>
  <si>
    <t>EXOC2</t>
  </si>
  <si>
    <t>CNDP2</t>
  </si>
  <si>
    <t>ZFR</t>
  </si>
  <si>
    <t>FAM210B</t>
  </si>
  <si>
    <t>SNX27</t>
  </si>
  <si>
    <t>TRIM47</t>
  </si>
  <si>
    <t>SENP8</t>
  </si>
  <si>
    <t>DHRS1</t>
  </si>
  <si>
    <t>UBE2E2</t>
  </si>
  <si>
    <t>CNBD2</t>
  </si>
  <si>
    <t>PRRC1</t>
  </si>
  <si>
    <t>FBXL18</t>
  </si>
  <si>
    <t>TMEM68</t>
  </si>
  <si>
    <t>KCTD7</t>
  </si>
  <si>
    <t>COG8</t>
  </si>
  <si>
    <t>WDR92</t>
  </si>
  <si>
    <t>MBOAT7</t>
  </si>
  <si>
    <t>ZNF830</t>
  </si>
  <si>
    <t>ZMAT2</t>
  </si>
  <si>
    <t>CCDC115</t>
  </si>
  <si>
    <t>NAP1L5</t>
  </si>
  <si>
    <t>CLIC6</t>
  </si>
  <si>
    <t>ARAP1</t>
  </si>
  <si>
    <t>ACAP3</t>
  </si>
  <si>
    <t>IPO9</t>
  </si>
  <si>
    <t>DCBLD2</t>
  </si>
  <si>
    <t>GPR124</t>
  </si>
  <si>
    <t>ARHGEF17</t>
  </si>
  <si>
    <t>MCEE</t>
  </si>
  <si>
    <t>RBM14</t>
  </si>
  <si>
    <t>NEDD4L</t>
  </si>
  <si>
    <t>NEK1</t>
  </si>
  <si>
    <t>PUS7</t>
  </si>
  <si>
    <t>PLIN4</t>
  </si>
  <si>
    <t>TRNT1</t>
  </si>
  <si>
    <t>TMEM237</t>
  </si>
  <si>
    <t>ALKBH3</t>
  </si>
  <si>
    <t>DLC1</t>
  </si>
  <si>
    <t>PPP1R10</t>
  </si>
  <si>
    <t>SLC38A2</t>
  </si>
  <si>
    <t>SLC2A13</t>
  </si>
  <si>
    <t>MTMR9</t>
  </si>
  <si>
    <t>VPS35</t>
  </si>
  <si>
    <t>PURB</t>
  </si>
  <si>
    <t>ACCS</t>
  </si>
  <si>
    <t>XPO6</t>
  </si>
  <si>
    <t>MAGI1</t>
  </si>
  <si>
    <t>PANX1</t>
  </si>
  <si>
    <t>NACC1</t>
  </si>
  <si>
    <t>SNX18</t>
  </si>
  <si>
    <t>VPS13A</t>
  </si>
  <si>
    <t>MED15</t>
  </si>
  <si>
    <t>GFM1</t>
  </si>
  <si>
    <t>ERGIC2</t>
  </si>
  <si>
    <t>CAMKK2</t>
  </si>
  <si>
    <t>NUDCD1</t>
  </si>
  <si>
    <t>ERBB2IP</t>
  </si>
  <si>
    <t>FNBP1</t>
  </si>
  <si>
    <t>HMCN1</t>
  </si>
  <si>
    <t>C16orf13</t>
  </si>
  <si>
    <t>TP53RK</t>
  </si>
  <si>
    <t>PIGS</t>
  </si>
  <si>
    <t>RANBP9</t>
  </si>
  <si>
    <t>CLCC1</t>
  </si>
  <si>
    <t>UBL7</t>
  </si>
  <si>
    <t>LYSMD1</t>
  </si>
  <si>
    <t>PLEKHF1</t>
  </si>
  <si>
    <t>PPP1R9B</t>
  </si>
  <si>
    <t>TMEM209</t>
  </si>
  <si>
    <t>DIRC2</t>
  </si>
  <si>
    <t>GPX7</t>
  </si>
  <si>
    <t>CYP2S1</t>
  </si>
  <si>
    <t>IWS1</t>
  </si>
  <si>
    <t>ADO</t>
  </si>
  <si>
    <t>RSF1</t>
  </si>
  <si>
    <t>RUFY1</t>
  </si>
  <si>
    <t>MMS19</t>
  </si>
  <si>
    <t>SLC9A7</t>
  </si>
  <si>
    <t>FAM129B</t>
  </si>
  <si>
    <t>YME1L1</t>
  </si>
  <si>
    <t>RMDN3</t>
  </si>
  <si>
    <t>TCF12</t>
  </si>
  <si>
    <t>MYCBP</t>
  </si>
  <si>
    <t>ACOX2</t>
  </si>
  <si>
    <t>TBCB</t>
  </si>
  <si>
    <t>PSMB7</t>
  </si>
  <si>
    <t>PCYT2</t>
  </si>
  <si>
    <t>PSMD1</t>
  </si>
  <si>
    <t>SDF2</t>
  </si>
  <si>
    <t>PFDN5</t>
  </si>
  <si>
    <t>PAFAH2</t>
  </si>
  <si>
    <t>PARK7</t>
  </si>
  <si>
    <t>GAS2L1</t>
  </si>
  <si>
    <t>NEU1</t>
  </si>
  <si>
    <t>SORT1</t>
  </si>
  <si>
    <t>VAT1</t>
  </si>
  <si>
    <t>PLIN2</t>
  </si>
  <si>
    <t>NUP88</t>
  </si>
  <si>
    <t>PKP4</t>
  </si>
  <si>
    <t>SERPINI1</t>
  </si>
  <si>
    <t>TSC22D3</t>
  </si>
  <si>
    <t>S100A13</t>
  </si>
  <si>
    <t>TIMM17A</t>
  </si>
  <si>
    <t>TSNAX</t>
  </si>
  <si>
    <t>NDN</t>
  </si>
  <si>
    <t>TTC1</t>
  </si>
  <si>
    <t>DNAJC7</t>
  </si>
  <si>
    <t>C12orf57</t>
  </si>
  <si>
    <t>OSMR</t>
  </si>
  <si>
    <t>CHP1</t>
  </si>
  <si>
    <t>CGREF1</t>
  </si>
  <si>
    <t>MGLL</t>
  </si>
  <si>
    <t>ATXN2</t>
  </si>
  <si>
    <t>DOK1</t>
  </si>
  <si>
    <t>MTR</t>
  </si>
  <si>
    <t>HSD17B10</t>
  </si>
  <si>
    <t>SIGMAR1</t>
  </si>
  <si>
    <t>HNRNPAB</t>
  </si>
  <si>
    <t>NAP1L4</t>
  </si>
  <si>
    <t>NAPG</t>
  </si>
  <si>
    <t>TXN2</t>
  </si>
  <si>
    <t>ATP5S</t>
  </si>
  <si>
    <t>MIPEP</t>
  </si>
  <si>
    <t>TM9SF2</t>
  </si>
  <si>
    <t>SLC29A1</t>
  </si>
  <si>
    <t>CCT7</t>
  </si>
  <si>
    <t>ARID3A</t>
  </si>
  <si>
    <t>PTPN18</t>
  </si>
  <si>
    <t>SH3GL1</t>
  </si>
  <si>
    <t>RARRES2</t>
  </si>
  <si>
    <t>MYOC</t>
  </si>
  <si>
    <t>AKAP9</t>
  </si>
  <si>
    <t>NIPSNAP1</t>
  </si>
  <si>
    <t>ARPC5L</t>
  </si>
  <si>
    <t>C7orf25</t>
  </si>
  <si>
    <t>ZFYVE21</t>
  </si>
  <si>
    <t>PDCD1LG2</t>
  </si>
  <si>
    <t>ELAC2</t>
  </si>
  <si>
    <t>C19orf43</t>
  </si>
  <si>
    <t>MACROD1</t>
  </si>
  <si>
    <t>ECSIT</t>
  </si>
  <si>
    <t>C17orf62</t>
  </si>
  <si>
    <t>VKORC1</t>
  </si>
  <si>
    <t>DPH2</t>
  </si>
  <si>
    <t>MYBBP1A</t>
  </si>
  <si>
    <t>TMEM47</t>
  </si>
  <si>
    <t>FERMT1</t>
  </si>
  <si>
    <t>MGME1</t>
  </si>
  <si>
    <t>FYCO1</t>
  </si>
  <si>
    <t>SLC25A21</t>
  </si>
  <si>
    <t>ACBD6</t>
  </si>
  <si>
    <t>CORO1B</t>
  </si>
  <si>
    <t>TXNDC17</t>
  </si>
  <si>
    <t>CPPED1</t>
  </si>
  <si>
    <t>VPS25</t>
  </si>
  <si>
    <t>REEP2</t>
  </si>
  <si>
    <t>SDF4</t>
  </si>
  <si>
    <t>PDCD2L</t>
  </si>
  <si>
    <t>PAAF1</t>
  </si>
  <si>
    <t>WIBG</t>
  </si>
  <si>
    <t>AIFM2</t>
  </si>
  <si>
    <t>ADPGK</t>
  </si>
  <si>
    <t>RIOK1</t>
  </si>
  <si>
    <t>LARP6</t>
  </si>
  <si>
    <t>MNF1</t>
  </si>
  <si>
    <t>MIEN1</t>
  </si>
  <si>
    <t>SIKE1</t>
  </si>
  <si>
    <t>PELO</t>
  </si>
  <si>
    <t>FAM213A</t>
  </si>
  <si>
    <t>ERP44</t>
  </si>
  <si>
    <t>LXN</t>
  </si>
  <si>
    <t>TMEM175</t>
  </si>
  <si>
    <t>ATG101</t>
  </si>
  <si>
    <t>NTPCR</t>
  </si>
  <si>
    <t>HERPUD2</t>
  </si>
  <si>
    <t>AGMAT</t>
  </si>
  <si>
    <t>C19orf52</t>
  </si>
  <si>
    <t>PRADC1</t>
  </si>
  <si>
    <t>TACO1</t>
  </si>
  <si>
    <t>HDHD3</t>
  </si>
  <si>
    <t>C17orf80</t>
  </si>
  <si>
    <t>ESYT1</t>
  </si>
  <si>
    <t>UBAC1</t>
  </si>
  <si>
    <t>TMEM204</t>
  </si>
  <si>
    <t>CCM2</t>
  </si>
  <si>
    <t>YIPF4</t>
  </si>
  <si>
    <t>RTKN</t>
  </si>
  <si>
    <t>C16orf70</t>
  </si>
  <si>
    <t>EFCAB4B</t>
  </si>
  <si>
    <t>CHCHD5</t>
  </si>
  <si>
    <t>CNPY3</t>
  </si>
  <si>
    <t>ALG1</t>
  </si>
  <si>
    <t>PSMG3</t>
  </si>
  <si>
    <t>COPS4</t>
  </si>
  <si>
    <t>DIDO1</t>
  </si>
  <si>
    <t>MCMBP</t>
  </si>
  <si>
    <t>FAM103A1</t>
  </si>
  <si>
    <t>ANP32E</t>
  </si>
  <si>
    <t>PI4K2A</t>
  </si>
  <si>
    <t>TMEM43</t>
  </si>
  <si>
    <t>WDR85</t>
  </si>
  <si>
    <t>TTPAL</t>
  </si>
  <si>
    <t>FUCA2</t>
  </si>
  <si>
    <t>FAM203A</t>
  </si>
  <si>
    <t>DHRS4</t>
  </si>
  <si>
    <t>THTPA</t>
  </si>
  <si>
    <t>LMF2</t>
  </si>
  <si>
    <t>NDUFAF3</t>
  </si>
  <si>
    <t>DOHH</t>
  </si>
  <si>
    <t>MKNK1</t>
  </si>
  <si>
    <t>TMEM70</t>
  </si>
  <si>
    <t>SPON2</t>
  </si>
  <si>
    <t>MED18</t>
  </si>
  <si>
    <t>ISCA1</t>
  </si>
  <si>
    <t>TUBB6</t>
  </si>
  <si>
    <t>C9orf142</t>
  </si>
  <si>
    <t>HNRNPUL1</t>
  </si>
  <si>
    <t>MSTO1</t>
  </si>
  <si>
    <t>EFHD1</t>
  </si>
  <si>
    <t>HTATIP2</t>
  </si>
  <si>
    <t>WRAP53</t>
  </si>
  <si>
    <t>BDH2</t>
  </si>
  <si>
    <t>C9orf16</t>
  </si>
  <si>
    <t>ALG12</t>
  </si>
  <si>
    <t>C1orf50</t>
  </si>
  <si>
    <t>MRI1</t>
  </si>
  <si>
    <t>ABHD6</t>
  </si>
  <si>
    <t>WDR18</t>
  </si>
  <si>
    <t>THUMPD3</t>
  </si>
  <si>
    <t>ADI1</t>
  </si>
  <si>
    <t>RNF126</t>
  </si>
  <si>
    <t>CEP250</t>
  </si>
  <si>
    <t>MECR</t>
  </si>
  <si>
    <t>NTMT1</t>
  </si>
  <si>
    <t>KATNB1</t>
  </si>
  <si>
    <t>FICD</t>
  </si>
  <si>
    <t>MLST8</t>
  </si>
  <si>
    <t>TMEM109</t>
  </si>
  <si>
    <t>PBDC1</t>
  </si>
  <si>
    <t>PTDSS2</t>
  </si>
  <si>
    <t>UTP14A</t>
  </si>
  <si>
    <t>DUSP23</t>
  </si>
  <si>
    <t>TMED9</t>
  </si>
  <si>
    <t>SELO</t>
  </si>
  <si>
    <t>GGACT</t>
  </si>
  <si>
    <t>TIMM21</t>
  </si>
  <si>
    <t>TPPP3</t>
  </si>
  <si>
    <t>ELOVL1</t>
  </si>
  <si>
    <t>DDA1</t>
  </si>
  <si>
    <t>KATNAL1</t>
  </si>
  <si>
    <t>HIRIP3</t>
  </si>
  <si>
    <t>IFT27</t>
  </si>
  <si>
    <t>CCDC94</t>
  </si>
  <si>
    <t>NUDT9</t>
  </si>
  <si>
    <t>TARS2</t>
  </si>
  <si>
    <t>ACAT2</t>
  </si>
  <si>
    <t>FUNDC2</t>
  </si>
  <si>
    <t>RPAP1</t>
  </si>
  <si>
    <t>SF3B5</t>
  </si>
  <si>
    <t>SFXN3</t>
  </si>
  <si>
    <t>CARD10</t>
  </si>
  <si>
    <t>SLC4A1AP</t>
  </si>
  <si>
    <t>TAPBPL</t>
  </si>
  <si>
    <t>JAM3</t>
  </si>
  <si>
    <t>HINT2</t>
  </si>
  <si>
    <t>SGPP1</t>
  </si>
  <si>
    <t>OSBPL10</t>
  </si>
  <si>
    <t>RAB11FIP5</t>
  </si>
  <si>
    <t>BBC3</t>
  </si>
  <si>
    <t>TMEM120A</t>
  </si>
  <si>
    <t>NAA15</t>
  </si>
  <si>
    <t>BCL2L13</t>
  </si>
  <si>
    <t>SLC12A9</t>
  </si>
  <si>
    <t>SRRT</t>
  </si>
  <si>
    <t>QTRT1</t>
  </si>
  <si>
    <t>C14orf142</t>
  </si>
  <si>
    <t>OSBPL1A</t>
  </si>
  <si>
    <t>CECR5</t>
  </si>
  <si>
    <t>ITPA</t>
  </si>
  <si>
    <t>CHMP4A</t>
  </si>
  <si>
    <t>POLDIP3</t>
  </si>
  <si>
    <t>GNB1L</t>
  </si>
  <si>
    <t>MRPL1</t>
  </si>
  <si>
    <t>RBCK1</t>
  </si>
  <si>
    <t>SRXN1</t>
  </si>
  <si>
    <t>MRPS26</t>
  </si>
  <si>
    <t>NLN</t>
  </si>
  <si>
    <t>CEP41</t>
  </si>
  <si>
    <t>TBC1D2</t>
  </si>
  <si>
    <t>PANK2</t>
  </si>
  <si>
    <t>FRMD8</t>
  </si>
  <si>
    <t>SLC29A3</t>
  </si>
  <si>
    <t>PUS3</t>
  </si>
  <si>
    <t>OSBPL8</t>
  </si>
  <si>
    <t>UPF3B</t>
  </si>
  <si>
    <t>TBL1XR1</t>
  </si>
  <si>
    <t>UBL5</t>
  </si>
  <si>
    <t>PPP1R12C</t>
  </si>
  <si>
    <t>PLA2G12A</t>
  </si>
  <si>
    <t>ULBP3</t>
  </si>
  <si>
    <t>ULBP2</t>
  </si>
  <si>
    <t>FAM129A</t>
  </si>
  <si>
    <t>UCK2</t>
  </si>
  <si>
    <t>API5</t>
  </si>
  <si>
    <t>SPRY4</t>
  </si>
  <si>
    <t>DPY30</t>
  </si>
  <si>
    <t>TRIM4</t>
  </si>
  <si>
    <t>FAM117A</t>
  </si>
  <si>
    <t>FTO</t>
  </si>
  <si>
    <t>ZDHHC5</t>
  </si>
  <si>
    <t>TANGO6</t>
  </si>
  <si>
    <t>TNKS1BP1</t>
  </si>
  <si>
    <t>UBE2O</t>
  </si>
  <si>
    <t>TANC1</t>
  </si>
  <si>
    <t>TTYH3</t>
  </si>
  <si>
    <t>MTMR12</t>
  </si>
  <si>
    <t>STRADB</t>
  </si>
  <si>
    <t>WDR12</t>
  </si>
  <si>
    <t>C20orf27</t>
  </si>
  <si>
    <t>NRSN2</t>
  </si>
  <si>
    <t>PITHD1</t>
  </si>
  <si>
    <t>DERL2</t>
  </si>
  <si>
    <t>COMMD5</t>
  </si>
  <si>
    <t>WDR61</t>
  </si>
  <si>
    <t>SLIRP</t>
  </si>
  <si>
    <t>SRR</t>
  </si>
  <si>
    <t>CCDC90B</t>
  </si>
  <si>
    <t>NIF3L1</t>
  </si>
  <si>
    <t>EGLN1</t>
  </si>
  <si>
    <t>FAM192A</t>
  </si>
  <si>
    <t>WWTR1</t>
  </si>
  <si>
    <t>TWSG1</t>
  </si>
  <si>
    <t>MFF</t>
  </si>
  <si>
    <t>UBA5</t>
  </si>
  <si>
    <t>LHPP</t>
  </si>
  <si>
    <t>MTFR1L</t>
  </si>
  <si>
    <t>TMEM126A</t>
  </si>
  <si>
    <t>PAIP1</t>
  </si>
  <si>
    <t>CLPB</t>
  </si>
  <si>
    <t>RAB33B</t>
  </si>
  <si>
    <t>FAM107B</t>
  </si>
  <si>
    <t>KLC2</t>
  </si>
  <si>
    <t>ILKAP</t>
  </si>
  <si>
    <t>XRN2</t>
  </si>
  <si>
    <t>TOLLIP</t>
  </si>
  <si>
    <t>SHARPIN</t>
  </si>
  <si>
    <t>ARL6</t>
  </si>
  <si>
    <t>NSRP1</t>
  </si>
  <si>
    <t>CSTF2T</t>
  </si>
  <si>
    <t>RAB6C</t>
  </si>
  <si>
    <t>FAM49A</t>
  </si>
  <si>
    <t>HDHD2</t>
  </si>
  <si>
    <t>QRSL1</t>
  </si>
  <si>
    <t>RAB1B</t>
  </si>
  <si>
    <t>TSPYL1</t>
  </si>
  <si>
    <t>LMAN2L</t>
  </si>
  <si>
    <t>SMG9</t>
  </si>
  <si>
    <t>C11orf54</t>
  </si>
  <si>
    <t>ITFG3</t>
  </si>
  <si>
    <t>OSBPL5</t>
  </si>
  <si>
    <t>NAPB</t>
  </si>
  <si>
    <t>SIL1</t>
  </si>
  <si>
    <t>IRF2BPL</t>
  </si>
  <si>
    <t>NUCKS1</t>
  </si>
  <si>
    <t>ASCC2</t>
  </si>
  <si>
    <t>UPF3A</t>
  </si>
  <si>
    <t>ZFYVE20</t>
  </si>
  <si>
    <t>ISCU</t>
  </si>
  <si>
    <t>OSBPL2</t>
  </si>
  <si>
    <t>ATG5</t>
  </si>
  <si>
    <t>TSPAN10</t>
  </si>
  <si>
    <t>EHD4</t>
  </si>
  <si>
    <t>C1orf21</t>
  </si>
  <si>
    <t>VPS33B</t>
  </si>
  <si>
    <t>VPS16</t>
  </si>
  <si>
    <t>VPS11</t>
  </si>
  <si>
    <t>SLC25A32</t>
  </si>
  <si>
    <t>TRIOBP</t>
  </si>
  <si>
    <t>SLK</t>
  </si>
  <si>
    <t>PPIL3</t>
  </si>
  <si>
    <t>PDCL3</t>
  </si>
  <si>
    <t>TAOK3</t>
  </si>
  <si>
    <t>RAB3GAP2</t>
  </si>
  <si>
    <t>DPH5</t>
  </si>
  <si>
    <t>PPA2</t>
  </si>
  <si>
    <t>MRPL46</t>
  </si>
  <si>
    <t>PNN</t>
  </si>
  <si>
    <t>EPB41L4B</t>
  </si>
  <si>
    <t>TMEM245</t>
  </si>
  <si>
    <t>KCTD10</t>
  </si>
  <si>
    <t>C11orf68</t>
  </si>
  <si>
    <t>DPAGT1</t>
  </si>
  <si>
    <t>BOLA2</t>
  </si>
  <si>
    <t>TMX1</t>
  </si>
  <si>
    <t>ACBD3</t>
  </si>
  <si>
    <t>CDC42EP4</t>
  </si>
  <si>
    <t>PTPN23</t>
  </si>
  <si>
    <t>UNC45A</t>
  </si>
  <si>
    <t>MFSD1</t>
  </si>
  <si>
    <t>PPDPF</t>
  </si>
  <si>
    <t>DNAJC5</t>
  </si>
  <si>
    <t>C1orf198</t>
  </si>
  <si>
    <t>CHMP4B</t>
  </si>
  <si>
    <t>RWDD1</t>
  </si>
  <si>
    <t>CUEDC2</t>
  </si>
  <si>
    <t>FBXL15</t>
  </si>
  <si>
    <t>FN3K</t>
  </si>
  <si>
    <t>MAP1LC3A</t>
  </si>
  <si>
    <t>TOR3A</t>
  </si>
  <si>
    <t>RNPEP</t>
  </si>
  <si>
    <t>GOLPH3L</t>
  </si>
  <si>
    <t>GOLPH3</t>
  </si>
  <si>
    <t>OSGEPL1</t>
  </si>
  <si>
    <t>EPB41L1</t>
  </si>
  <si>
    <t>GLIPR2</t>
  </si>
  <si>
    <t>ZHX3</t>
  </si>
  <si>
    <t>OSBPL3</t>
  </si>
  <si>
    <t>EHD1</t>
  </si>
  <si>
    <t>RNF41</t>
  </si>
  <si>
    <t>RGCC</t>
  </si>
  <si>
    <t>PCIF1</t>
  </si>
  <si>
    <t>ALG2</t>
  </si>
  <si>
    <t>RABEP2</t>
  </si>
  <si>
    <t>TFB2M</t>
  </si>
  <si>
    <t>CDCP1</t>
  </si>
  <si>
    <t>CXorf56</t>
  </si>
  <si>
    <t>FAM96A</t>
  </si>
  <si>
    <t>OBFC1</t>
  </si>
  <si>
    <t>CLMP</t>
  </si>
  <si>
    <t>XKR8</t>
  </si>
  <si>
    <t>CCDC134</t>
  </si>
  <si>
    <t>REEP4</t>
  </si>
  <si>
    <t>C6orf106</t>
  </si>
  <si>
    <t>OPA3</t>
  </si>
  <si>
    <t>NARFL</t>
  </si>
  <si>
    <t>ACSS3</t>
  </si>
  <si>
    <t>AZI2</t>
  </si>
  <si>
    <t>EPS8L2</t>
  </si>
  <si>
    <t>RPAP3</t>
  </si>
  <si>
    <t>BCAS3</t>
  </si>
  <si>
    <t>ALG9</t>
  </si>
  <si>
    <t>ANTXR1</t>
  </si>
  <si>
    <t>TMEM134</t>
  </si>
  <si>
    <t>WDR55</t>
  </si>
  <si>
    <t>RANBP3</t>
  </si>
  <si>
    <t>DCTPP1</t>
  </si>
  <si>
    <t>SH2D4A</t>
  </si>
  <si>
    <t>PEAK1</t>
  </si>
  <si>
    <t>SMYD3</t>
  </si>
  <si>
    <t>SYNC</t>
  </si>
  <si>
    <t>AAMDC</t>
  </si>
  <si>
    <t>WDR26</t>
  </si>
  <si>
    <t>ATP13A3</t>
  </si>
  <si>
    <t>TMEM185B</t>
  </si>
  <si>
    <t>C10orf54</t>
  </si>
  <si>
    <t>PTGES2</t>
  </si>
  <si>
    <t>PHAX</t>
  </si>
  <si>
    <t>UBE2Z</t>
  </si>
  <si>
    <t>GEMIN7</t>
  </si>
  <si>
    <t>ACAD9</t>
  </si>
  <si>
    <t>NT5DC2</t>
  </si>
  <si>
    <t>CAAP1</t>
  </si>
  <si>
    <t>C10orf88</t>
  </si>
  <si>
    <t>FAM188A</t>
  </si>
  <si>
    <t>MOB1A</t>
  </si>
  <si>
    <t>ZFAND3</t>
  </si>
  <si>
    <t>PLEKHF2</t>
  </si>
  <si>
    <t>GORASP2</t>
  </si>
  <si>
    <t>SLC25A22</t>
  </si>
  <si>
    <t>PSTPIP2</t>
  </si>
  <si>
    <t>MED20</t>
  </si>
  <si>
    <t>QTRTD1</t>
  </si>
  <si>
    <t>WDR54</t>
  </si>
  <si>
    <t>C6orf211</t>
  </si>
  <si>
    <t>PANK3</t>
  </si>
  <si>
    <t>LRRC40</t>
  </si>
  <si>
    <t>SFXN1</t>
  </si>
  <si>
    <t>VPS37B</t>
  </si>
  <si>
    <t>CAB39L</t>
  </si>
  <si>
    <t>JMJD4</t>
  </si>
  <si>
    <t>GPN2</t>
  </si>
  <si>
    <t>FN3KRP</t>
  </si>
  <si>
    <t>TBC1D17</t>
  </si>
  <si>
    <t>CARS2</t>
  </si>
  <si>
    <t>PPCS</t>
  </si>
  <si>
    <t>WDR41</t>
  </si>
  <si>
    <t>SIAE</t>
  </si>
  <si>
    <t>PLEKHA5</t>
  </si>
  <si>
    <t>SMURF2</t>
  </si>
  <si>
    <t>GNB4</t>
  </si>
  <si>
    <t>XPO5</t>
  </si>
  <si>
    <t>EDA2R</t>
  </si>
  <si>
    <t>GRPEL1</t>
  </si>
  <si>
    <t>C12orf10</t>
  </si>
  <si>
    <t>BCL2L12</t>
  </si>
  <si>
    <t>PLEKHA2</t>
  </si>
  <si>
    <t>PLEKHA3</t>
  </si>
  <si>
    <t>SCPEP1</t>
  </si>
  <si>
    <t>CACYBP</t>
  </si>
  <si>
    <t>RRAGC</t>
  </si>
  <si>
    <t>SMARCA4</t>
  </si>
  <si>
    <t>RDH14</t>
  </si>
  <si>
    <t>PARVB</t>
  </si>
  <si>
    <t>PLGRKT</t>
  </si>
  <si>
    <t>NMRAL1</t>
  </si>
  <si>
    <t>TAF9B</t>
  </si>
  <si>
    <t>AGPAT1</t>
  </si>
  <si>
    <t>SLC38A10</t>
  </si>
  <si>
    <t>ETNK1</t>
  </si>
  <si>
    <t>ARNT2</t>
  </si>
  <si>
    <t>SLC25A19</t>
  </si>
  <si>
    <t>EML4</t>
  </si>
  <si>
    <t>GLOD4</t>
  </si>
  <si>
    <t>PCDH9</t>
  </si>
  <si>
    <t>WFDC1</t>
  </si>
  <si>
    <t>NEK6</t>
  </si>
  <si>
    <t>MCCC2</t>
  </si>
  <si>
    <t>TANC2</t>
  </si>
  <si>
    <t>EPG5</t>
  </si>
  <si>
    <t>ZNF532</t>
  </si>
  <si>
    <t>METTL14</t>
  </si>
  <si>
    <t>NCKAP5L</t>
  </si>
  <si>
    <t>SYTL2</t>
  </si>
  <si>
    <t>VAT1L</t>
  </si>
  <si>
    <t>EPB41L5</t>
  </si>
  <si>
    <t>GPN1</t>
  </si>
  <si>
    <t>SDF2L1</t>
  </si>
  <si>
    <t>CD248</t>
  </si>
  <si>
    <t>PREB</t>
  </si>
  <si>
    <t>SRA1</t>
  </si>
  <si>
    <t>ATP13A1</t>
  </si>
  <si>
    <t>TM9SF3</t>
  </si>
  <si>
    <t>RANGRF</t>
  </si>
  <si>
    <t>APMAP</t>
  </si>
  <si>
    <t>PDE7B</t>
  </si>
  <si>
    <t>ABCB6</t>
  </si>
  <si>
    <t>RAB18</t>
  </si>
  <si>
    <t>PALMD</t>
  </si>
  <si>
    <t>SSU72</t>
  </si>
  <si>
    <t>VTA1</t>
  </si>
  <si>
    <t>PNPLA8</t>
  </si>
  <si>
    <t>TNFRSF12A</t>
  </si>
  <si>
    <t>EMC7</t>
  </si>
  <si>
    <t>ENY2</t>
  </si>
  <si>
    <t>GPCPD1</t>
  </si>
  <si>
    <t>EXOSC4</t>
  </si>
  <si>
    <t>CD320</t>
  </si>
  <si>
    <t>OSGEP</t>
  </si>
  <si>
    <t>ZDHHC4</t>
  </si>
  <si>
    <t>ACP6</t>
  </si>
  <si>
    <t>DCP1A</t>
  </si>
  <si>
    <t>ACOT13</t>
  </si>
  <si>
    <t>MED4</t>
  </si>
  <si>
    <t>TIMMDC1</t>
  </si>
  <si>
    <t>RIC8A</t>
  </si>
  <si>
    <t>GPR108</t>
  </si>
  <si>
    <t>PLCB1</t>
  </si>
  <si>
    <t>CASS4</t>
  </si>
  <si>
    <t>TIGAR</t>
  </si>
  <si>
    <t>RTN4</t>
  </si>
  <si>
    <t>HINT3</t>
  </si>
  <si>
    <t>MANBAL</t>
  </si>
  <si>
    <t>RPRD1B</t>
  </si>
  <si>
    <t>XPNPEP3</t>
  </si>
  <si>
    <t>NIT2</t>
  </si>
  <si>
    <t>AVEN</t>
  </si>
  <si>
    <t>PVRL3</t>
  </si>
  <si>
    <t>EXOSC5</t>
  </si>
  <si>
    <t>KIF13B</t>
  </si>
  <si>
    <t>XPNPEP1</t>
  </si>
  <si>
    <t>BIN3</t>
  </si>
  <si>
    <t>STARD7</t>
  </si>
  <si>
    <t>PDLIM7</t>
  </si>
  <si>
    <t>ACSS2</t>
  </si>
  <si>
    <t>DIABLO</t>
  </si>
  <si>
    <t>DDX21</t>
  </si>
  <si>
    <t>SAR1A</t>
  </si>
  <si>
    <t>POLE4</t>
  </si>
  <si>
    <t>NANS</t>
  </si>
  <si>
    <t>ASH1L</t>
  </si>
  <si>
    <t>EIF2B3</t>
  </si>
  <si>
    <t>PDGFC</t>
  </si>
  <si>
    <t>SLC17A5</t>
  </si>
  <si>
    <t>SPTBN5</t>
  </si>
  <si>
    <t>FBXO6</t>
  </si>
  <si>
    <t>SH2B1</t>
  </si>
  <si>
    <t>CTPS2</t>
  </si>
  <si>
    <t>POLE3</t>
  </si>
  <si>
    <t>CHRAC1</t>
  </si>
  <si>
    <t>PRTFDC1</t>
  </si>
  <si>
    <t>SDR39U1</t>
  </si>
  <si>
    <t>YAE1D1</t>
  </si>
  <si>
    <t>ABCB10</t>
  </si>
  <si>
    <t>OLFML3</t>
  </si>
  <si>
    <t>AASDHPPT</t>
  </si>
  <si>
    <t>METTL5</t>
  </si>
  <si>
    <t>CMC2</t>
  </si>
  <si>
    <t>PLSCR4</t>
  </si>
  <si>
    <t>UBQLN4</t>
  </si>
  <si>
    <t>CDC42SE1</t>
  </si>
  <si>
    <t>SNX15</t>
  </si>
  <si>
    <t>HEBP1</t>
  </si>
  <si>
    <t>RAB6B</t>
  </si>
  <si>
    <t>DUSP22</t>
  </si>
  <si>
    <t>VPS45</t>
  </si>
  <si>
    <t>PHPT1</t>
  </si>
  <si>
    <t>SERINC1</t>
  </si>
  <si>
    <t>INIP</t>
  </si>
  <si>
    <t>ARHGAP35</t>
  </si>
  <si>
    <t>FAM114A2</t>
  </si>
  <si>
    <t>PLSCR3</t>
  </si>
  <si>
    <t>AGPAT4</t>
  </si>
  <si>
    <t>AGPAT3</t>
  </si>
  <si>
    <t>LTBP3</t>
  </si>
  <si>
    <t>GLRX2</t>
  </si>
  <si>
    <t>TOMM22</t>
  </si>
  <si>
    <t>LANCL2</t>
  </si>
  <si>
    <t>TM7SF3</t>
  </si>
  <si>
    <t>CTNNBIP1</t>
  </si>
  <si>
    <t>HOMER3</t>
  </si>
  <si>
    <t>FARSB</t>
  </si>
  <si>
    <t>IARS2</t>
  </si>
  <si>
    <t>C19orf12</t>
  </si>
  <si>
    <t>NRBP2</t>
  </si>
  <si>
    <t>BMP2K</t>
  </si>
  <si>
    <t>STARD5</t>
  </si>
  <si>
    <t>ATG3</t>
  </si>
  <si>
    <t>SACM1L</t>
  </si>
  <si>
    <t>SLC35D1</t>
  </si>
  <si>
    <t>ECHDC1</t>
  </si>
  <si>
    <t>RNF146</t>
  </si>
  <si>
    <t>RBM12</t>
  </si>
  <si>
    <t>PDRG1</t>
  </si>
  <si>
    <t>ABHD10</t>
  </si>
  <si>
    <t>C19orf66</t>
  </si>
  <si>
    <t>TMEM106B</t>
  </si>
  <si>
    <t>LMBRD1</t>
  </si>
  <si>
    <t>BLOC1S4</t>
  </si>
  <si>
    <t>LIN7C</t>
  </si>
  <si>
    <t>TXLNG</t>
  </si>
  <si>
    <t>SPATS2L</t>
  </si>
  <si>
    <t>UFSP2</t>
  </si>
  <si>
    <t>ABCF3</t>
  </si>
  <si>
    <t>FAM49B</t>
  </si>
  <si>
    <t>AP5S1</t>
  </si>
  <si>
    <t>DDX19A</t>
  </si>
  <si>
    <t>TBC1D23</t>
  </si>
  <si>
    <t>NUDT15</t>
  </si>
  <si>
    <t>EXOC1</t>
  </si>
  <si>
    <t>INTS9</t>
  </si>
  <si>
    <t>TMEM30A</t>
  </si>
  <si>
    <t>UQCC</t>
  </si>
  <si>
    <t>SEPT11</t>
  </si>
  <si>
    <t>TMEM184C</t>
  </si>
  <si>
    <t>SLC38A7</t>
  </si>
  <si>
    <t>PANK4</t>
  </si>
  <si>
    <t>TBC1D13</t>
  </si>
  <si>
    <t>INTS7</t>
  </si>
  <si>
    <t>TMLHE</t>
  </si>
  <si>
    <t>ATAD3A</t>
  </si>
  <si>
    <t>ARL8B</t>
  </si>
  <si>
    <t>FGFR1OP2</t>
  </si>
  <si>
    <t>EVA1B</t>
  </si>
  <si>
    <t>PRMT7</t>
  </si>
  <si>
    <t>DNAJC17</t>
  </si>
  <si>
    <t>ASUN</t>
  </si>
  <si>
    <t>FAIM</t>
  </si>
  <si>
    <t>KLHL11</t>
  </si>
  <si>
    <t>DNAAF2</t>
  </si>
  <si>
    <t>PNPO</t>
  </si>
  <si>
    <t>RLIM</t>
  </si>
  <si>
    <t>NLE1</t>
  </si>
  <si>
    <t>NECAP2</t>
  </si>
  <si>
    <t>ANO10</t>
  </si>
  <si>
    <t>RBM22</t>
  </si>
  <si>
    <t>WDR70</t>
  </si>
  <si>
    <t>TMEM51</t>
  </si>
  <si>
    <t>ARGLU1</t>
  </si>
  <si>
    <t>TMEM248</t>
  </si>
  <si>
    <t>TMEM242</t>
  </si>
  <si>
    <t>SLTM</t>
  </si>
  <si>
    <t>CUEDC1</t>
  </si>
  <si>
    <t>FKBP14</t>
  </si>
  <si>
    <t>PAG1</t>
  </si>
  <si>
    <t>C14orf119</t>
  </si>
  <si>
    <t>PIH1D1</t>
  </si>
  <si>
    <t>FAM118A</t>
  </si>
  <si>
    <t>HIF1AN</t>
  </si>
  <si>
    <t>OXSM</t>
  </si>
  <si>
    <t>GID8</t>
  </si>
  <si>
    <t>C1orf123</t>
  </si>
  <si>
    <t>NMRK1</t>
  </si>
  <si>
    <t>C4orf27</t>
  </si>
  <si>
    <t>IRAK4</t>
  </si>
  <si>
    <t>GEMIN8</t>
  </si>
  <si>
    <t>TXNL4B</t>
  </si>
  <si>
    <t>COMMD8</t>
  </si>
  <si>
    <t>NDUFB11</t>
  </si>
  <si>
    <t>OCIAD1</t>
  </si>
  <si>
    <t>ADPRHL2</t>
  </si>
  <si>
    <t>MARCH5</t>
  </si>
  <si>
    <t>HYPK</t>
  </si>
  <si>
    <t>IMPAD1</t>
  </si>
  <si>
    <t>MED29</t>
  </si>
  <si>
    <t>DUS2L</t>
  </si>
  <si>
    <t>WBP1L</t>
  </si>
  <si>
    <t>SIRT5</t>
  </si>
  <si>
    <t>MIOS</t>
  </si>
  <si>
    <t>ZDHHC7</t>
  </si>
  <si>
    <t>P4HTM</t>
  </si>
  <si>
    <t>TOR4A</t>
  </si>
  <si>
    <t>TRMT1</t>
  </si>
  <si>
    <t>PGPEP1</t>
  </si>
  <si>
    <t>GDAP2</t>
  </si>
  <si>
    <t>NDE1</t>
  </si>
  <si>
    <t>BRE</t>
  </si>
  <si>
    <t>ARL15</t>
  </si>
  <si>
    <t>CDKN2AIP</t>
  </si>
  <si>
    <t>ALKBH4</t>
  </si>
  <si>
    <t>PPP4R2</t>
  </si>
  <si>
    <t>SPHK1</t>
  </si>
  <si>
    <t>TERF2IP</t>
  </si>
  <si>
    <t>COA4</t>
  </si>
  <si>
    <t>TAB2</t>
  </si>
  <si>
    <t>MRPL39</t>
  </si>
  <si>
    <t>MLTK</t>
  </si>
  <si>
    <t>TMOD3</t>
  </si>
  <si>
    <t>BET1L</t>
  </si>
  <si>
    <t>UGGT1</t>
  </si>
  <si>
    <t>FASTKD2</t>
  </si>
  <si>
    <t>TECR</t>
  </si>
  <si>
    <t>ERAP1</t>
  </si>
  <si>
    <t>UBAP1</t>
  </si>
  <si>
    <t>ACTR10</t>
  </si>
  <si>
    <t>USE1</t>
  </si>
  <si>
    <t>CISD1</t>
  </si>
  <si>
    <t>PODXL2</t>
  </si>
  <si>
    <t>FMN2</t>
  </si>
  <si>
    <t>C9orf78</t>
  </si>
  <si>
    <t>FAM120A</t>
  </si>
  <si>
    <t>GDE1</t>
  </si>
  <si>
    <t>GLTP</t>
  </si>
  <si>
    <t>SPG21</t>
  </si>
  <si>
    <t>COQ3</t>
  </si>
  <si>
    <t>MTCH1</t>
  </si>
  <si>
    <t>NUDT4</t>
  </si>
  <si>
    <t>HSPBP1</t>
  </si>
  <si>
    <t>MAT2B</t>
  </si>
  <si>
    <t>MYOF</t>
  </si>
  <si>
    <t>ITSN2</t>
  </si>
  <si>
    <t>EHD3</t>
  </si>
  <si>
    <t>EHD2</t>
  </si>
  <si>
    <t>ARHGEF12</t>
  </si>
  <si>
    <t>AIPL1</t>
  </si>
  <si>
    <t>NCKIPSD</t>
  </si>
  <si>
    <t>OGFR</t>
  </si>
  <si>
    <t>LMCD1</t>
  </si>
  <si>
    <t>CRIM1</t>
  </si>
  <si>
    <t>MPP6</t>
  </si>
  <si>
    <t>CHMP5</t>
  </si>
  <si>
    <t>COMMD9</t>
  </si>
  <si>
    <t>CWC15</t>
  </si>
  <si>
    <t>THYN1</t>
  </si>
  <si>
    <t>NDUFAF4</t>
  </si>
  <si>
    <t>PTPLAD1</t>
  </si>
  <si>
    <t>EMC3</t>
  </si>
  <si>
    <t>PDP1</t>
  </si>
  <si>
    <t>KCMF1</t>
  </si>
  <si>
    <t>RAI14</t>
  </si>
  <si>
    <t>VAPA</t>
  </si>
  <si>
    <t>RNF181</t>
  </si>
  <si>
    <t>GSKIP</t>
  </si>
  <si>
    <t>COX16</t>
  </si>
  <si>
    <t>SH3BP4</t>
  </si>
  <si>
    <t>ABRACL</t>
  </si>
  <si>
    <t>ZNRD1</t>
  </si>
  <si>
    <t>CALCOCO1</t>
  </si>
  <si>
    <t>VPS18</t>
  </si>
  <si>
    <t>RCC2</t>
  </si>
  <si>
    <t>KIAA1468</t>
  </si>
  <si>
    <t>DIP2B</t>
  </si>
  <si>
    <t>KIAA1462</t>
  </si>
  <si>
    <t>BCCIP</t>
  </si>
  <si>
    <t>COPZ2</t>
  </si>
  <si>
    <t>CTTNBP2NL</t>
  </si>
  <si>
    <t>TMEM181</t>
  </si>
  <si>
    <t>HEATR5B</t>
  </si>
  <si>
    <t>PCDH10</t>
  </si>
  <si>
    <t>RRBP1</t>
  </si>
  <si>
    <t>CPSF2</t>
  </si>
  <si>
    <t>EIF2AK4</t>
  </si>
  <si>
    <t>RBM27</t>
  </si>
  <si>
    <t>ANKFY1</t>
  </si>
  <si>
    <t>DPM3</t>
  </si>
  <si>
    <t>IMPACT</t>
  </si>
  <si>
    <t>ATXN10</t>
  </si>
  <si>
    <t>NCDN</t>
  </si>
  <si>
    <t>EPS15L1</t>
  </si>
  <si>
    <t>SAE1</t>
  </si>
  <si>
    <t>COPG2</t>
  </si>
  <si>
    <t>RNF7</t>
  </si>
  <si>
    <t>PI4KB</t>
  </si>
  <si>
    <t>MRC2</t>
  </si>
  <si>
    <t>GNG12</t>
  </si>
  <si>
    <t>MTRR</t>
  </si>
  <si>
    <t>UXT</t>
  </si>
  <si>
    <t>CPNE7</t>
  </si>
  <si>
    <t>DHCR7</t>
  </si>
  <si>
    <t>TNFRSF10D</t>
  </si>
  <si>
    <t>SPAST</t>
  </si>
  <si>
    <t>METTL1</t>
  </si>
  <si>
    <t>GULP1</t>
  </si>
  <si>
    <t>VPS29</t>
  </si>
  <si>
    <t>GRHPR</t>
  </si>
  <si>
    <t>CTSZ</t>
  </si>
  <si>
    <t>RNF14</t>
  </si>
  <si>
    <t>SUCO</t>
  </si>
  <si>
    <t>UBA2</t>
  </si>
  <si>
    <t>CTNNAL1</t>
  </si>
  <si>
    <t>FAM8A1</t>
  </si>
  <si>
    <t>SEL1L</t>
  </si>
  <si>
    <t>PEF1</t>
  </si>
  <si>
    <t>COPS7A</t>
  </si>
  <si>
    <t>HSPB7</t>
  </si>
  <si>
    <t>AASS</t>
  </si>
  <si>
    <t>CLIP2</t>
  </si>
  <si>
    <t>TJP2</t>
  </si>
  <si>
    <t>DNAJB4</t>
  </si>
  <si>
    <t>MALT1</t>
  </si>
  <si>
    <t>CFDP1</t>
  </si>
  <si>
    <t>VTI1B</t>
  </si>
  <si>
    <t>STK39</t>
  </si>
  <si>
    <t>ADD3</t>
  </si>
  <si>
    <t>NIPSNAP3A</t>
  </si>
  <si>
    <t>CGGBP1</t>
  </si>
  <si>
    <t>PISD</t>
  </si>
  <si>
    <t>ABCF2</t>
  </si>
  <si>
    <t>RGS17</t>
  </si>
  <si>
    <t>MTRF1L</t>
  </si>
  <si>
    <t>TES</t>
  </si>
  <si>
    <t>SERGEF</t>
  </si>
  <si>
    <t>LIMD1</t>
  </si>
  <si>
    <t>SEC63</t>
  </si>
  <si>
    <t>CACFD1</t>
  </si>
  <si>
    <t>SLC2A6</t>
  </si>
  <si>
    <t>SUSD2</t>
  </si>
  <si>
    <t>TCF20</t>
  </si>
  <si>
    <t>NDRG3</t>
  </si>
  <si>
    <t>ARMCX3</t>
  </si>
  <si>
    <t>SWAP70</t>
  </si>
  <si>
    <t>SUN2</t>
  </si>
  <si>
    <t>LAMTOR3</t>
  </si>
  <si>
    <t>LIMA1</t>
  </si>
  <si>
    <t>AFF4</t>
  </si>
  <si>
    <t>CHORDC1</t>
  </si>
  <si>
    <t>TBK1</t>
  </si>
  <si>
    <t>SEPT9</t>
  </si>
  <si>
    <t>UBQLN2</t>
  </si>
  <si>
    <t>STEAP1</t>
  </si>
  <si>
    <t>PCYOX1</t>
  </si>
  <si>
    <t>ADAMTS1</t>
  </si>
  <si>
    <t>SHPK</t>
  </si>
  <si>
    <t>DPP7</t>
  </si>
  <si>
    <t>TMEM2</t>
  </si>
  <si>
    <t>USP25</t>
  </si>
  <si>
    <t>BCAP29</t>
  </si>
  <si>
    <t>CYB5R1</t>
  </si>
  <si>
    <t>BAIAP2L1</t>
  </si>
  <si>
    <t>PFDN2</t>
  </si>
  <si>
    <t>GPN3</t>
  </si>
  <si>
    <t>PUF60</t>
  </si>
  <si>
    <t>NRBP1</t>
  </si>
  <si>
    <t>ENOPH1</t>
  </si>
  <si>
    <t>FEZ2</t>
  </si>
  <si>
    <t>EVL</t>
  </si>
  <si>
    <t>ATP6V1H</t>
  </si>
  <si>
    <t>TAGLN3</t>
  </si>
  <si>
    <t>IPO11</t>
  </si>
  <si>
    <t>TRMT112</t>
  </si>
  <si>
    <t>CPA4</t>
  </si>
  <si>
    <t>LCMT1</t>
  </si>
  <si>
    <t>ATPIF1</t>
  </si>
  <si>
    <t>AK3</t>
  </si>
  <si>
    <t>SCOC</t>
  </si>
  <si>
    <t>FKBPL</t>
  </si>
  <si>
    <t>LNPEP</t>
  </si>
  <si>
    <t>GGT7</t>
  </si>
  <si>
    <t>MSRA</t>
  </si>
  <si>
    <t>NAGK</t>
  </si>
  <si>
    <t>TRMT6</t>
  </si>
  <si>
    <t>SH3BGRL2</t>
  </si>
  <si>
    <t>MOSPD1</t>
  </si>
  <si>
    <t>GNPTG</t>
  </si>
  <si>
    <t>ERRFI1</t>
  </si>
  <si>
    <t>KLHL21</t>
  </si>
  <si>
    <t>SLC25A13</t>
  </si>
  <si>
    <t>TUBE1</t>
  </si>
  <si>
    <t>DBNL</t>
  </si>
  <si>
    <t>DCTN4</t>
  </si>
  <si>
    <t>CDC23</t>
  </si>
  <si>
    <t>ANAPC2</t>
  </si>
  <si>
    <t>HSPB8</t>
  </si>
  <si>
    <t>GGA2</t>
  </si>
  <si>
    <t>GGA1</t>
  </si>
  <si>
    <t>STOML2</t>
  </si>
  <si>
    <t>NAGPA</t>
  </si>
  <si>
    <t>CCRN4L</t>
  </si>
  <si>
    <t>VPS28</t>
  </si>
  <si>
    <t>LSM7</t>
  </si>
  <si>
    <t>DBR1</t>
  </si>
  <si>
    <t>FBXO9</t>
  </si>
  <si>
    <t>FBXO3</t>
  </si>
  <si>
    <t>AKAP11</t>
  </si>
  <si>
    <t>DNAJC12</t>
  </si>
  <si>
    <t>FBXL2</t>
  </si>
  <si>
    <t>TNIK</t>
  </si>
  <si>
    <t>CPSF3</t>
  </si>
  <si>
    <t>APPL1</t>
  </si>
  <si>
    <t>CROT</t>
  </si>
  <si>
    <t>GPATCH8</t>
  </si>
  <si>
    <t>PARP4</t>
  </si>
  <si>
    <t>NUDT5</t>
  </si>
  <si>
    <t>PCTP</t>
  </si>
  <si>
    <t>PACSIN3</t>
  </si>
  <si>
    <t>FBXO5</t>
  </si>
  <si>
    <t>FBXO4</t>
  </si>
  <si>
    <t>TRHDE</t>
  </si>
  <si>
    <t>ACAD8</t>
  </si>
  <si>
    <t>ANGPTL2</t>
  </si>
  <si>
    <t>AGO2</t>
  </si>
  <si>
    <t>NUP50</t>
  </si>
  <si>
    <t>CDV3</t>
  </si>
  <si>
    <t>CNOT11</t>
  </si>
  <si>
    <t>BAG5</t>
  </si>
  <si>
    <t>RAB21</t>
  </si>
  <si>
    <t>RAB22A</t>
  </si>
  <si>
    <t>PSME2</t>
  </si>
  <si>
    <t>RAB23</t>
  </si>
  <si>
    <t>MCTS1</t>
  </si>
  <si>
    <t>ZDHHC8</t>
  </si>
  <si>
    <t>SLC39A10</t>
  </si>
  <si>
    <t>KIDINS220</t>
  </si>
  <si>
    <t>ASAP1</t>
  </si>
  <si>
    <t>MKL2</t>
  </si>
  <si>
    <t>HEG1</t>
  </si>
  <si>
    <t>ZMIZ1</t>
  </si>
  <si>
    <t>TBC1D24</t>
  </si>
  <si>
    <t>ISY1</t>
  </si>
  <si>
    <t>HECTD1</t>
  </si>
  <si>
    <t>CORO1C</t>
  </si>
  <si>
    <t>PYCARD</t>
  </si>
  <si>
    <t>ANAPC10</t>
  </si>
  <si>
    <t>NOTCH3</t>
  </si>
  <si>
    <t>ICAM5</t>
  </si>
  <si>
    <t>NFU1</t>
  </si>
  <si>
    <t>PRPF19</t>
  </si>
  <si>
    <t>SYNPO2</t>
  </si>
  <si>
    <t>UBQLN1</t>
  </si>
  <si>
    <t>SUFU</t>
  </si>
  <si>
    <t>NENF</t>
  </si>
  <si>
    <t>SNX12</t>
  </si>
  <si>
    <t>SYNRG</t>
  </si>
  <si>
    <t>VPS4A</t>
  </si>
  <si>
    <t>STUB1</t>
  </si>
  <si>
    <t>PACSIN2</t>
  </si>
  <si>
    <t>MAGED2</t>
  </si>
  <si>
    <t>SNX7</t>
  </si>
  <si>
    <t>SNX6</t>
  </si>
  <si>
    <t>DUSP12</t>
  </si>
  <si>
    <t>STX8</t>
  </si>
  <si>
    <t>PSMD13</t>
  </si>
  <si>
    <t>FAF1</t>
  </si>
  <si>
    <t>PROCR</t>
  </si>
  <si>
    <t>PPIE</t>
  </si>
  <si>
    <t>COPS3</t>
  </si>
  <si>
    <t>MINPP1</t>
  </si>
  <si>
    <t>NSFL1C</t>
  </si>
  <si>
    <t>FZD1</t>
  </si>
  <si>
    <t>ADAMTS8</t>
  </si>
  <si>
    <t>COG5</t>
  </si>
  <si>
    <t>SLC12A4</t>
  </si>
  <si>
    <t>SCAF8</t>
  </si>
  <si>
    <t>PPP6R1</t>
  </si>
  <si>
    <t>TRIM33</t>
  </si>
  <si>
    <t>KIAA1107</t>
  </si>
  <si>
    <t>LIMCH1</t>
  </si>
  <si>
    <t>TNRC6B</t>
  </si>
  <si>
    <t>EXOC7</t>
  </si>
  <si>
    <t>USP24</t>
  </si>
  <si>
    <t>TBC1D2B</t>
  </si>
  <si>
    <t>MAPRE3</t>
  </si>
  <si>
    <t>HPS5</t>
  </si>
  <si>
    <t>SHOC2</t>
  </si>
  <si>
    <t>SRRM2</t>
  </si>
  <si>
    <t>PA2G4</t>
  </si>
  <si>
    <t>SPG7</t>
  </si>
  <si>
    <t>GAB2</t>
  </si>
  <si>
    <t>SMC3</t>
  </si>
  <si>
    <t>CHMP2B</t>
  </si>
  <si>
    <t>MTMR6</t>
  </si>
  <si>
    <t>GNE</t>
  </si>
  <si>
    <t>C14orf166</t>
  </si>
  <si>
    <t>RUVBL2</t>
  </si>
  <si>
    <t>PIN4</t>
  </si>
  <si>
    <t>HIGD1A</t>
  </si>
  <si>
    <t>AKT3</t>
  </si>
  <si>
    <t>CHKB</t>
  </si>
  <si>
    <t>PLAA</t>
  </si>
  <si>
    <t>RUVBL1</t>
  </si>
  <si>
    <t>NUDC</t>
  </si>
  <si>
    <t>BCS1L</t>
  </si>
  <si>
    <t>CFL2</t>
  </si>
  <si>
    <t>ASF1A</t>
  </si>
  <si>
    <t>DRG1</t>
  </si>
  <si>
    <t>TRAPPC4</t>
  </si>
  <si>
    <t>NCKAP1</t>
  </si>
  <si>
    <t>CNPY2</t>
  </si>
  <si>
    <t>UST</t>
  </si>
  <si>
    <t>EXOG</t>
  </si>
  <si>
    <t>CA5B</t>
  </si>
  <si>
    <t>EXOC6B</t>
  </si>
  <si>
    <t>AKAP2</t>
  </si>
  <si>
    <t>DIP2C</t>
  </si>
  <si>
    <t>MAN2B2</t>
  </si>
  <si>
    <t>CARD8</t>
  </si>
  <si>
    <t>ATP11B</t>
  </si>
  <si>
    <t>POFUT2</t>
  </si>
  <si>
    <t>STK38L</t>
  </si>
  <si>
    <t>INPP5F</t>
  </si>
  <si>
    <t>FNDC3A</t>
  </si>
  <si>
    <t>NISCH</t>
  </si>
  <si>
    <t>EPB41L3</t>
  </si>
  <si>
    <t>AMOTL2</t>
  </si>
  <si>
    <t>USP20</t>
  </si>
  <si>
    <t>DIS3</t>
  </si>
  <si>
    <t>GSTK1</t>
  </si>
  <si>
    <t>LAMTOR2</t>
  </si>
  <si>
    <t>MRPS28</t>
  </si>
  <si>
    <t>COA3</t>
  </si>
  <si>
    <t>CRYL1</t>
  </si>
  <si>
    <t>TMA7</t>
  </si>
  <si>
    <t>POLDIP2</t>
  </si>
  <si>
    <t>AP3M1</t>
  </si>
  <si>
    <t>MAP3K2</t>
  </si>
  <si>
    <t>LEMD3</t>
  </si>
  <si>
    <t>COG6</t>
  </si>
  <si>
    <t>THRAP3</t>
  </si>
  <si>
    <t>SUGT1</t>
  </si>
  <si>
    <t>YARS2</t>
  </si>
  <si>
    <t>COQ6</t>
  </si>
  <si>
    <t>AMDHD2</t>
  </si>
  <si>
    <t>ACOT9</t>
  </si>
  <si>
    <t>NOSIP</t>
  </si>
  <si>
    <t>MEMO1</t>
  </si>
  <si>
    <t>TMX2</t>
  </si>
  <si>
    <t>LSM2</t>
  </si>
  <si>
    <t>SH3GLB1</t>
  </si>
  <si>
    <t>NDUFAF1</t>
  </si>
  <si>
    <t>CAB39</t>
  </si>
  <si>
    <t>LUC7L2</t>
  </si>
  <si>
    <t>UBE2J1</t>
  </si>
  <si>
    <t>DHRS7</t>
  </si>
  <si>
    <t>MOB4</t>
  </si>
  <si>
    <t>SBDS</t>
  </si>
  <si>
    <t>TMED7</t>
  </si>
  <si>
    <t>RRP15</t>
  </si>
  <si>
    <t>NOP16</t>
  </si>
  <si>
    <t>TPRKB</t>
  </si>
  <si>
    <t>RNF11</t>
  </si>
  <si>
    <t>PPIL1</t>
  </si>
  <si>
    <t>UFC1</t>
  </si>
  <si>
    <t>FAM96B</t>
  </si>
  <si>
    <t>MSRB2</t>
  </si>
  <si>
    <t>FIS1</t>
  </si>
  <si>
    <t>TAF9</t>
  </si>
  <si>
    <t>GOLT1B</t>
  </si>
  <si>
    <t>HDGFRP3</t>
  </si>
  <si>
    <t>BOLA1</t>
  </si>
  <si>
    <t>CHMP3</t>
  </si>
  <si>
    <t>STRAP</t>
  </si>
  <si>
    <t>C22orf28</t>
  </si>
  <si>
    <t>FBXO7</t>
  </si>
  <si>
    <t>SH3BP1</t>
  </si>
  <si>
    <t>RAP2C</t>
  </si>
  <si>
    <t>STARD13</t>
  </si>
  <si>
    <t>RHBDD3</t>
  </si>
  <si>
    <t>RABGAP1</t>
  </si>
  <si>
    <t>TMED3</t>
  </si>
  <si>
    <t>TSC22D4</t>
  </si>
  <si>
    <t>ZNF330</t>
  </si>
  <si>
    <t>R3HCC1</t>
  </si>
  <si>
    <t>NOC2L</t>
  </si>
  <si>
    <t>RPL36</t>
  </si>
  <si>
    <t>CCDC9</t>
  </si>
  <si>
    <t>PYGO1</t>
  </si>
  <si>
    <t>SAMHD1</t>
  </si>
  <si>
    <t>HBS1L</t>
  </si>
  <si>
    <t>PRKAB1</t>
  </si>
  <si>
    <t>TLN1</t>
  </si>
  <si>
    <t>SOGA2</t>
  </si>
  <si>
    <t>FAM115A</t>
  </si>
  <si>
    <t>FAM21C</t>
  </si>
  <si>
    <t>USP15</t>
  </si>
  <si>
    <t>FARP1</t>
  </si>
  <si>
    <t>TLN2</t>
  </si>
  <si>
    <t>RAPGEF2</t>
  </si>
  <si>
    <t>IRS2</t>
  </si>
  <si>
    <t>LOXL2</t>
  </si>
  <si>
    <t>AIM1</t>
  </si>
  <si>
    <t>MAP4K5</t>
  </si>
  <si>
    <t>ATG4B</t>
  </si>
  <si>
    <t>WIPI2</t>
  </si>
  <si>
    <t>MMACHC</t>
  </si>
  <si>
    <t>AFG3L2</t>
  </si>
  <si>
    <t>ARIH1</t>
  </si>
  <si>
    <t>LSM4</t>
  </si>
  <si>
    <t>RNF114</t>
  </si>
  <si>
    <t>CSDC2</t>
  </si>
  <si>
    <t>PPME1</t>
  </si>
  <si>
    <t>TIMM22</t>
  </si>
  <si>
    <t>KCTD3</t>
  </si>
  <si>
    <t>YTHDF2</t>
  </si>
  <si>
    <t>CTDP1</t>
  </si>
  <si>
    <t>NME7</t>
  </si>
  <si>
    <t>PHLDA3</t>
  </si>
  <si>
    <t>TIMM10B</t>
  </si>
  <si>
    <t>TIMM9</t>
  </si>
  <si>
    <t>UCHL5</t>
  </si>
  <si>
    <t>CD2AP</t>
  </si>
  <si>
    <t>ATP6V1D</t>
  </si>
  <si>
    <t>TNPO3</t>
  </si>
  <si>
    <t>TIMM13</t>
  </si>
  <si>
    <t>SRPRB</t>
  </si>
  <si>
    <t>N6AMT1</t>
  </si>
  <si>
    <t>COL4A3BP</t>
  </si>
  <si>
    <t>GMPPB</t>
  </si>
  <si>
    <t>TRAPPC1</t>
  </si>
  <si>
    <t>TRPV2</t>
  </si>
  <si>
    <t>CDC42BPB</t>
  </si>
  <si>
    <t>RBM8A</t>
  </si>
  <si>
    <t>TSSC4</t>
  </si>
  <si>
    <t>IER3IP1</t>
  </si>
  <si>
    <t>MAGED1</t>
  </si>
  <si>
    <t>SNX9</t>
  </si>
  <si>
    <t>SNX8</t>
  </si>
  <si>
    <t>SNX5</t>
  </si>
  <si>
    <t>NUBP2</t>
  </si>
  <si>
    <t>HEBP2</t>
  </si>
  <si>
    <t>MRFAP1</t>
  </si>
  <si>
    <t>LRRFIP2</t>
  </si>
  <si>
    <t>FHOD1</t>
  </si>
  <si>
    <t>PSAT1</t>
  </si>
  <si>
    <t>SLC25A15</t>
  </si>
  <si>
    <t>GPC6</t>
  </si>
  <si>
    <t>NPTN</t>
  </si>
  <si>
    <t>CPQ</t>
  </si>
  <si>
    <t>ALG5</t>
  </si>
  <si>
    <t>COPG1</t>
  </si>
  <si>
    <t>AUP1</t>
  </si>
  <si>
    <t>FKBP7</t>
  </si>
  <si>
    <t>LHFP</t>
  </si>
  <si>
    <t>CLIC4</t>
  </si>
  <si>
    <t>NFS1</t>
  </si>
  <si>
    <t>C16orf80</t>
  </si>
  <si>
    <t>EMILIN1</t>
  </si>
  <si>
    <t>MTCH2</t>
  </si>
  <si>
    <t>ARFGEF2</t>
  </si>
  <si>
    <t>ARFGEF1</t>
  </si>
  <si>
    <t>MAD1L1</t>
  </si>
  <si>
    <t>STK24</t>
  </si>
  <si>
    <t>COMMD10</t>
  </si>
  <si>
    <t>DYNC1LI1</t>
  </si>
  <si>
    <t>CHCHD2</t>
  </si>
  <si>
    <t>EPN1</t>
  </si>
  <si>
    <t>TEX264</t>
  </si>
  <si>
    <t>AK5</t>
  </si>
  <si>
    <t>SLC30A1</t>
  </si>
  <si>
    <t>COX11</t>
  </si>
  <si>
    <t>SQRDL</t>
  </si>
  <si>
    <t>ROBO1</t>
  </si>
  <si>
    <t>SESN1</t>
  </si>
  <si>
    <t>NCOA3</t>
  </si>
  <si>
    <t>NUMBL</t>
  </si>
  <si>
    <t>PCLO</t>
  </si>
  <si>
    <t>CAPN7</t>
  </si>
  <si>
    <t>WASF2</t>
  </si>
  <si>
    <t>ENPP4</t>
  </si>
  <si>
    <t>MOSPD2</t>
  </si>
  <si>
    <t>PSMD8</t>
  </si>
  <si>
    <t>H6PD</t>
  </si>
  <si>
    <t>BMI1</t>
  </si>
  <si>
    <t>RANBP10</t>
  </si>
  <si>
    <t>NBL1</t>
  </si>
  <si>
    <t>YTHDF3</t>
  </si>
  <si>
    <t>S100A6</t>
  </si>
  <si>
    <t>DENND4C</t>
  </si>
  <si>
    <t>FBXO2</t>
  </si>
  <si>
    <t>PSMC3</t>
  </si>
  <si>
    <t>A0AVI4</t>
  </si>
  <si>
    <t>A0AVT1</t>
  </si>
  <si>
    <t>A0JNW5</t>
  </si>
  <si>
    <t>A1A4S6</t>
  </si>
  <si>
    <t>A1BQX2</t>
  </si>
  <si>
    <t>A1L0T0</t>
  </si>
  <si>
    <t>A1L188</t>
  </si>
  <si>
    <t>A1X283</t>
  </si>
  <si>
    <t>A2A274</t>
  </si>
  <si>
    <t>A2A2Q9</t>
  </si>
  <si>
    <t>A2A2V1</t>
  </si>
  <si>
    <t>A2BF36</t>
  </si>
  <si>
    <t>A2RRP1</t>
  </si>
  <si>
    <t>A2RU48</t>
  </si>
  <si>
    <t>A2RU67</t>
  </si>
  <si>
    <t>A2VDF0</t>
  </si>
  <si>
    <t>A3KN83-3</t>
  </si>
  <si>
    <t>A4D126</t>
  </si>
  <si>
    <t>A4D1W8</t>
  </si>
  <si>
    <t>A4D2B0</t>
  </si>
  <si>
    <t>A4UGR9-2</t>
  </si>
  <si>
    <t>A5YKK6-2</t>
  </si>
  <si>
    <t>A6H8Z3</t>
  </si>
  <si>
    <t>A6NDG6</t>
  </si>
  <si>
    <t>A6NDU8</t>
  </si>
  <si>
    <t>A6NED2</t>
  </si>
  <si>
    <t>A6NEM2</t>
  </si>
  <si>
    <t>A6NEP9</t>
  </si>
  <si>
    <t>A6NFQ2-2</t>
  </si>
  <si>
    <t>A6NG32</t>
  </si>
  <si>
    <t>A6NG79</t>
  </si>
  <si>
    <t>A6NGJ0</t>
  </si>
  <si>
    <t>A6NGP5</t>
  </si>
  <si>
    <t>A6NGW1</t>
  </si>
  <si>
    <t>A6NHL2-2</t>
  </si>
  <si>
    <t>A6NHX0</t>
  </si>
  <si>
    <t>A6NIH7</t>
  </si>
  <si>
    <t>A6NIT2</t>
  </si>
  <si>
    <t>A6NIZ0</t>
  </si>
  <si>
    <t>A6NKF9</t>
  </si>
  <si>
    <t>A6NL54</t>
  </si>
  <si>
    <t>A6NLG9</t>
  </si>
  <si>
    <t>A6NLH6</t>
  </si>
  <si>
    <t>A6NMH6</t>
  </si>
  <si>
    <t>A6NML8</t>
  </si>
  <si>
    <t>A6NN80</t>
  </si>
  <si>
    <t>A6NNI4</t>
  </si>
  <si>
    <t>A6PW57</t>
  </si>
  <si>
    <t>A6PW79</t>
  </si>
  <si>
    <t>A6QRJ0</t>
  </si>
  <si>
    <t>A6ZKI3</t>
  </si>
  <si>
    <t>A8K0B5</t>
  </si>
  <si>
    <t>A8K0M9</t>
  </si>
  <si>
    <t>A8K7Q2</t>
  </si>
  <si>
    <t>A8MQ02</t>
  </si>
  <si>
    <t>A8MSH5</t>
  </si>
  <si>
    <t>A8MSI8</t>
  </si>
  <si>
    <t>A8MT02</t>
  </si>
  <si>
    <t>A8MTG8</t>
  </si>
  <si>
    <t>A8MTT3</t>
  </si>
  <si>
    <t>A8MTY9</t>
  </si>
  <si>
    <t>A8MU21</t>
  </si>
  <si>
    <t>A8MUA9</t>
  </si>
  <si>
    <t>A8MUB1</t>
  </si>
  <si>
    <t>A8MUM1</t>
  </si>
  <si>
    <t>A8MVW0</t>
  </si>
  <si>
    <t>A8MWH4</t>
  </si>
  <si>
    <t>A8MWK3</t>
  </si>
  <si>
    <t>A8MXV4</t>
  </si>
  <si>
    <t>A8MYQ9</t>
  </si>
  <si>
    <t>A8MYT4</t>
  </si>
  <si>
    <t>A8MZ54</t>
  </si>
  <si>
    <t>A9Z1X7</t>
  </si>
  <si>
    <t>B0FLL2</t>
  </si>
  <si>
    <t>B0QXZ5</t>
  </si>
  <si>
    <t>B0QY89</t>
  </si>
  <si>
    <t>B0QY95</t>
  </si>
  <si>
    <t>B0QYI3</t>
  </si>
  <si>
    <t>B0QYK0</t>
  </si>
  <si>
    <t>B0QZ18</t>
  </si>
  <si>
    <t>B0QZK9</t>
  </si>
  <si>
    <t>B0UX83</t>
  </si>
  <si>
    <t>B0UXB6</t>
  </si>
  <si>
    <t>B0V043</t>
  </si>
  <si>
    <t>B0V1E9</t>
  </si>
  <si>
    <t>B0YIW2</t>
  </si>
  <si>
    <t>B1AH87</t>
  </si>
  <si>
    <t>B1AHD1</t>
  </si>
  <si>
    <t>B1AJQ5</t>
  </si>
  <si>
    <t>B1AK13</t>
  </si>
  <si>
    <t>B1AKJ5</t>
  </si>
  <si>
    <t>B1AKJ6</t>
  </si>
  <si>
    <t>B1AKL4</t>
  </si>
  <si>
    <t>B1AKN3</t>
  </si>
  <si>
    <t>B1AKP2</t>
  </si>
  <si>
    <t>B1AKR6</t>
  </si>
  <si>
    <t>B1AKT3</t>
  </si>
  <si>
    <t>B1AL69</t>
  </si>
  <si>
    <t>B1AL88</t>
  </si>
  <si>
    <t>B1ALH6</t>
  </si>
  <si>
    <t>B1ALK7</t>
  </si>
  <si>
    <t>B1ALM5</t>
  </si>
  <si>
    <t>B1ALY0</t>
  </si>
  <si>
    <t>B1AMW1</t>
  </si>
  <si>
    <t>B1AN89</t>
  </si>
  <si>
    <t>B1AN99</t>
  </si>
  <si>
    <t>B1ANH0</t>
  </si>
  <si>
    <t>B1APM4</t>
  </si>
  <si>
    <t>B1AVU8</t>
  </si>
  <si>
    <t>B1AZV3</t>
  </si>
  <si>
    <t>B2WTI3</t>
  </si>
  <si>
    <t>B3FL70</t>
  </si>
  <si>
    <t>B3KS98</t>
  </si>
  <si>
    <t>B3KSH1</t>
  </si>
  <si>
    <t>B3KSI9</t>
  </si>
  <si>
    <t>B3KSP0</t>
  </si>
  <si>
    <t>B3KSW4</t>
  </si>
  <si>
    <t>B3KTR6</t>
  </si>
  <si>
    <t>B3KUE5</t>
  </si>
  <si>
    <t>B3KUK2</t>
  </si>
  <si>
    <t>B3KV95</t>
  </si>
  <si>
    <t>B3KXW5</t>
  </si>
  <si>
    <t>B3KY94</t>
  </si>
  <si>
    <t>B4DDF4</t>
  </si>
  <si>
    <t>B4DDF9</t>
  </si>
  <si>
    <t>B4DE11</t>
  </si>
  <si>
    <t>B4DE40</t>
  </si>
  <si>
    <t>B4DEK4</t>
  </si>
  <si>
    <t>B4DEX5</t>
  </si>
  <si>
    <t>B4DEZ3</t>
  </si>
  <si>
    <t>B4DFG0</t>
  </si>
  <si>
    <t>B4DGU4</t>
  </si>
  <si>
    <t>B4DGV4</t>
  </si>
  <si>
    <t>B4DGX2</t>
  </si>
  <si>
    <t>B4DH53</t>
  </si>
  <si>
    <t>B4DHE1</t>
  </si>
  <si>
    <t>B4DHJ7</t>
  </si>
  <si>
    <t>B4DHN6</t>
  </si>
  <si>
    <t>B4DHW1</t>
  </si>
  <si>
    <t>B4DJA5</t>
  </si>
  <si>
    <t>B4DJP7</t>
  </si>
  <si>
    <t>B4DJV2</t>
  </si>
  <si>
    <t>B4DJZ1</t>
  </si>
  <si>
    <t>B4DK95</t>
  </si>
  <si>
    <t>B4DL14</t>
  </si>
  <si>
    <t>B4DL54</t>
  </si>
  <si>
    <t>B4DLE8</t>
  </si>
  <si>
    <t>B4DLR8</t>
  </si>
  <si>
    <t>B4DLT4</t>
  </si>
  <si>
    <t>B4DLU3</t>
  </si>
  <si>
    <t>B4DMK0</t>
  </si>
  <si>
    <t>B4DP21</t>
  </si>
  <si>
    <t>B4DP38</t>
  </si>
  <si>
    <t>B4DPY5</t>
  </si>
  <si>
    <t>B4DPY8</t>
  </si>
  <si>
    <t>B4DQ14</t>
  </si>
  <si>
    <t>B4DQ18</t>
  </si>
  <si>
    <t>B4DQ84</t>
  </si>
  <si>
    <t>B4DQJ8</t>
  </si>
  <si>
    <t>B4DR52</t>
  </si>
  <si>
    <t>B4DR61</t>
  </si>
  <si>
    <t>B4DRC4</t>
  </si>
  <si>
    <t>B4DRL9</t>
  </si>
  <si>
    <t>B4DRN8</t>
  </si>
  <si>
    <t>B4DS52</t>
  </si>
  <si>
    <t>B4DSD4</t>
  </si>
  <si>
    <t>B4DSJ8</t>
  </si>
  <si>
    <t>B4DSS5</t>
  </si>
  <si>
    <t>B4DT77</t>
  </si>
  <si>
    <t>B4DTC3</t>
  </si>
  <si>
    <t>B4DTZ6</t>
  </si>
  <si>
    <t>B4DUE9</t>
  </si>
  <si>
    <t>B4DUS9</t>
  </si>
  <si>
    <t>B4DUV4</t>
  </si>
  <si>
    <t>B4DV96</t>
  </si>
  <si>
    <t>B4DVE7</t>
  </si>
  <si>
    <t>B4DVY1</t>
  </si>
  <si>
    <t>B4DW75</t>
  </si>
  <si>
    <t>B4DWI1</t>
  </si>
  <si>
    <t>B4DWJ2</t>
  </si>
  <si>
    <t>B4DXZ6</t>
  </si>
  <si>
    <t>B4DYB4</t>
  </si>
  <si>
    <t>B4DZ23</t>
  </si>
  <si>
    <t>B4DZH6</t>
  </si>
  <si>
    <t>B4E072</t>
  </si>
  <si>
    <t>B4E0T2</t>
  </si>
  <si>
    <t>B4E1F4</t>
  </si>
  <si>
    <t>B4E1M0</t>
  </si>
  <si>
    <t>B4E1N1</t>
  </si>
  <si>
    <t>B4E1Q4</t>
  </si>
  <si>
    <t>B4E1Q6</t>
  </si>
  <si>
    <t>B4E1S6</t>
  </si>
  <si>
    <t>B4E241</t>
  </si>
  <si>
    <t>B4E2S7</t>
  </si>
  <si>
    <t>B4E2V5</t>
  </si>
  <si>
    <t>B4E2W0</t>
  </si>
  <si>
    <t>B4E2X3</t>
  </si>
  <si>
    <t>B4E358</t>
  </si>
  <si>
    <t>B4E3E5</t>
  </si>
  <si>
    <t>B4E3Q1</t>
  </si>
  <si>
    <t>B5MC53</t>
  </si>
  <si>
    <t>B5MCD7</t>
  </si>
  <si>
    <t>B5MD23</t>
  </si>
  <si>
    <t>B5MDE0</t>
  </si>
  <si>
    <t>B5MDU6</t>
  </si>
  <si>
    <t>B7WPE2</t>
  </si>
  <si>
    <t>B7WPG3</t>
  </si>
  <si>
    <t>B7Z1I4</t>
  </si>
  <si>
    <t>B7Z254</t>
  </si>
  <si>
    <t>B7Z2B2</t>
  </si>
  <si>
    <t>B7Z2C3</t>
  </si>
  <si>
    <t>B7Z2L7</t>
  </si>
  <si>
    <t>B7Z2Y2</t>
  </si>
  <si>
    <t>B7Z317</t>
  </si>
  <si>
    <t>B7Z3I9</t>
  </si>
  <si>
    <t>B7Z463</t>
  </si>
  <si>
    <t>B7Z493</t>
  </si>
  <si>
    <t>B7Z4K6</t>
  </si>
  <si>
    <t>B7Z4M2</t>
  </si>
  <si>
    <t>B7Z4W5</t>
  </si>
  <si>
    <t>B7Z5G4</t>
  </si>
  <si>
    <t>B7Z5W1</t>
  </si>
  <si>
    <t>B7Z5X7</t>
  </si>
  <si>
    <t>B7Z662</t>
  </si>
  <si>
    <t>B7Z6B8</t>
  </si>
  <si>
    <t>B7Z729</t>
  </si>
  <si>
    <t>B7Z765</t>
  </si>
  <si>
    <t>B7Z779</t>
  </si>
  <si>
    <t>B7Z817</t>
  </si>
  <si>
    <t>B7Z831</t>
  </si>
  <si>
    <t>B7Z9I3</t>
  </si>
  <si>
    <t>B7Z9S8</t>
  </si>
  <si>
    <t>B7ZBB8</t>
  </si>
  <si>
    <t>B7ZC38</t>
  </si>
  <si>
    <t>B7ZKK9</t>
  </si>
  <si>
    <t>B7ZKM0</t>
  </si>
  <si>
    <t>B7ZKQ9</t>
  </si>
  <si>
    <t>B7ZL88</t>
  </si>
  <si>
    <t>B7ZLZ2</t>
  </si>
  <si>
    <t>B7ZMI4</t>
  </si>
  <si>
    <t>B8ZZD4</t>
  </si>
  <si>
    <t>B8ZZF5</t>
  </si>
  <si>
    <t>B8ZZJ1</t>
  </si>
  <si>
    <t>B8ZZK4</t>
  </si>
  <si>
    <t>B8ZZN3</t>
  </si>
  <si>
    <t>B8ZZN6</t>
  </si>
  <si>
    <t>B8ZZQ6</t>
  </si>
  <si>
    <t>B8ZZY2</t>
  </si>
  <si>
    <t>B9A018</t>
  </si>
  <si>
    <t>B9A054</t>
  </si>
  <si>
    <t>B9A057</t>
  </si>
  <si>
    <t>B9A067</t>
  </si>
  <si>
    <t>B9EGH5</t>
  </si>
  <si>
    <t>C0H5Y7</t>
  </si>
  <si>
    <t>C4AMC7</t>
  </si>
  <si>
    <t>C9IYC4</t>
  </si>
  <si>
    <t>C9J0I9</t>
  </si>
  <si>
    <t>C9J0J0</t>
  </si>
  <si>
    <t>C9J0J7</t>
  </si>
  <si>
    <t>C9J0K6</t>
  </si>
  <si>
    <t>C9J1D9</t>
  </si>
  <si>
    <t>C9J1K8</t>
  </si>
  <si>
    <t>C9J1R1</t>
  </si>
  <si>
    <t>C9J212</t>
  </si>
  <si>
    <t>C9J2P0</t>
  </si>
  <si>
    <t>C9J2U4</t>
  </si>
  <si>
    <t>C9J366</t>
  </si>
  <si>
    <t>C9J5C3</t>
  </si>
  <si>
    <t>C9J6A7</t>
  </si>
  <si>
    <t>C9J6N9</t>
  </si>
  <si>
    <t>C9J6Q8</t>
  </si>
  <si>
    <t>C9J712</t>
  </si>
  <si>
    <t>C9J719</t>
  </si>
  <si>
    <t>C9J7I2</t>
  </si>
  <si>
    <t>C9J7K9</t>
  </si>
  <si>
    <t>C9J8B8</t>
  </si>
  <si>
    <t>C9J9K3</t>
  </si>
  <si>
    <t>C9JA08</t>
  </si>
  <si>
    <t>C9JA28</t>
  </si>
  <si>
    <t>C9JAB2</t>
  </si>
  <si>
    <t>C9JB13</t>
  </si>
  <si>
    <t>C9JBB3</t>
  </si>
  <si>
    <t>C9JBG5</t>
  </si>
  <si>
    <t>C9JBL1</t>
  </si>
  <si>
    <t>C9JCC6</t>
  </si>
  <si>
    <t>C9JCN8</t>
  </si>
  <si>
    <t>C9JDS9</t>
  </si>
  <si>
    <t>C9JE12</t>
  </si>
  <si>
    <t>C9JE98</t>
  </si>
  <si>
    <t>C9JEL3</t>
  </si>
  <si>
    <t>C9JEX3</t>
  </si>
  <si>
    <t>C9JEZ4</t>
  </si>
  <si>
    <t>C9JF58</t>
  </si>
  <si>
    <t>C9JFB2</t>
  </si>
  <si>
    <t>C9JFE4</t>
  </si>
  <si>
    <t>C9JFK9</t>
  </si>
  <si>
    <t>C9JFR7</t>
  </si>
  <si>
    <t>C9JG41</t>
  </si>
  <si>
    <t>C9JG97</t>
  </si>
  <si>
    <t>C9JGY1</t>
  </si>
  <si>
    <t>C9JIF9</t>
  </si>
  <si>
    <t>C9JJV6</t>
  </si>
  <si>
    <t>C9JLU1</t>
  </si>
  <si>
    <t>C9JLV4</t>
  </si>
  <si>
    <t>C9JM82</t>
  </si>
  <si>
    <t>C9JN15</t>
  </si>
  <si>
    <t>C9JNA8</t>
  </si>
  <si>
    <t>C9JNE2</t>
  </si>
  <si>
    <t>C9JP85</t>
  </si>
  <si>
    <t>C9JPX5</t>
  </si>
  <si>
    <t>C9JQ41</t>
  </si>
  <si>
    <t>C9JQB1</t>
  </si>
  <si>
    <t>C9JQD4</t>
  </si>
  <si>
    <t>C9JQV3</t>
  </si>
  <si>
    <t>C9JRY4</t>
  </si>
  <si>
    <t>C9JRZ6</t>
  </si>
  <si>
    <t>C9JSZ2</t>
  </si>
  <si>
    <t>C9JUF0</t>
  </si>
  <si>
    <t>C9JV49</t>
  </si>
  <si>
    <t>C9JVH1</t>
  </si>
  <si>
    <t>C9JVN9</t>
  </si>
  <si>
    <t>C9JX83</t>
  </si>
  <si>
    <t>C9JXB8</t>
  </si>
  <si>
    <t>C9JXK9</t>
  </si>
  <si>
    <t>C9JYM0</t>
  </si>
  <si>
    <t>C9JYN0</t>
  </si>
  <si>
    <t>C9JYY6</t>
  </si>
  <si>
    <t>C9JZB0</t>
  </si>
  <si>
    <t>C9JZI1</t>
  </si>
  <si>
    <t>C9JZY3</t>
  </si>
  <si>
    <t>C9JZY6</t>
  </si>
  <si>
    <t>C9K0J5</t>
  </si>
  <si>
    <t>C9K0X5</t>
  </si>
  <si>
    <t>D0FY33</t>
  </si>
  <si>
    <t>D3DPN2</t>
  </si>
  <si>
    <t>D3DQV9</t>
  </si>
  <si>
    <t>D3DR31</t>
  </si>
  <si>
    <t>D3YTB1</t>
  </si>
  <si>
    <t>D3YTG6</t>
  </si>
  <si>
    <t>D3YTI9</t>
  </si>
  <si>
    <t>D6R938</t>
  </si>
  <si>
    <t>D6R991</t>
  </si>
  <si>
    <t>D6R9X7</t>
  </si>
  <si>
    <t>D6R9Z7</t>
  </si>
  <si>
    <t>D6RA26</t>
  </si>
  <si>
    <t>D6RB81</t>
  </si>
  <si>
    <t>D6RBW1</t>
  </si>
  <si>
    <t>D6RCD0</t>
  </si>
  <si>
    <t>D6RCM8</t>
  </si>
  <si>
    <t>D6RCP5</t>
  </si>
  <si>
    <t>D6RD47</t>
  </si>
  <si>
    <t>D6RDX3</t>
  </si>
  <si>
    <t>D6RDX7</t>
  </si>
  <si>
    <t>D6RE84</t>
  </si>
  <si>
    <t>D6REB5</t>
  </si>
  <si>
    <t>D6REL0</t>
  </si>
  <si>
    <t>D6REP5</t>
  </si>
  <si>
    <t>D6RER8</t>
  </si>
  <si>
    <t>D6REX3</t>
  </si>
  <si>
    <t>D6REX7</t>
  </si>
  <si>
    <t>D6RF48</t>
  </si>
  <si>
    <t>D6RF92</t>
  </si>
  <si>
    <t>D6RFG8</t>
  </si>
  <si>
    <t>D6RGG3</t>
  </si>
  <si>
    <t>D6RH20</t>
  </si>
  <si>
    <t>D6RHG7</t>
  </si>
  <si>
    <t>D6RHI7</t>
  </si>
  <si>
    <t>D6RHI9</t>
  </si>
  <si>
    <t>D6RIE3</t>
  </si>
  <si>
    <t>D6RIF6</t>
  </si>
  <si>
    <t>D6RIU2</t>
  </si>
  <si>
    <t>D6RIZ4</t>
  </si>
  <si>
    <t>D6RJ98</t>
  </si>
  <si>
    <t>E2QRD0</t>
  </si>
  <si>
    <t>E2QRG8</t>
  </si>
  <si>
    <t>E5RFS7</t>
  </si>
  <si>
    <t>E5RFU2</t>
  </si>
  <si>
    <t>E5RG17</t>
  </si>
  <si>
    <t>E5RG44</t>
  </si>
  <si>
    <t>E5RGX5</t>
  </si>
  <si>
    <t>E5RGY0</t>
  </si>
  <si>
    <t>E5RHG5</t>
  </si>
  <si>
    <t>E5RHG8</t>
  </si>
  <si>
    <t>E5RHG9</t>
  </si>
  <si>
    <t>E5RHW0</t>
  </si>
  <si>
    <t>E5RIH5</t>
  </si>
  <si>
    <t>E5RIP7</t>
  </si>
  <si>
    <t>E5RJ08</t>
  </si>
  <si>
    <t>E5RJ26</t>
  </si>
  <si>
    <t>E5RJ29</t>
  </si>
  <si>
    <t>E5RJ52</t>
  </si>
  <si>
    <t>E5RJ99</t>
  </si>
  <si>
    <t>E5RJD2</t>
  </si>
  <si>
    <t>E5RJR5</t>
  </si>
  <si>
    <t>E5RJW2</t>
  </si>
  <si>
    <t>E5RK28</t>
  </si>
  <si>
    <t>E5RK82</t>
  </si>
  <si>
    <t>E7EM50</t>
  </si>
  <si>
    <t>E7EM64</t>
  </si>
  <si>
    <t>E7EMA9</t>
  </si>
  <si>
    <t>E7EMB6</t>
  </si>
  <si>
    <t>E7EMM4</t>
  </si>
  <si>
    <t>E7EN73</t>
  </si>
  <si>
    <t>E7ENA9</t>
  </si>
  <si>
    <t>E7ENC2</t>
  </si>
  <si>
    <t>E7ENF1</t>
  </si>
  <si>
    <t>E7ENK0</t>
  </si>
  <si>
    <t>E7EP72</t>
  </si>
  <si>
    <t>E7EPC6</t>
  </si>
  <si>
    <t>E7EPD0</t>
  </si>
  <si>
    <t>E7EPL4</t>
  </si>
  <si>
    <t>E7EPN9</t>
  </si>
  <si>
    <t>E7EPP7</t>
  </si>
  <si>
    <t>E7EPR3</t>
  </si>
  <si>
    <t>E7EPS8</t>
  </si>
  <si>
    <t>E7EPT4</t>
  </si>
  <si>
    <t>E7EPV7</t>
  </si>
  <si>
    <t>E7EPY1</t>
  </si>
  <si>
    <t>E7EQ45</t>
  </si>
  <si>
    <t>E7EQ69</t>
  </si>
  <si>
    <t>E7EQB3</t>
  </si>
  <si>
    <t>E7EQL8</t>
  </si>
  <si>
    <t>E7EQR8</t>
  </si>
  <si>
    <t>E7EQT4</t>
  </si>
  <si>
    <t>E7ER32</t>
  </si>
  <si>
    <t>E7ER60</t>
  </si>
  <si>
    <t>E7ER77</t>
  </si>
  <si>
    <t>E7ER89</t>
  </si>
  <si>
    <t>E7ERB7</t>
  </si>
  <si>
    <t>E7ERC6</t>
  </si>
  <si>
    <t>E7ERH1</t>
  </si>
  <si>
    <t>E7ERJ0</t>
  </si>
  <si>
    <t>E7ERL6</t>
  </si>
  <si>
    <t>E7ERS3</t>
  </si>
  <si>
    <t>E7ES21</t>
  </si>
  <si>
    <t>E7ES35</t>
  </si>
  <si>
    <t>E7ES43</t>
  </si>
  <si>
    <t>E7ES96</t>
  </si>
  <si>
    <t>E7ESK6</t>
  </si>
  <si>
    <t>E7ESP4</t>
  </si>
  <si>
    <t>E7ESZ7</t>
  </si>
  <si>
    <t>E7ET40</t>
  </si>
  <si>
    <t>E7ETA6</t>
  </si>
  <si>
    <t>E7ETC6</t>
  </si>
  <si>
    <t>E7ETK0</t>
  </si>
  <si>
    <t>E7ETU5</t>
  </si>
  <si>
    <t>E7ETW5</t>
  </si>
  <si>
    <t>E7ETZ4</t>
  </si>
  <si>
    <t>E7EU05</t>
  </si>
  <si>
    <t>E7EU23</t>
  </si>
  <si>
    <t>E7EU35</t>
  </si>
  <si>
    <t>E7EU96</t>
  </si>
  <si>
    <t>E7EUC6</t>
  </si>
  <si>
    <t>E7EUD0</t>
  </si>
  <si>
    <t>E7EUM5</t>
  </si>
  <si>
    <t>E7EUY0</t>
  </si>
  <si>
    <t>E7EUY3</t>
  </si>
  <si>
    <t>E7EV01</t>
  </si>
  <si>
    <t>E7EV05</t>
  </si>
  <si>
    <t>E7EV71</t>
  </si>
  <si>
    <t>E7EVA0</t>
  </si>
  <si>
    <t>E7EVC7</t>
  </si>
  <si>
    <t>E7EVH9</t>
  </si>
  <si>
    <t>E7EVZ2</t>
  </si>
  <si>
    <t>E7EW20</t>
  </si>
  <si>
    <t>E7EW32</t>
  </si>
  <si>
    <t>E7EW69</t>
  </si>
  <si>
    <t>E7EWC2</t>
  </si>
  <si>
    <t>E7EWM3</t>
  </si>
  <si>
    <t>E7EWP0</t>
  </si>
  <si>
    <t>E7EX01</t>
  </si>
  <si>
    <t>E7EX17</t>
  </si>
  <si>
    <t>E7EX53</t>
  </si>
  <si>
    <t>E7EX90</t>
  </si>
  <si>
    <t>E9PAR5</t>
  </si>
  <si>
    <t>E9PAU2</t>
  </si>
  <si>
    <t>E9PB09</t>
  </si>
  <si>
    <t>E9PB61</t>
  </si>
  <si>
    <t>E9PBJ5</t>
  </si>
  <si>
    <t>E9PBL8</t>
  </si>
  <si>
    <t>E9PBS1</t>
  </si>
  <si>
    <t>E9PC15</t>
  </si>
  <si>
    <t>E9PC47</t>
  </si>
  <si>
    <t>E9PC74</t>
  </si>
  <si>
    <t>E9PCJ7</t>
  </si>
  <si>
    <t>E9PCN5</t>
  </si>
  <si>
    <t>E9PCV6</t>
  </si>
  <si>
    <t>E9PCW1</t>
  </si>
  <si>
    <t>E9PCY7</t>
  </si>
  <si>
    <t>E9PDF6</t>
  </si>
  <si>
    <t>E9PDJ1</t>
  </si>
  <si>
    <t>E9PDN5</t>
  </si>
  <si>
    <t>E9PDX3</t>
  </si>
  <si>
    <t>E9PEE8</t>
  </si>
  <si>
    <t>E9PEH6</t>
  </si>
  <si>
    <t>E9PEL9</t>
  </si>
  <si>
    <t>E9PEN8</t>
  </si>
  <si>
    <t>E9PEP6</t>
  </si>
  <si>
    <t>E9PER1</t>
  </si>
  <si>
    <t>E9PER6</t>
  </si>
  <si>
    <t>E9PEZ3</t>
  </si>
  <si>
    <t>E9PF10</t>
  </si>
  <si>
    <t>E9PF16</t>
  </si>
  <si>
    <t>E9PF18</t>
  </si>
  <si>
    <t>E9PF19</t>
  </si>
  <si>
    <t>E9PFH7</t>
  </si>
  <si>
    <t>E9PFK9</t>
  </si>
  <si>
    <t>E9PFR3</t>
  </si>
  <si>
    <t>E9PG22</t>
  </si>
  <si>
    <t>E9PG71</t>
  </si>
  <si>
    <t>E9PGC0</t>
  </si>
  <si>
    <t>E9PGF5</t>
  </si>
  <si>
    <t>E9PGN7</t>
  </si>
  <si>
    <t>E9PGQ0</t>
  </si>
  <si>
    <t>E9PGT1</t>
  </si>
  <si>
    <t>E9PGT6</t>
  </si>
  <si>
    <t>E9PH29</t>
  </si>
  <si>
    <t>E9PHA6</t>
  </si>
  <si>
    <t>E9PHG5</t>
  </si>
  <si>
    <t>E9PHH9</t>
  </si>
  <si>
    <t>E9PHK9</t>
  </si>
  <si>
    <t>E9PHV5</t>
  </si>
  <si>
    <t>E9PHY8</t>
  </si>
  <si>
    <t>E9PI62</t>
  </si>
  <si>
    <t>E9PIE3</t>
  </si>
  <si>
    <t>E9PIM6</t>
  </si>
  <si>
    <t>E9PJ64</t>
  </si>
  <si>
    <t>E9PJ67</t>
  </si>
  <si>
    <t>E9PJ81</t>
  </si>
  <si>
    <t>E9PJA2</t>
  </si>
  <si>
    <t>E9PJD7</t>
  </si>
  <si>
    <t>E9PJK1</t>
  </si>
  <si>
    <t>E9PK01</t>
  </si>
  <si>
    <t>E9PK67</t>
  </si>
  <si>
    <t>E9PK91</t>
  </si>
  <si>
    <t>E9PKF8</t>
  </si>
  <si>
    <t>E9PKG1</t>
  </si>
  <si>
    <t>E9PKH2</t>
  </si>
  <si>
    <t>E9PKN9</t>
  </si>
  <si>
    <t>E9PKT4</t>
  </si>
  <si>
    <t>E9PKV8</t>
  </si>
  <si>
    <t>E9PKZ0</t>
  </si>
  <si>
    <t>E9PL01</t>
  </si>
  <si>
    <t>E9PL10</t>
  </si>
  <si>
    <t>E9PL22</t>
  </si>
  <si>
    <t>E9PL33</t>
  </si>
  <si>
    <t>E9PL83</t>
  </si>
  <si>
    <t>E9PLG8</t>
  </si>
  <si>
    <t>E9PLK3</t>
  </si>
  <si>
    <t>E9PLL6</t>
  </si>
  <si>
    <t>E9PM46</t>
  </si>
  <si>
    <t>E9PM92</t>
  </si>
  <si>
    <t>E9PME6</t>
  </si>
  <si>
    <t>E9PMH5</t>
  </si>
  <si>
    <t>E9PMI6</t>
  </si>
  <si>
    <t>E9PMJ2</t>
  </si>
  <si>
    <t>E9PMM3</t>
  </si>
  <si>
    <t>E9PMP7</t>
  </si>
  <si>
    <t>E9PMQ6</t>
  </si>
  <si>
    <t>E9PN58</t>
  </si>
  <si>
    <t>E9PNK6</t>
  </si>
  <si>
    <t>E9PNV3</t>
  </si>
  <si>
    <t>E9PNX1</t>
  </si>
  <si>
    <t>E9PPW7</t>
  </si>
  <si>
    <t>E9PQ14</t>
  </si>
  <si>
    <t>E9PQ61</t>
  </si>
  <si>
    <t>E9PQ91</t>
  </si>
  <si>
    <t>E9PQW1</t>
  </si>
  <si>
    <t>E9PQY2</t>
  </si>
  <si>
    <t>E9PR17</t>
  </si>
  <si>
    <t>E9PR30</t>
  </si>
  <si>
    <t>E9PR44</t>
  </si>
  <si>
    <t>E9PR54</t>
  </si>
  <si>
    <t>E9PR76</t>
  </si>
  <si>
    <t>E9PRF4</t>
  </si>
  <si>
    <t>E9PRM7</t>
  </si>
  <si>
    <t>E9PRR8</t>
  </si>
  <si>
    <t>E9PRU1</t>
  </si>
  <si>
    <t>E9PS00</t>
  </si>
  <si>
    <t>E9PS17</t>
  </si>
  <si>
    <t>E9PS38</t>
  </si>
  <si>
    <t>E9PSI1</t>
  </si>
  <si>
    <t>F2Z2B9</t>
  </si>
  <si>
    <t>F2Z2I2</t>
  </si>
  <si>
    <t>F2Z2U8</t>
  </si>
  <si>
    <t>F2Z2X4</t>
  </si>
  <si>
    <t>F5GWF3</t>
  </si>
  <si>
    <t>F5GWT4</t>
  </si>
  <si>
    <t>F5GWU7</t>
  </si>
  <si>
    <t>F5GWY5</t>
  </si>
  <si>
    <t>F5GXC8</t>
  </si>
  <si>
    <t>F5GXE4</t>
  </si>
  <si>
    <t>F5GXE7</t>
  </si>
  <si>
    <t>F5GXI4</t>
  </si>
  <si>
    <t>F5GXK8</t>
  </si>
  <si>
    <t>F5GXX5</t>
  </si>
  <si>
    <t>F5GXZ7</t>
  </si>
  <si>
    <t>F5GY20</t>
  </si>
  <si>
    <t>F5GY98</t>
  </si>
  <si>
    <t>F5GY99</t>
  </si>
  <si>
    <t>F5GYG5</t>
  </si>
  <si>
    <t>F5GYJ5</t>
  </si>
  <si>
    <t>F5GYK2</t>
  </si>
  <si>
    <t>F5GYN4</t>
  </si>
  <si>
    <t>F5GYQ1</t>
  </si>
  <si>
    <t>F5GZ78</t>
  </si>
  <si>
    <t>F5GZ84</t>
  </si>
  <si>
    <t>F5GZP3</t>
  </si>
  <si>
    <t>F5GZS0</t>
  </si>
  <si>
    <t>F5GZS6</t>
  </si>
  <si>
    <t>F5GZX9</t>
  </si>
  <si>
    <t>F5GZY7</t>
  </si>
  <si>
    <t>F5H012</t>
  </si>
  <si>
    <t>F5H061</t>
  </si>
  <si>
    <t>F5H0K8</t>
  </si>
  <si>
    <t>F5H0L8</t>
  </si>
  <si>
    <t>F5H148</t>
  </si>
  <si>
    <t>F5H1C6</t>
  </si>
  <si>
    <t>F5H1F3</t>
  </si>
  <si>
    <t>F5H1G9</t>
  </si>
  <si>
    <t>F5H1H0</t>
  </si>
  <si>
    <t>F5H1M8</t>
  </si>
  <si>
    <t>F5H1X8</t>
  </si>
  <si>
    <t>F5H1Y4</t>
  </si>
  <si>
    <t>F5H280</t>
  </si>
  <si>
    <t>F5H2H5</t>
  </si>
  <si>
    <t>F5H2J3</t>
  </si>
  <si>
    <t>F5H2Q7</t>
  </si>
  <si>
    <t>F5H2S7</t>
  </si>
  <si>
    <t>F5H2U8</t>
  </si>
  <si>
    <t>F5H2X3</t>
  </si>
  <si>
    <t>F5H357</t>
  </si>
  <si>
    <t>F5H365</t>
  </si>
  <si>
    <t>F5H3B6</t>
  </si>
  <si>
    <t>F5H3M3</t>
  </si>
  <si>
    <t>F5H442</t>
  </si>
  <si>
    <t>F5H456</t>
  </si>
  <si>
    <t>F5H4G7</t>
  </si>
  <si>
    <t>F5H4K0</t>
  </si>
  <si>
    <t>F5H4N4</t>
  </si>
  <si>
    <t>F5H4Q5</t>
  </si>
  <si>
    <t>F5H4R0</t>
  </si>
  <si>
    <t>F5H4S8</t>
  </si>
  <si>
    <t>F5H523</t>
  </si>
  <si>
    <t>F5H533</t>
  </si>
  <si>
    <t>F5H569</t>
  </si>
  <si>
    <t>F5H577</t>
  </si>
  <si>
    <t>F5H5D3</t>
  </si>
  <si>
    <t>F5H5M7</t>
  </si>
  <si>
    <t>F5H5N0</t>
  </si>
  <si>
    <t>F5H5P2</t>
  </si>
  <si>
    <t>F5H5R8</t>
  </si>
  <si>
    <t>F5H604</t>
  </si>
  <si>
    <t>F5H607</t>
  </si>
  <si>
    <t>F5H620</t>
  </si>
  <si>
    <t>F5H6Z0</t>
  </si>
  <si>
    <t>F5H721</t>
  </si>
  <si>
    <t>F5H740</t>
  </si>
  <si>
    <t>F5H780</t>
  </si>
  <si>
    <t>F5H7C4</t>
  </si>
  <si>
    <t>F5H7N9</t>
  </si>
  <si>
    <t>F5H801</t>
  </si>
  <si>
    <t>F5H827</t>
  </si>
  <si>
    <t>F5H843</t>
  </si>
  <si>
    <t>F5H860</t>
  </si>
  <si>
    <t>F5H897</t>
  </si>
  <si>
    <t>F5H8H2</t>
  </si>
  <si>
    <t>F5H8J3</t>
  </si>
  <si>
    <t>F6PQP6</t>
  </si>
  <si>
    <t>F6T1Q0</t>
  </si>
  <si>
    <t>F6TQG2</t>
  </si>
  <si>
    <t>F6U1T9</t>
  </si>
  <si>
    <t>F6WCX7</t>
  </si>
  <si>
    <t>F6XY72</t>
  </si>
  <si>
    <t>F8VP89</t>
  </si>
  <si>
    <t>F8VPD4</t>
  </si>
  <si>
    <t>F8VQD4</t>
  </si>
  <si>
    <t>F8VQZ7</t>
  </si>
  <si>
    <t>F8VSI3</t>
  </si>
  <si>
    <t>F8VSL3</t>
  </si>
  <si>
    <t>F8VSZ4</t>
  </si>
  <si>
    <t>F8VU90</t>
  </si>
  <si>
    <t>F8VUJ3</t>
  </si>
  <si>
    <t>F8VV56</t>
  </si>
  <si>
    <t>F8VV59</t>
  </si>
  <si>
    <t>F8VV64</t>
  </si>
  <si>
    <t>F8VVA2</t>
  </si>
  <si>
    <t>F8VVA7</t>
  </si>
  <si>
    <t>F8VW41</t>
  </si>
  <si>
    <t>F8VW96</t>
  </si>
  <si>
    <t>F8VWA6</t>
  </si>
  <si>
    <t>F8VWE0</t>
  </si>
  <si>
    <t>F8VXC8</t>
  </si>
  <si>
    <t>F8VXG7</t>
  </si>
  <si>
    <t>F8VY35</t>
  </si>
  <si>
    <t>F8VYN9</t>
  </si>
  <si>
    <t>F8VYY5</t>
  </si>
  <si>
    <t>F8VZ44</t>
  </si>
  <si>
    <t>F8VZJ2</t>
  </si>
  <si>
    <t>F8W038</t>
  </si>
  <si>
    <t>F8W0Q9</t>
  </si>
  <si>
    <t>F8W1P7</t>
  </si>
  <si>
    <t>F8W1T6</t>
  </si>
  <si>
    <t>F8W689</t>
  </si>
  <si>
    <t>F8W6D9</t>
  </si>
  <si>
    <t>F8W6I7</t>
  </si>
  <si>
    <t>F8W6N8</t>
  </si>
  <si>
    <t>F8W717</t>
  </si>
  <si>
    <t>F8W726</t>
  </si>
  <si>
    <t>F8W7D6</t>
  </si>
  <si>
    <t>F8W7Q4</t>
  </si>
  <si>
    <t>F8W7S1</t>
  </si>
  <si>
    <t>F8W840</t>
  </si>
  <si>
    <t>F8W8C2</t>
  </si>
  <si>
    <t>F8W8I6</t>
  </si>
  <si>
    <t>F8W8M9</t>
  </si>
  <si>
    <t>F8W8R3</t>
  </si>
  <si>
    <t>F8W921</t>
  </si>
  <si>
    <t>F8W930</t>
  </si>
  <si>
    <t>F8W9B4</t>
  </si>
  <si>
    <t>F8W9E3</t>
  </si>
  <si>
    <t>F8W9W2</t>
  </si>
  <si>
    <t>F8WA11</t>
  </si>
  <si>
    <t>F8WA39</t>
  </si>
  <si>
    <t>F8WB74</t>
  </si>
  <si>
    <t>F8WBS5</t>
  </si>
  <si>
    <t>F8WC68</t>
  </si>
  <si>
    <t>F8WD04</t>
  </si>
  <si>
    <t>F8WDA4</t>
  </si>
  <si>
    <t>F8WE91</t>
  </si>
  <si>
    <t>F8WEC0</t>
  </si>
  <si>
    <t>F8WF48</t>
  </si>
  <si>
    <t>F8WJN3</t>
  </si>
  <si>
    <t>G3V0I5</t>
  </si>
  <si>
    <t>G3V169</t>
  </si>
  <si>
    <t>G3V1A6</t>
  </si>
  <si>
    <t>G3V1B5</t>
  </si>
  <si>
    <t>G3V1B8</t>
  </si>
  <si>
    <t>G3V1K3</t>
  </si>
  <si>
    <t>G3V1L9</t>
  </si>
  <si>
    <t>G3V1N2</t>
  </si>
  <si>
    <t>G3V1P3</t>
  </si>
  <si>
    <t>G3V1R3</t>
  </si>
  <si>
    <t>G3V1R9</t>
  </si>
  <si>
    <t>G3V1T4</t>
  </si>
  <si>
    <t>G3V1U0</t>
  </si>
  <si>
    <t>G3V1V0</t>
  </si>
  <si>
    <t>G3V1Y1</t>
  </si>
  <si>
    <t>G3V203</t>
  </si>
  <si>
    <t>G3V2F4</t>
  </si>
  <si>
    <t>G3V2F7</t>
  </si>
  <si>
    <t>G3V2N3</t>
  </si>
  <si>
    <t>G3V2U7</t>
  </si>
  <si>
    <t>G3V3D2</t>
  </si>
  <si>
    <t>G3V3G9</t>
  </si>
  <si>
    <t>G3V3R7</t>
  </si>
  <si>
    <t>G3V4K3</t>
  </si>
  <si>
    <t>G3V4P7</t>
  </si>
  <si>
    <t>G3V4T7</t>
  </si>
  <si>
    <t>G3V4U0</t>
  </si>
  <si>
    <t>G3V4W0</t>
  </si>
  <si>
    <t>G3V511</t>
  </si>
  <si>
    <t>G3V560</t>
  </si>
  <si>
    <t>G3V583</t>
  </si>
  <si>
    <t>G3V599</t>
  </si>
  <si>
    <t>G3V5I3</t>
  </si>
  <si>
    <t>G3V5N8</t>
  </si>
  <si>
    <t>G3V5T0</t>
  </si>
  <si>
    <t>G3V5T9</t>
  </si>
  <si>
    <t>G3V5Z7</t>
  </si>
  <si>
    <t>G3XA81</t>
  </si>
  <si>
    <t>G3XAA0</t>
  </si>
  <si>
    <t>G3XAH6</t>
  </si>
  <si>
    <t>G3XAI2</t>
  </si>
  <si>
    <t>G3XAJ1</t>
  </si>
  <si>
    <t>G3XAN4</t>
  </si>
  <si>
    <t>G3XAN8</t>
  </si>
  <si>
    <t>G3XAP3</t>
  </si>
  <si>
    <t>G3XAP6</t>
  </si>
  <si>
    <t>G5E972</t>
  </si>
  <si>
    <t>G5E994</t>
  </si>
  <si>
    <t>G5E9A6</t>
  </si>
  <si>
    <t>G5E9C8</t>
  </si>
  <si>
    <t>G5E9D4</t>
  </si>
  <si>
    <t>G5EA30</t>
  </si>
  <si>
    <t>G5EA42</t>
  </si>
  <si>
    <t>G5EA52</t>
  </si>
  <si>
    <t>G8JL86</t>
  </si>
  <si>
    <t>G8JL88</t>
  </si>
  <si>
    <t>G8JLA2</t>
  </si>
  <si>
    <t>G8JLB3</t>
  </si>
  <si>
    <t>G8JLH5</t>
  </si>
  <si>
    <t>G8JLI5</t>
  </si>
  <si>
    <t>G8JLI6</t>
  </si>
  <si>
    <t>G8JLK4</t>
  </si>
  <si>
    <t>G8JLL2</t>
  </si>
  <si>
    <t>G8JLL7</t>
  </si>
  <si>
    <t>G8JLM0</t>
  </si>
  <si>
    <t>H0Y2M6</t>
  </si>
  <si>
    <t>H0Y327</t>
  </si>
  <si>
    <t>H0Y360</t>
  </si>
  <si>
    <t>H0Y4G9</t>
  </si>
  <si>
    <t>H0Y4M8</t>
  </si>
  <si>
    <t>H0Y507</t>
  </si>
  <si>
    <t>H0Y547</t>
  </si>
  <si>
    <t>H0Y5A1</t>
  </si>
  <si>
    <t>H0Y5B0</t>
  </si>
  <si>
    <t>H0Y614</t>
  </si>
  <si>
    <t>H0Y6A0</t>
  </si>
  <si>
    <t>H0Y6B2</t>
  </si>
  <si>
    <t>H0Y6C3</t>
  </si>
  <si>
    <t>H0Y7A7</t>
  </si>
  <si>
    <t>H0Y7L2</t>
  </si>
  <si>
    <t>H0Y870</t>
  </si>
  <si>
    <t>H0Y8E6</t>
  </si>
  <si>
    <t>H0Y8H1</t>
  </si>
  <si>
    <t>H0Y931</t>
  </si>
  <si>
    <t>H0Y9B8</t>
  </si>
  <si>
    <t>H0Y9Q7</t>
  </si>
  <si>
    <t>H0YA20</t>
  </si>
  <si>
    <t>H0YA52</t>
  </si>
  <si>
    <t>H0YAC1</t>
  </si>
  <si>
    <t>H0YAE0</t>
  </si>
  <si>
    <t>H0YAJ5</t>
  </si>
  <si>
    <t>H0YAN8</t>
  </si>
  <si>
    <t>H0YAX0</t>
  </si>
  <si>
    <t>H0YBI6</t>
  </si>
  <si>
    <t>H0YBP1</t>
  </si>
  <si>
    <t>H0YBZ4</t>
  </si>
  <si>
    <t>H0YCI3</t>
  </si>
  <si>
    <t>H0YCK3</t>
  </si>
  <si>
    <t>H0YCQ5</t>
  </si>
  <si>
    <t>H0YD93</t>
  </si>
  <si>
    <t>H0YDE5</t>
  </si>
  <si>
    <t>H0YDR5</t>
  </si>
  <si>
    <t>H0YDT0</t>
  </si>
  <si>
    <t>H0YDU8</t>
  </si>
  <si>
    <t>H0YEB6</t>
  </si>
  <si>
    <t>H0YEL0</t>
  </si>
  <si>
    <t>H0YEN5</t>
  </si>
  <si>
    <t>H0YGA7</t>
  </si>
  <si>
    <t>H0YGX7</t>
  </si>
  <si>
    <t>H0YHQ9</t>
  </si>
  <si>
    <t>H0YI08</t>
  </si>
  <si>
    <t>H0YI09</t>
  </si>
  <si>
    <t>H0YIE9</t>
  </si>
  <si>
    <t>H0YIV9</t>
  </si>
  <si>
    <t>H0YJ34</t>
  </si>
  <si>
    <t>H0YJE0</t>
  </si>
  <si>
    <t>H0YJL9</t>
  </si>
  <si>
    <t>H0YKW5</t>
  </si>
  <si>
    <t>H0YL33</t>
  </si>
  <si>
    <t>H0YLD8</t>
  </si>
  <si>
    <t>H0YLH9</t>
  </si>
  <si>
    <t>H0YMB3</t>
  </si>
  <si>
    <t>H0YMF4</t>
  </si>
  <si>
    <t>H0YMG7</t>
  </si>
  <si>
    <t>H0YN78</t>
  </si>
  <si>
    <t>H0YNG3</t>
  </si>
  <si>
    <t>H0YNH5</t>
  </si>
  <si>
    <t>H0YNH8</t>
  </si>
  <si>
    <t>H3BLU2</t>
  </si>
  <si>
    <t>H3BLV0</t>
  </si>
  <si>
    <t>H3BLZ2</t>
  </si>
  <si>
    <t>H3BLZ8</t>
  </si>
  <si>
    <t>H3BM14</t>
  </si>
  <si>
    <t>H3BM67</t>
  </si>
  <si>
    <t>H3BM91</t>
  </si>
  <si>
    <t>H3BMF2</t>
  </si>
  <si>
    <t>H3BMF4</t>
  </si>
  <si>
    <t>H3BMQ0</t>
  </si>
  <si>
    <t>H3BNE3</t>
  </si>
  <si>
    <t>H3BP20</t>
  </si>
  <si>
    <t>H3BP28</t>
  </si>
  <si>
    <t>H3BP77</t>
  </si>
  <si>
    <t>H3BPC4</t>
  </si>
  <si>
    <t>H3BPE7</t>
  </si>
  <si>
    <t>H3BPG5</t>
  </si>
  <si>
    <t>H3BPS8</t>
  </si>
  <si>
    <t>H3BQ37</t>
  </si>
  <si>
    <t>H3BQ52</t>
  </si>
  <si>
    <t>H3BQA0</t>
  </si>
  <si>
    <t>H3BQF6</t>
  </si>
  <si>
    <t>H3BQX6</t>
  </si>
  <si>
    <t>H3BQZ7</t>
  </si>
  <si>
    <t>H3BR94</t>
  </si>
  <si>
    <t>H3BRD1</t>
  </si>
  <si>
    <t>H3BRF9</t>
  </si>
  <si>
    <t>H3BRG4</t>
  </si>
  <si>
    <t>H3BRL3</t>
  </si>
  <si>
    <t>H3BRN4</t>
  </si>
  <si>
    <t>H3BRU1</t>
  </si>
  <si>
    <t>H3BRV0</t>
  </si>
  <si>
    <t>H3BRY6</t>
  </si>
  <si>
    <t>H3BSM7</t>
  </si>
  <si>
    <t>H3BSS5</t>
  </si>
  <si>
    <t>H3BSW6</t>
  </si>
  <si>
    <t>H3BTF5</t>
  </si>
  <si>
    <t>H3BTL1</t>
  </si>
  <si>
    <t>H3BTN5</t>
  </si>
  <si>
    <t>H3BTQ3</t>
  </si>
  <si>
    <t>H3BTX0</t>
  </si>
  <si>
    <t>H3BU49</t>
  </si>
  <si>
    <t>H3BUQ2</t>
  </si>
  <si>
    <t>H3BUR4</t>
  </si>
  <si>
    <t>H3BUU9</t>
  </si>
  <si>
    <t>H3BUY6</t>
  </si>
  <si>
    <t>H7BXD8</t>
  </si>
  <si>
    <t>H7BXH2</t>
  </si>
  <si>
    <t>H7BXH9</t>
  </si>
  <si>
    <t>H7BXI1</t>
  </si>
  <si>
    <t>H7BXI5</t>
  </si>
  <si>
    <t>H7BXP5</t>
  </si>
  <si>
    <t>H7BXW7</t>
  </si>
  <si>
    <t>H7BY58</t>
  </si>
  <si>
    <t>H7BY84</t>
  </si>
  <si>
    <t>H7BYE5</t>
  </si>
  <si>
    <t>H7BYP4</t>
  </si>
  <si>
    <t>H7BZ11</t>
  </si>
  <si>
    <t>H7BZ94</t>
  </si>
  <si>
    <t>H7BZH7</t>
  </si>
  <si>
    <t>H7BZJ3</t>
  </si>
  <si>
    <t>H7BZQ3</t>
  </si>
  <si>
    <t>H7BZQ8</t>
  </si>
  <si>
    <t>H7BZT4</t>
  </si>
  <si>
    <t>H7C019</t>
  </si>
  <si>
    <t>H7C0A2</t>
  </si>
  <si>
    <t>H7C0G7</t>
  </si>
  <si>
    <t>H7C0U0</t>
  </si>
  <si>
    <t>H7C0Z5</t>
  </si>
  <si>
    <t>H7C107</t>
  </si>
  <si>
    <t>H7C137</t>
  </si>
  <si>
    <t>H7C1E4</t>
  </si>
  <si>
    <t>H7C1G1</t>
  </si>
  <si>
    <t>H7C1I0</t>
  </si>
  <si>
    <t>H7C1U3</t>
  </si>
  <si>
    <t>H7C1U8</t>
  </si>
  <si>
    <t>H7C3D8</t>
  </si>
  <si>
    <t>H7C4B9</t>
  </si>
  <si>
    <t>H7C4T5</t>
  </si>
  <si>
    <t>H7C585</t>
  </si>
  <si>
    <t>H7C5E4</t>
  </si>
  <si>
    <t>H7C5F7</t>
  </si>
  <si>
    <t>H7C5G1</t>
  </si>
  <si>
    <t>H7C5H4</t>
  </si>
  <si>
    <t>H9KV44</t>
  </si>
  <si>
    <t>H9KV50</t>
  </si>
  <si>
    <t>H9KV65</t>
  </si>
  <si>
    <t>H9KVB8</t>
  </si>
  <si>
    <t>I3L097</t>
  </si>
  <si>
    <t>I3L0A4</t>
  </si>
  <si>
    <t>I3L0K1</t>
  </si>
  <si>
    <t>I3L0L6</t>
  </si>
  <si>
    <t>I3L0N3</t>
  </si>
  <si>
    <t>I3L172</t>
  </si>
  <si>
    <t>I3L1B5</t>
  </si>
  <si>
    <t>I3L1D5</t>
  </si>
  <si>
    <t>I3L1D9</t>
  </si>
  <si>
    <t>I3L1H5</t>
  </si>
  <si>
    <t>I3L1K6</t>
  </si>
  <si>
    <t>I3L1P8</t>
  </si>
  <si>
    <t>I3L1Q3</t>
  </si>
  <si>
    <t>I3L2B0</t>
  </si>
  <si>
    <t>I3L2J0</t>
  </si>
  <si>
    <t>I3L2J8</t>
  </si>
  <si>
    <t>I3L2K5</t>
  </si>
  <si>
    <t>I3L2N2</t>
  </si>
  <si>
    <t>I3L367</t>
  </si>
  <si>
    <t>I3L397</t>
  </si>
  <si>
    <t>I3L3Y1</t>
  </si>
  <si>
    <t>I3L448</t>
  </si>
  <si>
    <t>I3L459</t>
  </si>
  <si>
    <t>I3L4Q0</t>
  </si>
  <si>
    <t>I3L4X3</t>
  </si>
  <si>
    <t>I3NI03</t>
  </si>
  <si>
    <t>I3NI23</t>
  </si>
  <si>
    <t>I6L894</t>
  </si>
  <si>
    <t>J3KMY5</t>
  </si>
  <si>
    <t>J3KMZ9</t>
  </si>
  <si>
    <t>J3KN16</t>
  </si>
  <si>
    <t>J3KN29</t>
  </si>
  <si>
    <t>J3KN59</t>
  </si>
  <si>
    <t>J3KN69</t>
  </si>
  <si>
    <t>J3KN75</t>
  </si>
  <si>
    <t>J3KN93</t>
  </si>
  <si>
    <t>J3KNA0</t>
  </si>
  <si>
    <t>J3KND3</t>
  </si>
  <si>
    <t>J3KNF4</t>
  </si>
  <si>
    <t>J3KNF5</t>
  </si>
  <si>
    <t>J3KNF8</t>
  </si>
  <si>
    <t>J3KNI1</t>
  </si>
  <si>
    <t>J3KNL3</t>
  </si>
  <si>
    <t>J3KNL6</t>
  </si>
  <si>
    <t>J3KNL7</t>
  </si>
  <si>
    <t>J3KNM9</t>
  </si>
  <si>
    <t>J3KNN7</t>
  </si>
  <si>
    <t>J3KNQ4</t>
  </si>
  <si>
    <t>J3KNR0</t>
  </si>
  <si>
    <t>J3KNT4</t>
  </si>
  <si>
    <t>J3KNW4</t>
  </si>
  <si>
    <t>J3KNX9</t>
  </si>
  <si>
    <t>J3KP15</t>
  </si>
  <si>
    <t>J3KP19</t>
  </si>
  <si>
    <t>J3KP22</t>
  </si>
  <si>
    <t>J3KP26</t>
  </si>
  <si>
    <t>J3KP29</t>
  </si>
  <si>
    <t>J3KP75</t>
  </si>
  <si>
    <t>J3KPC8</t>
  </si>
  <si>
    <t>J3KPG9</t>
  </si>
  <si>
    <t>J3KPK1</t>
  </si>
  <si>
    <t>J3KPP0</t>
  </si>
  <si>
    <t>J3KPP4</t>
  </si>
  <si>
    <t>J3KPS0</t>
  </si>
  <si>
    <t>J3KPT4</t>
  </si>
  <si>
    <t>J3KPV7</t>
  </si>
  <si>
    <t>J3KPW7</t>
  </si>
  <si>
    <t>J3KPX7</t>
  </si>
  <si>
    <t>J3KPX8</t>
  </si>
  <si>
    <t>J3KPY9</t>
  </si>
  <si>
    <t>J3KQ06</t>
  </si>
  <si>
    <t>J3KQ32</t>
  </si>
  <si>
    <t>J3KQ34</t>
  </si>
  <si>
    <t>J3KQ48</t>
  </si>
  <si>
    <t>J3KQ88</t>
  </si>
  <si>
    <t>J3KQ98</t>
  </si>
  <si>
    <t>J3KQB0</t>
  </si>
  <si>
    <t>J3KQC3</t>
  </si>
  <si>
    <t>J3KQD0</t>
  </si>
  <si>
    <t>J3KQE5</t>
  </si>
  <si>
    <t>J3KQG4</t>
  </si>
  <si>
    <t>J3KQJ1</t>
  </si>
  <si>
    <t>J3KQL8</t>
  </si>
  <si>
    <t>J3KQR7</t>
  </si>
  <si>
    <t>J3KQS6</t>
  </si>
  <si>
    <t>J3KQV0</t>
  </si>
  <si>
    <t>J3KR35</t>
  </si>
  <si>
    <t>J3KR58</t>
  </si>
  <si>
    <t>J3KR88</t>
  </si>
  <si>
    <t>J3KR97</t>
  </si>
  <si>
    <t>J3KRM8</t>
  </si>
  <si>
    <t>J3KRP6</t>
  </si>
  <si>
    <t>J3KRW7</t>
  </si>
  <si>
    <t>J3KS05</t>
  </si>
  <si>
    <t>J3KSL8</t>
  </si>
  <si>
    <t>J3KSS7</t>
  </si>
  <si>
    <t>J3KSW2</t>
  </si>
  <si>
    <t>J3KT10</t>
  </si>
  <si>
    <t>J3KTA4</t>
  </si>
  <si>
    <t>J3KTL2</t>
  </si>
  <si>
    <t>J3KTN0</t>
  </si>
  <si>
    <t>J3QK89</t>
  </si>
  <si>
    <t>J3QKR3</t>
  </si>
  <si>
    <t>J3QL56</t>
  </si>
  <si>
    <t>J3QL71</t>
  </si>
  <si>
    <t>J3QLB2</t>
  </si>
  <si>
    <t>J3QLE5</t>
  </si>
  <si>
    <t>J3QLU9</t>
  </si>
  <si>
    <t>J3QQJ0</t>
  </si>
  <si>
    <t>J3QQM5</t>
  </si>
  <si>
    <t>J3QQN7</t>
  </si>
  <si>
    <t>J3QQT2</t>
  </si>
  <si>
    <t>J3QR07</t>
  </si>
  <si>
    <t>J3QR29</t>
  </si>
  <si>
    <t>J3QRC3</t>
  </si>
  <si>
    <t>J3QRD1</t>
  </si>
  <si>
    <t>J3QRS3</t>
  </si>
  <si>
    <t>J3QRS9</t>
  </si>
  <si>
    <t>J3QRU1</t>
  </si>
  <si>
    <t>J3QRU4</t>
  </si>
  <si>
    <t>J3QS68</t>
  </si>
  <si>
    <t>J3QSW1</t>
  </si>
  <si>
    <t>J3QT34</t>
  </si>
  <si>
    <t>J3QT87</t>
  </si>
  <si>
    <t>J3QTA2</t>
  </si>
  <si>
    <t>J3QTA6</t>
  </si>
  <si>
    <t>J9JID7</t>
  </si>
  <si>
    <t>J9JIE6</t>
  </si>
  <si>
    <t>J9JIE9</t>
  </si>
  <si>
    <t>J9JIG6</t>
  </si>
  <si>
    <t>K4DI93</t>
  </si>
  <si>
    <t>K7EID0</t>
  </si>
  <si>
    <t>K7EIE9</t>
  </si>
  <si>
    <t>K7EIG1</t>
  </si>
  <si>
    <t>K7EIN1</t>
  </si>
  <si>
    <t>K7EIP7</t>
  </si>
  <si>
    <t>K7EIU8</t>
  </si>
  <si>
    <t>K7EJ78</t>
  </si>
  <si>
    <t>K7EJH0</t>
  </si>
  <si>
    <t>K7EJL1</t>
  </si>
  <si>
    <t>K7EK00</t>
  </si>
  <si>
    <t>K7EK07</t>
  </si>
  <si>
    <t>K7EK10</t>
  </si>
  <si>
    <t>K7EK35</t>
  </si>
  <si>
    <t>K7EKE6</t>
  </si>
  <si>
    <t>K7EKI8</t>
  </si>
  <si>
    <t>K7EKP8</t>
  </si>
  <si>
    <t>K7EKW3</t>
  </si>
  <si>
    <t>K7EL21</t>
  </si>
  <si>
    <t>K7EL68</t>
  </si>
  <si>
    <t>K7ELL7</t>
  </si>
  <si>
    <t>K7ELY2</t>
  </si>
  <si>
    <t>K7EM02</t>
  </si>
  <si>
    <t>K7EM09</t>
  </si>
  <si>
    <t>K7EM38</t>
  </si>
  <si>
    <t>K7EM88</t>
  </si>
  <si>
    <t>K7EN05</t>
  </si>
  <si>
    <t>K7EN08</t>
  </si>
  <si>
    <t>K7ENF0</t>
  </si>
  <si>
    <t>K7ENL9</t>
  </si>
  <si>
    <t>K7ENR6</t>
  </si>
  <si>
    <t>K7EP32</t>
  </si>
  <si>
    <t>K7EP80</t>
  </si>
  <si>
    <t>K7EPE7</t>
  </si>
  <si>
    <t>K7EPW6</t>
  </si>
  <si>
    <t>K7EQG1</t>
  </si>
  <si>
    <t>K7EQG4</t>
  </si>
  <si>
    <t>K7EQX8</t>
  </si>
  <si>
    <t>K7ER00</t>
  </si>
  <si>
    <t>K7ERF1</t>
  </si>
  <si>
    <t>K7ERG2</t>
  </si>
  <si>
    <t>K7ERV3</t>
  </si>
  <si>
    <t>K7ES02</t>
  </si>
  <si>
    <t>K7ES54</t>
  </si>
  <si>
    <t>K7ES57</t>
  </si>
  <si>
    <t>K7ES84</t>
  </si>
  <si>
    <t>K7ESE6</t>
  </si>
  <si>
    <t>K7ESP4</t>
  </si>
  <si>
    <t>M0QXA7</t>
  </si>
  <si>
    <t>M0QXT0</t>
  </si>
  <si>
    <t>M0QXX4</t>
  </si>
  <si>
    <t>M0QXZ5</t>
  </si>
  <si>
    <t>M0QY17</t>
  </si>
  <si>
    <t>M0QY77</t>
  </si>
  <si>
    <t>M0QY97</t>
  </si>
  <si>
    <t>M0QYH5</t>
  </si>
  <si>
    <t>M0QYM7</t>
  </si>
  <si>
    <t>M0QYS1</t>
  </si>
  <si>
    <t>M0QZ22</t>
  </si>
  <si>
    <t>M0QZH0</t>
  </si>
  <si>
    <t>M0QZL8</t>
  </si>
  <si>
    <t>M0R042</t>
  </si>
  <si>
    <t>M0R0F0</t>
  </si>
  <si>
    <t>M0R0N4</t>
  </si>
  <si>
    <t>M0R150</t>
  </si>
  <si>
    <t>M0R1G9</t>
  </si>
  <si>
    <t>M0R2A0</t>
  </si>
  <si>
    <t>M0R300</t>
  </si>
  <si>
    <t>M0R333</t>
  </si>
  <si>
    <t>M0R366</t>
  </si>
  <si>
    <t>M0R3D4</t>
  </si>
  <si>
    <t>O00116</t>
  </si>
  <si>
    <t>O00139-2</t>
  </si>
  <si>
    <t>O00148</t>
  </si>
  <si>
    <t>O00151</t>
  </si>
  <si>
    <t>O00154-4</t>
  </si>
  <si>
    <t>O00159-3</t>
  </si>
  <si>
    <t>O00161</t>
  </si>
  <si>
    <t>O00170</t>
  </si>
  <si>
    <t>O00178</t>
  </si>
  <si>
    <t>O00186</t>
  </si>
  <si>
    <t>O00203</t>
  </si>
  <si>
    <t>O00213-2</t>
  </si>
  <si>
    <t>O00220</t>
  </si>
  <si>
    <t>O00221</t>
  </si>
  <si>
    <t>O00231</t>
  </si>
  <si>
    <t>O00232</t>
  </si>
  <si>
    <t>O00244</t>
  </si>
  <si>
    <t>O00264</t>
  </si>
  <si>
    <t>O00267-2</t>
  </si>
  <si>
    <t>O00273</t>
  </si>
  <si>
    <t>O00273-2</t>
  </si>
  <si>
    <t>O00291</t>
  </si>
  <si>
    <t>O00299</t>
  </si>
  <si>
    <t>O00300</t>
  </si>
  <si>
    <t>O00308-2</t>
  </si>
  <si>
    <t>O00330</t>
  </si>
  <si>
    <t>O00391</t>
  </si>
  <si>
    <t>O00399</t>
  </si>
  <si>
    <t>O00400</t>
  </si>
  <si>
    <t>O00401</t>
  </si>
  <si>
    <t>O00410</t>
  </si>
  <si>
    <t>O00418</t>
  </si>
  <si>
    <t>O00429</t>
  </si>
  <si>
    <t>O00429-4</t>
  </si>
  <si>
    <t>O00442</t>
  </si>
  <si>
    <t>O00443</t>
  </si>
  <si>
    <t>O00459</t>
  </si>
  <si>
    <t>O00461</t>
  </si>
  <si>
    <t>O00462</t>
  </si>
  <si>
    <t>O00468-6</t>
  </si>
  <si>
    <t>O00469-2</t>
  </si>
  <si>
    <t>O00471</t>
  </si>
  <si>
    <t>O00479</t>
  </si>
  <si>
    <t>O00483</t>
  </si>
  <si>
    <t>O00487</t>
  </si>
  <si>
    <t>O00488</t>
  </si>
  <si>
    <t>O00499-6</t>
  </si>
  <si>
    <t>O00505</t>
  </si>
  <si>
    <t>O00506</t>
  </si>
  <si>
    <t>O00512</t>
  </si>
  <si>
    <t>O00534</t>
  </si>
  <si>
    <t>O00560</t>
  </si>
  <si>
    <t>O00567</t>
  </si>
  <si>
    <t>O00571</t>
  </si>
  <si>
    <t>O00622</t>
  </si>
  <si>
    <t>O00625</t>
  </si>
  <si>
    <t>O00629</t>
  </si>
  <si>
    <t>O00635</t>
  </si>
  <si>
    <t>O00743</t>
  </si>
  <si>
    <t>O00748</t>
  </si>
  <si>
    <t>O00754-2</t>
  </si>
  <si>
    <t>O00764</t>
  </si>
  <si>
    <t>O14495</t>
  </si>
  <si>
    <t>O14497</t>
  </si>
  <si>
    <t>O14498</t>
  </si>
  <si>
    <t>O14519-2</t>
  </si>
  <si>
    <t>O14524-2</t>
  </si>
  <si>
    <t>O14531</t>
  </si>
  <si>
    <t>O14545</t>
  </si>
  <si>
    <t>O14558</t>
  </si>
  <si>
    <t>O14561</t>
  </si>
  <si>
    <t>O14579</t>
  </si>
  <si>
    <t>O14613</t>
  </si>
  <si>
    <t>O14617-4</t>
  </si>
  <si>
    <t>O14656</t>
  </si>
  <si>
    <t>O14657</t>
  </si>
  <si>
    <t>O14662-2</t>
  </si>
  <si>
    <t>O14672</t>
  </si>
  <si>
    <t>O14686</t>
  </si>
  <si>
    <t>O14713-2</t>
  </si>
  <si>
    <t>O14734</t>
  </si>
  <si>
    <t>O14737</t>
  </si>
  <si>
    <t>O14744</t>
  </si>
  <si>
    <t>O14745</t>
  </si>
  <si>
    <t>O14756</t>
  </si>
  <si>
    <t>O14763-2</t>
  </si>
  <si>
    <t>O14772</t>
  </si>
  <si>
    <t>O14773</t>
  </si>
  <si>
    <t>O14776-2</t>
  </si>
  <si>
    <t>O14787-2</t>
  </si>
  <si>
    <t>O14807</t>
  </si>
  <si>
    <t>O14818</t>
  </si>
  <si>
    <t>O14828</t>
  </si>
  <si>
    <t>O14841</t>
  </si>
  <si>
    <t>O14867</t>
  </si>
  <si>
    <t>O14879</t>
  </si>
  <si>
    <t>O14907</t>
  </si>
  <si>
    <t>O14908</t>
  </si>
  <si>
    <t>O14910</t>
  </si>
  <si>
    <t>O14920</t>
  </si>
  <si>
    <t>O14925</t>
  </si>
  <si>
    <t>O14929</t>
  </si>
  <si>
    <t>O14933</t>
  </si>
  <si>
    <t>O14936-3</t>
  </si>
  <si>
    <t>O14949</t>
  </si>
  <si>
    <t>O14964</t>
  </si>
  <si>
    <t>O14966</t>
  </si>
  <si>
    <t>O14967</t>
  </si>
  <si>
    <t>O14974</t>
  </si>
  <si>
    <t>O14976</t>
  </si>
  <si>
    <t>O14979</t>
  </si>
  <si>
    <t>O14980</t>
  </si>
  <si>
    <t>O14981</t>
  </si>
  <si>
    <t>O15027-5</t>
  </si>
  <si>
    <t>O15031</t>
  </si>
  <si>
    <t>O15037</t>
  </si>
  <si>
    <t>O15040</t>
  </si>
  <si>
    <t>O15061</t>
  </si>
  <si>
    <t>O15063</t>
  </si>
  <si>
    <t>O15066</t>
  </si>
  <si>
    <t>O15067</t>
  </si>
  <si>
    <t>O15069</t>
  </si>
  <si>
    <t>O15085</t>
  </si>
  <si>
    <t>O15111</t>
  </si>
  <si>
    <t>O15116</t>
  </si>
  <si>
    <t>O15118</t>
  </si>
  <si>
    <t>O15120</t>
  </si>
  <si>
    <t>O15121</t>
  </si>
  <si>
    <t>O15126</t>
  </si>
  <si>
    <t>O15127</t>
  </si>
  <si>
    <t>O15143</t>
  </si>
  <si>
    <t>O15144</t>
  </si>
  <si>
    <t>O15145</t>
  </si>
  <si>
    <t>O15155</t>
  </si>
  <si>
    <t>O15160</t>
  </si>
  <si>
    <t>O15173</t>
  </si>
  <si>
    <t>O15212</t>
  </si>
  <si>
    <t>O15217</t>
  </si>
  <si>
    <t>O15228</t>
  </si>
  <si>
    <t>O15234</t>
  </si>
  <si>
    <t>O15240</t>
  </si>
  <si>
    <t>O15247</t>
  </si>
  <si>
    <t>O15254-2</t>
  </si>
  <si>
    <t>O15258</t>
  </si>
  <si>
    <t>O15269</t>
  </si>
  <si>
    <t>O15270</t>
  </si>
  <si>
    <t>O15294-3</t>
  </si>
  <si>
    <t>O15305</t>
  </si>
  <si>
    <t>O15327</t>
  </si>
  <si>
    <t>O15344</t>
  </si>
  <si>
    <t>O15347</t>
  </si>
  <si>
    <t>O15355</t>
  </si>
  <si>
    <t>O15357</t>
  </si>
  <si>
    <t>O15382</t>
  </si>
  <si>
    <t>O15394</t>
  </si>
  <si>
    <t>O15397</t>
  </si>
  <si>
    <t>O15400-2</t>
  </si>
  <si>
    <t>O15403</t>
  </si>
  <si>
    <t>O15427</t>
  </si>
  <si>
    <t>O15431</t>
  </si>
  <si>
    <t>O15439-2</t>
  </si>
  <si>
    <t>O15446</t>
  </si>
  <si>
    <t>O15460</t>
  </si>
  <si>
    <t>O15460-2</t>
  </si>
  <si>
    <t>O15498</t>
  </si>
  <si>
    <t>O15511</t>
  </si>
  <si>
    <t>O15514</t>
  </si>
  <si>
    <t>O15541</t>
  </si>
  <si>
    <t>O43143</t>
  </si>
  <si>
    <t>O43148</t>
  </si>
  <si>
    <t>O43155</t>
  </si>
  <si>
    <t>O43157-2</t>
  </si>
  <si>
    <t>O43164-2</t>
  </si>
  <si>
    <t>O43172-2</t>
  </si>
  <si>
    <t>O43175</t>
  </si>
  <si>
    <t>O43181</t>
  </si>
  <si>
    <t>O43182-4</t>
  </si>
  <si>
    <t>O43184-3</t>
  </si>
  <si>
    <t>O43237</t>
  </si>
  <si>
    <t>O43242</t>
  </si>
  <si>
    <t>O43252</t>
  </si>
  <si>
    <t>O43281</t>
  </si>
  <si>
    <t>O43290</t>
  </si>
  <si>
    <t>O43293</t>
  </si>
  <si>
    <t>O43294-2</t>
  </si>
  <si>
    <t>O43299</t>
  </si>
  <si>
    <t>O43301</t>
  </si>
  <si>
    <t>O43310</t>
  </si>
  <si>
    <t>O43314-2</t>
  </si>
  <si>
    <t>O43318-2</t>
  </si>
  <si>
    <t>O43325</t>
  </si>
  <si>
    <t>O43353</t>
  </si>
  <si>
    <t>O43396</t>
  </si>
  <si>
    <t>O43399</t>
  </si>
  <si>
    <t>O43402</t>
  </si>
  <si>
    <t>O43464-3</t>
  </si>
  <si>
    <t>O43488</t>
  </si>
  <si>
    <t>O43493-2</t>
  </si>
  <si>
    <t>O43504</t>
  </si>
  <si>
    <t>O43505</t>
  </si>
  <si>
    <t>O43513</t>
  </si>
  <si>
    <t>O43516</t>
  </si>
  <si>
    <t>O43520</t>
  </si>
  <si>
    <t>O43524</t>
  </si>
  <si>
    <t>O43567</t>
  </si>
  <si>
    <t>O43583</t>
  </si>
  <si>
    <t>O43592</t>
  </si>
  <si>
    <t>O43598</t>
  </si>
  <si>
    <t>O43615</t>
  </si>
  <si>
    <t>O43617</t>
  </si>
  <si>
    <t>O43617-2</t>
  </si>
  <si>
    <t>O43633</t>
  </si>
  <si>
    <t>O43639</t>
  </si>
  <si>
    <t>O43657</t>
  </si>
  <si>
    <t>O43665-2</t>
  </si>
  <si>
    <t>O43676</t>
  </si>
  <si>
    <t>O43677</t>
  </si>
  <si>
    <t>O43678</t>
  </si>
  <si>
    <t>O43681</t>
  </si>
  <si>
    <t>O43684</t>
  </si>
  <si>
    <t>O43707</t>
  </si>
  <si>
    <t>O43715</t>
  </si>
  <si>
    <t>O43719</t>
  </si>
  <si>
    <t>O43739-2</t>
  </si>
  <si>
    <t>O43752</t>
  </si>
  <si>
    <t>O43760</t>
  </si>
  <si>
    <t>O43765</t>
  </si>
  <si>
    <t>O43766-2</t>
  </si>
  <si>
    <t>O43768-2</t>
  </si>
  <si>
    <t>O43772</t>
  </si>
  <si>
    <t>O43776</t>
  </si>
  <si>
    <t>O43805</t>
  </si>
  <si>
    <t>O43809</t>
  </si>
  <si>
    <t>O43813</t>
  </si>
  <si>
    <t>O43815</t>
  </si>
  <si>
    <t>O43818</t>
  </si>
  <si>
    <t>O43819</t>
  </si>
  <si>
    <t>O43820-4</t>
  </si>
  <si>
    <t>O43826</t>
  </si>
  <si>
    <t>O43837</t>
  </si>
  <si>
    <t>O43852</t>
  </si>
  <si>
    <t>O43852-15</t>
  </si>
  <si>
    <t>O43852-2</t>
  </si>
  <si>
    <t>O43854-2</t>
  </si>
  <si>
    <t>O43865</t>
  </si>
  <si>
    <t>O43896</t>
  </si>
  <si>
    <t>O43915</t>
  </si>
  <si>
    <t>O43920</t>
  </si>
  <si>
    <t>O43924</t>
  </si>
  <si>
    <t>O60220</t>
  </si>
  <si>
    <t>O60234</t>
  </si>
  <si>
    <t>O60239</t>
  </si>
  <si>
    <t>O60256</t>
  </si>
  <si>
    <t>O60262</t>
  </si>
  <si>
    <t>O60271-4</t>
  </si>
  <si>
    <t>O60271-9</t>
  </si>
  <si>
    <t>O60313-2</t>
  </si>
  <si>
    <t>O60331-4</t>
  </si>
  <si>
    <t>O60333-2</t>
  </si>
  <si>
    <t>O60343-2</t>
  </si>
  <si>
    <t>O60353-2</t>
  </si>
  <si>
    <t>O60356</t>
  </si>
  <si>
    <t>O60361</t>
  </si>
  <si>
    <t>O60427</t>
  </si>
  <si>
    <t>O60443</t>
  </si>
  <si>
    <t>O60449-3</t>
  </si>
  <si>
    <t>O60476</t>
  </si>
  <si>
    <t>O60488-2</t>
  </si>
  <si>
    <t>O60493</t>
  </si>
  <si>
    <t>O60502</t>
  </si>
  <si>
    <t>O60503</t>
  </si>
  <si>
    <t>O60504-2</t>
  </si>
  <si>
    <t>O60506-4</t>
  </si>
  <si>
    <t>O60507</t>
  </si>
  <si>
    <t>O60513</t>
  </si>
  <si>
    <t>O60524-4</t>
  </si>
  <si>
    <t>O60547-2</t>
  </si>
  <si>
    <t>O60551</t>
  </si>
  <si>
    <t>O60565-2</t>
  </si>
  <si>
    <t>O60568</t>
  </si>
  <si>
    <t>O60613</t>
  </si>
  <si>
    <t>O60637-3</t>
  </si>
  <si>
    <t>O60664-2</t>
  </si>
  <si>
    <t>O60671</t>
  </si>
  <si>
    <t>O60701</t>
  </si>
  <si>
    <t>O60704</t>
  </si>
  <si>
    <t>O60711</t>
  </si>
  <si>
    <t>O60716-5</t>
  </si>
  <si>
    <t>O60749</t>
  </si>
  <si>
    <t>O60763</t>
  </si>
  <si>
    <t>O60828</t>
  </si>
  <si>
    <t>O60830</t>
  </si>
  <si>
    <t>O60831</t>
  </si>
  <si>
    <t>O60841</t>
  </si>
  <si>
    <t>O60869</t>
  </si>
  <si>
    <t>O60884</t>
  </si>
  <si>
    <t>O60885</t>
  </si>
  <si>
    <t>O60888-3</t>
  </si>
  <si>
    <t>O60925</t>
  </si>
  <si>
    <t>O60927</t>
  </si>
  <si>
    <t>O60934</t>
  </si>
  <si>
    <t>O75027</t>
  </si>
  <si>
    <t>O75037-3</t>
  </si>
  <si>
    <t>O75044</t>
  </si>
  <si>
    <t>O75063</t>
  </si>
  <si>
    <t>O75071</t>
  </si>
  <si>
    <t>O75083</t>
  </si>
  <si>
    <t>O75084</t>
  </si>
  <si>
    <t>O75095-2</t>
  </si>
  <si>
    <t>O75110</t>
  </si>
  <si>
    <t>O75113</t>
  </si>
  <si>
    <t>O75116</t>
  </si>
  <si>
    <t>O75131</t>
  </si>
  <si>
    <t>O75143-2</t>
  </si>
  <si>
    <t>O75146</t>
  </si>
  <si>
    <t>O75150-3</t>
  </si>
  <si>
    <t>O75155</t>
  </si>
  <si>
    <t>O75157-2</t>
  </si>
  <si>
    <t>O75165</t>
  </si>
  <si>
    <t>O75170-4</t>
  </si>
  <si>
    <t>O75175-2</t>
  </si>
  <si>
    <t>O75177</t>
  </si>
  <si>
    <t>O75179-2</t>
  </si>
  <si>
    <t>O75191</t>
  </si>
  <si>
    <t>O75208</t>
  </si>
  <si>
    <t>O75223</t>
  </si>
  <si>
    <t>O75298-2</t>
  </si>
  <si>
    <t>O75312</t>
  </si>
  <si>
    <t>O75323</t>
  </si>
  <si>
    <t>O75326</t>
  </si>
  <si>
    <t>O75340</t>
  </si>
  <si>
    <t>O75347</t>
  </si>
  <si>
    <t>O75348</t>
  </si>
  <si>
    <t>O75351</t>
  </si>
  <si>
    <t>O75356</t>
  </si>
  <si>
    <t>O75368</t>
  </si>
  <si>
    <t>O75369-8</t>
  </si>
  <si>
    <t>O75376-2</t>
  </si>
  <si>
    <t>O75379</t>
  </si>
  <si>
    <t>O75380</t>
  </si>
  <si>
    <t>O75381-2</t>
  </si>
  <si>
    <t>O75386</t>
  </si>
  <si>
    <t>O75391</t>
  </si>
  <si>
    <t>O75396</t>
  </si>
  <si>
    <t>O75400-2</t>
  </si>
  <si>
    <t>O75420</t>
  </si>
  <si>
    <t>O75427</t>
  </si>
  <si>
    <t>O75436</t>
  </si>
  <si>
    <t>O75438</t>
  </si>
  <si>
    <t>O75439</t>
  </si>
  <si>
    <t>O75460</t>
  </si>
  <si>
    <t>O75475</t>
  </si>
  <si>
    <t>O75489</t>
  </si>
  <si>
    <t>O75503</t>
  </si>
  <si>
    <t>O75506</t>
  </si>
  <si>
    <t>O75521-2</t>
  </si>
  <si>
    <t>O75531</t>
  </si>
  <si>
    <t>O75533</t>
  </si>
  <si>
    <t>O75534</t>
  </si>
  <si>
    <t>O75600</t>
  </si>
  <si>
    <t>O75607</t>
  </si>
  <si>
    <t>O75608-2</t>
  </si>
  <si>
    <t>O75635-2</t>
  </si>
  <si>
    <t>O75648</t>
  </si>
  <si>
    <t>O75663</t>
  </si>
  <si>
    <t>O75688</t>
  </si>
  <si>
    <t>O75689</t>
  </si>
  <si>
    <t>O75695</t>
  </si>
  <si>
    <t>O75718</t>
  </si>
  <si>
    <t>O75746</t>
  </si>
  <si>
    <t>O75781</t>
  </si>
  <si>
    <t>O75794</t>
  </si>
  <si>
    <t>O75815-3</t>
  </si>
  <si>
    <t>O75818-2</t>
  </si>
  <si>
    <t>O75821</t>
  </si>
  <si>
    <t>O75822</t>
  </si>
  <si>
    <t>O75828</t>
  </si>
  <si>
    <t>O75832</t>
  </si>
  <si>
    <t>O75844</t>
  </si>
  <si>
    <t>O75865</t>
  </si>
  <si>
    <t>O75874</t>
  </si>
  <si>
    <t>O75882</t>
  </si>
  <si>
    <t>O75884</t>
  </si>
  <si>
    <t>O75886</t>
  </si>
  <si>
    <t>O75891</t>
  </si>
  <si>
    <t>O75896</t>
  </si>
  <si>
    <t>O75911</t>
  </si>
  <si>
    <t>O75914-2</t>
  </si>
  <si>
    <t>O75915</t>
  </si>
  <si>
    <t>O75934</t>
  </si>
  <si>
    <t>O75935</t>
  </si>
  <si>
    <t>O75937</t>
  </si>
  <si>
    <t>O75940</t>
  </si>
  <si>
    <t>O75947</t>
  </si>
  <si>
    <t>O75955</t>
  </si>
  <si>
    <t>O75962-4</t>
  </si>
  <si>
    <t>O75964</t>
  </si>
  <si>
    <t>O75976</t>
  </si>
  <si>
    <t>O76003</t>
  </si>
  <si>
    <t>O76024</t>
  </si>
  <si>
    <t>O76031</t>
  </si>
  <si>
    <t>O76054</t>
  </si>
  <si>
    <t>O76061</t>
  </si>
  <si>
    <t>O76070</t>
  </si>
  <si>
    <t>O76071</t>
  </si>
  <si>
    <t>O76074</t>
  </si>
  <si>
    <t>O76080</t>
  </si>
  <si>
    <t>O76095-2</t>
  </si>
  <si>
    <t>O94760</t>
  </si>
  <si>
    <t>O94763</t>
  </si>
  <si>
    <t>O94766</t>
  </si>
  <si>
    <t>O94804</t>
  </si>
  <si>
    <t>O94826</t>
  </si>
  <si>
    <t>O94829</t>
  </si>
  <si>
    <t>O94830</t>
  </si>
  <si>
    <t>O94832</t>
  </si>
  <si>
    <t>O94851-5</t>
  </si>
  <si>
    <t>O94854-2</t>
  </si>
  <si>
    <t>O94855</t>
  </si>
  <si>
    <t>O94856-9</t>
  </si>
  <si>
    <t>O94864-2</t>
  </si>
  <si>
    <t>O94874</t>
  </si>
  <si>
    <t>O94885</t>
  </si>
  <si>
    <t>O94886</t>
  </si>
  <si>
    <t>O94888</t>
  </si>
  <si>
    <t>O94889</t>
  </si>
  <si>
    <t>O94903</t>
  </si>
  <si>
    <t>O94905</t>
  </si>
  <si>
    <t>O94919</t>
  </si>
  <si>
    <t>O94921</t>
  </si>
  <si>
    <t>O94966-7</t>
  </si>
  <si>
    <t>O94967-2</t>
  </si>
  <si>
    <t>O94973</t>
  </si>
  <si>
    <t>O94992</t>
  </si>
  <si>
    <t>O95050-2</t>
  </si>
  <si>
    <t>O95057</t>
  </si>
  <si>
    <t>O95081</t>
  </si>
  <si>
    <t>O95084</t>
  </si>
  <si>
    <t>O95104-2</t>
  </si>
  <si>
    <t>O95136</t>
  </si>
  <si>
    <t>O95139</t>
  </si>
  <si>
    <t>O95140</t>
  </si>
  <si>
    <t>O95155-2</t>
  </si>
  <si>
    <t>O95159</t>
  </si>
  <si>
    <t>O95167</t>
  </si>
  <si>
    <t>O95182</t>
  </si>
  <si>
    <t>O95183</t>
  </si>
  <si>
    <t>O95197-2</t>
  </si>
  <si>
    <t>O95202</t>
  </si>
  <si>
    <t>O95206-3</t>
  </si>
  <si>
    <t>O95218-2</t>
  </si>
  <si>
    <t>O95219</t>
  </si>
  <si>
    <t>O95231</t>
  </si>
  <si>
    <t>O95273</t>
  </si>
  <si>
    <t>O95292</t>
  </si>
  <si>
    <t>O95295</t>
  </si>
  <si>
    <t>O95297-2</t>
  </si>
  <si>
    <t>O95298-2</t>
  </si>
  <si>
    <t>O95302</t>
  </si>
  <si>
    <t>O95336</t>
  </si>
  <si>
    <t>O95352</t>
  </si>
  <si>
    <t>O95361</t>
  </si>
  <si>
    <t>O95365</t>
  </si>
  <si>
    <t>O95372</t>
  </si>
  <si>
    <t>O95373</t>
  </si>
  <si>
    <t>O95376</t>
  </si>
  <si>
    <t>O95388</t>
  </si>
  <si>
    <t>O95394-3</t>
  </si>
  <si>
    <t>O95396</t>
  </si>
  <si>
    <t>O95400</t>
  </si>
  <si>
    <t>O95405</t>
  </si>
  <si>
    <t>O95425</t>
  </si>
  <si>
    <t>O95429-2</t>
  </si>
  <si>
    <t>O95433</t>
  </si>
  <si>
    <t>O95450</t>
  </si>
  <si>
    <t>O95453-2</t>
  </si>
  <si>
    <t>O95456</t>
  </si>
  <si>
    <t>O95470</t>
  </si>
  <si>
    <t>O95486</t>
  </si>
  <si>
    <t>O95487-2</t>
  </si>
  <si>
    <t>O95528</t>
  </si>
  <si>
    <t>O95544</t>
  </si>
  <si>
    <t>O95551</t>
  </si>
  <si>
    <t>O95571</t>
  </si>
  <si>
    <t>O95573</t>
  </si>
  <si>
    <t>O95628-3</t>
  </si>
  <si>
    <t>O95630</t>
  </si>
  <si>
    <t>O95671-2</t>
  </si>
  <si>
    <t>O95674</t>
  </si>
  <si>
    <t>O95684</t>
  </si>
  <si>
    <t>O95716</t>
  </si>
  <si>
    <t>O95721</t>
  </si>
  <si>
    <t>O95747</t>
  </si>
  <si>
    <t>O95749</t>
  </si>
  <si>
    <t>O95777</t>
  </si>
  <si>
    <t>O95782-2</t>
  </si>
  <si>
    <t>O95786</t>
  </si>
  <si>
    <t>O95801</t>
  </si>
  <si>
    <t>O95807</t>
  </si>
  <si>
    <t>O95810</t>
  </si>
  <si>
    <t>O95816</t>
  </si>
  <si>
    <t>O95817</t>
  </si>
  <si>
    <t>O95825</t>
  </si>
  <si>
    <t>O95831-3</t>
  </si>
  <si>
    <t>O95833</t>
  </si>
  <si>
    <t>O95834</t>
  </si>
  <si>
    <t>O95848</t>
  </si>
  <si>
    <t>O95857</t>
  </si>
  <si>
    <t>O95864</t>
  </si>
  <si>
    <t>O95865</t>
  </si>
  <si>
    <t>O95873</t>
  </si>
  <si>
    <t>O95881</t>
  </si>
  <si>
    <t>O95905</t>
  </si>
  <si>
    <t>O95926</t>
  </si>
  <si>
    <t>O95965</t>
  </si>
  <si>
    <t>O95980</t>
  </si>
  <si>
    <t>O95989</t>
  </si>
  <si>
    <t>O95999</t>
  </si>
  <si>
    <t>O96000</t>
  </si>
  <si>
    <t>O96007</t>
  </si>
  <si>
    <t>O96008</t>
  </si>
  <si>
    <t>O96011</t>
  </si>
  <si>
    <t>O96013</t>
  </si>
  <si>
    <t>O96017</t>
  </si>
  <si>
    <t>O96019</t>
  </si>
  <si>
    <t>O96033</t>
  </si>
  <si>
    <t>P00167-2</t>
  </si>
  <si>
    <t>P00325</t>
  </si>
  <si>
    <t>P00338</t>
  </si>
  <si>
    <t>P00352</t>
  </si>
  <si>
    <t>P00367</t>
  </si>
  <si>
    <t>P00387-2</t>
  </si>
  <si>
    <t>P00390-2</t>
  </si>
  <si>
    <t>P00403</t>
  </si>
  <si>
    <t>P00441</t>
  </si>
  <si>
    <t>P00491</t>
  </si>
  <si>
    <t>P00492</t>
  </si>
  <si>
    <t>P00505</t>
  </si>
  <si>
    <t>P00519</t>
  </si>
  <si>
    <t>P00533</t>
  </si>
  <si>
    <t>P00558</t>
  </si>
  <si>
    <t>P00736</t>
  </si>
  <si>
    <t>P00738</t>
  </si>
  <si>
    <t>P00813</t>
  </si>
  <si>
    <t>P00966</t>
  </si>
  <si>
    <t>P01023</t>
  </si>
  <si>
    <t>P01034</t>
  </si>
  <si>
    <t>P01111</t>
  </si>
  <si>
    <t>P01112</t>
  </si>
  <si>
    <t>P01116-2</t>
  </si>
  <si>
    <t>P01137</t>
  </si>
  <si>
    <t>P02452</t>
  </si>
  <si>
    <t>P02458</t>
  </si>
  <si>
    <t>P02461</t>
  </si>
  <si>
    <t>P02462-2</t>
  </si>
  <si>
    <t>P02545</t>
  </si>
  <si>
    <t>P02649</t>
  </si>
  <si>
    <t>P02652</t>
  </si>
  <si>
    <t>P02751-17</t>
  </si>
  <si>
    <t>P02786</t>
  </si>
  <si>
    <t>P02787</t>
  </si>
  <si>
    <t>P02792</t>
  </si>
  <si>
    <t>P02794</t>
  </si>
  <si>
    <t>P02795</t>
  </si>
  <si>
    <t>P03928</t>
  </si>
  <si>
    <t>P03956</t>
  </si>
  <si>
    <t>P04040</t>
  </si>
  <si>
    <t>P04062-3</t>
  </si>
  <si>
    <t>P04066</t>
  </si>
  <si>
    <t>P04075</t>
  </si>
  <si>
    <t>P04080</t>
  </si>
  <si>
    <t>P04083</t>
  </si>
  <si>
    <t>P04181</t>
  </si>
  <si>
    <t>P04181-2</t>
  </si>
  <si>
    <t>P04217</t>
  </si>
  <si>
    <t>P04350</t>
  </si>
  <si>
    <t>P04406</t>
  </si>
  <si>
    <t>P04406-2</t>
  </si>
  <si>
    <t>P04424</t>
  </si>
  <si>
    <t>P04632</t>
  </si>
  <si>
    <t>P04731</t>
  </si>
  <si>
    <t>P04792</t>
  </si>
  <si>
    <t>P04843</t>
  </si>
  <si>
    <t>P04844-2</t>
  </si>
  <si>
    <t>P04899</t>
  </si>
  <si>
    <t>P04921-2</t>
  </si>
  <si>
    <t>P05023-4</t>
  </si>
  <si>
    <t>P05067-7</t>
  </si>
  <si>
    <t>P05090</t>
  </si>
  <si>
    <t>P05091</t>
  </si>
  <si>
    <t>P05106</t>
  </si>
  <si>
    <t>P05114</t>
  </si>
  <si>
    <t>P05120</t>
  </si>
  <si>
    <t>P05121</t>
  </si>
  <si>
    <t>P05141</t>
  </si>
  <si>
    <t>P05161</t>
  </si>
  <si>
    <t>P05165-3</t>
  </si>
  <si>
    <t>P05186</t>
  </si>
  <si>
    <t>P05198</t>
  </si>
  <si>
    <t>P05204</t>
  </si>
  <si>
    <t>P05362</t>
  </si>
  <si>
    <t>P05387</t>
  </si>
  <si>
    <t>P05388</t>
  </si>
  <si>
    <t>P05412</t>
  </si>
  <si>
    <t>P05413</t>
  </si>
  <si>
    <t>P05455</t>
  </si>
  <si>
    <t>P05556</t>
  </si>
  <si>
    <t>P05997</t>
  </si>
  <si>
    <t>P06132</t>
  </si>
  <si>
    <t>P06241</t>
  </si>
  <si>
    <t>P06280</t>
  </si>
  <si>
    <t>P06396-2</t>
  </si>
  <si>
    <t>P06576</t>
  </si>
  <si>
    <t>P06733</t>
  </si>
  <si>
    <t>P06737-2</t>
  </si>
  <si>
    <t>P06744</t>
  </si>
  <si>
    <t>P06748</t>
  </si>
  <si>
    <t>P06756-2</t>
  </si>
  <si>
    <t>P06756-3</t>
  </si>
  <si>
    <t>P07093-2</t>
  </si>
  <si>
    <t>P07099</t>
  </si>
  <si>
    <t>P07108</t>
  </si>
  <si>
    <t>P07195</t>
  </si>
  <si>
    <t>P07203</t>
  </si>
  <si>
    <t>P07205</t>
  </si>
  <si>
    <t>P07225</t>
  </si>
  <si>
    <t>P07237</t>
  </si>
  <si>
    <t>P07305-2</t>
  </si>
  <si>
    <t>P07339</t>
  </si>
  <si>
    <t>P07355</t>
  </si>
  <si>
    <t>P07384</t>
  </si>
  <si>
    <t>P07476</t>
  </si>
  <si>
    <t>P07585</t>
  </si>
  <si>
    <t>P07686</t>
  </si>
  <si>
    <t>P07711</t>
  </si>
  <si>
    <t>P07737</t>
  </si>
  <si>
    <t>P07738</t>
  </si>
  <si>
    <t>P07741</t>
  </si>
  <si>
    <t>P07814</t>
  </si>
  <si>
    <t>P07858</t>
  </si>
  <si>
    <t>P07900</t>
  </si>
  <si>
    <t>P07902</t>
  </si>
  <si>
    <t>P07919</t>
  </si>
  <si>
    <t>P07954-2</t>
  </si>
  <si>
    <t>P07996</t>
  </si>
  <si>
    <t>P08107</t>
  </si>
  <si>
    <t>P08123</t>
  </si>
  <si>
    <t>P08133</t>
  </si>
  <si>
    <t>P08237</t>
  </si>
  <si>
    <t>P08238</t>
  </si>
  <si>
    <t>P08240</t>
  </si>
  <si>
    <t>P08253</t>
  </si>
  <si>
    <t>P08294</t>
  </si>
  <si>
    <t>P08397-2</t>
  </si>
  <si>
    <t>P08473</t>
  </si>
  <si>
    <t>P08476</t>
  </si>
  <si>
    <t>P08559-3</t>
  </si>
  <si>
    <t>P08572</t>
  </si>
  <si>
    <t>P08574</t>
  </si>
  <si>
    <t>P08579</t>
  </si>
  <si>
    <t>P08590</t>
  </si>
  <si>
    <t>P08603</t>
  </si>
  <si>
    <t>P08621-2</t>
  </si>
  <si>
    <t>P08648</t>
  </si>
  <si>
    <t>P08651-2</t>
  </si>
  <si>
    <t>P08670</t>
  </si>
  <si>
    <t>P08754</t>
  </si>
  <si>
    <t>P08758</t>
  </si>
  <si>
    <t>P08842</t>
  </si>
  <si>
    <t>P09012</t>
  </si>
  <si>
    <t>P09038-2</t>
  </si>
  <si>
    <t>P09104</t>
  </si>
  <si>
    <t>P09110</t>
  </si>
  <si>
    <t>P09132</t>
  </si>
  <si>
    <t>P09211</t>
  </si>
  <si>
    <t>P09234</t>
  </si>
  <si>
    <t>P09382</t>
  </si>
  <si>
    <t>P09417</t>
  </si>
  <si>
    <t>P09429</t>
  </si>
  <si>
    <t>P09486</t>
  </si>
  <si>
    <t>P09496-2</t>
  </si>
  <si>
    <t>P09497-2</t>
  </si>
  <si>
    <t>P09525</t>
  </si>
  <si>
    <t>P09543-2</t>
  </si>
  <si>
    <t>P09601</t>
  </si>
  <si>
    <t>P09619</t>
  </si>
  <si>
    <t>P09622</t>
  </si>
  <si>
    <t>P09661</t>
  </si>
  <si>
    <t>P09668</t>
  </si>
  <si>
    <t>P09669</t>
  </si>
  <si>
    <t>P09874</t>
  </si>
  <si>
    <t>P09936</t>
  </si>
  <si>
    <t>P09960</t>
  </si>
  <si>
    <t>P09972</t>
  </si>
  <si>
    <t>P0C7T5</t>
  </si>
  <si>
    <t>P0CG12</t>
  </si>
  <si>
    <t>P0CG35</t>
  </si>
  <si>
    <t>P0CG38</t>
  </si>
  <si>
    <t>P0CG39</t>
  </si>
  <si>
    <t>P0CW22</t>
  </si>
  <si>
    <t>P0DJ93</t>
  </si>
  <si>
    <t>P10109</t>
  </si>
  <si>
    <t>P10114</t>
  </si>
  <si>
    <t>P10124</t>
  </si>
  <si>
    <t>P10155</t>
  </si>
  <si>
    <t>P10176</t>
  </si>
  <si>
    <t>P10253</t>
  </si>
  <si>
    <t>P10301</t>
  </si>
  <si>
    <t>P10398</t>
  </si>
  <si>
    <t>P10515</t>
  </si>
  <si>
    <t>P10586-2</t>
  </si>
  <si>
    <t>P10599</t>
  </si>
  <si>
    <t>P10606</t>
  </si>
  <si>
    <t>P10619</t>
  </si>
  <si>
    <t>P10620</t>
  </si>
  <si>
    <t>P10636</t>
  </si>
  <si>
    <t>P10644</t>
  </si>
  <si>
    <t>P10746</t>
  </si>
  <si>
    <t>P10768</t>
  </si>
  <si>
    <t>P10809</t>
  </si>
  <si>
    <t>P10909-4</t>
  </si>
  <si>
    <t>P10915</t>
  </si>
  <si>
    <t>P11021</t>
  </si>
  <si>
    <t>P11047</t>
  </si>
  <si>
    <t>P11117</t>
  </si>
  <si>
    <t>P11137-3</t>
  </si>
  <si>
    <t>P11137-4</t>
  </si>
  <si>
    <t>P11142</t>
  </si>
  <si>
    <t>P11166</t>
  </si>
  <si>
    <t>P11169</t>
  </si>
  <si>
    <t>P11172</t>
  </si>
  <si>
    <t>P11177-2</t>
  </si>
  <si>
    <t>P11182</t>
  </si>
  <si>
    <t>P11216</t>
  </si>
  <si>
    <t>P11233</t>
  </si>
  <si>
    <t>P11234</t>
  </si>
  <si>
    <t>P11274-2</t>
  </si>
  <si>
    <t>P11279</t>
  </si>
  <si>
    <t>P11387</t>
  </si>
  <si>
    <t>P11413</t>
  </si>
  <si>
    <t>P11441</t>
  </si>
  <si>
    <t>P11498</t>
  </si>
  <si>
    <t>P11586</t>
  </si>
  <si>
    <t>P11717</t>
  </si>
  <si>
    <t>P11766</t>
  </si>
  <si>
    <t>P11802</t>
  </si>
  <si>
    <t>P11831</t>
  </si>
  <si>
    <t>P11908</t>
  </si>
  <si>
    <t>P11940-2</t>
  </si>
  <si>
    <t>P12004</t>
  </si>
  <si>
    <t>P12081</t>
  </si>
  <si>
    <t>P12107-3</t>
  </si>
  <si>
    <t>P12109</t>
  </si>
  <si>
    <t>P12110</t>
  </si>
  <si>
    <t>P12110-2</t>
  </si>
  <si>
    <t>P12111</t>
  </si>
  <si>
    <t>P12235</t>
  </si>
  <si>
    <t>P12236</t>
  </si>
  <si>
    <t>P12268</t>
  </si>
  <si>
    <t>P12270</t>
  </si>
  <si>
    <t>P12277</t>
  </si>
  <si>
    <t>P12429</t>
  </si>
  <si>
    <t>P12532</t>
  </si>
  <si>
    <t>P12814-2</t>
  </si>
  <si>
    <t>P12821-2</t>
  </si>
  <si>
    <t>P12931</t>
  </si>
  <si>
    <t>P12955</t>
  </si>
  <si>
    <t>P12956</t>
  </si>
  <si>
    <t>P13010</t>
  </si>
  <si>
    <t>P13073</t>
  </si>
  <si>
    <t>P13196</t>
  </si>
  <si>
    <t>P13489</t>
  </si>
  <si>
    <t>P13498</t>
  </si>
  <si>
    <t>P13611</t>
  </si>
  <si>
    <t>P13612</t>
  </si>
  <si>
    <t>P13639</t>
  </si>
  <si>
    <t>P13667</t>
  </si>
  <si>
    <t>P13674</t>
  </si>
  <si>
    <t>P13674-2</t>
  </si>
  <si>
    <t>P13693</t>
  </si>
  <si>
    <t>P13726</t>
  </si>
  <si>
    <t>P13746-2</t>
  </si>
  <si>
    <t>P13797</t>
  </si>
  <si>
    <t>P13804</t>
  </si>
  <si>
    <t>P13861</t>
  </si>
  <si>
    <t>P13929-2</t>
  </si>
  <si>
    <t>P13984</t>
  </si>
  <si>
    <t>P13995</t>
  </si>
  <si>
    <t>P14174</t>
  </si>
  <si>
    <t>P14209-3</t>
  </si>
  <si>
    <t>P14324-2</t>
  </si>
  <si>
    <t>P14384</t>
  </si>
  <si>
    <t>P14550</t>
  </si>
  <si>
    <t>P14618</t>
  </si>
  <si>
    <t>P14621</t>
  </si>
  <si>
    <t>P14625</t>
  </si>
  <si>
    <t>P14649</t>
  </si>
  <si>
    <t>P14735</t>
  </si>
  <si>
    <t>P14854</t>
  </si>
  <si>
    <t>P14866</t>
  </si>
  <si>
    <t>P14868</t>
  </si>
  <si>
    <t>P14923</t>
  </si>
  <si>
    <t>P14927</t>
  </si>
  <si>
    <t>P15056</t>
  </si>
  <si>
    <t>P15090</t>
  </si>
  <si>
    <t>P15104</t>
  </si>
  <si>
    <t>P15121</t>
  </si>
  <si>
    <t>P15144</t>
  </si>
  <si>
    <t>P15151-3</t>
  </si>
  <si>
    <t>P15170-2</t>
  </si>
  <si>
    <t>P15289</t>
  </si>
  <si>
    <t>P15289-2</t>
  </si>
  <si>
    <t>P15291-2</t>
  </si>
  <si>
    <t>P15311</t>
  </si>
  <si>
    <t>P15374</t>
  </si>
  <si>
    <t>P15407</t>
  </si>
  <si>
    <t>P15529-15</t>
  </si>
  <si>
    <t>P15529-7</t>
  </si>
  <si>
    <t>P15531</t>
  </si>
  <si>
    <t>P15586</t>
  </si>
  <si>
    <t>P15848</t>
  </si>
  <si>
    <t>P15882</t>
  </si>
  <si>
    <t>P15924</t>
  </si>
  <si>
    <t>P15927</t>
  </si>
  <si>
    <t>P16035</t>
  </si>
  <si>
    <t>P16152</t>
  </si>
  <si>
    <t>P16219</t>
  </si>
  <si>
    <t>P16234</t>
  </si>
  <si>
    <t>P16260</t>
  </si>
  <si>
    <t>P16278-3</t>
  </si>
  <si>
    <t>P16298</t>
  </si>
  <si>
    <t>P16333</t>
  </si>
  <si>
    <t>P16383</t>
  </si>
  <si>
    <t>P16401</t>
  </si>
  <si>
    <t>P16403</t>
  </si>
  <si>
    <t>P16435</t>
  </si>
  <si>
    <t>P16455</t>
  </si>
  <si>
    <t>P16591-3</t>
  </si>
  <si>
    <t>P16615</t>
  </si>
  <si>
    <t>P16930</t>
  </si>
  <si>
    <t>P16949</t>
  </si>
  <si>
    <t>P16989-2</t>
  </si>
  <si>
    <t>P17050</t>
  </si>
  <si>
    <t>P17066</t>
  </si>
  <si>
    <t>P17081</t>
  </si>
  <si>
    <t>P17096-2</t>
  </si>
  <si>
    <t>P17152</t>
  </si>
  <si>
    <t>P17174</t>
  </si>
  <si>
    <t>P17252</t>
  </si>
  <si>
    <t>P17275</t>
  </si>
  <si>
    <t>P17301</t>
  </si>
  <si>
    <t>P17302</t>
  </si>
  <si>
    <t>P17342-2</t>
  </si>
  <si>
    <t>P17405-4</t>
  </si>
  <si>
    <t>P17535</t>
  </si>
  <si>
    <t>P17568</t>
  </si>
  <si>
    <t>P17612</t>
  </si>
  <si>
    <t>P17655</t>
  </si>
  <si>
    <t>P17661</t>
  </si>
  <si>
    <t>P17812</t>
  </si>
  <si>
    <t>P17813-2</t>
  </si>
  <si>
    <t>P17858</t>
  </si>
  <si>
    <t>P17900</t>
  </si>
  <si>
    <t>P17931</t>
  </si>
  <si>
    <t>P17936</t>
  </si>
  <si>
    <t>P17987</t>
  </si>
  <si>
    <t>P18031</t>
  </si>
  <si>
    <t>P18065</t>
  </si>
  <si>
    <t>P18084</t>
  </si>
  <si>
    <t>P18085</t>
  </si>
  <si>
    <t>P18124</t>
  </si>
  <si>
    <t>P18146</t>
  </si>
  <si>
    <t>P18615</t>
  </si>
  <si>
    <t>P18669</t>
  </si>
  <si>
    <t>P18754</t>
  </si>
  <si>
    <t>P18827</t>
  </si>
  <si>
    <t>P18846</t>
  </si>
  <si>
    <t>P18859</t>
  </si>
  <si>
    <t>P19021</t>
  </si>
  <si>
    <t>P19338</t>
  </si>
  <si>
    <t>P19367</t>
  </si>
  <si>
    <t>P19525-2</t>
  </si>
  <si>
    <t>P19532</t>
  </si>
  <si>
    <t>P19623</t>
  </si>
  <si>
    <t>P19784</t>
  </si>
  <si>
    <t>P19838</t>
  </si>
  <si>
    <t>P19883-2</t>
  </si>
  <si>
    <t>P19971</t>
  </si>
  <si>
    <t>P20020-6</t>
  </si>
  <si>
    <t>P20042</t>
  </si>
  <si>
    <t>P20290</t>
  </si>
  <si>
    <t>P20290-2</t>
  </si>
  <si>
    <t>P20336</t>
  </si>
  <si>
    <t>P20337</t>
  </si>
  <si>
    <t>P20338</t>
  </si>
  <si>
    <t>P20618</t>
  </si>
  <si>
    <t>P20645</t>
  </si>
  <si>
    <t>P20674</t>
  </si>
  <si>
    <t>P20700</t>
  </si>
  <si>
    <t>P20908</t>
  </si>
  <si>
    <t>P20933</t>
  </si>
  <si>
    <t>P20962</t>
  </si>
  <si>
    <t>P21266</t>
  </si>
  <si>
    <t>P21281</t>
  </si>
  <si>
    <t>P21283</t>
  </si>
  <si>
    <t>P21291</t>
  </si>
  <si>
    <t>P21333-2</t>
  </si>
  <si>
    <t>P21359-2</t>
  </si>
  <si>
    <t>P21397</t>
  </si>
  <si>
    <t>P21399</t>
  </si>
  <si>
    <t>P21583-2</t>
  </si>
  <si>
    <t>P21589</t>
  </si>
  <si>
    <t>P21796</t>
  </si>
  <si>
    <t>P21912</t>
  </si>
  <si>
    <t>P21964-2</t>
  </si>
  <si>
    <t>P21980</t>
  </si>
  <si>
    <t>P22033</t>
  </si>
  <si>
    <t>P22059</t>
  </si>
  <si>
    <t>P22102</t>
  </si>
  <si>
    <t>P22304</t>
  </si>
  <si>
    <t>P22307</t>
  </si>
  <si>
    <t>P22307-2</t>
  </si>
  <si>
    <t>P22314</t>
  </si>
  <si>
    <t>P22413</t>
  </si>
  <si>
    <t>P22466</t>
  </si>
  <si>
    <t>P22570</t>
  </si>
  <si>
    <t>P22626</t>
  </si>
  <si>
    <t>P22676</t>
  </si>
  <si>
    <t>P22681</t>
  </si>
  <si>
    <t>P22692</t>
  </si>
  <si>
    <t>P22694</t>
  </si>
  <si>
    <t>P22830</t>
  </si>
  <si>
    <t>P23141-3</t>
  </si>
  <si>
    <t>P23142</t>
  </si>
  <si>
    <t>P23142-4</t>
  </si>
  <si>
    <t>P23193</t>
  </si>
  <si>
    <t>P23219-3</t>
  </si>
  <si>
    <t>P23246</t>
  </si>
  <si>
    <t>P23258</t>
  </si>
  <si>
    <t>P23284</t>
  </si>
  <si>
    <t>P23368</t>
  </si>
  <si>
    <t>P23381</t>
  </si>
  <si>
    <t>P23396</t>
  </si>
  <si>
    <t>P23434</t>
  </si>
  <si>
    <t>P23470-2</t>
  </si>
  <si>
    <t>P23497</t>
  </si>
  <si>
    <t>P23508-2</t>
  </si>
  <si>
    <t>P23526</t>
  </si>
  <si>
    <t>P23528</t>
  </si>
  <si>
    <t>P23634-8</t>
  </si>
  <si>
    <t>P23743</t>
  </si>
  <si>
    <t>P23786</t>
  </si>
  <si>
    <t>P23919</t>
  </si>
  <si>
    <t>P23921</t>
  </si>
  <si>
    <t>P24043</t>
  </si>
  <si>
    <t>P24310</t>
  </si>
  <si>
    <t>P24385</t>
  </si>
  <si>
    <t>P24534</t>
  </si>
  <si>
    <t>P24592</t>
  </si>
  <si>
    <t>P24593</t>
  </si>
  <si>
    <t>P24666</t>
  </si>
  <si>
    <t>P24666-2</t>
  </si>
  <si>
    <t>P24752</t>
  </si>
  <si>
    <t>P24821-4</t>
  </si>
  <si>
    <t>P24844</t>
  </si>
  <si>
    <t>P24928</t>
  </si>
  <si>
    <t>P25054-2</t>
  </si>
  <si>
    <t>P25098</t>
  </si>
  <si>
    <t>P25116</t>
  </si>
  <si>
    <t>P25398</t>
  </si>
  <si>
    <t>P25445-6</t>
  </si>
  <si>
    <t>P25685</t>
  </si>
  <si>
    <t>P25686</t>
  </si>
  <si>
    <t>P25705</t>
  </si>
  <si>
    <t>P25774-2</t>
  </si>
  <si>
    <t>P25786</t>
  </si>
  <si>
    <t>P25787</t>
  </si>
  <si>
    <t>P25788-2</t>
  </si>
  <si>
    <t>P25789</t>
  </si>
  <si>
    <t>P26006</t>
  </si>
  <si>
    <t>P26022</t>
  </si>
  <si>
    <t>P26038</t>
  </si>
  <si>
    <t>P26196</t>
  </si>
  <si>
    <t>P26373</t>
  </si>
  <si>
    <t>P26374</t>
  </si>
  <si>
    <t>P26440</t>
  </si>
  <si>
    <t>P26447</t>
  </si>
  <si>
    <t>P26572</t>
  </si>
  <si>
    <t>P26583</t>
  </si>
  <si>
    <t>P26599</t>
  </si>
  <si>
    <t>P26639</t>
  </si>
  <si>
    <t>P26641</t>
  </si>
  <si>
    <t>P26885</t>
  </si>
  <si>
    <t>P27144</t>
  </si>
  <si>
    <t>P27338</t>
  </si>
  <si>
    <t>P27348</t>
  </si>
  <si>
    <t>P27361</t>
  </si>
  <si>
    <t>P27487</t>
  </si>
  <si>
    <t>P27540-2</t>
  </si>
  <si>
    <t>P27635</t>
  </si>
  <si>
    <t>P27658</t>
  </si>
  <si>
    <t>P27694</t>
  </si>
  <si>
    <t>P27695</t>
  </si>
  <si>
    <t>P27797</t>
  </si>
  <si>
    <t>P27816-5</t>
  </si>
  <si>
    <t>P27824</t>
  </si>
  <si>
    <t>P27986-3</t>
  </si>
  <si>
    <t>P28062-2</t>
  </si>
  <si>
    <t>P28066</t>
  </si>
  <si>
    <t>P28070</t>
  </si>
  <si>
    <t>P28072</t>
  </si>
  <si>
    <t>P28074</t>
  </si>
  <si>
    <t>P28161</t>
  </si>
  <si>
    <t>P28300</t>
  </si>
  <si>
    <t>P28331</t>
  </si>
  <si>
    <t>P28482</t>
  </si>
  <si>
    <t>P28715</t>
  </si>
  <si>
    <t>P28799</t>
  </si>
  <si>
    <t>P28838-2</t>
  </si>
  <si>
    <t>P28845</t>
  </si>
  <si>
    <t>P29034</t>
  </si>
  <si>
    <t>P29083</t>
  </si>
  <si>
    <t>P29218</t>
  </si>
  <si>
    <t>P29279</t>
  </si>
  <si>
    <t>P29317</t>
  </si>
  <si>
    <t>P29323-2</t>
  </si>
  <si>
    <t>P29353-6</t>
  </si>
  <si>
    <t>P29373</t>
  </si>
  <si>
    <t>P29401</t>
  </si>
  <si>
    <t>P29536-2</t>
  </si>
  <si>
    <t>P29590</t>
  </si>
  <si>
    <t>P29966</t>
  </si>
  <si>
    <t>P29992</t>
  </si>
  <si>
    <t>P30038</t>
  </si>
  <si>
    <t>P30039</t>
  </si>
  <si>
    <t>P30040</t>
  </si>
  <si>
    <t>P30041</t>
  </si>
  <si>
    <t>P30042</t>
  </si>
  <si>
    <t>P30043</t>
  </si>
  <si>
    <t>P30044-2</t>
  </si>
  <si>
    <t>P30046</t>
  </si>
  <si>
    <t>P30049</t>
  </si>
  <si>
    <t>P30050</t>
  </si>
  <si>
    <t>P30084</t>
  </si>
  <si>
    <t>P30085</t>
  </si>
  <si>
    <t>P30086</t>
  </si>
  <si>
    <t>P30153</t>
  </si>
  <si>
    <t>P30154-4</t>
  </si>
  <si>
    <t>P30405</t>
  </si>
  <si>
    <t>P30411-2</t>
  </si>
  <si>
    <t>P30419</t>
  </si>
  <si>
    <t>P30504</t>
  </si>
  <si>
    <t>P30519</t>
  </si>
  <si>
    <t>P30520</t>
  </si>
  <si>
    <t>P30530-2</t>
  </si>
  <si>
    <t>P30533</t>
  </si>
  <si>
    <t>P30566</t>
  </si>
  <si>
    <t>P30613-2</t>
  </si>
  <si>
    <t>P30622-2</t>
  </si>
  <si>
    <t>P30711</t>
  </si>
  <si>
    <t>P30740</t>
  </si>
  <si>
    <t>P30825</t>
  </si>
  <si>
    <t>P30837</t>
  </si>
  <si>
    <t>P31150</t>
  </si>
  <si>
    <t>P31153</t>
  </si>
  <si>
    <t>P31321</t>
  </si>
  <si>
    <t>P31327</t>
  </si>
  <si>
    <t>P31689</t>
  </si>
  <si>
    <t>P31749</t>
  </si>
  <si>
    <t>P31751</t>
  </si>
  <si>
    <t>P31930</t>
  </si>
  <si>
    <t>P31937</t>
  </si>
  <si>
    <t>P31939</t>
  </si>
  <si>
    <t>P31942-2</t>
  </si>
  <si>
    <t>P31946</t>
  </si>
  <si>
    <t>P31946-2</t>
  </si>
  <si>
    <t>P31947-2</t>
  </si>
  <si>
    <t>P31948</t>
  </si>
  <si>
    <t>P31949</t>
  </si>
  <si>
    <t>P32119</t>
  </si>
  <si>
    <t>P32189-1</t>
  </si>
  <si>
    <t>P32320</t>
  </si>
  <si>
    <t>P32321-2</t>
  </si>
  <si>
    <t>P32322</t>
  </si>
  <si>
    <t>P32418-2</t>
  </si>
  <si>
    <t>P32455</t>
  </si>
  <si>
    <t>P32456</t>
  </si>
  <si>
    <t>P32856-3</t>
  </si>
  <si>
    <t>P32929</t>
  </si>
  <si>
    <t>P32969</t>
  </si>
  <si>
    <t>P33121</t>
  </si>
  <si>
    <t>P33176</t>
  </si>
  <si>
    <t>P33240-2</t>
  </si>
  <si>
    <t>P33241-2</t>
  </si>
  <si>
    <t>P33316</t>
  </si>
  <si>
    <t>P33527</t>
  </si>
  <si>
    <t>P33764</t>
  </si>
  <si>
    <t>P33897</t>
  </si>
  <si>
    <t>P33908</t>
  </si>
  <si>
    <t>P34059</t>
  </si>
  <si>
    <t>P34896-2</t>
  </si>
  <si>
    <t>P34897-3</t>
  </si>
  <si>
    <t>P34910</t>
  </si>
  <si>
    <t>P34932</t>
  </si>
  <si>
    <t>P34949</t>
  </si>
  <si>
    <t>P35052</t>
  </si>
  <si>
    <t>P35221</t>
  </si>
  <si>
    <t>P35232</t>
  </si>
  <si>
    <t>P35237</t>
  </si>
  <si>
    <t>P35240-5</t>
  </si>
  <si>
    <t>P35241</t>
  </si>
  <si>
    <t>P35244</t>
  </si>
  <si>
    <t>P35250</t>
  </si>
  <si>
    <t>P35268</t>
  </si>
  <si>
    <t>P35269</t>
  </si>
  <si>
    <t>P35270</t>
  </si>
  <si>
    <t>P35354</t>
  </si>
  <si>
    <t>P35398-2</t>
  </si>
  <si>
    <t>P35442</t>
  </si>
  <si>
    <t>P35520</t>
  </si>
  <si>
    <t>P35555</t>
  </si>
  <si>
    <t>P35556</t>
  </si>
  <si>
    <t>P35568</t>
  </si>
  <si>
    <t>P35579</t>
  </si>
  <si>
    <t>P35580</t>
  </si>
  <si>
    <t>P35606</t>
  </si>
  <si>
    <t>P35611</t>
  </si>
  <si>
    <t>P35613-2</t>
  </si>
  <si>
    <t>P35625</t>
  </si>
  <si>
    <t>P35658-2</t>
  </si>
  <si>
    <t>P35754</t>
  </si>
  <si>
    <t>P35790-2</t>
  </si>
  <si>
    <t>P35813</t>
  </si>
  <si>
    <t>P35998</t>
  </si>
  <si>
    <t>P36021</t>
  </si>
  <si>
    <t>P36404</t>
  </si>
  <si>
    <t>P36405</t>
  </si>
  <si>
    <t>P36507</t>
  </si>
  <si>
    <t>P36543</t>
  </si>
  <si>
    <t>P36551</t>
  </si>
  <si>
    <t>P36578</t>
  </si>
  <si>
    <t>P36639-4</t>
  </si>
  <si>
    <t>P36871</t>
  </si>
  <si>
    <t>P36873</t>
  </si>
  <si>
    <t>P36915</t>
  </si>
  <si>
    <t>P36955</t>
  </si>
  <si>
    <t>P36957</t>
  </si>
  <si>
    <t>P36959</t>
  </si>
  <si>
    <t>P36969-2</t>
  </si>
  <si>
    <t>P37108</t>
  </si>
  <si>
    <t>P37173</t>
  </si>
  <si>
    <t>P37198</t>
  </si>
  <si>
    <t>P37235</t>
  </si>
  <si>
    <t>P37268</t>
  </si>
  <si>
    <t>P37802</t>
  </si>
  <si>
    <t>P37837</t>
  </si>
  <si>
    <t>P38117</t>
  </si>
  <si>
    <t>P38159</t>
  </si>
  <si>
    <t>P38435</t>
  </si>
  <si>
    <t>P38606</t>
  </si>
  <si>
    <t>P38646</t>
  </si>
  <si>
    <t>P38919</t>
  </si>
  <si>
    <t>P39019</t>
  </si>
  <si>
    <t>P39023</t>
  </si>
  <si>
    <t>P39059</t>
  </si>
  <si>
    <t>P39060-2</t>
  </si>
  <si>
    <t>P39656</t>
  </si>
  <si>
    <t>P39687</t>
  </si>
  <si>
    <t>P39748</t>
  </si>
  <si>
    <t>P40121</t>
  </si>
  <si>
    <t>P40189</t>
  </si>
  <si>
    <t>P40222</t>
  </si>
  <si>
    <t>P40227</t>
  </si>
  <si>
    <t>P40261</t>
  </si>
  <si>
    <t>P40306</t>
  </si>
  <si>
    <t>P40763</t>
  </si>
  <si>
    <t>P40818</t>
  </si>
  <si>
    <t>P40925</t>
  </si>
  <si>
    <t>P40926</t>
  </si>
  <si>
    <t>P40939</t>
  </si>
  <si>
    <t>P41091</t>
  </si>
  <si>
    <t>P41134-2</t>
  </si>
  <si>
    <t>P41208</t>
  </si>
  <si>
    <t>P41214</t>
  </si>
  <si>
    <t>P41221-2</t>
  </si>
  <si>
    <t>P41223</t>
  </si>
  <si>
    <t>P41226</t>
  </si>
  <si>
    <t>P41227-2</t>
  </si>
  <si>
    <t>P41240</t>
  </si>
  <si>
    <t>P41250</t>
  </si>
  <si>
    <t>P41252</t>
  </si>
  <si>
    <t>P41567</t>
  </si>
  <si>
    <t>P41743</t>
  </si>
  <si>
    <t>P42025</t>
  </si>
  <si>
    <t>P42126-2</t>
  </si>
  <si>
    <t>P42167-2</t>
  </si>
  <si>
    <t>P42224</t>
  </si>
  <si>
    <t>P42226</t>
  </si>
  <si>
    <t>P42285</t>
  </si>
  <si>
    <t>P42330</t>
  </si>
  <si>
    <t>P42331-6</t>
  </si>
  <si>
    <t>P42336</t>
  </si>
  <si>
    <t>P42345</t>
  </si>
  <si>
    <t>P42566</t>
  </si>
  <si>
    <t>P42574</t>
  </si>
  <si>
    <t>P42575</t>
  </si>
  <si>
    <t>P42684-7</t>
  </si>
  <si>
    <t>P42704</t>
  </si>
  <si>
    <t>P42765</t>
  </si>
  <si>
    <t>P42766</t>
  </si>
  <si>
    <t>P42771</t>
  </si>
  <si>
    <t>P42773</t>
  </si>
  <si>
    <t>P42785</t>
  </si>
  <si>
    <t>P42892-3</t>
  </si>
  <si>
    <t>P43003-2</t>
  </si>
  <si>
    <t>P43005</t>
  </si>
  <si>
    <t>P43007</t>
  </si>
  <si>
    <t>P43034</t>
  </si>
  <si>
    <t>P43121</t>
  </si>
  <si>
    <t>P43155-2</t>
  </si>
  <si>
    <t>P43234</t>
  </si>
  <si>
    <t>P43235</t>
  </si>
  <si>
    <t>P43304</t>
  </si>
  <si>
    <t>P43304-2</t>
  </si>
  <si>
    <t>P43307</t>
  </si>
  <si>
    <t>P43378</t>
  </si>
  <si>
    <t>P43487</t>
  </si>
  <si>
    <t>P43490</t>
  </si>
  <si>
    <t>P43686</t>
  </si>
  <si>
    <t>P43897</t>
  </si>
  <si>
    <t>P45877</t>
  </si>
  <si>
    <t>P45880</t>
  </si>
  <si>
    <t>P45954</t>
  </si>
  <si>
    <t>P45973</t>
  </si>
  <si>
    <t>P45974-2</t>
  </si>
  <si>
    <t>P45983-3</t>
  </si>
  <si>
    <t>P45984-2</t>
  </si>
  <si>
    <t>P45985</t>
  </si>
  <si>
    <t>P46060</t>
  </si>
  <si>
    <t>P46063</t>
  </si>
  <si>
    <t>P46087-2</t>
  </si>
  <si>
    <t>P46108</t>
  </si>
  <si>
    <t>P46109</t>
  </si>
  <si>
    <t>P46199</t>
  </si>
  <si>
    <t>P46439</t>
  </si>
  <si>
    <t>P46527</t>
  </si>
  <si>
    <t>P46734</t>
  </si>
  <si>
    <t>P46734-2</t>
  </si>
  <si>
    <t>P46736-2</t>
  </si>
  <si>
    <t>P46777</t>
  </si>
  <si>
    <t>P46778</t>
  </si>
  <si>
    <t>P46781</t>
  </si>
  <si>
    <t>P46783</t>
  </si>
  <si>
    <t>P46821</t>
  </si>
  <si>
    <t>P46926</t>
  </si>
  <si>
    <t>P46934-4</t>
  </si>
  <si>
    <t>P46939</t>
  </si>
  <si>
    <t>P46940</t>
  </si>
  <si>
    <t>P46976-2</t>
  </si>
  <si>
    <t>P46977</t>
  </si>
  <si>
    <t>P47224</t>
  </si>
  <si>
    <t>P47712</t>
  </si>
  <si>
    <t>P47755</t>
  </si>
  <si>
    <t>P47756</t>
  </si>
  <si>
    <t>P47756-2</t>
  </si>
  <si>
    <t>P47813</t>
  </si>
  <si>
    <t>P47895</t>
  </si>
  <si>
    <t>P47914</t>
  </si>
  <si>
    <t>P47974</t>
  </si>
  <si>
    <t>P47985</t>
  </si>
  <si>
    <t>P48029</t>
  </si>
  <si>
    <t>P48047</t>
  </si>
  <si>
    <t>P48059-3</t>
  </si>
  <si>
    <t>P48060</t>
  </si>
  <si>
    <t>P48147</t>
  </si>
  <si>
    <t>P48163</t>
  </si>
  <si>
    <t>P48444</t>
  </si>
  <si>
    <t>P48449</t>
  </si>
  <si>
    <t>P48506</t>
  </si>
  <si>
    <t>P48507</t>
  </si>
  <si>
    <t>P48634</t>
  </si>
  <si>
    <t>P48637</t>
  </si>
  <si>
    <t>P48643</t>
  </si>
  <si>
    <t>P48681</t>
  </si>
  <si>
    <t>P48723</t>
  </si>
  <si>
    <t>P48735</t>
  </si>
  <si>
    <t>P48739</t>
  </si>
  <si>
    <t>P48740-4</t>
  </si>
  <si>
    <t>P48960-2</t>
  </si>
  <si>
    <t>P49006</t>
  </si>
  <si>
    <t>P49069</t>
  </si>
  <si>
    <t>P49137</t>
  </si>
  <si>
    <t>P49189</t>
  </si>
  <si>
    <t>P49207</t>
  </si>
  <si>
    <t>P49247</t>
  </si>
  <si>
    <t>P49257</t>
  </si>
  <si>
    <t>P49321</t>
  </si>
  <si>
    <t>P49327</t>
  </si>
  <si>
    <t>P49354</t>
  </si>
  <si>
    <t>P49356</t>
  </si>
  <si>
    <t>P49366</t>
  </si>
  <si>
    <t>P49368</t>
  </si>
  <si>
    <t>P49407-2</t>
  </si>
  <si>
    <t>P49411</t>
  </si>
  <si>
    <t>P49419-2</t>
  </si>
  <si>
    <t>P49427</t>
  </si>
  <si>
    <t>P49441</t>
  </si>
  <si>
    <t>P49458</t>
  </si>
  <si>
    <t>P49459</t>
  </si>
  <si>
    <t>P49585</t>
  </si>
  <si>
    <t>P49588</t>
  </si>
  <si>
    <t>P49589-3</t>
  </si>
  <si>
    <t>P49591</t>
  </si>
  <si>
    <t>P49662</t>
  </si>
  <si>
    <t>P49721</t>
  </si>
  <si>
    <t>P49748-2</t>
  </si>
  <si>
    <t>P49750-4</t>
  </si>
  <si>
    <t>P49753</t>
  </si>
  <si>
    <t>P49755</t>
  </si>
  <si>
    <t>P49756</t>
  </si>
  <si>
    <t>P49757-4</t>
  </si>
  <si>
    <t>P49770</t>
  </si>
  <si>
    <t>P49773</t>
  </si>
  <si>
    <t>P49790</t>
  </si>
  <si>
    <t>P49792</t>
  </si>
  <si>
    <t>P49796-1</t>
  </si>
  <si>
    <t>P49840</t>
  </si>
  <si>
    <t>P49841</t>
  </si>
  <si>
    <t>P49902</t>
  </si>
  <si>
    <t>P49903</t>
  </si>
  <si>
    <t>P49914</t>
  </si>
  <si>
    <t>P49915</t>
  </si>
  <si>
    <t>P49959</t>
  </si>
  <si>
    <t>P50135</t>
  </si>
  <si>
    <t>P50148</t>
  </si>
  <si>
    <t>P50151</t>
  </si>
  <si>
    <t>P50213</t>
  </si>
  <si>
    <t>P50224</t>
  </si>
  <si>
    <t>P50225</t>
  </si>
  <si>
    <t>P50238</t>
  </si>
  <si>
    <t>P50281</t>
  </si>
  <si>
    <t>P50336</t>
  </si>
  <si>
    <t>P50402</t>
  </si>
  <si>
    <t>P50416</t>
  </si>
  <si>
    <t>P50452</t>
  </si>
  <si>
    <t>P50453</t>
  </si>
  <si>
    <t>P50454</t>
  </si>
  <si>
    <t>P50479</t>
  </si>
  <si>
    <t>P50502</t>
  </si>
  <si>
    <t>P50552</t>
  </si>
  <si>
    <t>P50579</t>
  </si>
  <si>
    <t>P50583</t>
  </si>
  <si>
    <t>P50613</t>
  </si>
  <si>
    <t>P50747</t>
  </si>
  <si>
    <t>P50748</t>
  </si>
  <si>
    <t>P50749</t>
  </si>
  <si>
    <t>P50895</t>
  </si>
  <si>
    <t>P50897</t>
  </si>
  <si>
    <t>P50914</t>
  </si>
  <si>
    <t>P50990</t>
  </si>
  <si>
    <t>P50991</t>
  </si>
  <si>
    <t>P51116</t>
  </si>
  <si>
    <t>P51148</t>
  </si>
  <si>
    <t>P51149</t>
  </si>
  <si>
    <t>P51151</t>
  </si>
  <si>
    <t>P51153</t>
  </si>
  <si>
    <t>P51157</t>
  </si>
  <si>
    <t>P51159-2</t>
  </si>
  <si>
    <t>P51178</t>
  </si>
  <si>
    <t>P51397</t>
  </si>
  <si>
    <t>P51452</t>
  </si>
  <si>
    <t>P51513-4</t>
  </si>
  <si>
    <t>P51531-2</t>
  </si>
  <si>
    <t>P51553</t>
  </si>
  <si>
    <t>P51570</t>
  </si>
  <si>
    <t>P51571</t>
  </si>
  <si>
    <t>P51572</t>
  </si>
  <si>
    <t>P51580</t>
  </si>
  <si>
    <t>P51608</t>
  </si>
  <si>
    <t>P51610-2</t>
  </si>
  <si>
    <t>P51659</t>
  </si>
  <si>
    <t>P51665</t>
  </si>
  <si>
    <t>P51668</t>
  </si>
  <si>
    <t>P51687</t>
  </si>
  <si>
    <t>P51688</t>
  </si>
  <si>
    <t>P51692</t>
  </si>
  <si>
    <t>P51790-4</t>
  </si>
  <si>
    <t>P51795</t>
  </si>
  <si>
    <t>P51805</t>
  </si>
  <si>
    <t>P51809</t>
  </si>
  <si>
    <t>P51812</t>
  </si>
  <si>
    <t>P51857-2</t>
  </si>
  <si>
    <t>P51858</t>
  </si>
  <si>
    <t>P51884</t>
  </si>
  <si>
    <t>P51911</t>
  </si>
  <si>
    <t>P51948-2</t>
  </si>
  <si>
    <t>P51970</t>
  </si>
  <si>
    <t>P51991</t>
  </si>
  <si>
    <t>P52272-2</t>
  </si>
  <si>
    <t>P52292</t>
  </si>
  <si>
    <t>P52294</t>
  </si>
  <si>
    <t>P52306</t>
  </si>
  <si>
    <t>P52306-4</t>
  </si>
  <si>
    <t>P52565</t>
  </si>
  <si>
    <t>P52597</t>
  </si>
  <si>
    <t>P52630-4</t>
  </si>
  <si>
    <t>P52655</t>
  </si>
  <si>
    <t>P52657</t>
  </si>
  <si>
    <t>P52735-3</t>
  </si>
  <si>
    <t>P52758</t>
  </si>
  <si>
    <t>P52788</t>
  </si>
  <si>
    <t>P52789</t>
  </si>
  <si>
    <t>P52799</t>
  </si>
  <si>
    <t>P52815</t>
  </si>
  <si>
    <t>P52848</t>
  </si>
  <si>
    <t>P52888</t>
  </si>
  <si>
    <t>P52907</t>
  </si>
  <si>
    <t>P52943</t>
  </si>
  <si>
    <t>P53004</t>
  </si>
  <si>
    <t>P53007</t>
  </si>
  <si>
    <t>P53365</t>
  </si>
  <si>
    <t>P53367</t>
  </si>
  <si>
    <t>P53367-2</t>
  </si>
  <si>
    <t>P53370</t>
  </si>
  <si>
    <t>P53384-2</t>
  </si>
  <si>
    <t>P53396</t>
  </si>
  <si>
    <t>P53582</t>
  </si>
  <si>
    <t>P53597</t>
  </si>
  <si>
    <t>P53602</t>
  </si>
  <si>
    <t>P53609</t>
  </si>
  <si>
    <t>P53611</t>
  </si>
  <si>
    <t>P53618</t>
  </si>
  <si>
    <t>P53621</t>
  </si>
  <si>
    <t>P53634</t>
  </si>
  <si>
    <t>P53675-2</t>
  </si>
  <si>
    <t>P53701</t>
  </si>
  <si>
    <t>P53778</t>
  </si>
  <si>
    <t>P53794</t>
  </si>
  <si>
    <t>P53801</t>
  </si>
  <si>
    <t>P53803</t>
  </si>
  <si>
    <t>P53814-5</t>
  </si>
  <si>
    <t>P53985</t>
  </si>
  <si>
    <t>P53990-2</t>
  </si>
  <si>
    <t>P53992</t>
  </si>
  <si>
    <t>P53999</t>
  </si>
  <si>
    <t>P54136</t>
  </si>
  <si>
    <t>P54136-2</t>
  </si>
  <si>
    <t>P54253</t>
  </si>
  <si>
    <t>P54259</t>
  </si>
  <si>
    <t>P54577</t>
  </si>
  <si>
    <t>P54578</t>
  </si>
  <si>
    <t>P54619-2</t>
  </si>
  <si>
    <t>P54646</t>
  </si>
  <si>
    <t>P54652</t>
  </si>
  <si>
    <t>P54687</t>
  </si>
  <si>
    <t>P54707</t>
  </si>
  <si>
    <t>P54709</t>
  </si>
  <si>
    <t>P54725</t>
  </si>
  <si>
    <t>P54727</t>
  </si>
  <si>
    <t>P54802</t>
  </si>
  <si>
    <t>P54803</t>
  </si>
  <si>
    <t>P54819</t>
  </si>
  <si>
    <t>P54886-2</t>
  </si>
  <si>
    <t>P54920</t>
  </si>
  <si>
    <t>P54922</t>
  </si>
  <si>
    <t>P55010</t>
  </si>
  <si>
    <t>P55011-3</t>
  </si>
  <si>
    <t>P55036</t>
  </si>
  <si>
    <t>P55039</t>
  </si>
  <si>
    <t>P55040</t>
  </si>
  <si>
    <t>P55042</t>
  </si>
  <si>
    <t>P55060-3</t>
  </si>
  <si>
    <t>P55072</t>
  </si>
  <si>
    <t>P55081</t>
  </si>
  <si>
    <t>P55082-2</t>
  </si>
  <si>
    <t>P55145</t>
  </si>
  <si>
    <t>P55210</t>
  </si>
  <si>
    <t>P55212</t>
  </si>
  <si>
    <t>P55263</t>
  </si>
  <si>
    <t>P55268</t>
  </si>
  <si>
    <t>P55273</t>
  </si>
  <si>
    <t>P55285</t>
  </si>
  <si>
    <t>P55345</t>
  </si>
  <si>
    <t>P55735</t>
  </si>
  <si>
    <t>P55789</t>
  </si>
  <si>
    <t>P55795</t>
  </si>
  <si>
    <t>P55808</t>
  </si>
  <si>
    <t>P55809</t>
  </si>
  <si>
    <t>P55884</t>
  </si>
  <si>
    <t>P55899</t>
  </si>
  <si>
    <t>P55957</t>
  </si>
  <si>
    <t>P56181</t>
  </si>
  <si>
    <t>P56181-2</t>
  </si>
  <si>
    <t>P56192</t>
  </si>
  <si>
    <t>P56199</t>
  </si>
  <si>
    <t>P56211</t>
  </si>
  <si>
    <t>P56277</t>
  </si>
  <si>
    <t>P56377</t>
  </si>
  <si>
    <t>P56378</t>
  </si>
  <si>
    <t>P56381</t>
  </si>
  <si>
    <t>P56385</t>
  </si>
  <si>
    <t>P56524</t>
  </si>
  <si>
    <t>P56537</t>
  </si>
  <si>
    <t>P56545-2</t>
  </si>
  <si>
    <t>P56589</t>
  </si>
  <si>
    <t>P56817-4</t>
  </si>
  <si>
    <t>P56937-3</t>
  </si>
  <si>
    <t>P56945-5</t>
  </si>
  <si>
    <t>P56962</t>
  </si>
  <si>
    <t>P57060</t>
  </si>
  <si>
    <t>P57076</t>
  </si>
  <si>
    <t>P57077-4</t>
  </si>
  <si>
    <t>P57081-2</t>
  </si>
  <si>
    <t>P57088</t>
  </si>
  <si>
    <t>P57105</t>
  </si>
  <si>
    <t>P57737-3</t>
  </si>
  <si>
    <t>P57768</t>
  </si>
  <si>
    <t>P57772</t>
  </si>
  <si>
    <t>P58004</t>
  </si>
  <si>
    <t>P58546</t>
  </si>
  <si>
    <t>P59768</t>
  </si>
  <si>
    <t>P60059</t>
  </si>
  <si>
    <t>P60174-1</t>
  </si>
  <si>
    <t>P60174-4</t>
  </si>
  <si>
    <t>P60228</t>
  </si>
  <si>
    <t>P60468</t>
  </si>
  <si>
    <t>P60484</t>
  </si>
  <si>
    <t>P60510</t>
  </si>
  <si>
    <t>P60520</t>
  </si>
  <si>
    <t>P60602</t>
  </si>
  <si>
    <t>P60604-2</t>
  </si>
  <si>
    <t>P60763</t>
  </si>
  <si>
    <t>P60842</t>
  </si>
  <si>
    <t>P60866</t>
  </si>
  <si>
    <t>P60880-2</t>
  </si>
  <si>
    <t>P60891</t>
  </si>
  <si>
    <t>P60896</t>
  </si>
  <si>
    <t>P60903</t>
  </si>
  <si>
    <t>P60953</t>
  </si>
  <si>
    <t>P60953-1</t>
  </si>
  <si>
    <t>P60981</t>
  </si>
  <si>
    <t>P60983</t>
  </si>
  <si>
    <t>P61006</t>
  </si>
  <si>
    <t>P61009</t>
  </si>
  <si>
    <t>P61011</t>
  </si>
  <si>
    <t>P61018</t>
  </si>
  <si>
    <t>P61019</t>
  </si>
  <si>
    <t>P61020</t>
  </si>
  <si>
    <t>P61026</t>
  </si>
  <si>
    <t>P61077</t>
  </si>
  <si>
    <t>P61081</t>
  </si>
  <si>
    <t>P61086</t>
  </si>
  <si>
    <t>P61088</t>
  </si>
  <si>
    <t>P61106</t>
  </si>
  <si>
    <t>P61158</t>
  </si>
  <si>
    <t>P61160</t>
  </si>
  <si>
    <t>P61163</t>
  </si>
  <si>
    <t>P61201</t>
  </si>
  <si>
    <t>P61218</t>
  </si>
  <si>
    <t>P61221</t>
  </si>
  <si>
    <t>P61224</t>
  </si>
  <si>
    <t>P61225</t>
  </si>
  <si>
    <t>P61244-2</t>
  </si>
  <si>
    <t>P61247</t>
  </si>
  <si>
    <t>P61254</t>
  </si>
  <si>
    <t>P61289</t>
  </si>
  <si>
    <t>P61326</t>
  </si>
  <si>
    <t>P61586</t>
  </si>
  <si>
    <t>P61587</t>
  </si>
  <si>
    <t>P61601</t>
  </si>
  <si>
    <t>P61604</t>
  </si>
  <si>
    <t>P61758</t>
  </si>
  <si>
    <t>P61764</t>
  </si>
  <si>
    <t>P61769</t>
  </si>
  <si>
    <t>P61812</t>
  </si>
  <si>
    <t>P61925</t>
  </si>
  <si>
    <t>P61927</t>
  </si>
  <si>
    <t>P61952</t>
  </si>
  <si>
    <t>P61960-2</t>
  </si>
  <si>
    <t>P61962</t>
  </si>
  <si>
    <t>P61964</t>
  </si>
  <si>
    <t>P61970</t>
  </si>
  <si>
    <t>P61978-3</t>
  </si>
  <si>
    <t>P61981</t>
  </si>
  <si>
    <t>P62070</t>
  </si>
  <si>
    <t>P62072</t>
  </si>
  <si>
    <t>P62081</t>
  </si>
  <si>
    <t>P62136</t>
  </si>
  <si>
    <t>P62140</t>
  </si>
  <si>
    <t>P62166</t>
  </si>
  <si>
    <t>P62191</t>
  </si>
  <si>
    <t>P62195-2</t>
  </si>
  <si>
    <t>P62241</t>
  </si>
  <si>
    <t>P62249</t>
  </si>
  <si>
    <t>P62253</t>
  </si>
  <si>
    <t>P62258</t>
  </si>
  <si>
    <t>P62263</t>
  </si>
  <si>
    <t>P62269</t>
  </si>
  <si>
    <t>P62273</t>
  </si>
  <si>
    <t>P62277</t>
  </si>
  <si>
    <t>P62280</t>
  </si>
  <si>
    <t>P62304</t>
  </si>
  <si>
    <t>P62306</t>
  </si>
  <si>
    <t>P62308</t>
  </si>
  <si>
    <t>P62310</t>
  </si>
  <si>
    <t>P62312</t>
  </si>
  <si>
    <t>P62314</t>
  </si>
  <si>
    <t>P62316</t>
  </si>
  <si>
    <t>P62328</t>
  </si>
  <si>
    <t>P62330</t>
  </si>
  <si>
    <t>P62333</t>
  </si>
  <si>
    <t>P62380</t>
  </si>
  <si>
    <t>P62424</t>
  </si>
  <si>
    <t>P62487</t>
  </si>
  <si>
    <t>P62495</t>
  </si>
  <si>
    <t>P62633-4</t>
  </si>
  <si>
    <t>P62701</t>
  </si>
  <si>
    <t>P62714</t>
  </si>
  <si>
    <t>P62736</t>
  </si>
  <si>
    <t>P62745</t>
  </si>
  <si>
    <t>P62750</t>
  </si>
  <si>
    <t>P62753</t>
  </si>
  <si>
    <t>P62805</t>
  </si>
  <si>
    <t>P62820</t>
  </si>
  <si>
    <t>P62829</t>
  </si>
  <si>
    <t>P62834</t>
  </si>
  <si>
    <t>P62851</t>
  </si>
  <si>
    <t>P62857</t>
  </si>
  <si>
    <t>P62873</t>
  </si>
  <si>
    <t>P62877</t>
  </si>
  <si>
    <t>P62888</t>
  </si>
  <si>
    <t>P62906</t>
  </si>
  <si>
    <t>P62913-2</t>
  </si>
  <si>
    <t>P62937</t>
  </si>
  <si>
    <t>P62942</t>
  </si>
  <si>
    <t>P62979</t>
  </si>
  <si>
    <t>P62987</t>
  </si>
  <si>
    <t>P62993</t>
  </si>
  <si>
    <t>P62995-3</t>
  </si>
  <si>
    <t>P63000</t>
  </si>
  <si>
    <t>P63010</t>
  </si>
  <si>
    <t>P63092</t>
  </si>
  <si>
    <t>P63096</t>
  </si>
  <si>
    <t>P63104</t>
  </si>
  <si>
    <t>P63146</t>
  </si>
  <si>
    <t>P63151</t>
  </si>
  <si>
    <t>P63167</t>
  </si>
  <si>
    <t>P63173</t>
  </si>
  <si>
    <t>P63218</t>
  </si>
  <si>
    <t>P63244</t>
  </si>
  <si>
    <t>P67809</t>
  </si>
  <si>
    <t>P67936</t>
  </si>
  <si>
    <t>P67936-2</t>
  </si>
  <si>
    <t>P68036</t>
  </si>
  <si>
    <t>P68104</t>
  </si>
  <si>
    <t>P68106-2</t>
  </si>
  <si>
    <t>P68371</t>
  </si>
  <si>
    <t>P68402</t>
  </si>
  <si>
    <t>P68871</t>
  </si>
  <si>
    <t>P69905</t>
  </si>
  <si>
    <t>P78310</t>
  </si>
  <si>
    <t>P78318</t>
  </si>
  <si>
    <t>P78324</t>
  </si>
  <si>
    <t>P78330</t>
  </si>
  <si>
    <t>P78347-2</t>
  </si>
  <si>
    <t>P78356</t>
  </si>
  <si>
    <t>P78371</t>
  </si>
  <si>
    <t>P78406</t>
  </si>
  <si>
    <t>P78417</t>
  </si>
  <si>
    <t>P78536</t>
  </si>
  <si>
    <t>P78537</t>
  </si>
  <si>
    <t>P78539-4</t>
  </si>
  <si>
    <t>P78552</t>
  </si>
  <si>
    <t>P80217</t>
  </si>
  <si>
    <t>P80297</t>
  </si>
  <si>
    <t>P80303</t>
  </si>
  <si>
    <t>P80723</t>
  </si>
  <si>
    <t>P81605</t>
  </si>
  <si>
    <t>P82094</t>
  </si>
  <si>
    <t>P82909</t>
  </si>
  <si>
    <t>P82932</t>
  </si>
  <si>
    <t>P82979</t>
  </si>
  <si>
    <t>P83111</t>
  </si>
  <si>
    <t>P83436</t>
  </si>
  <si>
    <t>P84022</t>
  </si>
  <si>
    <t>P84077</t>
  </si>
  <si>
    <t>P84085</t>
  </si>
  <si>
    <t>P84090</t>
  </si>
  <si>
    <t>P84095</t>
  </si>
  <si>
    <t>P84098</t>
  </si>
  <si>
    <t>P84101-4</t>
  </si>
  <si>
    <t>P84157</t>
  </si>
  <si>
    <t>P84157-3</t>
  </si>
  <si>
    <t>P85037</t>
  </si>
  <si>
    <t>P98082-3</t>
  </si>
  <si>
    <t>P98155-2</t>
  </si>
  <si>
    <t>P98160</t>
  </si>
  <si>
    <t>P98170</t>
  </si>
  <si>
    <t>P98172</t>
  </si>
  <si>
    <t>P98173</t>
  </si>
  <si>
    <t>P98175-2</t>
  </si>
  <si>
    <t>P98179</t>
  </si>
  <si>
    <t>Q00013-2</t>
  </si>
  <si>
    <t>Q00059</t>
  </si>
  <si>
    <t>Q00169</t>
  </si>
  <si>
    <t>Q00325-2</t>
  </si>
  <si>
    <t>Q00341</t>
  </si>
  <si>
    <t>Q00534</t>
  </si>
  <si>
    <t>Q00535</t>
  </si>
  <si>
    <t>Q00536</t>
  </si>
  <si>
    <t>Q00577</t>
  </si>
  <si>
    <t>Q00587-2</t>
  </si>
  <si>
    <t>Q00610-2</t>
  </si>
  <si>
    <t>Q00653-4</t>
  </si>
  <si>
    <t>Q00688</t>
  </si>
  <si>
    <t>Q00765</t>
  </si>
  <si>
    <t>Q00796</t>
  </si>
  <si>
    <t>Q00839-2</t>
  </si>
  <si>
    <t>Q00978</t>
  </si>
  <si>
    <t>Q01082</t>
  </si>
  <si>
    <t>Q01085-2</t>
  </si>
  <si>
    <t>Q01105</t>
  </si>
  <si>
    <t>Q01167</t>
  </si>
  <si>
    <t>Q01415</t>
  </si>
  <si>
    <t>Q01459</t>
  </si>
  <si>
    <t>Q01469</t>
  </si>
  <si>
    <t>Q01518-2</t>
  </si>
  <si>
    <t>Q01581</t>
  </si>
  <si>
    <t>Q01650</t>
  </si>
  <si>
    <t>Q01658</t>
  </si>
  <si>
    <t>Q01813</t>
  </si>
  <si>
    <t>Q01850</t>
  </si>
  <si>
    <t>Q01968</t>
  </si>
  <si>
    <t>Q01970</t>
  </si>
  <si>
    <t>Q01974</t>
  </si>
  <si>
    <t>Q01995</t>
  </si>
  <si>
    <t>Q02083-2</t>
  </si>
  <si>
    <t>Q02127</t>
  </si>
  <si>
    <t>Q02156</t>
  </si>
  <si>
    <t>Q02252</t>
  </si>
  <si>
    <t>Q02318</t>
  </si>
  <si>
    <t>Q02338</t>
  </si>
  <si>
    <t>Q02383</t>
  </si>
  <si>
    <t>Q02388-2</t>
  </si>
  <si>
    <t>Q02410</t>
  </si>
  <si>
    <t>Q02413</t>
  </si>
  <si>
    <t>Q02543</t>
  </si>
  <si>
    <t>Q02750</t>
  </si>
  <si>
    <t>Q02790</t>
  </si>
  <si>
    <t>Q02809</t>
  </si>
  <si>
    <t>Q02818</t>
  </si>
  <si>
    <t>Q02878</t>
  </si>
  <si>
    <t>Q02952-3</t>
  </si>
  <si>
    <t>Q03001</t>
  </si>
  <si>
    <t>Q03001-3</t>
  </si>
  <si>
    <t>Q03013</t>
  </si>
  <si>
    <t>Q03113</t>
  </si>
  <si>
    <t>Q03135</t>
  </si>
  <si>
    <t>Q03154</t>
  </si>
  <si>
    <t>Q03169</t>
  </si>
  <si>
    <t>Q03393</t>
  </si>
  <si>
    <t>Q03405</t>
  </si>
  <si>
    <t>Q03519</t>
  </si>
  <si>
    <t>Q04446</t>
  </si>
  <si>
    <t>Q04656-5</t>
  </si>
  <si>
    <t>Q04721</t>
  </si>
  <si>
    <t>Q04724</t>
  </si>
  <si>
    <t>Q04760</t>
  </si>
  <si>
    <t>Q04771</t>
  </si>
  <si>
    <t>Q04828</t>
  </si>
  <si>
    <t>Q04917</t>
  </si>
  <si>
    <t>Q04941</t>
  </si>
  <si>
    <t>Q05048</t>
  </si>
  <si>
    <t>Q05086-3</t>
  </si>
  <si>
    <t>Q05193-3</t>
  </si>
  <si>
    <t>Q05209</t>
  </si>
  <si>
    <t>Q05519-2</t>
  </si>
  <si>
    <t>Q05639</t>
  </si>
  <si>
    <t>Q05655</t>
  </si>
  <si>
    <t>Q05682</t>
  </si>
  <si>
    <t>Q06124</t>
  </si>
  <si>
    <t>Q06136</t>
  </si>
  <si>
    <t>Q06190</t>
  </si>
  <si>
    <t>Q06203</t>
  </si>
  <si>
    <t>Q06210-2</t>
  </si>
  <si>
    <t>Q06278</t>
  </si>
  <si>
    <t>Q06323</t>
  </si>
  <si>
    <t>Q06330</t>
  </si>
  <si>
    <t>Q06481-3</t>
  </si>
  <si>
    <t>Q06546</t>
  </si>
  <si>
    <t>Q06830</t>
  </si>
  <si>
    <t>Q07021</t>
  </si>
  <si>
    <t>Q07065</t>
  </si>
  <si>
    <t>Q07092-2</t>
  </si>
  <si>
    <t>Q07352</t>
  </si>
  <si>
    <t>Q07507</t>
  </si>
  <si>
    <t>Q07666</t>
  </si>
  <si>
    <t>Q07812-5</t>
  </si>
  <si>
    <t>Q07820-2</t>
  </si>
  <si>
    <t>Q07866-3</t>
  </si>
  <si>
    <t>Q07866-6</t>
  </si>
  <si>
    <t>Q07912</t>
  </si>
  <si>
    <t>Q07954</t>
  </si>
  <si>
    <t>Q07960</t>
  </si>
  <si>
    <t>Q08209-2</t>
  </si>
  <si>
    <t>Q08257</t>
  </si>
  <si>
    <t>Q08357</t>
  </si>
  <si>
    <t>Q08378</t>
  </si>
  <si>
    <t>Q08379</t>
  </si>
  <si>
    <t>Q08380</t>
  </si>
  <si>
    <t>Q08426</t>
  </si>
  <si>
    <t>Q08629</t>
  </si>
  <si>
    <t>Q08722</t>
  </si>
  <si>
    <t>Q08752</t>
  </si>
  <si>
    <t>Q08AD1-2</t>
  </si>
  <si>
    <t>Q08AE8-2</t>
  </si>
  <si>
    <t>Q08AF3</t>
  </si>
  <si>
    <t>Q08AG7</t>
  </si>
  <si>
    <t>Q08AM6</t>
  </si>
  <si>
    <t>Q08E86</t>
  </si>
  <si>
    <t>Q08J23</t>
  </si>
  <si>
    <t>Q09028-3</t>
  </si>
  <si>
    <t>Q09161</t>
  </si>
  <si>
    <t>Q09328</t>
  </si>
  <si>
    <t>Q09666</t>
  </si>
  <si>
    <t>Q09666-2</t>
  </si>
  <si>
    <t>Q0JRZ9</t>
  </si>
  <si>
    <t>Q0PNE2</t>
  </si>
  <si>
    <t>Q0VDF9</t>
  </si>
  <si>
    <t>Q0VDG4</t>
  </si>
  <si>
    <t>Q0VG06</t>
  </si>
  <si>
    <t>Q0VGL1</t>
  </si>
  <si>
    <t>Q0ZGT2-2</t>
  </si>
  <si>
    <t>Q10469</t>
  </si>
  <si>
    <t>Q10471</t>
  </si>
  <si>
    <t>Q10567-2</t>
  </si>
  <si>
    <t>Q10567-3</t>
  </si>
  <si>
    <t>Q10713</t>
  </si>
  <si>
    <t>Q11206-3</t>
  </si>
  <si>
    <t>Q12765</t>
  </si>
  <si>
    <t>Q12768</t>
  </si>
  <si>
    <t>Q12792</t>
  </si>
  <si>
    <t>Q12797</t>
  </si>
  <si>
    <t>Q12802-4</t>
  </si>
  <si>
    <t>Q12805-2</t>
  </si>
  <si>
    <t>Q12841</t>
  </si>
  <si>
    <t>Q12846</t>
  </si>
  <si>
    <t>Q12849</t>
  </si>
  <si>
    <t>Q12874</t>
  </si>
  <si>
    <t>Q12882</t>
  </si>
  <si>
    <t>Q12884</t>
  </si>
  <si>
    <t>Q12884-2</t>
  </si>
  <si>
    <t>Q12888</t>
  </si>
  <si>
    <t>Q12893</t>
  </si>
  <si>
    <t>Q12904</t>
  </si>
  <si>
    <t>Q12905</t>
  </si>
  <si>
    <t>Q12906</t>
  </si>
  <si>
    <t>Q12907</t>
  </si>
  <si>
    <t>Q12923-2</t>
  </si>
  <si>
    <t>Q12929</t>
  </si>
  <si>
    <t>Q12955</t>
  </si>
  <si>
    <t>Q12959-5</t>
  </si>
  <si>
    <t>Q12962</t>
  </si>
  <si>
    <t>Q12965</t>
  </si>
  <si>
    <t>Q12972</t>
  </si>
  <si>
    <t>Q12974</t>
  </si>
  <si>
    <t>Q12979-4</t>
  </si>
  <si>
    <t>Q12981</t>
  </si>
  <si>
    <t>Q12996</t>
  </si>
  <si>
    <t>Q13011</t>
  </si>
  <si>
    <t>Q13017-2</t>
  </si>
  <si>
    <t>Q13033-2</t>
  </si>
  <si>
    <t>Q13043</t>
  </si>
  <si>
    <t>Q13045</t>
  </si>
  <si>
    <t>Q13057</t>
  </si>
  <si>
    <t>Q13107-2</t>
  </si>
  <si>
    <t>Q13126</t>
  </si>
  <si>
    <t>Q13131</t>
  </si>
  <si>
    <t>Q13136</t>
  </si>
  <si>
    <t>Q13148</t>
  </si>
  <si>
    <t>Q13153</t>
  </si>
  <si>
    <t>Q13158</t>
  </si>
  <si>
    <t>Q13162</t>
  </si>
  <si>
    <t>Q13164</t>
  </si>
  <si>
    <t>Q13177</t>
  </si>
  <si>
    <t>Q13185</t>
  </si>
  <si>
    <t>Q13188</t>
  </si>
  <si>
    <t>Q13190</t>
  </si>
  <si>
    <t>Q13200</t>
  </si>
  <si>
    <t>Q13217</t>
  </si>
  <si>
    <t>Q13228</t>
  </si>
  <si>
    <t>Q13232</t>
  </si>
  <si>
    <t>Q13242</t>
  </si>
  <si>
    <t>Q13243-3</t>
  </si>
  <si>
    <t>Q13247-3</t>
  </si>
  <si>
    <t>Q13263</t>
  </si>
  <si>
    <t>Q13277-2</t>
  </si>
  <si>
    <t>Q13283</t>
  </si>
  <si>
    <t>Q13287</t>
  </si>
  <si>
    <t>Q13308</t>
  </si>
  <si>
    <t>Q13310-3</t>
  </si>
  <si>
    <t>Q13322-3</t>
  </si>
  <si>
    <t>Q13325</t>
  </si>
  <si>
    <t>Q13336</t>
  </si>
  <si>
    <t>Q13347</t>
  </si>
  <si>
    <t>Q13356-2</t>
  </si>
  <si>
    <t>Q13362-4</t>
  </si>
  <si>
    <t>Q13363</t>
  </si>
  <si>
    <t>Q13371</t>
  </si>
  <si>
    <t>Q13409-6</t>
  </si>
  <si>
    <t>Q13418</t>
  </si>
  <si>
    <t>Q13423</t>
  </si>
  <si>
    <t>Q13424</t>
  </si>
  <si>
    <t>Q13425</t>
  </si>
  <si>
    <t>Q13432</t>
  </si>
  <si>
    <t>Q13433</t>
  </si>
  <si>
    <t>Q13435</t>
  </si>
  <si>
    <t>Q13438-4</t>
  </si>
  <si>
    <t>Q13439-3</t>
  </si>
  <si>
    <t>Q13442</t>
  </si>
  <si>
    <t>Q13443</t>
  </si>
  <si>
    <t>Q13444-8</t>
  </si>
  <si>
    <t>Q13445</t>
  </si>
  <si>
    <t>Q13451</t>
  </si>
  <si>
    <t>Q13464</t>
  </si>
  <si>
    <t>Q13480-2</t>
  </si>
  <si>
    <t>Q13488</t>
  </si>
  <si>
    <t>Q13492-3</t>
  </si>
  <si>
    <t>Q13496</t>
  </si>
  <si>
    <t>Q13501</t>
  </si>
  <si>
    <t>Q13505-3</t>
  </si>
  <si>
    <t>Q13509</t>
  </si>
  <si>
    <t>Q13526</t>
  </si>
  <si>
    <t>Q13541</t>
  </si>
  <si>
    <t>Q13542</t>
  </si>
  <si>
    <t>Q13546</t>
  </si>
  <si>
    <t>Q13564</t>
  </si>
  <si>
    <t>Q13572</t>
  </si>
  <si>
    <t>Q13573</t>
  </si>
  <si>
    <t>Q13586</t>
  </si>
  <si>
    <t>Q13595-2</t>
  </si>
  <si>
    <t>Q13596</t>
  </si>
  <si>
    <t>Q13610</t>
  </si>
  <si>
    <t>Q13616</t>
  </si>
  <si>
    <t>Q13617</t>
  </si>
  <si>
    <t>Q13618-2</t>
  </si>
  <si>
    <t>Q13619</t>
  </si>
  <si>
    <t>Q13625</t>
  </si>
  <si>
    <t>Q13630</t>
  </si>
  <si>
    <t>Q13636</t>
  </si>
  <si>
    <t>Q13637</t>
  </si>
  <si>
    <t>Q13641</t>
  </si>
  <si>
    <t>Q13642-5</t>
  </si>
  <si>
    <t>Q13643</t>
  </si>
  <si>
    <t>Q13671</t>
  </si>
  <si>
    <t>Q13683-3</t>
  </si>
  <si>
    <t>Q13724</t>
  </si>
  <si>
    <t>Q13740-2</t>
  </si>
  <si>
    <t>Q13795</t>
  </si>
  <si>
    <t>Q13813</t>
  </si>
  <si>
    <t>Q13813-3</t>
  </si>
  <si>
    <t>Q13825</t>
  </si>
  <si>
    <t>Q13868</t>
  </si>
  <si>
    <t>Q13873</t>
  </si>
  <si>
    <t>Q13884</t>
  </si>
  <si>
    <t>Q13885</t>
  </si>
  <si>
    <t>Q13895</t>
  </si>
  <si>
    <t>Q13905-2</t>
  </si>
  <si>
    <t>Q13907</t>
  </si>
  <si>
    <t>Q13951-2</t>
  </si>
  <si>
    <t>Q13952-3</t>
  </si>
  <si>
    <t>Q13976-2</t>
  </si>
  <si>
    <t>Q14008-2</t>
  </si>
  <si>
    <t>Q14011</t>
  </si>
  <si>
    <t>Q14012</t>
  </si>
  <si>
    <t>Q14019</t>
  </si>
  <si>
    <t>Q14061</t>
  </si>
  <si>
    <t>Q14103-3</t>
  </si>
  <si>
    <t>Q14108</t>
  </si>
  <si>
    <t>Q14112-2</t>
  </si>
  <si>
    <t>Q14114-4</t>
  </si>
  <si>
    <t>Q14118</t>
  </si>
  <si>
    <t>Q14123-2</t>
  </si>
  <si>
    <t>Q14139</t>
  </si>
  <si>
    <t>Q14151</t>
  </si>
  <si>
    <t>Q14152</t>
  </si>
  <si>
    <t>Q14157</t>
  </si>
  <si>
    <t>Q14160</t>
  </si>
  <si>
    <t>Q14165</t>
  </si>
  <si>
    <t>Q14166</t>
  </si>
  <si>
    <t>Q14185</t>
  </si>
  <si>
    <t>Q14195-2</t>
  </si>
  <si>
    <t>Q14204</t>
  </si>
  <si>
    <t>Q14232</t>
  </si>
  <si>
    <t>Q14240-2</t>
  </si>
  <si>
    <t>Q14241</t>
  </si>
  <si>
    <t>Q14247</t>
  </si>
  <si>
    <t>Q14247-2</t>
  </si>
  <si>
    <t>Q14254</t>
  </si>
  <si>
    <t>Q14257</t>
  </si>
  <si>
    <t>Q14258</t>
  </si>
  <si>
    <t>Q14315</t>
  </si>
  <si>
    <t>Q14318-2</t>
  </si>
  <si>
    <t>Q14320</t>
  </si>
  <si>
    <t>Q14331</t>
  </si>
  <si>
    <t>Q14332</t>
  </si>
  <si>
    <t>Q14344</t>
  </si>
  <si>
    <t>Q14353</t>
  </si>
  <si>
    <t>Q14376</t>
  </si>
  <si>
    <t>Q14392</t>
  </si>
  <si>
    <t>Q14393-2</t>
  </si>
  <si>
    <t>Q14444-2</t>
  </si>
  <si>
    <t>Q14498-3</t>
  </si>
  <si>
    <t>Q14511-3</t>
  </si>
  <si>
    <t>Q14517</t>
  </si>
  <si>
    <t>Q14520-2</t>
  </si>
  <si>
    <t>Q14534</t>
  </si>
  <si>
    <t>Q14554</t>
  </si>
  <si>
    <t>Q14642</t>
  </si>
  <si>
    <t>Q14651</t>
  </si>
  <si>
    <t>Q14653</t>
  </si>
  <si>
    <t>Q14657</t>
  </si>
  <si>
    <t>Q14669-3</t>
  </si>
  <si>
    <t>Q14676-4</t>
  </si>
  <si>
    <t>Q14677</t>
  </si>
  <si>
    <t>Q14694</t>
  </si>
  <si>
    <t>Q14696</t>
  </si>
  <si>
    <t>Q14697</t>
  </si>
  <si>
    <t>Q14697-2</t>
  </si>
  <si>
    <t>Q14699</t>
  </si>
  <si>
    <t>Q14714</t>
  </si>
  <si>
    <t>Q14739</t>
  </si>
  <si>
    <t>Q14764</t>
  </si>
  <si>
    <t>Q14789-2</t>
  </si>
  <si>
    <t>Q14790</t>
  </si>
  <si>
    <t>Q147X3</t>
  </si>
  <si>
    <t>Q14847</t>
  </si>
  <si>
    <t>Q14872</t>
  </si>
  <si>
    <t>Q14914-2</t>
  </si>
  <si>
    <t>Q14934-13</t>
  </si>
  <si>
    <t>Q14964</t>
  </si>
  <si>
    <t>Q14966</t>
  </si>
  <si>
    <t>Q14974</t>
  </si>
  <si>
    <t>Q14978</t>
  </si>
  <si>
    <t>Q14980</t>
  </si>
  <si>
    <t>Q14BN4-2</t>
  </si>
  <si>
    <t>Q14C86-3</t>
  </si>
  <si>
    <t>Q14CS0</t>
  </si>
  <si>
    <t>Q14CX7-2</t>
  </si>
  <si>
    <t>Q15006</t>
  </si>
  <si>
    <t>Q15008</t>
  </si>
  <si>
    <t>Q15011-3</t>
  </si>
  <si>
    <t>Q15012</t>
  </si>
  <si>
    <t>Q15018</t>
  </si>
  <si>
    <t>Q15024</t>
  </si>
  <si>
    <t>Q15029-2</t>
  </si>
  <si>
    <t>Q15031</t>
  </si>
  <si>
    <t>Q15032-2</t>
  </si>
  <si>
    <t>Q15036</t>
  </si>
  <si>
    <t>Q15043-2</t>
  </si>
  <si>
    <t>Q15046</t>
  </si>
  <si>
    <t>Q15056</t>
  </si>
  <si>
    <t>Q15056-2</t>
  </si>
  <si>
    <t>Q15057</t>
  </si>
  <si>
    <t>Q15061</t>
  </si>
  <si>
    <t>Q15067-2</t>
  </si>
  <si>
    <t>Q15075</t>
  </si>
  <si>
    <t>Q15102</t>
  </si>
  <si>
    <t>Q15113</t>
  </si>
  <si>
    <t>Q15118</t>
  </si>
  <si>
    <t>Q15119</t>
  </si>
  <si>
    <t>Q15121</t>
  </si>
  <si>
    <t>Q15124</t>
  </si>
  <si>
    <t>Q15126</t>
  </si>
  <si>
    <t>Q15139</t>
  </si>
  <si>
    <t>Q15147</t>
  </si>
  <si>
    <t>Q15149</t>
  </si>
  <si>
    <t>Q15149-3</t>
  </si>
  <si>
    <t>Q15149-4</t>
  </si>
  <si>
    <t>Q15149-8</t>
  </si>
  <si>
    <t>Q15155</t>
  </si>
  <si>
    <t>Q15170-2</t>
  </si>
  <si>
    <t>Q15172</t>
  </si>
  <si>
    <t>Q15173-2</t>
  </si>
  <si>
    <t>Q15181</t>
  </si>
  <si>
    <t>Q15208</t>
  </si>
  <si>
    <t>Q15223</t>
  </si>
  <si>
    <t>Q15233-2</t>
  </si>
  <si>
    <t>Q15274</t>
  </si>
  <si>
    <t>Q15276</t>
  </si>
  <si>
    <t>Q15283-2</t>
  </si>
  <si>
    <t>Q15286</t>
  </si>
  <si>
    <t>Q15291-2</t>
  </si>
  <si>
    <t>Q15293</t>
  </si>
  <si>
    <t>Q15311</t>
  </si>
  <si>
    <t>Q15334</t>
  </si>
  <si>
    <t>Q15363</t>
  </si>
  <si>
    <t>Q15365</t>
  </si>
  <si>
    <t>Q15370</t>
  </si>
  <si>
    <t>Q15382</t>
  </si>
  <si>
    <t>Q15386</t>
  </si>
  <si>
    <t>Q15393</t>
  </si>
  <si>
    <t>Q15404</t>
  </si>
  <si>
    <t>Q15417</t>
  </si>
  <si>
    <t>Q15424</t>
  </si>
  <si>
    <t>Q15427</t>
  </si>
  <si>
    <t>Q15428</t>
  </si>
  <si>
    <t>Q15435</t>
  </si>
  <si>
    <t>Q15437</t>
  </si>
  <si>
    <t>Q15438-2</t>
  </si>
  <si>
    <t>Q15459</t>
  </si>
  <si>
    <t>Q15464</t>
  </si>
  <si>
    <t>Q15493</t>
  </si>
  <si>
    <t>Q15506</t>
  </si>
  <si>
    <t>Q15526-2</t>
  </si>
  <si>
    <t>Q15545</t>
  </si>
  <si>
    <t>Q15555-4</t>
  </si>
  <si>
    <t>Q15582</t>
  </si>
  <si>
    <t>Q15599</t>
  </si>
  <si>
    <t>Q15628</t>
  </si>
  <si>
    <t>Q15637-5</t>
  </si>
  <si>
    <t>Q15642</t>
  </si>
  <si>
    <t>Q15642-2</t>
  </si>
  <si>
    <t>Q15643</t>
  </si>
  <si>
    <t>Q15645</t>
  </si>
  <si>
    <t>Q15650</t>
  </si>
  <si>
    <t>Q15654</t>
  </si>
  <si>
    <t>Q15691</t>
  </si>
  <si>
    <t>Q15714</t>
  </si>
  <si>
    <t>Q15717</t>
  </si>
  <si>
    <t>Q15738</t>
  </si>
  <si>
    <t>Q15742-3</t>
  </si>
  <si>
    <t>Q15743</t>
  </si>
  <si>
    <t>Q15746-6</t>
  </si>
  <si>
    <t>Q15750-2</t>
  </si>
  <si>
    <t>Q15758</t>
  </si>
  <si>
    <t>Q15759</t>
  </si>
  <si>
    <t>Q15771</t>
  </si>
  <si>
    <t>Q15785</t>
  </si>
  <si>
    <t>Q15796-2</t>
  </si>
  <si>
    <t>Q15800</t>
  </si>
  <si>
    <t>Q15814</t>
  </si>
  <si>
    <t>Q15819</t>
  </si>
  <si>
    <t>Q15831-2</t>
  </si>
  <si>
    <t>Q15833-2</t>
  </si>
  <si>
    <t>Q15834</t>
  </si>
  <si>
    <t>Q15836</t>
  </si>
  <si>
    <t>Q15847</t>
  </si>
  <si>
    <t>Q15904</t>
  </si>
  <si>
    <t>Q15907</t>
  </si>
  <si>
    <t>Q15942</t>
  </si>
  <si>
    <t>Q16082</t>
  </si>
  <si>
    <t>Q16134</t>
  </si>
  <si>
    <t>Q16143</t>
  </si>
  <si>
    <t>Q16181</t>
  </si>
  <si>
    <t>Q16186</t>
  </si>
  <si>
    <t>Q16204</t>
  </si>
  <si>
    <t>Q16222-3</t>
  </si>
  <si>
    <t>Q16254</t>
  </si>
  <si>
    <t>Q16270-2</t>
  </si>
  <si>
    <t>Q16352</t>
  </si>
  <si>
    <t>Q16363-2</t>
  </si>
  <si>
    <t>Q16401-2</t>
  </si>
  <si>
    <t>Q16512</t>
  </si>
  <si>
    <t>Q16513</t>
  </si>
  <si>
    <t>Q16531</t>
  </si>
  <si>
    <t>Q16539</t>
  </si>
  <si>
    <t>Q16543</t>
  </si>
  <si>
    <t>Q16555</t>
  </si>
  <si>
    <t>Q16566</t>
  </si>
  <si>
    <t>Q16585</t>
  </si>
  <si>
    <t>Q16610</t>
  </si>
  <si>
    <t>Q16619-2</t>
  </si>
  <si>
    <t>Q16625-5</t>
  </si>
  <si>
    <t>Q16626</t>
  </si>
  <si>
    <t>Q16643</t>
  </si>
  <si>
    <t>Q16644</t>
  </si>
  <si>
    <t>Q16647</t>
  </si>
  <si>
    <t>Q16658</t>
  </si>
  <si>
    <t>Q16706</t>
  </si>
  <si>
    <t>Q16718</t>
  </si>
  <si>
    <t>Q16719-2</t>
  </si>
  <si>
    <t>Q16740</t>
  </si>
  <si>
    <t>Q16762</t>
  </si>
  <si>
    <t>Q16763</t>
  </si>
  <si>
    <t>Q16778</t>
  </si>
  <si>
    <t>Q16799</t>
  </si>
  <si>
    <t>Q16822</t>
  </si>
  <si>
    <t>Q16825</t>
  </si>
  <si>
    <t>Q16831</t>
  </si>
  <si>
    <t>Q16832</t>
  </si>
  <si>
    <t>Q16850</t>
  </si>
  <si>
    <t>Q16851</t>
  </si>
  <si>
    <t>Q16854</t>
  </si>
  <si>
    <t>Q16864</t>
  </si>
  <si>
    <t>Q17R31-2</t>
  </si>
  <si>
    <t>Q1RMZ1</t>
  </si>
  <si>
    <t>Q27J81</t>
  </si>
  <si>
    <t>Q29RF7</t>
  </si>
  <si>
    <t>Q2M1Z3</t>
  </si>
  <si>
    <t>Q2M2I8-2</t>
  </si>
  <si>
    <t>Q2NL98</t>
  </si>
  <si>
    <t>Q2T9J0-2</t>
  </si>
  <si>
    <t>Q2TAA5</t>
  </si>
  <si>
    <t>Q2TAL8</t>
  </si>
  <si>
    <t>Q2TAM5</t>
  </si>
  <si>
    <t>Q2TAY7</t>
  </si>
  <si>
    <t>Q2VPS2</t>
  </si>
  <si>
    <t>Q30201-5</t>
  </si>
  <si>
    <t>Q32MZ4-3</t>
  </si>
  <si>
    <t>Q32MZ4-4</t>
  </si>
  <si>
    <t>Q32P28</t>
  </si>
  <si>
    <t>Q32P41</t>
  </si>
  <si>
    <t>Q32Q12</t>
  </si>
  <si>
    <t>Q3B726</t>
  </si>
  <si>
    <t>Q3KQU3-2</t>
  </si>
  <si>
    <t>Q3KQV9</t>
  </si>
  <si>
    <t>Q3KQZ1-3</t>
  </si>
  <si>
    <t>Q3KRA6</t>
  </si>
  <si>
    <t>Q3KRA9</t>
  </si>
  <si>
    <t>Q3LXA3</t>
  </si>
  <si>
    <t>Q3MHD2</t>
  </si>
  <si>
    <t>Q3MIT2</t>
  </si>
  <si>
    <t>Q3SXM5</t>
  </si>
  <si>
    <t>Q3SY69</t>
  </si>
  <si>
    <t>Q3T906</t>
  </si>
  <si>
    <t>Q3V6T2-4</t>
  </si>
  <si>
    <t>Q3YEC7</t>
  </si>
  <si>
    <t>Q3ZCM7</t>
  </si>
  <si>
    <t>Q3ZCQ8</t>
  </si>
  <si>
    <t>Q3ZCW2</t>
  </si>
  <si>
    <t>Q495W5-2</t>
  </si>
  <si>
    <t>Q49AH0-2</t>
  </si>
  <si>
    <t>Q49AR2</t>
  </si>
  <si>
    <t>Q49B96</t>
  </si>
  <si>
    <t>Q4G0F5</t>
  </si>
  <si>
    <t>Q4G0I0</t>
  </si>
  <si>
    <t>Q4G0N4</t>
  </si>
  <si>
    <t>Q4G0P3</t>
  </si>
  <si>
    <t>Q4G0X4</t>
  </si>
  <si>
    <t>Q4G148-2</t>
  </si>
  <si>
    <t>Q4G176</t>
  </si>
  <si>
    <t>Q4J6C6-4</t>
  </si>
  <si>
    <t>Q4KMP7</t>
  </si>
  <si>
    <t>Q4KMQ2-3</t>
  </si>
  <si>
    <t>Q4KWH8-3</t>
  </si>
  <si>
    <t>Q4L180-3</t>
  </si>
  <si>
    <t>Q4LDE5</t>
  </si>
  <si>
    <t>Q4LDG9</t>
  </si>
  <si>
    <t>Q4V328</t>
  </si>
  <si>
    <t>Q4V9L6</t>
  </si>
  <si>
    <t>Q4VC05</t>
  </si>
  <si>
    <t>Q4VXL4</t>
  </si>
  <si>
    <t>Q4VXZ8</t>
  </si>
  <si>
    <t>Q4ZIN3-2</t>
  </si>
  <si>
    <t>Q52LD8</t>
  </si>
  <si>
    <t>Q52LJ0-2</t>
  </si>
  <si>
    <t>Q52LW3</t>
  </si>
  <si>
    <t>Q53EL6-2</t>
  </si>
  <si>
    <t>Q53EP0</t>
  </si>
  <si>
    <t>Q53F39</t>
  </si>
  <si>
    <t>Q53FA7</t>
  </si>
  <si>
    <t>Q53FP2</t>
  </si>
  <si>
    <t>Q53FT3</t>
  </si>
  <si>
    <t>Q53GA4</t>
  </si>
  <si>
    <t>Q53GG5-2</t>
  </si>
  <si>
    <t>Q53GQ0</t>
  </si>
  <si>
    <t>Q53H82</t>
  </si>
  <si>
    <t>Q53HV7</t>
  </si>
  <si>
    <t>Q53QV2</t>
  </si>
  <si>
    <t>Q53S33</t>
  </si>
  <si>
    <t>Q53T59</t>
  </si>
  <si>
    <t>Q53TN4-3</t>
  </si>
  <si>
    <t>Q53TS8-4</t>
  </si>
  <si>
    <t>Q53XA7</t>
  </si>
  <si>
    <t>Q562R1</t>
  </si>
  <si>
    <t>Q567Q0</t>
  </si>
  <si>
    <t>Q569H4</t>
  </si>
  <si>
    <t>Q56VL3</t>
  </si>
  <si>
    <t>Q587I9</t>
  </si>
  <si>
    <t>Q58DX5</t>
  </si>
  <si>
    <t>Q58FF8</t>
  </si>
  <si>
    <t>Q58FG1</t>
  </si>
  <si>
    <t>Q58WW2-3</t>
  </si>
  <si>
    <t>Q59GN2</t>
  </si>
  <si>
    <t>Q5BJH7-6</t>
  </si>
  <si>
    <t>Q5BKU9</t>
  </si>
  <si>
    <t>Q5D1E8</t>
  </si>
  <si>
    <t>Q5EBL4</t>
  </si>
  <si>
    <t>Q5EBL8</t>
  </si>
  <si>
    <t>Q5GJ75</t>
  </si>
  <si>
    <t>Q5GLZ8-2</t>
  </si>
  <si>
    <t>Q5H937</t>
  </si>
  <si>
    <t>Q5H993</t>
  </si>
  <si>
    <t>Q5H9A7</t>
  </si>
  <si>
    <t>Q5HYI7</t>
  </si>
  <si>
    <t>Q5HYI8</t>
  </si>
  <si>
    <t>Q5HYK3</t>
  </si>
  <si>
    <t>Q5HYK7</t>
  </si>
  <si>
    <t>Q5JP53</t>
  </si>
  <si>
    <t>Q5JPE7-2</t>
  </si>
  <si>
    <t>Q5JPH6</t>
  </si>
  <si>
    <t>Q5JPI9</t>
  </si>
  <si>
    <t>Q5JQ13</t>
  </si>
  <si>
    <t>Q5JQQ4</t>
  </si>
  <si>
    <t>Q5JR01</t>
  </si>
  <si>
    <t>Q5JR08</t>
  </si>
  <si>
    <t>Q5JRA6</t>
  </si>
  <si>
    <t>Q5JRG1</t>
  </si>
  <si>
    <t>Q5JRI1</t>
  </si>
  <si>
    <t>Q5JRX3</t>
  </si>
  <si>
    <t>Q5JS37</t>
  </si>
  <si>
    <t>Q5JS54</t>
  </si>
  <si>
    <t>Q5JSB6</t>
  </si>
  <si>
    <t>Q5JSH3-2</t>
  </si>
  <si>
    <t>Q5JSK7</t>
  </si>
  <si>
    <t>Q5JSZ5</t>
  </si>
  <si>
    <t>Q5JT25-2</t>
  </si>
  <si>
    <t>Q5JTD0-2</t>
  </si>
  <si>
    <t>Q5JTJ3-3</t>
  </si>
  <si>
    <t>Q5JTV1</t>
  </si>
  <si>
    <t>Q5JTV8</t>
  </si>
  <si>
    <t>Q5JTZ9</t>
  </si>
  <si>
    <t>Q5JU21</t>
  </si>
  <si>
    <t>Q5JU69</t>
  </si>
  <si>
    <t>Q5JU85</t>
  </si>
  <si>
    <t>Q5JV73</t>
  </si>
  <si>
    <t>Q5JVF3-3</t>
  </si>
  <si>
    <t>Q5JVS0</t>
  </si>
  <si>
    <t>Q5JVZ5</t>
  </si>
  <si>
    <t>Q5JW30</t>
  </si>
  <si>
    <t>Q5JWB9</t>
  </si>
  <si>
    <t>Q5JXX2</t>
  </si>
  <si>
    <t>Q5JYT7</t>
  </si>
  <si>
    <t>Q5JZH3</t>
  </si>
  <si>
    <t>Q5K4L6</t>
  </si>
  <si>
    <t>Q5K651</t>
  </si>
  <si>
    <t>Q5KU26</t>
  </si>
  <si>
    <t>Q5M775-4</t>
  </si>
  <si>
    <t>Q5MIZ7-3</t>
  </si>
  <si>
    <t>Q5MNZ6</t>
  </si>
  <si>
    <t>Q5MNZ9-2</t>
  </si>
  <si>
    <t>Q5NDL2</t>
  </si>
  <si>
    <t>Q5QJ74</t>
  </si>
  <si>
    <t>Q5QNY5</t>
  </si>
  <si>
    <t>Q5QNZ2</t>
  </si>
  <si>
    <t>Q5QP56</t>
  </si>
  <si>
    <t>Q5QPK2</t>
  </si>
  <si>
    <t>Q5QPM7</t>
  </si>
  <si>
    <t>Q5R372-4</t>
  </si>
  <si>
    <t>Q5R372-7</t>
  </si>
  <si>
    <t>Q5R3E4</t>
  </si>
  <si>
    <t>Q5RI15</t>
  </si>
  <si>
    <t>Q5RKV6</t>
  </si>
  <si>
    <t>Q5SNW6</t>
  </si>
  <si>
    <t>Q5SPY9</t>
  </si>
  <si>
    <t>Q5SQU3</t>
  </si>
  <si>
    <t>Q5SR50</t>
  </si>
  <si>
    <t>Q5SR56</t>
  </si>
  <si>
    <t>Q5SRE7-2</t>
  </si>
  <si>
    <t>Q5SRN5</t>
  </si>
  <si>
    <t>Q5SRQ6</t>
  </si>
  <si>
    <t>Q5SVK8</t>
  </si>
  <si>
    <t>Q5SW96</t>
  </si>
  <si>
    <t>Q5SWX3</t>
  </si>
  <si>
    <t>Q5SWX8</t>
  </si>
  <si>
    <t>Q5SXM8</t>
  </si>
  <si>
    <t>Q5SYE7-2</t>
  </si>
  <si>
    <t>Q5SZE2</t>
  </si>
  <si>
    <t>Q5T0D9</t>
  </si>
  <si>
    <t>Q5T0N5-3</t>
  </si>
  <si>
    <t>Q5T0S4</t>
  </si>
  <si>
    <t>Q5T123</t>
  </si>
  <si>
    <t>Q5T160</t>
  </si>
  <si>
    <t>Q5T171</t>
  </si>
  <si>
    <t>Q5T179</t>
  </si>
  <si>
    <t>Q5T1C6</t>
  </si>
  <si>
    <t>Q5T1M5</t>
  </si>
  <si>
    <t>Q5T1N9</t>
  </si>
  <si>
    <t>Q5T1V6</t>
  </si>
  <si>
    <t>Q5T1Z4</t>
  </si>
  <si>
    <t>Q5T2E6</t>
  </si>
  <si>
    <t>Q5T3F8</t>
  </si>
  <si>
    <t>Q5T3J3-2</t>
  </si>
  <si>
    <t>Q5T3U5-2</t>
  </si>
  <si>
    <t>Q5T440</t>
  </si>
  <si>
    <t>Q5T4B2</t>
  </si>
  <si>
    <t>Q5T4F4-2</t>
  </si>
  <si>
    <t>Q5T4K5</t>
  </si>
  <si>
    <t>Q5T4P9</t>
  </si>
  <si>
    <t>Q5T4S7-3</t>
  </si>
  <si>
    <t>Q5T4U5</t>
  </si>
  <si>
    <t>Q5T593</t>
  </si>
  <si>
    <t>Q5T5C0</t>
  </si>
  <si>
    <t>Q5T5U3</t>
  </si>
  <si>
    <t>Q5T5Y3-2</t>
  </si>
  <si>
    <t>Q5T6F2</t>
  </si>
  <si>
    <t>Q5T6J7</t>
  </si>
  <si>
    <t>Q5T6V5</t>
  </si>
  <si>
    <t>Q5T7M9</t>
  </si>
  <si>
    <t>Q5T7V8</t>
  </si>
  <si>
    <t>Q5T8C6</t>
  </si>
  <si>
    <t>Q5T8D3-2</t>
  </si>
  <si>
    <t>Q5T8I0</t>
  </si>
  <si>
    <t>Q5T8M7</t>
  </si>
  <si>
    <t>Q5T8N1</t>
  </si>
  <si>
    <t>Q5T8P6-2</t>
  </si>
  <si>
    <t>Q5T8T7</t>
  </si>
  <si>
    <t>Q5T8U5</t>
  </si>
  <si>
    <t>Q5T9B7</t>
  </si>
  <si>
    <t>Q5T9P7</t>
  </si>
  <si>
    <t>Q5TBP9</t>
  </si>
  <si>
    <t>Q5TBU2</t>
  </si>
  <si>
    <t>Q5TC82-2</t>
  </si>
  <si>
    <t>Q5TC84</t>
  </si>
  <si>
    <t>Q5TD07</t>
  </si>
  <si>
    <t>Q5TDH0</t>
  </si>
  <si>
    <t>Q5TEA3</t>
  </si>
  <si>
    <t>Q5TEE2</t>
  </si>
  <si>
    <t>Q5TEU4</t>
  </si>
  <si>
    <t>Q5TFE4</t>
  </si>
  <si>
    <t>Q5TGL8</t>
  </si>
  <si>
    <t>Q5TGY1</t>
  </si>
  <si>
    <t>Q5TIE1</t>
  </si>
  <si>
    <t>Q5TIH2</t>
  </si>
  <si>
    <t>Q5TZA2</t>
  </si>
  <si>
    <t>Q5U5Q3</t>
  </si>
  <si>
    <t>Q5U5X0</t>
  </si>
  <si>
    <t>Q5VIR6-4</t>
  </si>
  <si>
    <t>Q5VSL9</t>
  </si>
  <si>
    <t>Q5VST6</t>
  </si>
  <si>
    <t>Q5VT52-2</t>
  </si>
  <si>
    <t>Q5VT94</t>
  </si>
  <si>
    <t>Q5VTR2</t>
  </si>
  <si>
    <t>Q5VU97</t>
  </si>
  <si>
    <t>Q5VUA4</t>
  </si>
  <si>
    <t>Q5VUB5</t>
  </si>
  <si>
    <t>Q5VUJ6-2</t>
  </si>
  <si>
    <t>Q5VUM1</t>
  </si>
  <si>
    <t>Q5VV89</t>
  </si>
  <si>
    <t>Q5VVD7</t>
  </si>
  <si>
    <t>Q5VVQ6-2</t>
  </si>
  <si>
    <t>Q5VVW5</t>
  </si>
  <si>
    <t>Q5VW32</t>
  </si>
  <si>
    <t>Q5VW36</t>
  </si>
  <si>
    <t>Q5VWC4</t>
  </si>
  <si>
    <t>Q5VWJ9</t>
  </si>
  <si>
    <t>Q5VWQ8-2</t>
  </si>
  <si>
    <t>Q5VWU8</t>
  </si>
  <si>
    <t>Q5VWZ2</t>
  </si>
  <si>
    <t>Q5VY43</t>
  </si>
  <si>
    <t>Q5VYS8-2</t>
  </si>
  <si>
    <t>Q5VYX0-2</t>
  </si>
  <si>
    <t>Q5VZE5</t>
  </si>
  <si>
    <t>Q5VZI3-2</t>
  </si>
  <si>
    <t>Q5VZK9</t>
  </si>
  <si>
    <t>Q5VZZ6</t>
  </si>
  <si>
    <t>Q5W0A2</t>
  </si>
  <si>
    <t>Q5W0V3</t>
  </si>
  <si>
    <t>Q5W111</t>
  </si>
  <si>
    <t>Q5W145</t>
  </si>
  <si>
    <t>Q5XKP0</t>
  </si>
  <si>
    <t>Q5XPI4</t>
  </si>
  <si>
    <t>Q5XUX1-3</t>
  </si>
  <si>
    <t>Q5ZPR3</t>
  </si>
  <si>
    <t>Q63HN8</t>
  </si>
  <si>
    <t>Q63HQ0</t>
  </si>
  <si>
    <t>Q63ZY3-3</t>
  </si>
  <si>
    <t>Q641Q2</t>
  </si>
  <si>
    <t>Q66K14-2</t>
  </si>
  <si>
    <t>Q66LE6</t>
  </si>
  <si>
    <t>Q66PJ3</t>
  </si>
  <si>
    <t>Q674X7-3</t>
  </si>
  <si>
    <t>Q68CQ7</t>
  </si>
  <si>
    <t>Q68CZ2</t>
  </si>
  <si>
    <t>Q68D91</t>
  </si>
  <si>
    <t>Q68DH5</t>
  </si>
  <si>
    <t>Q68DM5</t>
  </si>
  <si>
    <t>Q68E01-2</t>
  </si>
  <si>
    <t>Q68EM7-6</t>
  </si>
  <si>
    <t>Q69YN2-3</t>
  </si>
  <si>
    <t>Q69YQ0-2</t>
  </si>
  <si>
    <t>Q69YU5</t>
  </si>
  <si>
    <t>Q6AZY7-2</t>
  </si>
  <si>
    <t>Q6BCY4</t>
  </si>
  <si>
    <t>Q6DD88</t>
  </si>
  <si>
    <t>Q6DHV7</t>
  </si>
  <si>
    <t>Q6DKJ4</t>
  </si>
  <si>
    <t>Q6DKK2</t>
  </si>
  <si>
    <t>Q6DU44</t>
  </si>
  <si>
    <t>Q6EEV4-2</t>
  </si>
  <si>
    <t>Q6EMK4</t>
  </si>
  <si>
    <t>Q6FI81-3</t>
  </si>
  <si>
    <t>Q6FIF0-2</t>
  </si>
  <si>
    <t>Q6GMV2</t>
  </si>
  <si>
    <t>Q6GMV3</t>
  </si>
  <si>
    <t>Q6GQQ9</t>
  </si>
  <si>
    <t>Q6GYA4</t>
  </si>
  <si>
    <t>Q6I9Y2</t>
  </si>
  <si>
    <t>Q6IA69</t>
  </si>
  <si>
    <t>Q6IA86-3</t>
  </si>
  <si>
    <t>Q6IAA8</t>
  </si>
  <si>
    <t>Q6IAN0</t>
  </si>
  <si>
    <t>Q6IBS0</t>
  </si>
  <si>
    <t>Q6ICB0</t>
  </si>
  <si>
    <t>Q6ICG6</t>
  </si>
  <si>
    <t>Q6ICJ4</t>
  </si>
  <si>
    <t>Q6ICL3</t>
  </si>
  <si>
    <t>Q6IN85-2</t>
  </si>
  <si>
    <t>Q6IQ22</t>
  </si>
  <si>
    <t>Q6IQ49-3</t>
  </si>
  <si>
    <t>Q6KC79-3</t>
  </si>
  <si>
    <t>Q6N022</t>
  </si>
  <si>
    <t>Q6N063</t>
  </si>
  <si>
    <t>Q6NSJ0</t>
  </si>
  <si>
    <t>Q6NT16</t>
  </si>
  <si>
    <t>Q6NT89</t>
  </si>
  <si>
    <t>Q6NTE8</t>
  </si>
  <si>
    <t>Q6NUK1</t>
  </si>
  <si>
    <t>Q6NUK4</t>
  </si>
  <si>
    <t>Q6NUM9</t>
  </si>
  <si>
    <t>Q6NUQ1</t>
  </si>
  <si>
    <t>Q6NUQ4-2</t>
  </si>
  <si>
    <t>Q6NUS6</t>
  </si>
  <si>
    <t>Q6NVU6</t>
  </si>
  <si>
    <t>Q6NVY1</t>
  </si>
  <si>
    <t>Q6NXT1</t>
  </si>
  <si>
    <t>Q6NXT6</t>
  </si>
  <si>
    <t>Q6NYC8</t>
  </si>
  <si>
    <t>Q6NZ53</t>
  </si>
  <si>
    <t>Q6NZI2</t>
  </si>
  <si>
    <t>Q6NZY7</t>
  </si>
  <si>
    <t>Q6P179</t>
  </si>
  <si>
    <t>Q6P1J9</t>
  </si>
  <si>
    <t>Q6P1L8</t>
  </si>
  <si>
    <t>Q6P1M0</t>
  </si>
  <si>
    <t>Q6P1N0-2</t>
  </si>
  <si>
    <t>Q6P1R4</t>
  </si>
  <si>
    <t>Q6P1X6</t>
  </si>
  <si>
    <t>Q6P2E9</t>
  </si>
  <si>
    <t>Q6P2P2</t>
  </si>
  <si>
    <t>Q6P3W7</t>
  </si>
  <si>
    <t>Q6P3X3</t>
  </si>
  <si>
    <t>Q6P4E1</t>
  </si>
  <si>
    <t>Q6P4F2</t>
  </si>
  <si>
    <t>Q6P4I2</t>
  </si>
  <si>
    <t>Q6P582</t>
  </si>
  <si>
    <t>Q6P587</t>
  </si>
  <si>
    <t>Q6P6B1</t>
  </si>
  <si>
    <t>Q6P995</t>
  </si>
  <si>
    <t>Q6P9B6</t>
  </si>
  <si>
    <t>Q6PCE3</t>
  </si>
  <si>
    <t>Q6PD74</t>
  </si>
  <si>
    <t>Q6PGP7</t>
  </si>
  <si>
    <t>Q6PI48</t>
  </si>
  <si>
    <t>Q6PI78</t>
  </si>
  <si>
    <t>Q6PII3</t>
  </si>
  <si>
    <t>Q6PII5-2</t>
  </si>
  <si>
    <t>Q6PJ69</t>
  </si>
  <si>
    <t>Q6PJT7-5</t>
  </si>
  <si>
    <t>Q6PJW8</t>
  </si>
  <si>
    <t>Q6PK18</t>
  </si>
  <si>
    <t>Q6PKG0</t>
  </si>
  <si>
    <t>Q6PML9</t>
  </si>
  <si>
    <t>Q6QHF9-2</t>
  </si>
  <si>
    <t>Q6QNY0</t>
  </si>
  <si>
    <t>Q6QNY1</t>
  </si>
  <si>
    <t>Q6RW13-2</t>
  </si>
  <si>
    <t>Q6UB28</t>
  </si>
  <si>
    <t>Q6UB35</t>
  </si>
  <si>
    <t>Q6ULP2-3</t>
  </si>
  <si>
    <t>Q6UN15-3</t>
  </si>
  <si>
    <t>Q6UUV9-3</t>
  </si>
  <si>
    <t>Q6UVK1</t>
  </si>
  <si>
    <t>Q6UVY6-2</t>
  </si>
  <si>
    <t>Q6UW56</t>
  </si>
  <si>
    <t>Q6UW63</t>
  </si>
  <si>
    <t>Q6UWE0</t>
  </si>
  <si>
    <t>Q6UWH4</t>
  </si>
  <si>
    <t>Q6UWJ1-3</t>
  </si>
  <si>
    <t>Q6UWP2</t>
  </si>
  <si>
    <t>Q6UWP7-3</t>
  </si>
  <si>
    <t>Q6UWS5</t>
  </si>
  <si>
    <t>Q6UWU4</t>
  </si>
  <si>
    <t>Q6UX04</t>
  </si>
  <si>
    <t>Q6UX15-2</t>
  </si>
  <si>
    <t>Q6UX53</t>
  </si>
  <si>
    <t>Q6UX71</t>
  </si>
  <si>
    <t>Q6UXD5-6</t>
  </si>
  <si>
    <t>Q6UXH1-4</t>
  </si>
  <si>
    <t>Q6UXH8</t>
  </si>
  <si>
    <t>Q6UXN9</t>
  </si>
  <si>
    <t>Q6UXP7</t>
  </si>
  <si>
    <t>Q6UXV4</t>
  </si>
  <si>
    <t>Q6UXY1-2</t>
  </si>
  <si>
    <t>Q6V0I7-3</t>
  </si>
  <si>
    <t>Q6V1P9</t>
  </si>
  <si>
    <t>Q6V1X1-2</t>
  </si>
  <si>
    <t>Q6VY07</t>
  </si>
  <si>
    <t>Q6WCQ1</t>
  </si>
  <si>
    <t>Q6WKZ4</t>
  </si>
  <si>
    <t>Q6XQN6</t>
  </si>
  <si>
    <t>Q6Y1H2</t>
  </si>
  <si>
    <t>Q6Y288</t>
  </si>
  <si>
    <t>Q6Y7W6-4</t>
  </si>
  <si>
    <t>Q6YHK3</t>
  </si>
  <si>
    <t>Q6YHU6-3</t>
  </si>
  <si>
    <t>Q6YN16</t>
  </si>
  <si>
    <t>Q6YP21-3</t>
  </si>
  <si>
    <t>Q6ZMG9</t>
  </si>
  <si>
    <t>Q6ZMI0</t>
  </si>
  <si>
    <t>Q6ZMZ3-2</t>
  </si>
  <si>
    <t>Q6ZNW5</t>
  </si>
  <si>
    <t>Q6ZPD9</t>
  </si>
  <si>
    <t>Q6ZRP7</t>
  </si>
  <si>
    <t>Q6ZS17-2</t>
  </si>
  <si>
    <t>Q6ZSJ8</t>
  </si>
  <si>
    <t>Q6ZSS7</t>
  </si>
  <si>
    <t>Q6ZT21-2</t>
  </si>
  <si>
    <t>Q6ZTN6-3</t>
  </si>
  <si>
    <t>Q6ZUS6-5</t>
  </si>
  <si>
    <t>Q6ZUT6</t>
  </si>
  <si>
    <t>Q6ZUX7</t>
  </si>
  <si>
    <t>Q6ZVK8</t>
  </si>
  <si>
    <t>Q6ZVM7</t>
  </si>
  <si>
    <t>Q6ZW49-4</t>
  </si>
  <si>
    <t>Q6ZWT7</t>
  </si>
  <si>
    <t>Q6ZXV5-2</t>
  </si>
  <si>
    <t>Q709C8-3</t>
  </si>
  <si>
    <t>Q709F0</t>
  </si>
  <si>
    <t>Q70E73-7</t>
  </si>
  <si>
    <t>Q70IA6</t>
  </si>
  <si>
    <t>Q70UQ0</t>
  </si>
  <si>
    <t>Q70UQ0-4</t>
  </si>
  <si>
    <t>Q70Z53-2</t>
  </si>
  <si>
    <t>Q712K3</t>
  </si>
  <si>
    <t>Q71TU5</t>
  </si>
  <si>
    <t>Q765P7</t>
  </si>
  <si>
    <t>Q76M96</t>
  </si>
  <si>
    <t>Q7KYR7-5</t>
  </si>
  <si>
    <t>Q7KZ85</t>
  </si>
  <si>
    <t>Q7KZF4</t>
  </si>
  <si>
    <t>Q7L014</t>
  </si>
  <si>
    <t>Q7L099-3</t>
  </si>
  <si>
    <t>Q7L0J3-2</t>
  </si>
  <si>
    <t>Q7L0Y3</t>
  </si>
  <si>
    <t>Q7L1Q6</t>
  </si>
  <si>
    <t>Q7L1W4</t>
  </si>
  <si>
    <t>Q7L211</t>
  </si>
  <si>
    <t>Q7L2H7</t>
  </si>
  <si>
    <t>Q7L2J0</t>
  </si>
  <si>
    <t>Q7L311</t>
  </si>
  <si>
    <t>Q7L4I2-2</t>
  </si>
  <si>
    <t>Q7L576</t>
  </si>
  <si>
    <t>Q7L592</t>
  </si>
  <si>
    <t>Q7L5D6</t>
  </si>
  <si>
    <t>Q7L5N7</t>
  </si>
  <si>
    <t>Q7L5Y1</t>
  </si>
  <si>
    <t>Q7L775</t>
  </si>
  <si>
    <t>Q7L7V1-2</t>
  </si>
  <si>
    <t>Q7L7X3</t>
  </si>
  <si>
    <t>Q7L8J4</t>
  </si>
  <si>
    <t>Q7LBC6</t>
  </si>
  <si>
    <t>Q7LBR1</t>
  </si>
  <si>
    <t>Q7LG56</t>
  </si>
  <si>
    <t>Q7LGA3</t>
  </si>
  <si>
    <t>Q7RTN6-6</t>
  </si>
  <si>
    <t>Q7RTP0</t>
  </si>
  <si>
    <t>Q7RTP6</t>
  </si>
  <si>
    <t>Q7RTS9</t>
  </si>
  <si>
    <t>Q7RTV0</t>
  </si>
  <si>
    <t>Q7RTV5</t>
  </si>
  <si>
    <t>Q7Z2K8</t>
  </si>
  <si>
    <t>Q7Z2X4-4</t>
  </si>
  <si>
    <t>Q7Z2Z2</t>
  </si>
  <si>
    <t>Q7Z388</t>
  </si>
  <si>
    <t>Q7Z3B1</t>
  </si>
  <si>
    <t>Q7Z3D4</t>
  </si>
  <si>
    <t>Q7Z3D6-2</t>
  </si>
  <si>
    <t>Q7Z3E2</t>
  </si>
  <si>
    <t>Q7Z3E5</t>
  </si>
  <si>
    <t>Q7Z3T8</t>
  </si>
  <si>
    <t>Q7Z417</t>
  </si>
  <si>
    <t>Q7Z422-2</t>
  </si>
  <si>
    <t>Q7Z434</t>
  </si>
  <si>
    <t>Q7Z449</t>
  </si>
  <si>
    <t>Q7Z478</t>
  </si>
  <si>
    <t>Q7Z4F1</t>
  </si>
  <si>
    <t>Q7Z4G1</t>
  </si>
  <si>
    <t>Q7Z4G4-2</t>
  </si>
  <si>
    <t>Q7Z4H3</t>
  </si>
  <si>
    <t>Q7Z4H7-3</t>
  </si>
  <si>
    <t>Q7Z4H8</t>
  </si>
  <si>
    <t>Q7Z4I7</t>
  </si>
  <si>
    <t>Q7Z4Q2</t>
  </si>
  <si>
    <t>Q7Z4V5</t>
  </si>
  <si>
    <t>Q7Z4W1</t>
  </si>
  <si>
    <t>Q7Z5G4-3</t>
  </si>
  <si>
    <t>Q7Z5K2</t>
  </si>
  <si>
    <t>Q7Z5L2-2</t>
  </si>
  <si>
    <t>Q7Z5L7</t>
  </si>
  <si>
    <t>Q7Z5L9-2</t>
  </si>
  <si>
    <t>Q7Z5R6</t>
  </si>
  <si>
    <t>Q7Z624</t>
  </si>
  <si>
    <t>Q7Z6B0-2</t>
  </si>
  <si>
    <t>Q7Z6B7</t>
  </si>
  <si>
    <t>Q7Z6E9-4</t>
  </si>
  <si>
    <t>Q7Z6J0</t>
  </si>
  <si>
    <t>Q7Z6K3</t>
  </si>
  <si>
    <t>Q7Z6K5</t>
  </si>
  <si>
    <t>Q7Z6L1</t>
  </si>
  <si>
    <t>Q7Z6M1</t>
  </si>
  <si>
    <t>Q7Z6M3</t>
  </si>
  <si>
    <t>Q7Z6M4</t>
  </si>
  <si>
    <t>Q7Z6Z7-2</t>
  </si>
  <si>
    <t>Q7Z7A3</t>
  </si>
  <si>
    <t>Q7Z7A4</t>
  </si>
  <si>
    <t>Q7Z7C8</t>
  </si>
  <si>
    <t>Q7Z7E8</t>
  </si>
  <si>
    <t>Q7Z7F0-4</t>
  </si>
  <si>
    <t>Q7Z7H5-3</t>
  </si>
  <si>
    <t>Q7Z7J9</t>
  </si>
  <si>
    <t>Q7Z7L7</t>
  </si>
  <si>
    <t>Q7Z7M9</t>
  </si>
  <si>
    <t>Q7Z7N9</t>
  </si>
  <si>
    <t>Q86SF2</t>
  </si>
  <si>
    <t>Q86SJ2</t>
  </si>
  <si>
    <t>Q86SQ0</t>
  </si>
  <si>
    <t>Q86SQ7</t>
  </si>
  <si>
    <t>Q86SR1</t>
  </si>
  <si>
    <t>Q86SX6</t>
  </si>
  <si>
    <t>Q86SZ2</t>
  </si>
  <si>
    <t>Q86T03</t>
  </si>
  <si>
    <t>Q86T13</t>
  </si>
  <si>
    <t>Q86TB9-4</t>
  </si>
  <si>
    <t>Q86TG1</t>
  </si>
  <si>
    <t>Q86TI0-2</t>
  </si>
  <si>
    <t>Q86TI2</t>
  </si>
  <si>
    <t>Q86TM6-2</t>
  </si>
  <si>
    <t>Q86TN4</t>
  </si>
  <si>
    <t>Q86TP1</t>
  </si>
  <si>
    <t>Q86TS9-3</t>
  </si>
  <si>
    <t>Q86TU7</t>
  </si>
  <si>
    <t>Q86TV2</t>
  </si>
  <si>
    <t>Q86TX2</t>
  </si>
  <si>
    <t>Q86U28</t>
  </si>
  <si>
    <t>Q86U44</t>
  </si>
  <si>
    <t>Q86U70-3</t>
  </si>
  <si>
    <t>Q86U90</t>
  </si>
  <si>
    <t>Q86UE4</t>
  </si>
  <si>
    <t>Q86UK7-2</t>
  </si>
  <si>
    <t>Q86UL3</t>
  </si>
  <si>
    <t>Q86UP2</t>
  </si>
  <si>
    <t>Q86UU0-4</t>
  </si>
  <si>
    <t>Q86UU1-2</t>
  </si>
  <si>
    <t>Q86UV5</t>
  </si>
  <si>
    <t>Q86UY0</t>
  </si>
  <si>
    <t>Q86UY8-2</t>
  </si>
  <si>
    <t>Q86V21</t>
  </si>
  <si>
    <t>Q86V48</t>
  </si>
  <si>
    <t>Q86V85</t>
  </si>
  <si>
    <t>Q86V87</t>
  </si>
  <si>
    <t>Q86VG3</t>
  </si>
  <si>
    <t>Q86VN1-2</t>
  </si>
  <si>
    <t>Q86VP6</t>
  </si>
  <si>
    <t>Q86VQ1</t>
  </si>
  <si>
    <t>Q86VQ2</t>
  </si>
  <si>
    <t>Q86VR2</t>
  </si>
  <si>
    <t>Q86VS8</t>
  </si>
  <si>
    <t>Q86VW0</t>
  </si>
  <si>
    <t>Q86VW2-2</t>
  </si>
  <si>
    <t>Q86VX2-2</t>
  </si>
  <si>
    <t>Q86W34</t>
  </si>
  <si>
    <t>Q86W42-3</t>
  </si>
  <si>
    <t>Q86W56-2</t>
  </si>
  <si>
    <t>Q86W92-2</t>
  </si>
  <si>
    <t>Q86WA6-2</t>
  </si>
  <si>
    <t>Q86WA9</t>
  </si>
  <si>
    <t>Q86WC4</t>
  </si>
  <si>
    <t>Q86WG5</t>
  </si>
  <si>
    <t>Q86WN1</t>
  </si>
  <si>
    <t>Q86WQ0</t>
  </si>
  <si>
    <t>Q86WR0</t>
  </si>
  <si>
    <t>Q86WV6</t>
  </si>
  <si>
    <t>Q86WV7</t>
  </si>
  <si>
    <t>Q86X02</t>
  </si>
  <si>
    <t>Q86X19</t>
  </si>
  <si>
    <t>Q86X27</t>
  </si>
  <si>
    <t>Q86X55-1</t>
  </si>
  <si>
    <t>Q86X76-2</t>
  </si>
  <si>
    <t>Q86X83</t>
  </si>
  <si>
    <t>Q86XP3</t>
  </si>
  <si>
    <t>Q86XZ4</t>
  </si>
  <si>
    <t>Q86Y07-4</t>
  </si>
  <si>
    <t>Q86Y37</t>
  </si>
  <si>
    <t>Q86Y39</t>
  </si>
  <si>
    <t>Q86Y56</t>
  </si>
  <si>
    <t>Q86Y82</t>
  </si>
  <si>
    <t>Q86YB8</t>
  </si>
  <si>
    <t>Q86YH6</t>
  </si>
  <si>
    <t>Q86YJ6-4</t>
  </si>
  <si>
    <t>Q86YP4-2</t>
  </si>
  <si>
    <t>Q86YQ8</t>
  </si>
  <si>
    <t>Q86YR5-4</t>
  </si>
  <si>
    <t>Q86YS6</t>
  </si>
  <si>
    <t>Q86YV5</t>
  </si>
  <si>
    <t>Q8IU85-2</t>
  </si>
  <si>
    <t>Q8IUC6</t>
  </si>
  <si>
    <t>Q8IUD2</t>
  </si>
  <si>
    <t>Q8IUH4-2</t>
  </si>
  <si>
    <t>Q8IUI8</t>
  </si>
  <si>
    <t>Q8IUR0</t>
  </si>
  <si>
    <t>Q8IUW5</t>
  </si>
  <si>
    <t>Q8IUZ5</t>
  </si>
  <si>
    <t>Q8IV08</t>
  </si>
  <si>
    <t>Q8IV20</t>
  </si>
  <si>
    <t>Q8IV38</t>
  </si>
  <si>
    <t>Q8IV50</t>
  </si>
  <si>
    <t>Q8IVB5</t>
  </si>
  <si>
    <t>Q8IVD9</t>
  </si>
  <si>
    <t>Q8IVF2-3</t>
  </si>
  <si>
    <t>Q8IVH4</t>
  </si>
  <si>
    <t>Q8IVL5</t>
  </si>
  <si>
    <t>Q8IVM0</t>
  </si>
  <si>
    <t>Q8IVS2</t>
  </si>
  <si>
    <t>Q8IW45</t>
  </si>
  <si>
    <t>Q8IWA4</t>
  </si>
  <si>
    <t>Q8IWA5</t>
  </si>
  <si>
    <t>Q8IWB1</t>
  </si>
  <si>
    <t>Q8IWB7</t>
  </si>
  <si>
    <t>Q8IWB9</t>
  </si>
  <si>
    <t>Q8IWC1-2</t>
  </si>
  <si>
    <t>Q8IWE2</t>
  </si>
  <si>
    <t>Q8IWE4</t>
  </si>
  <si>
    <t>Q8IWJ2</t>
  </si>
  <si>
    <t>Q8IWV7</t>
  </si>
  <si>
    <t>Q8IWV8-4</t>
  </si>
  <si>
    <t>Q8IWW8-2</t>
  </si>
  <si>
    <t>Q8IWZ3-6</t>
  </si>
  <si>
    <t>Q8IWZ8</t>
  </si>
  <si>
    <t>Q8IX04</t>
  </si>
  <si>
    <t>Q8IX12-2</t>
  </si>
  <si>
    <t>Q8IXB1</t>
  </si>
  <si>
    <t>Q8IXI2-4</t>
  </si>
  <si>
    <t>Q8IXJ6-2</t>
  </si>
  <si>
    <t>Q8IXQ3</t>
  </si>
  <si>
    <t>Q8IXQ4</t>
  </si>
  <si>
    <t>Q8IY17-3</t>
  </si>
  <si>
    <t>Q8IY31</t>
  </si>
  <si>
    <t>Q8IY33</t>
  </si>
  <si>
    <t>Q8IY95-2</t>
  </si>
  <si>
    <t>Q8IYB1</t>
  </si>
  <si>
    <t>Q8IYB5-3</t>
  </si>
  <si>
    <t>Q8IYB7</t>
  </si>
  <si>
    <t>Q8IYB8</t>
  </si>
  <si>
    <t>Q8IYD1</t>
  </si>
  <si>
    <t>Q8IYE0-2</t>
  </si>
  <si>
    <t>Q8IYI6</t>
  </si>
  <si>
    <t>Q8IYM9-2</t>
  </si>
  <si>
    <t>Q8IYQ7</t>
  </si>
  <si>
    <t>Q8IYS2</t>
  </si>
  <si>
    <t>Q8IYU2</t>
  </si>
  <si>
    <t>Q8IYU8</t>
  </si>
  <si>
    <t>Q8IZ07</t>
  </si>
  <si>
    <t>Q8IZ21-3</t>
  </si>
  <si>
    <t>Q8IZ68</t>
  </si>
  <si>
    <t>Q8IZ73</t>
  </si>
  <si>
    <t>Q8IZ81</t>
  </si>
  <si>
    <t>Q8IZ83</t>
  </si>
  <si>
    <t>Q8IZD4</t>
  </si>
  <si>
    <t>Q8IZE3-2</t>
  </si>
  <si>
    <t>Q8IZR5-3</t>
  </si>
  <si>
    <t>Q8IZV5</t>
  </si>
  <si>
    <t>Q8N0T1</t>
  </si>
  <si>
    <t>Q8N0U8</t>
  </si>
  <si>
    <t>Q8N0W3</t>
  </si>
  <si>
    <t>Q8N0X4</t>
  </si>
  <si>
    <t>Q8N0X7</t>
  </si>
  <si>
    <t>Q8N0Z6</t>
  </si>
  <si>
    <t>Q8N108-17</t>
  </si>
  <si>
    <t>Q8N111</t>
  </si>
  <si>
    <t>Q8N122</t>
  </si>
  <si>
    <t>Q8N129</t>
  </si>
  <si>
    <t>Q8N130</t>
  </si>
  <si>
    <t>Q8N142</t>
  </si>
  <si>
    <t>Q8N163-2</t>
  </si>
  <si>
    <t>Q8N183</t>
  </si>
  <si>
    <t>Q8N1A6</t>
  </si>
  <si>
    <t>Q8N1B4</t>
  </si>
  <si>
    <t>Q8N1F7</t>
  </si>
  <si>
    <t>Q8N1G2</t>
  </si>
  <si>
    <t>Q8N1G4</t>
  </si>
  <si>
    <t>Q8N1Q1</t>
  </si>
  <si>
    <t>Q8N1S5-2</t>
  </si>
  <si>
    <t>Q8N283</t>
  </si>
  <si>
    <t>Q8N2F6-3</t>
  </si>
  <si>
    <t>Q8N2G8-3</t>
  </si>
  <si>
    <t>Q8N2H3</t>
  </si>
  <si>
    <t>Q8N2K0</t>
  </si>
  <si>
    <t>Q8N300</t>
  </si>
  <si>
    <t>Q8N335</t>
  </si>
  <si>
    <t>Q8N339</t>
  </si>
  <si>
    <t>Q8N350</t>
  </si>
  <si>
    <t>Q8N357</t>
  </si>
  <si>
    <t>Q8N392</t>
  </si>
  <si>
    <t>Q8N3C0-4</t>
  </si>
  <si>
    <t>Q8N3D4</t>
  </si>
  <si>
    <t>Q8N3F8</t>
  </si>
  <si>
    <t>Q8N3R9</t>
  </si>
  <si>
    <t>Q8N3V7-2</t>
  </si>
  <si>
    <t>Q8N3X1</t>
  </si>
  <si>
    <t>Q8N465</t>
  </si>
  <si>
    <t>Q8N474</t>
  </si>
  <si>
    <t>Q8N488</t>
  </si>
  <si>
    <t>Q8N490-2</t>
  </si>
  <si>
    <t>Q8N4B1-2</t>
  </si>
  <si>
    <t>Q8N4C8</t>
  </si>
  <si>
    <t>Q8N4H5</t>
  </si>
  <si>
    <t>Q8N4P3</t>
  </si>
  <si>
    <t>Q8N4Q0</t>
  </si>
  <si>
    <t>Q8N4Q1</t>
  </si>
  <si>
    <t>Q8N4V1</t>
  </si>
  <si>
    <t>Q8N556</t>
  </si>
  <si>
    <t>Q8N573-2</t>
  </si>
  <si>
    <t>Q8N584</t>
  </si>
  <si>
    <t>Q8N5C8-2</t>
  </si>
  <si>
    <t>Q8N5G0-2</t>
  </si>
  <si>
    <t>Q8N5G2-2</t>
  </si>
  <si>
    <t>Q8N5H3-4</t>
  </si>
  <si>
    <t>Q8N5I4</t>
  </si>
  <si>
    <t>Q8N5I9</t>
  </si>
  <si>
    <t>Q8N5J2</t>
  </si>
  <si>
    <t>Q8N5K1</t>
  </si>
  <si>
    <t>Q8N5M1</t>
  </si>
  <si>
    <t>Q8N5M9</t>
  </si>
  <si>
    <t>Q8N5N7</t>
  </si>
  <si>
    <t>Q8N5X7</t>
  </si>
  <si>
    <t>Q8N5Z5-2</t>
  </si>
  <si>
    <t>Q8N668</t>
  </si>
  <si>
    <t>Q8N684-2</t>
  </si>
  <si>
    <t>Q8N697</t>
  </si>
  <si>
    <t>Q8N6G6-2</t>
  </si>
  <si>
    <t>Q8N6H7</t>
  </si>
  <si>
    <t>Q8N6M0</t>
  </si>
  <si>
    <t>Q8N6N3</t>
  </si>
  <si>
    <t>Q8N6N7</t>
  </si>
  <si>
    <t>Q8N6Q8</t>
  </si>
  <si>
    <t>Q8N6T3</t>
  </si>
  <si>
    <t>Q8N766-4</t>
  </si>
  <si>
    <t>Q8N7R7-3</t>
  </si>
  <si>
    <t>Q8N8J7</t>
  </si>
  <si>
    <t>Q8N8N7</t>
  </si>
  <si>
    <t>Q8N8R5</t>
  </si>
  <si>
    <t>Q8N8S7-2</t>
  </si>
  <si>
    <t>Q8N954</t>
  </si>
  <si>
    <t>Q8N999</t>
  </si>
  <si>
    <t>Q8N9A8-2</t>
  </si>
  <si>
    <t>Q8N9I9</t>
  </si>
  <si>
    <t>Q8N9N2-2</t>
  </si>
  <si>
    <t>Q8N9N7</t>
  </si>
  <si>
    <t>Q8N9V3-2</t>
  </si>
  <si>
    <t>Q8NB14</t>
  </si>
  <si>
    <t>Q8NB16</t>
  </si>
  <si>
    <t>Q8NB37</t>
  </si>
  <si>
    <t>Q8NB46</t>
  </si>
  <si>
    <t>Q8NB49-3</t>
  </si>
  <si>
    <t>Q8NBF2</t>
  </si>
  <si>
    <t>Q8NBF6</t>
  </si>
  <si>
    <t>Q8NBI5</t>
  </si>
  <si>
    <t>Q8NBI6</t>
  </si>
  <si>
    <t>Q8NBJ4-2</t>
  </si>
  <si>
    <t>Q8NBJ5</t>
  </si>
  <si>
    <t>Q8NBK3</t>
  </si>
  <si>
    <t>Q8NBL1</t>
  </si>
  <si>
    <t>Q8NBM8</t>
  </si>
  <si>
    <t>Q8NBN3</t>
  </si>
  <si>
    <t>Q8NBN7</t>
  </si>
  <si>
    <t>Q8NBU5</t>
  </si>
  <si>
    <t>Q8NBX0</t>
  </si>
  <si>
    <t>Q8NC44</t>
  </si>
  <si>
    <t>Q8NC51-2</t>
  </si>
  <si>
    <t>Q8NC56</t>
  </si>
  <si>
    <t>Q8NC96</t>
  </si>
  <si>
    <t>Q8NCA5-2</t>
  </si>
  <si>
    <t>Q8NCC3</t>
  </si>
  <si>
    <t>Q8NCC5-3</t>
  </si>
  <si>
    <t>Q8NCE2-2</t>
  </si>
  <si>
    <t>Q8NCG7-4</t>
  </si>
  <si>
    <t>Q8NCH0</t>
  </si>
  <si>
    <t>Q8NCL4</t>
  </si>
  <si>
    <t>Q8NCN5</t>
  </si>
  <si>
    <t>Q8NCW5</t>
  </si>
  <si>
    <t>Q8ND24</t>
  </si>
  <si>
    <t>Q8ND30</t>
  </si>
  <si>
    <t>Q8ND56-2</t>
  </si>
  <si>
    <t>Q8ND76-3</t>
  </si>
  <si>
    <t>Q8ND90</t>
  </si>
  <si>
    <t>Q8ND94</t>
  </si>
  <si>
    <t>Q8NDC0</t>
  </si>
  <si>
    <t>Q8NDH3</t>
  </si>
  <si>
    <t>Q8NDI1-3</t>
  </si>
  <si>
    <t>Q8NDV7-6</t>
  </si>
  <si>
    <t>Q8NE00</t>
  </si>
  <si>
    <t>Q8NE71-2</t>
  </si>
  <si>
    <t>Q8NE86-3</t>
  </si>
  <si>
    <t>Q8NEC7</t>
  </si>
  <si>
    <t>Q8NEL9-2</t>
  </si>
  <si>
    <t>Q8NEN9</t>
  </si>
  <si>
    <t>Q8NEU8</t>
  </si>
  <si>
    <t>Q8NEW0</t>
  </si>
  <si>
    <t>Q8NEY1-2</t>
  </si>
  <si>
    <t>Q8NEZ2-2</t>
  </si>
  <si>
    <t>Q8NEZ5</t>
  </si>
  <si>
    <t>Q8NF37</t>
  </si>
  <si>
    <t>Q8NFC6</t>
  </si>
  <si>
    <t>Q8NFF5-2</t>
  </si>
  <si>
    <t>Q8NFH3</t>
  </si>
  <si>
    <t>Q8NFH4</t>
  </si>
  <si>
    <t>Q8NFI3</t>
  </si>
  <si>
    <t>Q8NFQ8</t>
  </si>
  <si>
    <t>Q8NFU3</t>
  </si>
  <si>
    <t>Q8NFV4</t>
  </si>
  <si>
    <t>Q8NFX7-2</t>
  </si>
  <si>
    <t>Q8NFZ4</t>
  </si>
  <si>
    <t>Q8NFZ8</t>
  </si>
  <si>
    <t>Q8NG27-3</t>
  </si>
  <si>
    <t>Q8NG68</t>
  </si>
  <si>
    <t>Q8NHG7</t>
  </si>
  <si>
    <t>Q8NHH9</t>
  </si>
  <si>
    <t>Q8NHP8</t>
  </si>
  <si>
    <t>Q8NHQ8-2</t>
  </si>
  <si>
    <t>Q8NHU3</t>
  </si>
  <si>
    <t>Q8NHU6</t>
  </si>
  <si>
    <t>Q8NHV1</t>
  </si>
  <si>
    <t>Q8NHV4</t>
  </si>
  <si>
    <t>Q8NHZ8</t>
  </si>
  <si>
    <t>Q8NI08-2</t>
  </si>
  <si>
    <t>Q8NI22-2</t>
  </si>
  <si>
    <t>Q8NI37</t>
  </si>
  <si>
    <t>Q8TAA9-2</t>
  </si>
  <si>
    <t>Q8TAE8</t>
  </si>
  <si>
    <t>Q8TAF3</t>
  </si>
  <si>
    <t>Q8TAP6-2</t>
  </si>
  <si>
    <t>Q8TAP8</t>
  </si>
  <si>
    <t>Q8TAT6</t>
  </si>
  <si>
    <t>Q8TB03</t>
  </si>
  <si>
    <t>Q8TB22-3</t>
  </si>
  <si>
    <t>Q8TB24</t>
  </si>
  <si>
    <t>Q8TB36-2</t>
  </si>
  <si>
    <t>Q8TB37</t>
  </si>
  <si>
    <t>Q8TB40</t>
  </si>
  <si>
    <t>Q8TB61-3</t>
  </si>
  <si>
    <t>Q8TB72-2</t>
  </si>
  <si>
    <t>Q8TB96</t>
  </si>
  <si>
    <t>Q8TBA6-2</t>
  </si>
  <si>
    <t>Q8TBB0-2</t>
  </si>
  <si>
    <t>Q8TBB6</t>
  </si>
  <si>
    <t>Q8TBC4</t>
  </si>
  <si>
    <t>Q8TBC5-4</t>
  </si>
  <si>
    <t>Q8TBE9</t>
  </si>
  <si>
    <t>Q8TBN0</t>
  </si>
  <si>
    <t>Q8TBX8</t>
  </si>
  <si>
    <t>Q8TC07-2</t>
  </si>
  <si>
    <t>Q8TC12</t>
  </si>
  <si>
    <t>Q8TC71-2</t>
  </si>
  <si>
    <t>Q8TCA0</t>
  </si>
  <si>
    <t>Q8TCD1</t>
  </si>
  <si>
    <t>Q8TCD5</t>
  </si>
  <si>
    <t>Q8TCE6-2</t>
  </si>
  <si>
    <t>Q8TCG2</t>
  </si>
  <si>
    <t>Q8TCJ2</t>
  </si>
  <si>
    <t>Q8TCS8</t>
  </si>
  <si>
    <t>Q8TCT9-5</t>
  </si>
  <si>
    <t>Q8TCX1</t>
  </si>
  <si>
    <t>Q8TCZ2-6</t>
  </si>
  <si>
    <t>Q8TD16</t>
  </si>
  <si>
    <t>Q8TD19</t>
  </si>
  <si>
    <t>Q8TD30</t>
  </si>
  <si>
    <t>Q8TD55</t>
  </si>
  <si>
    <t>Q8TDB4</t>
  </si>
  <si>
    <t>Q8TDH9</t>
  </si>
  <si>
    <t>Q8TDM0-3</t>
  </si>
  <si>
    <t>Q8TDM6</t>
  </si>
  <si>
    <t>Q8TDQ7</t>
  </si>
  <si>
    <t>Q8TDX7</t>
  </si>
  <si>
    <t>Q8TDY2-2</t>
  </si>
  <si>
    <t>Q8TDY4-3</t>
  </si>
  <si>
    <t>Q8TDZ2</t>
  </si>
  <si>
    <t>Q8TE73</t>
  </si>
  <si>
    <t>Q8TE77</t>
  </si>
  <si>
    <t>Q8TEA1</t>
  </si>
  <si>
    <t>Q8TEA8</t>
  </si>
  <si>
    <t>Q8TED1</t>
  </si>
  <si>
    <t>Q8TED4-3</t>
  </si>
  <si>
    <t>Q8TEJ3</t>
  </si>
  <si>
    <t>Q8TEQ0-2</t>
  </si>
  <si>
    <t>Q8TEV9-2</t>
  </si>
  <si>
    <t>Q8TEX9</t>
  </si>
  <si>
    <t>Q8TF01</t>
  </si>
  <si>
    <t>Q8TF05-2</t>
  </si>
  <si>
    <t>Q8TF42</t>
  </si>
  <si>
    <t>Q8TF66</t>
  </si>
  <si>
    <t>Q8TF72</t>
  </si>
  <si>
    <t>Q8TF74</t>
  </si>
  <si>
    <t>Q8WTS1</t>
  </si>
  <si>
    <t>Q8WTS6</t>
  </si>
  <si>
    <t>Q8WU10</t>
  </si>
  <si>
    <t>Q8WU17</t>
  </si>
  <si>
    <t>Q8WU76-2</t>
  </si>
  <si>
    <t>Q8WU79-2</t>
  </si>
  <si>
    <t>Q8WU90</t>
  </si>
  <si>
    <t>Q8WUA2</t>
  </si>
  <si>
    <t>Q8WUA8</t>
  </si>
  <si>
    <t>Q8WUB8-3</t>
  </si>
  <si>
    <t>Q8WUD1</t>
  </si>
  <si>
    <t>Q8WUF5</t>
  </si>
  <si>
    <t>Q8WUF8</t>
  </si>
  <si>
    <t>Q8WUH1</t>
  </si>
  <si>
    <t>Q8WUH6</t>
  </si>
  <si>
    <t>Q8WUI4-3</t>
  </si>
  <si>
    <t>Q8WUJ0</t>
  </si>
  <si>
    <t>Q8WUK0-2</t>
  </si>
  <si>
    <t>Q8WUM4</t>
  </si>
  <si>
    <t>Q8WUM9</t>
  </si>
  <si>
    <t>Q8WUP2</t>
  </si>
  <si>
    <t>Q8WUR7</t>
  </si>
  <si>
    <t>Q8WUX2</t>
  </si>
  <si>
    <t>Q8WUX9</t>
  </si>
  <si>
    <t>Q8WUY1</t>
  </si>
  <si>
    <t>Q8WUY3-4</t>
  </si>
  <si>
    <t>Q8WUY8</t>
  </si>
  <si>
    <t>Q8WV41</t>
  </si>
  <si>
    <t>Q8WV93</t>
  </si>
  <si>
    <t>Q8WVC0</t>
  </si>
  <si>
    <t>Q8WVC2</t>
  </si>
  <si>
    <t>Q8WVD5</t>
  </si>
  <si>
    <t>Q8WVE0</t>
  </si>
  <si>
    <t>Q8WVJ2</t>
  </si>
  <si>
    <t>Q8WVK2</t>
  </si>
  <si>
    <t>Q8WVL7</t>
  </si>
  <si>
    <t>Q8WVM8</t>
  </si>
  <si>
    <t>Q8WVN8-3</t>
  </si>
  <si>
    <t>Q8WVQ1</t>
  </si>
  <si>
    <t>Q8WVT3</t>
  </si>
  <si>
    <t>Q8WVX9</t>
  </si>
  <si>
    <t>Q8WVY7</t>
  </si>
  <si>
    <t>Q8WW01</t>
  </si>
  <si>
    <t>Q8WW12</t>
  </si>
  <si>
    <t>Q8WW59</t>
  </si>
  <si>
    <t>Q8WWB7-2</t>
  </si>
  <si>
    <t>Q8WWC4</t>
  </si>
  <si>
    <t>Q8WWH5</t>
  </si>
  <si>
    <t>Q8WWI5</t>
  </si>
  <si>
    <t>Q8WWM7</t>
  </si>
  <si>
    <t>Q8WWM9</t>
  </si>
  <si>
    <t>Q8WWV3</t>
  </si>
  <si>
    <t>Q8WWX9</t>
  </si>
  <si>
    <t>Q8WX92</t>
  </si>
  <si>
    <t>Q8WX93-3</t>
  </si>
  <si>
    <t>Q8WXA9-2</t>
  </si>
  <si>
    <t>Q8WXD5</t>
  </si>
  <si>
    <t>Q8WXE1-5</t>
  </si>
  <si>
    <t>Q8WXF1</t>
  </si>
  <si>
    <t>Q8WXH0</t>
  </si>
  <si>
    <t>Q8WXI9</t>
  </si>
  <si>
    <t>Q8WXS3-2</t>
  </si>
  <si>
    <t>Q8WXX5</t>
  </si>
  <si>
    <t>Q8WYA6-3</t>
  </si>
  <si>
    <t>Q8WYL5</t>
  </si>
  <si>
    <t>Q8WYN0</t>
  </si>
  <si>
    <t>Q8WYP5</t>
  </si>
  <si>
    <t>Q8WZ82</t>
  </si>
  <si>
    <t>Q8WZA0</t>
  </si>
  <si>
    <t>Q8WZA9</t>
  </si>
  <si>
    <t>Q92478</t>
  </si>
  <si>
    <t>Q92499</t>
  </si>
  <si>
    <t>Q92503-3</t>
  </si>
  <si>
    <t>Q92504</t>
  </si>
  <si>
    <t>Q92506</t>
  </si>
  <si>
    <t>Q92508</t>
  </si>
  <si>
    <t>Q92520</t>
  </si>
  <si>
    <t>Q92526</t>
  </si>
  <si>
    <t>Q92538</t>
  </si>
  <si>
    <t>Q92541</t>
  </si>
  <si>
    <t>Q92544</t>
  </si>
  <si>
    <t>Q92546</t>
  </si>
  <si>
    <t>Q92558</t>
  </si>
  <si>
    <t>Q92567-2</t>
  </si>
  <si>
    <t>Q92572</t>
  </si>
  <si>
    <t>Q92574</t>
  </si>
  <si>
    <t>Q92575</t>
  </si>
  <si>
    <t>Q92597</t>
  </si>
  <si>
    <t>Q92598-2</t>
  </si>
  <si>
    <t>Q92609</t>
  </si>
  <si>
    <t>Q92615</t>
  </si>
  <si>
    <t>Q92616</t>
  </si>
  <si>
    <t>Q92620</t>
  </si>
  <si>
    <t>Q92621</t>
  </si>
  <si>
    <t>Q92624</t>
  </si>
  <si>
    <t>Q92625</t>
  </si>
  <si>
    <t>Q92626</t>
  </si>
  <si>
    <t>Q92629-2</t>
  </si>
  <si>
    <t>Q92636</t>
  </si>
  <si>
    <t>Q92686</t>
  </si>
  <si>
    <t>Q92688</t>
  </si>
  <si>
    <t>Q92692</t>
  </si>
  <si>
    <t>Q92692-2</t>
  </si>
  <si>
    <t>Q92696</t>
  </si>
  <si>
    <t>Q92734-2</t>
  </si>
  <si>
    <t>Q92738</t>
  </si>
  <si>
    <t>Q92747</t>
  </si>
  <si>
    <t>Q92781</t>
  </si>
  <si>
    <t>Q92783-2</t>
  </si>
  <si>
    <t>Q92791</t>
  </si>
  <si>
    <t>Q92797</t>
  </si>
  <si>
    <t>Q92804-2</t>
  </si>
  <si>
    <t>Q92805</t>
  </si>
  <si>
    <t>Q92820</t>
  </si>
  <si>
    <t>Q92834-4</t>
  </si>
  <si>
    <t>Q92843-2</t>
  </si>
  <si>
    <t>Q92844</t>
  </si>
  <si>
    <t>Q92859-3</t>
  </si>
  <si>
    <t>Q92871</t>
  </si>
  <si>
    <t>Q92878-3</t>
  </si>
  <si>
    <t>Q92882</t>
  </si>
  <si>
    <t>Q92888-3</t>
  </si>
  <si>
    <t>Q92889</t>
  </si>
  <si>
    <t>Q92890</t>
  </si>
  <si>
    <t>Q92896</t>
  </si>
  <si>
    <t>Q92900-2</t>
  </si>
  <si>
    <t>Q92905</t>
  </si>
  <si>
    <t>Q92917</t>
  </si>
  <si>
    <t>Q92930</t>
  </si>
  <si>
    <t>Q92934</t>
  </si>
  <si>
    <t>Q92945</t>
  </si>
  <si>
    <t>Q92947</t>
  </si>
  <si>
    <t>Q92963</t>
  </si>
  <si>
    <t>Q92968</t>
  </si>
  <si>
    <t>Q92973-2</t>
  </si>
  <si>
    <t>Q92974-2</t>
  </si>
  <si>
    <t>Q92990</t>
  </si>
  <si>
    <t>Q92995</t>
  </si>
  <si>
    <t>Q93008-1</t>
  </si>
  <si>
    <t>Q93015-2</t>
  </si>
  <si>
    <t>Q93034</t>
  </si>
  <si>
    <t>Q93052</t>
  </si>
  <si>
    <t>Q93063</t>
  </si>
  <si>
    <t>Q93077</t>
  </si>
  <si>
    <t>Q93096</t>
  </si>
  <si>
    <t>Q969E2-2</t>
  </si>
  <si>
    <t>Q969E4</t>
  </si>
  <si>
    <t>Q969E8</t>
  </si>
  <si>
    <t>Q969G6</t>
  </si>
  <si>
    <t>Q969H8</t>
  </si>
  <si>
    <t>Q969K3</t>
  </si>
  <si>
    <t>Q969K7-3</t>
  </si>
  <si>
    <t>Q969M3</t>
  </si>
  <si>
    <t>Q969P0-3</t>
  </si>
  <si>
    <t>Q969Q5</t>
  </si>
  <si>
    <t>Q969S3</t>
  </si>
  <si>
    <t>Q969S9-3</t>
  </si>
  <si>
    <t>Q969T7-2</t>
  </si>
  <si>
    <t>Q969V3-2</t>
  </si>
  <si>
    <t>Q969X5-2</t>
  </si>
  <si>
    <t>Q969Y2-3</t>
  </si>
  <si>
    <t>Q969Z0</t>
  </si>
  <si>
    <t>Q969Z3</t>
  </si>
  <si>
    <t>Q96A00</t>
  </si>
  <si>
    <t>Q96A19</t>
  </si>
  <si>
    <t>Q96A29-2</t>
  </si>
  <si>
    <t>Q96A33</t>
  </si>
  <si>
    <t>Q96A49</t>
  </si>
  <si>
    <t>Q96A65</t>
  </si>
  <si>
    <t>Q96A73</t>
  </si>
  <si>
    <t>Q96A73-2</t>
  </si>
  <si>
    <t>Q96AB3</t>
  </si>
  <si>
    <t>Q96AB6</t>
  </si>
  <si>
    <t>Q96AE4</t>
  </si>
  <si>
    <t>Q96AE4-2</t>
  </si>
  <si>
    <t>Q96AG3</t>
  </si>
  <si>
    <t>Q96AG4</t>
  </si>
  <si>
    <t>Q96AH8</t>
  </si>
  <si>
    <t>Q96AJ9-1</t>
  </si>
  <si>
    <t>Q96AM1</t>
  </si>
  <si>
    <t>Q96AQ6-2</t>
  </si>
  <si>
    <t>Q96AQ8</t>
  </si>
  <si>
    <t>Q96AT1</t>
  </si>
  <si>
    <t>Q96AT9</t>
  </si>
  <si>
    <t>Q96AY3</t>
  </si>
  <si>
    <t>Q96B23-2</t>
  </si>
  <si>
    <t>Q96B26</t>
  </si>
  <si>
    <t>Q96B36</t>
  </si>
  <si>
    <t>Q96B45</t>
  </si>
  <si>
    <t>Q96B49</t>
  </si>
  <si>
    <t>Q96B97</t>
  </si>
  <si>
    <t>Q96BA8</t>
  </si>
  <si>
    <t>Q96BH1</t>
  </si>
  <si>
    <t>Q96BJ3</t>
  </si>
  <si>
    <t>Q96BM9</t>
  </si>
  <si>
    <t>Q96BN8</t>
  </si>
  <si>
    <t>Q96BP2</t>
  </si>
  <si>
    <t>Q96BP3</t>
  </si>
  <si>
    <t>Q96BR5</t>
  </si>
  <si>
    <t>Q96BW5-2</t>
  </si>
  <si>
    <t>Q96BX8</t>
  </si>
  <si>
    <t>Q96BY7</t>
  </si>
  <si>
    <t>Q96BZ9</t>
  </si>
  <si>
    <t>Q96C01</t>
  </si>
  <si>
    <t>Q96C11</t>
  </si>
  <si>
    <t>Q96C19</t>
  </si>
  <si>
    <t>Q96C23</t>
  </si>
  <si>
    <t>Q96C36</t>
  </si>
  <si>
    <t>Q96C86</t>
  </si>
  <si>
    <t>Q96C90</t>
  </si>
  <si>
    <t>Q96C92-4</t>
  </si>
  <si>
    <t>Q96CB9-4</t>
  </si>
  <si>
    <t>Q96CC6</t>
  </si>
  <si>
    <t>Q96CD0</t>
  </si>
  <si>
    <t>Q96CD2</t>
  </si>
  <si>
    <t>Q96CG8</t>
  </si>
  <si>
    <t>Q96CN4</t>
  </si>
  <si>
    <t>Q96CN7</t>
  </si>
  <si>
    <t>Q96CN9</t>
  </si>
  <si>
    <t>Q96CP2</t>
  </si>
  <si>
    <t>Q96CQ1</t>
  </si>
  <si>
    <t>Q96CS2</t>
  </si>
  <si>
    <t>Q96CS3</t>
  </si>
  <si>
    <t>Q96CT7</t>
  </si>
  <si>
    <t>Q96CU9-3</t>
  </si>
  <si>
    <t>Q96CV9</t>
  </si>
  <si>
    <t>Q96CW1-2</t>
  </si>
  <si>
    <t>Q96CW5-3</t>
  </si>
  <si>
    <t>Q96CW6</t>
  </si>
  <si>
    <t>Q96CX2</t>
  </si>
  <si>
    <t>Q96CX6</t>
  </si>
  <si>
    <t>Q96D15</t>
  </si>
  <si>
    <t>Q96DA6-2</t>
  </si>
  <si>
    <t>Q96DB5</t>
  </si>
  <si>
    <t>Q96DC8</t>
  </si>
  <si>
    <t>Q96DD7</t>
  </si>
  <si>
    <t>Q96DE0</t>
  </si>
  <si>
    <t>Q96DE5</t>
  </si>
  <si>
    <t>Q96DF8</t>
  </si>
  <si>
    <t>Q96DG6</t>
  </si>
  <si>
    <t>Q96DR4</t>
  </si>
  <si>
    <t>Q96DT0-3</t>
  </si>
  <si>
    <t>Q96DT5</t>
  </si>
  <si>
    <t>Q96DT6</t>
  </si>
  <si>
    <t>Q96DX4</t>
  </si>
  <si>
    <t>Q96DX7</t>
  </si>
  <si>
    <t>Q96DZ1</t>
  </si>
  <si>
    <t>Q96E09</t>
  </si>
  <si>
    <t>Q96E11-3</t>
  </si>
  <si>
    <t>Q96E22</t>
  </si>
  <si>
    <t>Q96EA4-2</t>
  </si>
  <si>
    <t>Q96EC8</t>
  </si>
  <si>
    <t>Q96EE3</t>
  </si>
  <si>
    <t>Q96EH3</t>
  </si>
  <si>
    <t>Q96EI5</t>
  </si>
  <si>
    <t>Q96EK5</t>
  </si>
  <si>
    <t>Q96EK6</t>
  </si>
  <si>
    <t>Q96EK9</t>
  </si>
  <si>
    <t>Q96EL3</t>
  </si>
  <si>
    <t>Q96EM0</t>
  </si>
  <si>
    <t>Q96EP5-2</t>
  </si>
  <si>
    <t>Q96EQ0</t>
  </si>
  <si>
    <t>Q96ER9</t>
  </si>
  <si>
    <t>Q96EU7</t>
  </si>
  <si>
    <t>Q96EV2</t>
  </si>
  <si>
    <t>Q96EV8</t>
  </si>
  <si>
    <t>Q96EX1</t>
  </si>
  <si>
    <t>Q96EY5</t>
  </si>
  <si>
    <t>Q96EY8</t>
  </si>
  <si>
    <t>Q96F10</t>
  </si>
  <si>
    <t>Q96F24-2</t>
  </si>
  <si>
    <t>Q96F46</t>
  </si>
  <si>
    <t>Q96F63</t>
  </si>
  <si>
    <t>Q96F85</t>
  </si>
  <si>
    <t>Q96FH0-2</t>
  </si>
  <si>
    <t>Q96FJ0</t>
  </si>
  <si>
    <t>Q96FJ2</t>
  </si>
  <si>
    <t>Q96FK6</t>
  </si>
  <si>
    <t>Q96FN4</t>
  </si>
  <si>
    <t>Q96FQ6</t>
  </si>
  <si>
    <t>Q96FS4</t>
  </si>
  <si>
    <t>Q96FX2</t>
  </si>
  <si>
    <t>Q96FX7</t>
  </si>
  <si>
    <t>Q96FZ7</t>
  </si>
  <si>
    <t>Q96G03</t>
  </si>
  <si>
    <t>Q96G25</t>
  </si>
  <si>
    <t>Q96G28</t>
  </si>
  <si>
    <t>Q96G46</t>
  </si>
  <si>
    <t>Q96G61</t>
  </si>
  <si>
    <t>Q96GA7</t>
  </si>
  <si>
    <t>Q96GD0</t>
  </si>
  <si>
    <t>Q96GF1</t>
  </si>
  <si>
    <t>Q96GG9</t>
  </si>
  <si>
    <t>Q96GK7</t>
  </si>
  <si>
    <t>Q96GP6-2</t>
  </si>
  <si>
    <t>Q96GS4</t>
  </si>
  <si>
    <t>Q96GW9</t>
  </si>
  <si>
    <t>Q96GX2</t>
  </si>
  <si>
    <t>Q96GX9</t>
  </si>
  <si>
    <t>Q96GY0</t>
  </si>
  <si>
    <t>Q96H20</t>
  </si>
  <si>
    <t>Q96H79</t>
  </si>
  <si>
    <t>Q96HA4-4</t>
  </si>
  <si>
    <t>Q96HC4</t>
  </si>
  <si>
    <t>Q96HD1</t>
  </si>
  <si>
    <t>Q96HE7</t>
  </si>
  <si>
    <t>Q96HJ9</t>
  </si>
  <si>
    <t>Q96HN2-2</t>
  </si>
  <si>
    <t>Q96HQ2-2</t>
  </si>
  <si>
    <t>Q96HR9</t>
  </si>
  <si>
    <t>Q96HS1</t>
  </si>
  <si>
    <t>Q96HW7-2</t>
  </si>
  <si>
    <t>Q96HY6</t>
  </si>
  <si>
    <t>Q96HY7</t>
  </si>
  <si>
    <t>Q96I15</t>
  </si>
  <si>
    <t>Q96I24</t>
  </si>
  <si>
    <t>Q96I25</t>
  </si>
  <si>
    <t>Q96I36</t>
  </si>
  <si>
    <t>Q96I51</t>
  </si>
  <si>
    <t>Q96I99</t>
  </si>
  <si>
    <t>Q96IG2</t>
  </si>
  <si>
    <t>Q96IJ6</t>
  </si>
  <si>
    <t>Q96IK1</t>
  </si>
  <si>
    <t>Q96IU4</t>
  </si>
  <si>
    <t>Q96IV0-2</t>
  </si>
  <si>
    <t>Q96IX5</t>
  </si>
  <si>
    <t>Q96IZ0</t>
  </si>
  <si>
    <t>Q96J02-2</t>
  </si>
  <si>
    <t>Q96J84</t>
  </si>
  <si>
    <t>Q96JA1</t>
  </si>
  <si>
    <t>Q96JB5</t>
  </si>
  <si>
    <t>Q96JC1-2</t>
  </si>
  <si>
    <t>Q96JH7</t>
  </si>
  <si>
    <t>Q96JJ7</t>
  </si>
  <si>
    <t>Q96JK2-2</t>
  </si>
  <si>
    <t>Q96JM3</t>
  </si>
  <si>
    <t>Q96JP5</t>
  </si>
  <si>
    <t>Q96JQ0</t>
  </si>
  <si>
    <t>Q96JY6</t>
  </si>
  <si>
    <t>Q96K19-2</t>
  </si>
  <si>
    <t>Q96KA5-2</t>
  </si>
  <si>
    <t>Q96KB5</t>
  </si>
  <si>
    <t>Q96KB7</t>
  </si>
  <si>
    <t>Q96KC8</t>
  </si>
  <si>
    <t>Q96KN4</t>
  </si>
  <si>
    <t>Q96KP1</t>
  </si>
  <si>
    <t>Q96KP4</t>
  </si>
  <si>
    <t>Q96KR1</t>
  </si>
  <si>
    <t>Q96KR6</t>
  </si>
  <si>
    <t>Q96L92</t>
  </si>
  <si>
    <t>Q96LD4</t>
  </si>
  <si>
    <t>Q96LD8</t>
  </si>
  <si>
    <t>Q96LJ7</t>
  </si>
  <si>
    <t>Q96LR5</t>
  </si>
  <si>
    <t>Q96M20-2</t>
  </si>
  <si>
    <t>Q96M27</t>
  </si>
  <si>
    <t>Q96ME1-4</t>
  </si>
  <si>
    <t>Q96MH6-2</t>
  </si>
  <si>
    <t>Q96MP8-2</t>
  </si>
  <si>
    <t>Q96MW5</t>
  </si>
  <si>
    <t>Q96MX6</t>
  </si>
  <si>
    <t>Q96N66-2</t>
  </si>
  <si>
    <t>Q96NB3</t>
  </si>
  <si>
    <t>Q96NC0</t>
  </si>
  <si>
    <t>Q96NT0</t>
  </si>
  <si>
    <t>Q96NT1</t>
  </si>
  <si>
    <t>Q96NY7-2</t>
  </si>
  <si>
    <t>Q96P48-3</t>
  </si>
  <si>
    <t>Q96P50</t>
  </si>
  <si>
    <t>Q96P70</t>
  </si>
  <si>
    <t>Q96PD2</t>
  </si>
  <si>
    <t>Q96PE1-2</t>
  </si>
  <si>
    <t>Q96PE2</t>
  </si>
  <si>
    <t>Q96PE7</t>
  </si>
  <si>
    <t>Q96PK6</t>
  </si>
  <si>
    <t>Q96PU5-2</t>
  </si>
  <si>
    <t>Q96PY6-4</t>
  </si>
  <si>
    <t>Q96PZ0</t>
  </si>
  <si>
    <t>Q96Q06-2</t>
  </si>
  <si>
    <t>Q96Q11-2</t>
  </si>
  <si>
    <t>Q96Q45-2</t>
  </si>
  <si>
    <t>Q96Q83</t>
  </si>
  <si>
    <t>Q96QB1</t>
  </si>
  <si>
    <t>Q96QC0</t>
  </si>
  <si>
    <t>Q96QD8</t>
  </si>
  <si>
    <t>Q96QE2</t>
  </si>
  <si>
    <t>Q96QG7</t>
  </si>
  <si>
    <t>Q96QK1</t>
  </si>
  <si>
    <t>Q96QR8</t>
  </si>
  <si>
    <t>Q96QU6</t>
  </si>
  <si>
    <t>Q96QU8</t>
  </si>
  <si>
    <t>Q96QZ7-4</t>
  </si>
  <si>
    <t>Q96RD7</t>
  </si>
  <si>
    <t>Q96RE7</t>
  </si>
  <si>
    <t>Q96RF0-2</t>
  </si>
  <si>
    <t>Q96RL7-2</t>
  </si>
  <si>
    <t>Q96RN5-3</t>
  </si>
  <si>
    <t>Q96RP9</t>
  </si>
  <si>
    <t>Q96RQ1</t>
  </si>
  <si>
    <t>Q96RR4</t>
  </si>
  <si>
    <t>Q96RS6</t>
  </si>
  <si>
    <t>Q96RT1-5</t>
  </si>
  <si>
    <t>Q96RU3-3</t>
  </si>
  <si>
    <t>Q96RW7-2</t>
  </si>
  <si>
    <t>Q96S19</t>
  </si>
  <si>
    <t>Q96S44</t>
  </si>
  <si>
    <t>Q96S52-2</t>
  </si>
  <si>
    <t>Q96S59</t>
  </si>
  <si>
    <t>Q96S66</t>
  </si>
  <si>
    <t>Q96S82</t>
  </si>
  <si>
    <t>Q96S90</t>
  </si>
  <si>
    <t>Q96S99</t>
  </si>
  <si>
    <t>Q96SB3</t>
  </si>
  <si>
    <t>Q96SK2-2</t>
  </si>
  <si>
    <t>Q96SL1-2</t>
  </si>
  <si>
    <t>Q96SL4</t>
  </si>
  <si>
    <t>Q96SQ9</t>
  </si>
  <si>
    <t>Q96ST2</t>
  </si>
  <si>
    <t>Q96SZ5</t>
  </si>
  <si>
    <t>Q96T23-2</t>
  </si>
  <si>
    <t>Q96T51</t>
  </si>
  <si>
    <t>Q96T76</t>
  </si>
  <si>
    <t>Q96T83</t>
  </si>
  <si>
    <t>Q96TA1</t>
  </si>
  <si>
    <t>Q96TA2-3</t>
  </si>
  <si>
    <t>Q96TC7</t>
  </si>
  <si>
    <t>Q99081</t>
  </si>
  <si>
    <t>Q99417</t>
  </si>
  <si>
    <t>Q99424</t>
  </si>
  <si>
    <t>Q99426</t>
  </si>
  <si>
    <t>Q99436</t>
  </si>
  <si>
    <t>Q99447</t>
  </si>
  <si>
    <t>Q99460</t>
  </si>
  <si>
    <t>Q99470</t>
  </si>
  <si>
    <t>Q99471</t>
  </si>
  <si>
    <t>Q99487</t>
  </si>
  <si>
    <t>Q99497</t>
  </si>
  <si>
    <t>Q99501</t>
  </si>
  <si>
    <t>Q99519</t>
  </si>
  <si>
    <t>Q99523</t>
  </si>
  <si>
    <t>Q99536</t>
  </si>
  <si>
    <t>Q99541</t>
  </si>
  <si>
    <t>Q99567</t>
  </si>
  <si>
    <t>Q99569-2</t>
  </si>
  <si>
    <t>Q99574</t>
  </si>
  <si>
    <t>Q99576-3</t>
  </si>
  <si>
    <t>Q99584</t>
  </si>
  <si>
    <t>Q99595</t>
  </si>
  <si>
    <t>Q99598</t>
  </si>
  <si>
    <t>Q99608</t>
  </si>
  <si>
    <t>Q99614</t>
  </si>
  <si>
    <t>Q99615</t>
  </si>
  <si>
    <t>Q99622</t>
  </si>
  <si>
    <t>Q99650</t>
  </si>
  <si>
    <t>Q99653</t>
  </si>
  <si>
    <t>Q99674</t>
  </si>
  <si>
    <t>Q99685</t>
  </si>
  <si>
    <t>Q99700-4</t>
  </si>
  <si>
    <t>Q99704</t>
  </si>
  <si>
    <t>Q99707</t>
  </si>
  <si>
    <t>Q99714</t>
  </si>
  <si>
    <t>Q99720</t>
  </si>
  <si>
    <t>Q99729-3</t>
  </si>
  <si>
    <t>Q99733</t>
  </si>
  <si>
    <t>Q99747</t>
  </si>
  <si>
    <t>Q99757</t>
  </si>
  <si>
    <t>Q99766</t>
  </si>
  <si>
    <t>Q99797</t>
  </si>
  <si>
    <t>Q99805</t>
  </si>
  <si>
    <t>Q99808</t>
  </si>
  <si>
    <t>Q99832</t>
  </si>
  <si>
    <t>Q99832-3</t>
  </si>
  <si>
    <t>Q99856</t>
  </si>
  <si>
    <t>Q99952-2</t>
  </si>
  <si>
    <t>Q99961</t>
  </si>
  <si>
    <t>Q99969</t>
  </si>
  <si>
    <t>Q99972</t>
  </si>
  <si>
    <t>Q99996-5</t>
  </si>
  <si>
    <t>Q9BPW8</t>
  </si>
  <si>
    <t>Q9BPX5</t>
  </si>
  <si>
    <t>Q9BPX7</t>
  </si>
  <si>
    <t>Q9BQ24</t>
  </si>
  <si>
    <t>Q9BQ51</t>
  </si>
  <si>
    <t>Q9BQ52-4</t>
  </si>
  <si>
    <t>Q9BQ61</t>
  </si>
  <si>
    <t>Q9BQ69</t>
  </si>
  <si>
    <t>Q9BQ95</t>
  </si>
  <si>
    <t>Q9BQA9-2</t>
  </si>
  <si>
    <t>Q9BQB6</t>
  </si>
  <si>
    <t>Q9BQC3</t>
  </si>
  <si>
    <t>Q9BQG0</t>
  </si>
  <si>
    <t>Q9BQJ4</t>
  </si>
  <si>
    <t>Q9BQL6</t>
  </si>
  <si>
    <t>Q9BQP7</t>
  </si>
  <si>
    <t>Q9BQS8</t>
  </si>
  <si>
    <t>Q9BQT8-2</t>
  </si>
  <si>
    <t>Q9BR61</t>
  </si>
  <si>
    <t>Q9BR76</t>
  </si>
  <si>
    <t>Q9BRA2</t>
  </si>
  <si>
    <t>Q9BRF8</t>
  </si>
  <si>
    <t>Q9BRG1</t>
  </si>
  <si>
    <t>Q9BRK0-2</t>
  </si>
  <si>
    <t>Q9BRK5</t>
  </si>
  <si>
    <t>Q9BRP1</t>
  </si>
  <si>
    <t>Q9BRP4</t>
  </si>
  <si>
    <t>Q9BRP8-2</t>
  </si>
  <si>
    <t>Q9BRQ8</t>
  </si>
  <si>
    <t>Q9BRR6-2</t>
  </si>
  <si>
    <t>Q9BRS2</t>
  </si>
  <si>
    <t>Q9BRS8</t>
  </si>
  <si>
    <t>Q9BRT2</t>
  </si>
  <si>
    <t>Q9BRT3</t>
  </si>
  <si>
    <t>Q9BRV8</t>
  </si>
  <si>
    <t>Q9BRX2</t>
  </si>
  <si>
    <t>Q9BRX8-2</t>
  </si>
  <si>
    <t>Q9BS26</t>
  </si>
  <si>
    <t>Q9BS40</t>
  </si>
  <si>
    <t>Q9BSA9</t>
  </si>
  <si>
    <t>Q9BSB4</t>
  </si>
  <si>
    <t>Q9BSD7</t>
  </si>
  <si>
    <t>Q9BSE4</t>
  </si>
  <si>
    <t>Q9BSE5</t>
  </si>
  <si>
    <t>Q9BSF4</t>
  </si>
  <si>
    <t>Q9BSG0</t>
  </si>
  <si>
    <t>Q9BSH4</t>
  </si>
  <si>
    <t>Q9BSH5</t>
  </si>
  <si>
    <t>Q9BSJ5-3</t>
  </si>
  <si>
    <t>Q9BSJ8-2</t>
  </si>
  <si>
    <t>Q9BSL1</t>
  </si>
  <si>
    <t>Q9BSN7</t>
  </si>
  <si>
    <t>Q9BSQ5-4</t>
  </si>
  <si>
    <t>Q9BSR8</t>
  </si>
  <si>
    <t>Q9BST9-2</t>
  </si>
  <si>
    <t>Q9BSU1</t>
  </si>
  <si>
    <t>Q9BSW2-2</t>
  </si>
  <si>
    <t>Q9BSY4</t>
  </si>
  <si>
    <t>Q9BT09</t>
  </si>
  <si>
    <t>Q9BT22</t>
  </si>
  <si>
    <t>Q9BT73</t>
  </si>
  <si>
    <t>Q9BT78</t>
  </si>
  <si>
    <t>Q9BTC0</t>
  </si>
  <si>
    <t>Q9BTE3-2</t>
  </si>
  <si>
    <t>Q9BTL3</t>
  </si>
  <si>
    <t>Q9BTT0</t>
  </si>
  <si>
    <t>Q9BTU6</t>
  </si>
  <si>
    <t>Q9BTV4</t>
  </si>
  <si>
    <t>Q9BTV6</t>
  </si>
  <si>
    <t>Q9BTX7</t>
  </si>
  <si>
    <t>Q9BTY2</t>
  </si>
  <si>
    <t>Q9BTY7</t>
  </si>
  <si>
    <t>Q9BTZ2</t>
  </si>
  <si>
    <t>Q9BU02</t>
  </si>
  <si>
    <t>Q9BU23-3</t>
  </si>
  <si>
    <t>Q9BU61</t>
  </si>
  <si>
    <t>Q9BU89</t>
  </si>
  <si>
    <t>Q9BUB5-2</t>
  </si>
  <si>
    <t>Q9BUB7-2</t>
  </si>
  <si>
    <t>Q9BUD6</t>
  </si>
  <si>
    <t>Q9BUE0</t>
  </si>
  <si>
    <t>Q9BUE6</t>
  </si>
  <si>
    <t>Q9BUF5</t>
  </si>
  <si>
    <t>Q9BUH6</t>
  </si>
  <si>
    <t>Q9BUJ2-2</t>
  </si>
  <si>
    <t>Q9BUK6-3</t>
  </si>
  <si>
    <t>Q9BUP0</t>
  </si>
  <si>
    <t>Q9BUP3-3</t>
  </si>
  <si>
    <t>Q9BUR4</t>
  </si>
  <si>
    <t>Q9BUT1</t>
  </si>
  <si>
    <t>Q9BUW7</t>
  </si>
  <si>
    <t>Q9BV10</t>
  </si>
  <si>
    <t>Q9BV19</t>
  </si>
  <si>
    <t>Q9BV20</t>
  </si>
  <si>
    <t>Q9BV23</t>
  </si>
  <si>
    <t>Q9BV38</t>
  </si>
  <si>
    <t>Q9BV44</t>
  </si>
  <si>
    <t>Q9BV57</t>
  </si>
  <si>
    <t>Q9BV68-2</t>
  </si>
  <si>
    <t>Q9BV73-2</t>
  </si>
  <si>
    <t>Q9BV79</t>
  </si>
  <si>
    <t>Q9BV86</t>
  </si>
  <si>
    <t>Q9BVA0</t>
  </si>
  <si>
    <t>Q9BVA6</t>
  </si>
  <si>
    <t>Q9BVC4-3</t>
  </si>
  <si>
    <t>Q9BVC6</t>
  </si>
  <si>
    <t>Q9BVG4</t>
  </si>
  <si>
    <t>Q9BVG9</t>
  </si>
  <si>
    <t>Q9BVJ6-3</t>
  </si>
  <si>
    <t>Q9BVJ7</t>
  </si>
  <si>
    <t>Q9BVK6</t>
  </si>
  <si>
    <t>Q9BVL4</t>
  </si>
  <si>
    <t>Q9BVM4</t>
  </si>
  <si>
    <t>Q9BVV7</t>
  </si>
  <si>
    <t>Q9BW30</t>
  </si>
  <si>
    <t>Q9BW60-2</t>
  </si>
  <si>
    <t>Q9BW61</t>
  </si>
  <si>
    <t>Q9BW62</t>
  </si>
  <si>
    <t>Q9BW71</t>
  </si>
  <si>
    <t>Q9BW83</t>
  </si>
  <si>
    <t>Q9BW85</t>
  </si>
  <si>
    <t>Q9BW91-2</t>
  </si>
  <si>
    <t>Q9BW92</t>
  </si>
  <si>
    <t>Q9BWD1</t>
  </si>
  <si>
    <t>Q9BWH2</t>
  </si>
  <si>
    <t>Q9BWH6</t>
  </si>
  <si>
    <t>Q9BWJ5</t>
  </si>
  <si>
    <t>Q9BWM7</t>
  </si>
  <si>
    <t>Q9BWT7</t>
  </si>
  <si>
    <t>Q9BWU0</t>
  </si>
  <si>
    <t>Q9BX59</t>
  </si>
  <si>
    <t>Q9BX67</t>
  </si>
  <si>
    <t>Q9BX68</t>
  </si>
  <si>
    <t>Q9BX95</t>
  </si>
  <si>
    <t>Q9BXB5</t>
  </si>
  <si>
    <t>Q9BXF6</t>
  </si>
  <si>
    <t>Q9BXH1-2</t>
  </si>
  <si>
    <t>Q9BXJ8-2</t>
  </si>
  <si>
    <t>Q9BXJ9</t>
  </si>
  <si>
    <t>Q9BXK5</t>
  </si>
  <si>
    <t>Q9BXP2</t>
  </si>
  <si>
    <t>Q9BXP5-5</t>
  </si>
  <si>
    <t>Q9BXR0</t>
  </si>
  <si>
    <t>Q9BXV9</t>
  </si>
  <si>
    <t>Q9BXW6</t>
  </si>
  <si>
    <t>Q9BXW7-2</t>
  </si>
  <si>
    <t>Q9BY32</t>
  </si>
  <si>
    <t>Q9BY43</t>
  </si>
  <si>
    <t>Q9BY77</t>
  </si>
  <si>
    <t>Q9BYB4</t>
  </si>
  <si>
    <t>Q9BYD6</t>
  </si>
  <si>
    <t>Q9BYM8</t>
  </si>
  <si>
    <t>Q9BYN0</t>
  </si>
  <si>
    <t>Q9BYN8</t>
  </si>
  <si>
    <t>Q9BYT8</t>
  </si>
  <si>
    <t>Q9BYV8</t>
  </si>
  <si>
    <t>Q9BYX2-3</t>
  </si>
  <si>
    <t>Q9BZ23-4</t>
  </si>
  <si>
    <t>Q9BZ67-2</t>
  </si>
  <si>
    <t>Q9BZD2</t>
  </si>
  <si>
    <t>Q9BZE2</t>
  </si>
  <si>
    <t>Q9BZF1-3</t>
  </si>
  <si>
    <t>Q9BZI7-2</t>
  </si>
  <si>
    <t>Q9BZK7</t>
  </si>
  <si>
    <t>Q9BZL1</t>
  </si>
  <si>
    <t>Q9BZL4-3</t>
  </si>
  <si>
    <t>Q9BZM1</t>
  </si>
  <si>
    <t>Q9BZM4</t>
  </si>
  <si>
    <t>Q9BZM5</t>
  </si>
  <si>
    <t>Q9BZQ8</t>
  </si>
  <si>
    <t>Q9BZX2</t>
  </si>
  <si>
    <t>Q9BZZ5-2</t>
  </si>
  <si>
    <t>Q9C004</t>
  </si>
  <si>
    <t>Q9C005</t>
  </si>
  <si>
    <t>Q9C037-2</t>
  </si>
  <si>
    <t>Q9C073</t>
  </si>
  <si>
    <t>Q9C0B1</t>
  </si>
  <si>
    <t>Q9C0B5-2</t>
  </si>
  <si>
    <t>Q9C0B7</t>
  </si>
  <si>
    <t>Q9C0C2</t>
  </si>
  <si>
    <t>Q9C0C9</t>
  </si>
  <si>
    <t>Q9C0D5-2</t>
  </si>
  <si>
    <t>Q9C0H2-2</t>
  </si>
  <si>
    <t>Q9C0I1</t>
  </si>
  <si>
    <t>Q9C0K7-2</t>
  </si>
  <si>
    <t>Q9GZL7</t>
  </si>
  <si>
    <t>Q9GZN8</t>
  </si>
  <si>
    <t>Q9GZP1</t>
  </si>
  <si>
    <t>Q9GZP4</t>
  </si>
  <si>
    <t>Q9GZP9</t>
  </si>
  <si>
    <t>Q9GZQ3</t>
  </si>
  <si>
    <t>Q9GZS3</t>
  </si>
  <si>
    <t>Q9GZT3-2</t>
  </si>
  <si>
    <t>Q9GZT4</t>
  </si>
  <si>
    <t>Q9GZT6-2</t>
  </si>
  <si>
    <t>Q9GZT8-2</t>
  </si>
  <si>
    <t>Q9GZT9</t>
  </si>
  <si>
    <t>Q9GZU8</t>
  </si>
  <si>
    <t>Q9GZV5</t>
  </si>
  <si>
    <t>Q9GZX9</t>
  </si>
  <si>
    <t>Q9GZY8-2</t>
  </si>
  <si>
    <t>Q9GZZ9</t>
  </si>
  <si>
    <t>Q9H008</t>
  </si>
  <si>
    <t>Q9H019-3</t>
  </si>
  <si>
    <t>Q9H061</t>
  </si>
  <si>
    <t>Q9H074</t>
  </si>
  <si>
    <t>Q9H078-2</t>
  </si>
  <si>
    <t>Q9H082</t>
  </si>
  <si>
    <t>Q9H098</t>
  </si>
  <si>
    <t>Q9H0B6-2</t>
  </si>
  <si>
    <t>Q9H0C8</t>
  </si>
  <si>
    <t>Q9H0D6</t>
  </si>
  <si>
    <t>Q9H0E2</t>
  </si>
  <si>
    <t>Q9H0F6</t>
  </si>
  <si>
    <t>Q9H0F7</t>
  </si>
  <si>
    <t>Q9H0G5</t>
  </si>
  <si>
    <t>Q9H0L4</t>
  </si>
  <si>
    <t>Q9H0N0</t>
  </si>
  <si>
    <t>Q9H0Q0</t>
  </si>
  <si>
    <t>Q9H0R4</t>
  </si>
  <si>
    <t>Q9H0R6</t>
  </si>
  <si>
    <t>Q9H0U4</t>
  </si>
  <si>
    <t>Q9H0U9</t>
  </si>
  <si>
    <t>Q9H0V9</t>
  </si>
  <si>
    <t>Q9H0W8</t>
  </si>
  <si>
    <t>Q9H0W9</t>
  </si>
  <si>
    <t>Q9H0X4</t>
  </si>
  <si>
    <t>Q9H0X9-2</t>
  </si>
  <si>
    <t>Q9H115</t>
  </si>
  <si>
    <t>Q9H173</t>
  </si>
  <si>
    <t>Q9H1B7</t>
  </si>
  <si>
    <t>Q9H1E3</t>
  </si>
  <si>
    <t>Q9H1I8-3</t>
  </si>
  <si>
    <t>Q9H1J1-3</t>
  </si>
  <si>
    <t>Q9H1K0</t>
  </si>
  <si>
    <t>Q9H1K1</t>
  </si>
  <si>
    <t>Q9H1P3-2</t>
  </si>
  <si>
    <t>Q9H1Y0</t>
  </si>
  <si>
    <t>Q9H1Z9</t>
  </si>
  <si>
    <t>Q9H223</t>
  </si>
  <si>
    <t>Q9H246</t>
  </si>
  <si>
    <t>Q9H267</t>
  </si>
  <si>
    <t>Q9H269-2</t>
  </si>
  <si>
    <t>Q9H270</t>
  </si>
  <si>
    <t>Q9H2D1</t>
  </si>
  <si>
    <t>Q9H2D6-5</t>
  </si>
  <si>
    <t>Q9H2G2-2</t>
  </si>
  <si>
    <t>Q9H2H8</t>
  </si>
  <si>
    <t>Q9H2J4</t>
  </si>
  <si>
    <t>Q9H2K8</t>
  </si>
  <si>
    <t>Q9H2M9</t>
  </si>
  <si>
    <t>Q9H2P9-3</t>
  </si>
  <si>
    <t>Q9H2U2</t>
  </si>
  <si>
    <t>Q9H2W6</t>
  </si>
  <si>
    <t>Q9H307</t>
  </si>
  <si>
    <t>Q9H329-2</t>
  </si>
  <si>
    <t>Q9H330-2</t>
  </si>
  <si>
    <t>Q9H3F6</t>
  </si>
  <si>
    <t>Q9H3H3-2</t>
  </si>
  <si>
    <t>Q9H3H5-2</t>
  </si>
  <si>
    <t>Q9H3K6</t>
  </si>
  <si>
    <t>Q9H3N1</t>
  </si>
  <si>
    <t>Q9H3P7</t>
  </si>
  <si>
    <t>Q9H3Q1</t>
  </si>
  <si>
    <t>Q9H3S7</t>
  </si>
  <si>
    <t>Q9H3U1-2</t>
  </si>
  <si>
    <t>Q9H3U5-3</t>
  </si>
  <si>
    <t>Q9H3Y8</t>
  </si>
  <si>
    <t>Q9H3Z4-2</t>
  </si>
  <si>
    <t>Q9H425</t>
  </si>
  <si>
    <t>Q9H444</t>
  </si>
  <si>
    <t>Q9H446-2</t>
  </si>
  <si>
    <t>Q9H467</t>
  </si>
  <si>
    <t>Q9H469</t>
  </si>
  <si>
    <t>Q9H479</t>
  </si>
  <si>
    <t>Q9H488</t>
  </si>
  <si>
    <t>Q9H492</t>
  </si>
  <si>
    <t>Q9H497</t>
  </si>
  <si>
    <t>Q9H4A4</t>
  </si>
  <si>
    <t>Q9H4A5</t>
  </si>
  <si>
    <t>Q9H4A6</t>
  </si>
  <si>
    <t>Q9H4B0</t>
  </si>
  <si>
    <t>Q9H4G0-2</t>
  </si>
  <si>
    <t>Q9H4G4</t>
  </si>
  <si>
    <t>Q9H4I2</t>
  </si>
  <si>
    <t>Q9H4L5-2</t>
  </si>
  <si>
    <t>Q9H4M9</t>
  </si>
  <si>
    <t>Q9H4P4-2</t>
  </si>
  <si>
    <t>Q9H4X1-2</t>
  </si>
  <si>
    <t>Q9H4Z3</t>
  </si>
  <si>
    <t>Q9H553</t>
  </si>
  <si>
    <t>Q9H5N1</t>
  </si>
  <si>
    <t>Q9H5Q4</t>
  </si>
  <si>
    <t>Q9H5V8</t>
  </si>
  <si>
    <t>Q9H5V9-2</t>
  </si>
  <si>
    <t>Q9H5X1</t>
  </si>
  <si>
    <t>Q9H668</t>
  </si>
  <si>
    <t>Q9H6B4</t>
  </si>
  <si>
    <t>Q9H6D3</t>
  </si>
  <si>
    <t>Q9H6E4</t>
  </si>
  <si>
    <t>Q9H6H4</t>
  </si>
  <si>
    <t>Q9H6K1</t>
  </si>
  <si>
    <t>Q9H6K4-2</t>
  </si>
  <si>
    <t>Q9H6Q4</t>
  </si>
  <si>
    <t>Q9H6R3</t>
  </si>
  <si>
    <t>Q9H6S1</t>
  </si>
  <si>
    <t>Q9H6S3</t>
  </si>
  <si>
    <t>Q9H6T3</t>
  </si>
  <si>
    <t>Q9H6U6-7</t>
  </si>
  <si>
    <t>Q9H6U8</t>
  </si>
  <si>
    <t>Q9H6X2</t>
  </si>
  <si>
    <t>Q9H6X4-2</t>
  </si>
  <si>
    <t>Q9H6Y2</t>
  </si>
  <si>
    <t>Q9H6Z4-3</t>
  </si>
  <si>
    <t>Q9H773</t>
  </si>
  <si>
    <t>Q9H788-2</t>
  </si>
  <si>
    <t>Q9H792</t>
  </si>
  <si>
    <t>Q9H7B4</t>
  </si>
  <si>
    <t>Q9H7C4-2</t>
  </si>
  <si>
    <t>Q9H7C9</t>
  </si>
  <si>
    <t>Q9H7D7-2</t>
  </si>
  <si>
    <t>Q9H7F0</t>
  </si>
  <si>
    <t>Q9H7F4</t>
  </si>
  <si>
    <t>Q9H7M9</t>
  </si>
  <si>
    <t>Q9H7Z7</t>
  </si>
  <si>
    <t>Q9H814</t>
  </si>
  <si>
    <t>Q9H832</t>
  </si>
  <si>
    <t>Q9H840</t>
  </si>
  <si>
    <t>Q9H845</t>
  </si>
  <si>
    <t>Q9H857-2</t>
  </si>
  <si>
    <t>Q9H8G2</t>
  </si>
  <si>
    <t>Q9H8K7</t>
  </si>
  <si>
    <t>Q9H8M7</t>
  </si>
  <si>
    <t>Q9H8S9</t>
  </si>
  <si>
    <t>Q9H8U3</t>
  </si>
  <si>
    <t>Q9H8W4</t>
  </si>
  <si>
    <t>Q9H8Y8</t>
  </si>
  <si>
    <t>Q9H936</t>
  </si>
  <si>
    <t>Q9H939</t>
  </si>
  <si>
    <t>Q9H944</t>
  </si>
  <si>
    <t>Q9H974</t>
  </si>
  <si>
    <t>Q9H977</t>
  </si>
  <si>
    <t>Q9H993</t>
  </si>
  <si>
    <t>Q9H999</t>
  </si>
  <si>
    <t>Q9H9A6</t>
  </si>
  <si>
    <t>Q9H9B4</t>
  </si>
  <si>
    <t>Q9H9H4</t>
  </si>
  <si>
    <t>Q9H9S4</t>
  </si>
  <si>
    <t>Q9H9V9-2</t>
  </si>
  <si>
    <t>Q9H9Y4</t>
  </si>
  <si>
    <t>Q9HA64</t>
  </si>
  <si>
    <t>Q9HA65</t>
  </si>
  <si>
    <t>Q9HA77</t>
  </si>
  <si>
    <t>Q9HAB8</t>
  </si>
  <si>
    <t>Q9HAD4</t>
  </si>
  <si>
    <t>Q9HAT2-2</t>
  </si>
  <si>
    <t>Q9HAU0</t>
  </si>
  <si>
    <t>Q9HAU4</t>
  </si>
  <si>
    <t>Q9HAV0</t>
  </si>
  <si>
    <t>Q9HAV4</t>
  </si>
  <si>
    <t>Q9HAV5</t>
  </si>
  <si>
    <t>Q9HAV7</t>
  </si>
  <si>
    <t>Q9HB07</t>
  </si>
  <si>
    <t>Q9HB09</t>
  </si>
  <si>
    <t>Q9HB19</t>
  </si>
  <si>
    <t>Q9HB20</t>
  </si>
  <si>
    <t>Q9HB40</t>
  </si>
  <si>
    <t>Q9HB71</t>
  </si>
  <si>
    <t>Q9HB90</t>
  </si>
  <si>
    <t>Q9HBD4</t>
  </si>
  <si>
    <t>Q9HBH5</t>
  </si>
  <si>
    <t>Q9HBI1</t>
  </si>
  <si>
    <t>Q9HBL7</t>
  </si>
  <si>
    <t>Q9HBL8</t>
  </si>
  <si>
    <t>Q9HBM6</t>
  </si>
  <si>
    <t>Q9HBM8</t>
  </si>
  <si>
    <t>Q9HBR0</t>
  </si>
  <si>
    <t>Q9HBU6</t>
  </si>
  <si>
    <t>Q9HBZ2-2</t>
  </si>
  <si>
    <t>Q9HC21</t>
  </si>
  <si>
    <t>Q9HC35</t>
  </si>
  <si>
    <t>Q9HC38-2</t>
  </si>
  <si>
    <t>Q9HC56-2</t>
  </si>
  <si>
    <t>Q9HC57</t>
  </si>
  <si>
    <t>Q9HC98</t>
  </si>
  <si>
    <t>Q9HCC0</t>
  </si>
  <si>
    <t>Q9HCD6</t>
  </si>
  <si>
    <t>Q9HCE0</t>
  </si>
  <si>
    <t>Q9HCE3</t>
  </si>
  <si>
    <t>Q9HCE5</t>
  </si>
  <si>
    <t>Q9HCH0-3</t>
  </si>
  <si>
    <t>Q9HCH5-6</t>
  </si>
  <si>
    <t>Q9HCJ6</t>
  </si>
  <si>
    <t>Q9HCM4-4</t>
  </si>
  <si>
    <t>Q9HCN4-2</t>
  </si>
  <si>
    <t>Q9HCN8</t>
  </si>
  <si>
    <t>Q9HCU0</t>
  </si>
  <si>
    <t>Q9HCU5</t>
  </si>
  <si>
    <t>Q9HD15</t>
  </si>
  <si>
    <t>Q9HD20-2</t>
  </si>
  <si>
    <t>Q9HD42</t>
  </si>
  <si>
    <t>Q9HD45</t>
  </si>
  <si>
    <t>Q9HD47</t>
  </si>
  <si>
    <t>Q9HDC9</t>
  </si>
  <si>
    <t>Q9NNX1-2</t>
  </si>
  <si>
    <t>Q9NP56</t>
  </si>
  <si>
    <t>Q9NP58-4</t>
  </si>
  <si>
    <t>Q9NP61</t>
  </si>
  <si>
    <t>Q9NP72</t>
  </si>
  <si>
    <t>Q9NP74-2</t>
  </si>
  <si>
    <t>Q9NP77</t>
  </si>
  <si>
    <t>Q9NP79</t>
  </si>
  <si>
    <t>Q9NP80-3</t>
  </si>
  <si>
    <t>Q9NP84</t>
  </si>
  <si>
    <t>Q9NPA0</t>
  </si>
  <si>
    <t>Q9NPA8-2</t>
  </si>
  <si>
    <t>Q9NPB8</t>
  </si>
  <si>
    <t>Q9NPD3</t>
  </si>
  <si>
    <t>Q9NPF0</t>
  </si>
  <si>
    <t>Q9NPF4</t>
  </si>
  <si>
    <t>Q9NPG8</t>
  </si>
  <si>
    <t>Q9NPH0</t>
  </si>
  <si>
    <t>Q9NPI6</t>
  </si>
  <si>
    <t>Q9NPJ3</t>
  </si>
  <si>
    <t>Q9NPJ6</t>
  </si>
  <si>
    <t>Q9NPL8</t>
  </si>
  <si>
    <t>Q9NPQ8-4</t>
  </si>
  <si>
    <t>Q9NPR9</t>
  </si>
  <si>
    <t>Q9NQ66-2</t>
  </si>
  <si>
    <t>Q9NQ75</t>
  </si>
  <si>
    <t>Q9NQ88</t>
  </si>
  <si>
    <t>Q9NQC3</t>
  </si>
  <si>
    <t>Q9NQC3-5</t>
  </si>
  <si>
    <t>Q9NQE9</t>
  </si>
  <si>
    <t>Q9NQG1</t>
  </si>
  <si>
    <t>Q9NQG5</t>
  </si>
  <si>
    <t>Q9NQH7-2</t>
  </si>
  <si>
    <t>Q9NQR4</t>
  </si>
  <si>
    <t>Q9NQS1</t>
  </si>
  <si>
    <t>Q9NQS3</t>
  </si>
  <si>
    <t>Q9NQT4</t>
  </si>
  <si>
    <t>Q9NQT8</t>
  </si>
  <si>
    <t>Q9NQW7-3</t>
  </si>
  <si>
    <t>Q9NQY0</t>
  </si>
  <si>
    <t>Q9NQZ5</t>
  </si>
  <si>
    <t>Q9NR12</t>
  </si>
  <si>
    <t>Q9NR19</t>
  </si>
  <si>
    <t>Q9NR28-2</t>
  </si>
  <si>
    <t>Q9NR30</t>
  </si>
  <si>
    <t>Q9NR31</t>
  </si>
  <si>
    <t>Q9NR33</t>
  </si>
  <si>
    <t>Q9NR45</t>
  </si>
  <si>
    <t>Q9NR48-2</t>
  </si>
  <si>
    <t>Q9NR50</t>
  </si>
  <si>
    <t>Q9NRA1</t>
  </si>
  <si>
    <t>Q9NRA2</t>
  </si>
  <si>
    <t>Q9NRC6</t>
  </si>
  <si>
    <t>Q9NRD1</t>
  </si>
  <si>
    <t>Q9NRF2-2</t>
  </si>
  <si>
    <t>Q9NRF8</t>
  </si>
  <si>
    <t>Q9NRF9</t>
  </si>
  <si>
    <t>Q9NRG0</t>
  </si>
  <si>
    <t>Q9NRG1</t>
  </si>
  <si>
    <t>Q9NRG7-2</t>
  </si>
  <si>
    <t>Q9NRH1</t>
  </si>
  <si>
    <t>Q9NRK6</t>
  </si>
  <si>
    <t>Q9NRN5-3</t>
  </si>
  <si>
    <t>Q9NRN7</t>
  </si>
  <si>
    <t>Q9NRN9</t>
  </si>
  <si>
    <t>Q9NRP2</t>
  </si>
  <si>
    <t>Q9NRQ2</t>
  </si>
  <si>
    <t>Q9NRR5</t>
  </si>
  <si>
    <t>Q9NRR8</t>
  </si>
  <si>
    <t>Q9NRS6</t>
  </si>
  <si>
    <t>Q9NRV9</t>
  </si>
  <si>
    <t>Q9NRW1</t>
  </si>
  <si>
    <t>Q9NRW4</t>
  </si>
  <si>
    <t>Q9NRW7</t>
  </si>
  <si>
    <t>Q9NRX4</t>
  </si>
  <si>
    <t>Q9NRX5</t>
  </si>
  <si>
    <t>Q9NRY2</t>
  </si>
  <si>
    <t>Q9NRY4</t>
  </si>
  <si>
    <t>Q9NRY5</t>
  </si>
  <si>
    <t>Q9NRY6</t>
  </si>
  <si>
    <t>Q9NRZ5</t>
  </si>
  <si>
    <t>Q9NRZ7-2</t>
  </si>
  <si>
    <t>Q9NS15</t>
  </si>
  <si>
    <t>Q9NS18</t>
  </si>
  <si>
    <t>Q9NS69</t>
  </si>
  <si>
    <t>Q9NS86</t>
  </si>
  <si>
    <t>Q9NS93</t>
  </si>
  <si>
    <t>Q9NSA3</t>
  </si>
  <si>
    <t>Q9NSC5-5</t>
  </si>
  <si>
    <t>Q9NSD9</t>
  </si>
  <si>
    <t>Q9NSE4</t>
  </si>
  <si>
    <t>Q9NSK7-4</t>
  </si>
  <si>
    <t>Q9NSY0</t>
  </si>
  <si>
    <t>Q9NSY1</t>
  </si>
  <si>
    <t>Q9NSY2</t>
  </si>
  <si>
    <t>Q9NT62</t>
  </si>
  <si>
    <t>Q9NTG7</t>
  </si>
  <si>
    <t>Q9NTJ5</t>
  </si>
  <si>
    <t>Q9NTK5-2</t>
  </si>
  <si>
    <t>Q9NTN3</t>
  </si>
  <si>
    <t>Q9NTX5-2</t>
  </si>
  <si>
    <t>Q9NTX7-2</t>
  </si>
  <si>
    <t>Q9NTZ6</t>
  </si>
  <si>
    <t>Q9NUG6</t>
  </si>
  <si>
    <t>Q9NUJ1</t>
  </si>
  <si>
    <t>Q9NUL5-3</t>
  </si>
  <si>
    <t>Q9NUM4</t>
  </si>
  <si>
    <t>Q9NUN5-3</t>
  </si>
  <si>
    <t>Q9NUP1</t>
  </si>
  <si>
    <t>Q9NUP9</t>
  </si>
  <si>
    <t>Q9NUQ3</t>
  </si>
  <si>
    <t>Q9NUQ6</t>
  </si>
  <si>
    <t>Q9NUQ7</t>
  </si>
  <si>
    <t>Q9NUQ8-2</t>
  </si>
  <si>
    <t>Q9NUQ9</t>
  </si>
  <si>
    <t>Q9NUS5</t>
  </si>
  <si>
    <t>Q9NUU7</t>
  </si>
  <si>
    <t>Q9NUY8</t>
  </si>
  <si>
    <t>Q9NV35</t>
  </si>
  <si>
    <t>Q9NV70-2</t>
  </si>
  <si>
    <t>Q9NV88-3</t>
  </si>
  <si>
    <t>Q9NV96</t>
  </si>
  <si>
    <t>Q9NVA1</t>
  </si>
  <si>
    <t>Q9NVA2-2</t>
  </si>
  <si>
    <t>Q9NVA4</t>
  </si>
  <si>
    <t>Q9NVC3</t>
  </si>
  <si>
    <t>Q9NVE7</t>
  </si>
  <si>
    <t>Q9NVG8</t>
  </si>
  <si>
    <t>Q9NVH2-4</t>
  </si>
  <si>
    <t>Q9NVH6</t>
  </si>
  <si>
    <t>Q9NVI7-2</t>
  </si>
  <si>
    <t>Q9NVJ2</t>
  </si>
  <si>
    <t>Q9NVK5-2</t>
  </si>
  <si>
    <t>Q9NVM1</t>
  </si>
  <si>
    <t>Q9NVM4-3</t>
  </si>
  <si>
    <t>Q9NVM6</t>
  </si>
  <si>
    <t>Q9NVM9</t>
  </si>
  <si>
    <t>Q9NVQ4</t>
  </si>
  <si>
    <t>Q9NVR0</t>
  </si>
  <si>
    <t>Q9NVR5</t>
  </si>
  <si>
    <t>Q9NVS9</t>
  </si>
  <si>
    <t>Q9NVW2</t>
  </si>
  <si>
    <t>Q9NVX2</t>
  </si>
  <si>
    <t>Q9NVZ3</t>
  </si>
  <si>
    <t>Q9NW15</t>
  </si>
  <si>
    <t>Q9NW64</t>
  </si>
  <si>
    <t>Q9NW68-4</t>
  </si>
  <si>
    <t>Q9NW82</t>
  </si>
  <si>
    <t>Q9NW97</t>
  </si>
  <si>
    <t>Q9NWB6-2</t>
  </si>
  <si>
    <t>Q9NWD8</t>
  </si>
  <si>
    <t>Q9NWH2</t>
  </si>
  <si>
    <t>Q9NWH9</t>
  </si>
  <si>
    <t>Q9NWM3</t>
  </si>
  <si>
    <t>Q9NWM8</t>
  </si>
  <si>
    <t>Q9NWQ8</t>
  </si>
  <si>
    <t>Q9NWQ9</t>
  </si>
  <si>
    <t>Q9NWS0</t>
  </si>
  <si>
    <t>Q9NWS6</t>
  </si>
  <si>
    <t>Q9NWT6</t>
  </si>
  <si>
    <t>Q9NWU1</t>
  </si>
  <si>
    <t>Q9NWU2</t>
  </si>
  <si>
    <t>Q9NWV4</t>
  </si>
  <si>
    <t>Q9NWW6</t>
  </si>
  <si>
    <t>Q9NWY4</t>
  </si>
  <si>
    <t>Q9NWZ3</t>
  </si>
  <si>
    <t>Q9NWZ8</t>
  </si>
  <si>
    <t>Q9NX01</t>
  </si>
  <si>
    <t>Q9NX08</t>
  </si>
  <si>
    <t>Q9NX14</t>
  </si>
  <si>
    <t>Q9NX40</t>
  </si>
  <si>
    <t>Q9NX46</t>
  </si>
  <si>
    <t>Q9NX47</t>
  </si>
  <si>
    <t>Q9NX55</t>
  </si>
  <si>
    <t>Q9NX62</t>
  </si>
  <si>
    <t>Q9NX70</t>
  </si>
  <si>
    <t>Q9NX74</t>
  </si>
  <si>
    <t>Q9NX94</t>
  </si>
  <si>
    <t>Q9NXA8</t>
  </si>
  <si>
    <t>Q9NXC5</t>
  </si>
  <si>
    <t>Q9NXF8</t>
  </si>
  <si>
    <t>Q9NXG6</t>
  </si>
  <si>
    <t>Q9NXH8</t>
  </si>
  <si>
    <t>Q9NXH9</t>
  </si>
  <si>
    <t>Q9NXJ5</t>
  </si>
  <si>
    <t>Q9NXN4-2</t>
  </si>
  <si>
    <t>Q9NXR1-2</t>
  </si>
  <si>
    <t>Q9NXR7</t>
  </si>
  <si>
    <t>Q9NXU5</t>
  </si>
  <si>
    <t>Q9NXV6</t>
  </si>
  <si>
    <t>Q9NXW9</t>
  </si>
  <si>
    <t>Q9NY27</t>
  </si>
  <si>
    <t>Q9NY33</t>
  </si>
  <si>
    <t>Q9NYA1-2</t>
  </si>
  <si>
    <t>Q9NYB0</t>
  </si>
  <si>
    <t>Q9NYJ1</t>
  </si>
  <si>
    <t>Q9NYJ8</t>
  </si>
  <si>
    <t>Q9NYK5</t>
  </si>
  <si>
    <t>Q9NYL2-2</t>
  </si>
  <si>
    <t>Q9NYL9</t>
  </si>
  <si>
    <t>Q9NYM9</t>
  </si>
  <si>
    <t>Q9NYU2-2</t>
  </si>
  <si>
    <t>Q9NYY8-2</t>
  </si>
  <si>
    <t>Q9NZ01</t>
  </si>
  <si>
    <t>Q9NZ08</t>
  </si>
  <si>
    <t>Q9NZ08-2</t>
  </si>
  <si>
    <t>Q9NZ09</t>
  </si>
  <si>
    <t>Q9NZ32</t>
  </si>
  <si>
    <t>Q9NZ43</t>
  </si>
  <si>
    <t>Q9NZ45</t>
  </si>
  <si>
    <t>Q9NZ53</t>
  </si>
  <si>
    <t>Q9NZ56</t>
  </si>
  <si>
    <t>Q9NZ63</t>
  </si>
  <si>
    <t>Q9NZB2-4</t>
  </si>
  <si>
    <t>Q9NZC3</t>
  </si>
  <si>
    <t>Q9NZD2</t>
  </si>
  <si>
    <t>Q9NZD8-2</t>
  </si>
  <si>
    <t>Q9NZJ6</t>
  </si>
  <si>
    <t>Q9NZJ7-2</t>
  </si>
  <si>
    <t>Q9NZJ9</t>
  </si>
  <si>
    <t>Q9NZL4</t>
  </si>
  <si>
    <t>Q9NZL9</t>
  </si>
  <si>
    <t>Q9NZM1-6</t>
  </si>
  <si>
    <t>Q9NZM3-2</t>
  </si>
  <si>
    <t>Q9NZN3</t>
  </si>
  <si>
    <t>Q9NZN4</t>
  </si>
  <si>
    <t>Q9NZN5-2</t>
  </si>
  <si>
    <t>Q9NZN9-3</t>
  </si>
  <si>
    <t>Q9NZQ3-3</t>
  </si>
  <si>
    <t>Q9NZT2-2</t>
  </si>
  <si>
    <t>Q9NZU5</t>
  </si>
  <si>
    <t>Q9NZV1</t>
  </si>
  <si>
    <t>Q9NZW5</t>
  </si>
  <si>
    <t>Q9NZZ3</t>
  </si>
  <si>
    <t>Q9P000</t>
  </si>
  <si>
    <t>Q9P013</t>
  </si>
  <si>
    <t>Q9P016</t>
  </si>
  <si>
    <t>Q9P032</t>
  </si>
  <si>
    <t>Q9P035</t>
  </si>
  <si>
    <t>Q9P0I2</t>
  </si>
  <si>
    <t>Q9P0J1</t>
  </si>
  <si>
    <t>Q9P0J7</t>
  </si>
  <si>
    <t>Q9P0K7-4</t>
  </si>
  <si>
    <t>Q9P0L0</t>
  </si>
  <si>
    <t>Q9P0P0</t>
  </si>
  <si>
    <t>Q9P0R6</t>
  </si>
  <si>
    <t>Q9P0S2</t>
  </si>
  <si>
    <t>Q9P0V3</t>
  </si>
  <si>
    <t>Q9P1F3</t>
  </si>
  <si>
    <t>Q9P1U0</t>
  </si>
  <si>
    <t>Q9P1Z2-2</t>
  </si>
  <si>
    <t>Q9P253</t>
  </si>
  <si>
    <t>Q9P258</t>
  </si>
  <si>
    <t>Q9P260-2</t>
  </si>
  <si>
    <t>Q9P265</t>
  </si>
  <si>
    <t>Q9P266</t>
  </si>
  <si>
    <t>Q9P270</t>
  </si>
  <si>
    <t>Q9P287</t>
  </si>
  <si>
    <t>Q9P287-2</t>
  </si>
  <si>
    <t>Q9P299</t>
  </si>
  <si>
    <t>Q9P2B4</t>
  </si>
  <si>
    <t>Q9P2C4</t>
  </si>
  <si>
    <t>Q9P2D3-3</t>
  </si>
  <si>
    <t>Q9P2E7</t>
  </si>
  <si>
    <t>Q9P2E9</t>
  </si>
  <si>
    <t>Q9P2E9-2</t>
  </si>
  <si>
    <t>Q9P2I0</t>
  </si>
  <si>
    <t>Q9P2K8-2</t>
  </si>
  <si>
    <t>Q9P2N5</t>
  </si>
  <si>
    <t>Q9P2R3</t>
  </si>
  <si>
    <t>Q9P2X0</t>
  </si>
  <si>
    <t>Q9P2X3</t>
  </si>
  <si>
    <t>Q9UBB4</t>
  </si>
  <si>
    <t>Q9UBB6</t>
  </si>
  <si>
    <t>Q9UBC2-2</t>
  </si>
  <si>
    <t>Q9UBE0</t>
  </si>
  <si>
    <t>Q9UBF2</t>
  </si>
  <si>
    <t>Q9UBF6</t>
  </si>
  <si>
    <t>Q9UBF8-2</t>
  </si>
  <si>
    <t>Q9UBG0</t>
  </si>
  <si>
    <t>Q9UBI6</t>
  </si>
  <si>
    <t>Q9UBK8-2</t>
  </si>
  <si>
    <t>Q9UBK9</t>
  </si>
  <si>
    <t>Q9UBL6-2</t>
  </si>
  <si>
    <t>Q9UBM7</t>
  </si>
  <si>
    <t>Q9UBN6</t>
  </si>
  <si>
    <t>Q9UBP0-3</t>
  </si>
  <si>
    <t>Q9UBP6</t>
  </si>
  <si>
    <t>Q9UBP9-4</t>
  </si>
  <si>
    <t>Q9UBQ0</t>
  </si>
  <si>
    <t>Q9UBQ7</t>
  </si>
  <si>
    <t>Q9UBR2</t>
  </si>
  <si>
    <t>Q9UBS4</t>
  </si>
  <si>
    <t>Q9UBS8</t>
  </si>
  <si>
    <t>Q9UBS9</t>
  </si>
  <si>
    <t>Q9UBT2</t>
  </si>
  <si>
    <t>Q9UBT7-2</t>
  </si>
  <si>
    <t>Q9UBU6</t>
  </si>
  <si>
    <t>Q9UBV2</t>
  </si>
  <si>
    <t>Q9UBV8</t>
  </si>
  <si>
    <t>Q9UBW8</t>
  </si>
  <si>
    <t>Q9UBY9</t>
  </si>
  <si>
    <t>Q9UDR5</t>
  </si>
  <si>
    <t>Q9UDT6-2</t>
  </si>
  <si>
    <t>Q9UDY2-6</t>
  </si>
  <si>
    <t>Q9UDY4</t>
  </si>
  <si>
    <t>Q9UDY8</t>
  </si>
  <si>
    <t>Q9UEE9</t>
  </si>
  <si>
    <t>Q9UEL6</t>
  </si>
  <si>
    <t>Q9UEU0</t>
  </si>
  <si>
    <t>Q9UEW8</t>
  </si>
  <si>
    <t>Q9UEY8-2</t>
  </si>
  <si>
    <t>Q9UFN0</t>
  </si>
  <si>
    <t>Q9UFW8</t>
  </si>
  <si>
    <t>Q9UG56-2</t>
  </si>
  <si>
    <t>Q9UG63</t>
  </si>
  <si>
    <t>Q9UGC6</t>
  </si>
  <si>
    <t>Q9UGC7-4</t>
  </si>
  <si>
    <t>Q9UGI8</t>
  </si>
  <si>
    <t>Q9UGK8</t>
  </si>
  <si>
    <t>Q9UGP4</t>
  </si>
  <si>
    <t>Q9UGP8</t>
  </si>
  <si>
    <t>Q9UGQ2-2</t>
  </si>
  <si>
    <t>Q9UGQ3-2</t>
  </si>
  <si>
    <t>Q9UGT4</t>
  </si>
  <si>
    <t>Q9UGU0-2</t>
  </si>
  <si>
    <t>Q9UGV2</t>
  </si>
  <si>
    <t>Q9UH62</t>
  </si>
  <si>
    <t>Q9UH65</t>
  </si>
  <si>
    <t>Q9UH99</t>
  </si>
  <si>
    <t>Q9UHA4</t>
  </si>
  <si>
    <t>Q9UHB6</t>
  </si>
  <si>
    <t>Q9UHB6-4</t>
  </si>
  <si>
    <t>Q9UHB7-2</t>
  </si>
  <si>
    <t>Q9UHD1</t>
  </si>
  <si>
    <t>Q9UHD2</t>
  </si>
  <si>
    <t>Q9UHD8-5</t>
  </si>
  <si>
    <t>Q9UHD9</t>
  </si>
  <si>
    <t>Q9UHE8</t>
  </si>
  <si>
    <t>Q9UHG3</t>
  </si>
  <si>
    <t>Q9UHI8</t>
  </si>
  <si>
    <t>Q9UHJ6</t>
  </si>
  <si>
    <t>Q9UHL4</t>
  </si>
  <si>
    <t>Q9UHN6</t>
  </si>
  <si>
    <t>Q9UHP3</t>
  </si>
  <si>
    <t>Q9UHQ4</t>
  </si>
  <si>
    <t>Q9UHQ9</t>
  </si>
  <si>
    <t>Q9UHR4</t>
  </si>
  <si>
    <t>Q9UHV9</t>
  </si>
  <si>
    <t>Q9UHW5</t>
  </si>
  <si>
    <t>Q9UHX1-4</t>
  </si>
  <si>
    <t>Q9UHY1</t>
  </si>
  <si>
    <t>Q9UHY7</t>
  </si>
  <si>
    <t>Q9UHY8</t>
  </si>
  <si>
    <t>Q9UI08</t>
  </si>
  <si>
    <t>Q9UI12-2</t>
  </si>
  <si>
    <t>Q9UI15</t>
  </si>
  <si>
    <t>Q9UI26</t>
  </si>
  <si>
    <t>Q9UI30</t>
  </si>
  <si>
    <t>Q9UI42-2</t>
  </si>
  <si>
    <t>Q9UIC8</t>
  </si>
  <si>
    <t>Q9UII2</t>
  </si>
  <si>
    <t>Q9UIJ7</t>
  </si>
  <si>
    <t>Q9UIL1-3</t>
  </si>
  <si>
    <t>Q9UIM3</t>
  </si>
  <si>
    <t>Q9UIQ6-3</t>
  </si>
  <si>
    <t>Q9UJ14</t>
  </si>
  <si>
    <t>Q9UJ68-5</t>
  </si>
  <si>
    <t>Q9UJ70</t>
  </si>
  <si>
    <t>Q9UJA5</t>
  </si>
  <si>
    <t>Q9UJC5</t>
  </si>
  <si>
    <t>Q9UJG1-2</t>
  </si>
  <si>
    <t>Q9UJJ9</t>
  </si>
  <si>
    <t>Q9UJM3</t>
  </si>
  <si>
    <t>Q9UJP4-2</t>
  </si>
  <si>
    <t>Q9UJS0</t>
  </si>
  <si>
    <t>Q9UJT0</t>
  </si>
  <si>
    <t>Q9UJU6</t>
  </si>
  <si>
    <t>Q9UJU6-2</t>
  </si>
  <si>
    <t>Q9UJW0-2</t>
  </si>
  <si>
    <t>Q9UJX2</t>
  </si>
  <si>
    <t>Q9UJX6-2</t>
  </si>
  <si>
    <t>Q9UJY1</t>
  </si>
  <si>
    <t>Q9UJY4</t>
  </si>
  <si>
    <t>Q9UJY5-4</t>
  </si>
  <si>
    <t>Q9UJZ1</t>
  </si>
  <si>
    <t>Q9UK23-2</t>
  </si>
  <si>
    <t>Q9UK39</t>
  </si>
  <si>
    <t>Q9UK41</t>
  </si>
  <si>
    <t>Q9UK45</t>
  </si>
  <si>
    <t>Q9UK59</t>
  </si>
  <si>
    <t>Q9UK76</t>
  </si>
  <si>
    <t>Q9UK97-3</t>
  </si>
  <si>
    <t>Q9UK99</t>
  </si>
  <si>
    <t>Q9UKA4</t>
  </si>
  <si>
    <t>Q9UKB3</t>
  </si>
  <si>
    <t>Q9UKC9</t>
  </si>
  <si>
    <t>Q9UKE5-5</t>
  </si>
  <si>
    <t>Q9UKF6</t>
  </si>
  <si>
    <t>Q9UKG1</t>
  </si>
  <si>
    <t>Q9UKG9</t>
  </si>
  <si>
    <t>Q9UKJ3</t>
  </si>
  <si>
    <t>Q9UKK3</t>
  </si>
  <si>
    <t>Q9UKK9</t>
  </si>
  <si>
    <t>Q9UKL6</t>
  </si>
  <si>
    <t>Q9UKS6</t>
  </si>
  <si>
    <t>Q9UKT4-2</t>
  </si>
  <si>
    <t>Q9UKT5</t>
  </si>
  <si>
    <t>Q9UKU6</t>
  </si>
  <si>
    <t>Q9UKU7</t>
  </si>
  <si>
    <t>Q9UKU9</t>
  </si>
  <si>
    <t>Q9UKV8</t>
  </si>
  <si>
    <t>Q9UKX7-2</t>
  </si>
  <si>
    <t>Q9UKY7</t>
  </si>
  <si>
    <t>Q9UKZ1</t>
  </si>
  <si>
    <t>Q9UL15</t>
  </si>
  <si>
    <t>Q9UL25</t>
  </si>
  <si>
    <t>Q9UL26</t>
  </si>
  <si>
    <t>Q9UL46</t>
  </si>
  <si>
    <t>Q9ULC3</t>
  </si>
  <si>
    <t>Q9ULC4</t>
  </si>
  <si>
    <t>Q9ULC8</t>
  </si>
  <si>
    <t>Q9ULF5</t>
  </si>
  <si>
    <t>Q9ULH0-5</t>
  </si>
  <si>
    <t>Q9ULH1</t>
  </si>
  <si>
    <t>Q9ULH7-4</t>
  </si>
  <si>
    <t>Q9ULI3</t>
  </si>
  <si>
    <t>Q9ULJ6</t>
  </si>
  <si>
    <t>Q9ULP9-2</t>
  </si>
  <si>
    <t>Q9ULR0</t>
  </si>
  <si>
    <t>Q9ULT8</t>
  </si>
  <si>
    <t>Q9ULV4</t>
  </si>
  <si>
    <t>Q9ULZ3-2</t>
  </si>
  <si>
    <t>Q9UM13</t>
  </si>
  <si>
    <t>Q9UM47</t>
  </si>
  <si>
    <t>Q9UM54-5</t>
  </si>
  <si>
    <t>Q9UMF0</t>
  </si>
  <si>
    <t>Q9UMS0-3</t>
  </si>
  <si>
    <t>Q9UMS4</t>
  </si>
  <si>
    <t>Q9UMS6</t>
  </si>
  <si>
    <t>Q9UMX0</t>
  </si>
  <si>
    <t>Q9UMX1</t>
  </si>
  <si>
    <t>Q9UMX5</t>
  </si>
  <si>
    <t>Q9UMY4-2</t>
  </si>
  <si>
    <t>Q9UMZ2-6</t>
  </si>
  <si>
    <t>Q9UN37</t>
  </si>
  <si>
    <t>Q9UNE7</t>
  </si>
  <si>
    <t>Q9UNE7-2</t>
  </si>
  <si>
    <t>Q9UNF0</t>
  </si>
  <si>
    <t>Q9UNF1</t>
  </si>
  <si>
    <t>Q9UNH6</t>
  </si>
  <si>
    <t>Q9UNH7</t>
  </si>
  <si>
    <t>Q9UNI6</t>
  </si>
  <si>
    <t>Q9UNK0</t>
  </si>
  <si>
    <t>Q9UNM6</t>
  </si>
  <si>
    <t>Q9UNN5</t>
  </si>
  <si>
    <t>Q9UNN8</t>
  </si>
  <si>
    <t>Q9UNP9</t>
  </si>
  <si>
    <t>Q9UNS2</t>
  </si>
  <si>
    <t>Q9UNW1</t>
  </si>
  <si>
    <t>Q9UNZ2</t>
  </si>
  <si>
    <t>Q9UNZ2-5</t>
  </si>
  <si>
    <t>Q9UP38</t>
  </si>
  <si>
    <t>Q9UP79</t>
  </si>
  <si>
    <t>Q9UP83</t>
  </si>
  <si>
    <t>Q9UP95-5</t>
  </si>
  <si>
    <t>Q9UPN6</t>
  </si>
  <si>
    <t>Q9UPN7</t>
  </si>
  <si>
    <t>Q9UPN9-2</t>
  </si>
  <si>
    <t>Q9UPP5-2</t>
  </si>
  <si>
    <t>Q9UPQ0-10</t>
  </si>
  <si>
    <t>Q9UPQ0-6</t>
  </si>
  <si>
    <t>Q9UPQ9-1</t>
  </si>
  <si>
    <t>Q9UPT5-2</t>
  </si>
  <si>
    <t>Q9UPU5</t>
  </si>
  <si>
    <t>Q9UPU7-2</t>
  </si>
  <si>
    <t>Q9UPY8</t>
  </si>
  <si>
    <t>Q9UPZ3-2</t>
  </si>
  <si>
    <t>Q9UQ13-2</t>
  </si>
  <si>
    <t>Q9UQ35</t>
  </si>
  <si>
    <t>Q9UQ80</t>
  </si>
  <si>
    <t>Q9UQ90</t>
  </si>
  <si>
    <t>Q9UQC2-2</t>
  </si>
  <si>
    <t>Q9UQE7</t>
  </si>
  <si>
    <t>Q9UQN3</t>
  </si>
  <si>
    <t>Q9Y217</t>
  </si>
  <si>
    <t>Q9Y223-3</t>
  </si>
  <si>
    <t>Q9Y224</t>
  </si>
  <si>
    <t>Q9Y230</t>
  </si>
  <si>
    <t>Q9Y237</t>
  </si>
  <si>
    <t>Q9Y241</t>
  </si>
  <si>
    <t>Q9Y243-2</t>
  </si>
  <si>
    <t>Q9Y259</t>
  </si>
  <si>
    <t>Q9Y263</t>
  </si>
  <si>
    <t>Q9Y265</t>
  </si>
  <si>
    <t>Q9Y266</t>
  </si>
  <si>
    <t>Q9Y276</t>
  </si>
  <si>
    <t>Q9Y281</t>
  </si>
  <si>
    <t>Q9Y294</t>
  </si>
  <si>
    <t>Q9Y295</t>
  </si>
  <si>
    <t>Q9Y296</t>
  </si>
  <si>
    <t>Q9Y2A7</t>
  </si>
  <si>
    <t>Q9Y2B0</t>
  </si>
  <si>
    <t>Q9Y2C2</t>
  </si>
  <si>
    <t>Q9Y2C4</t>
  </si>
  <si>
    <t>Q9Y2D0</t>
  </si>
  <si>
    <t>Q9Y2D4</t>
  </si>
  <si>
    <t>Q9Y2D5-6</t>
  </si>
  <si>
    <t>Q9Y2E4</t>
  </si>
  <si>
    <t>Q9Y2E5</t>
  </si>
  <si>
    <t>Q9Y2G2</t>
  </si>
  <si>
    <t>Q9Y2G3</t>
  </si>
  <si>
    <t>Q9Y2G5</t>
  </si>
  <si>
    <t>Q9Y2H1</t>
  </si>
  <si>
    <t>Q9Y2H2</t>
  </si>
  <si>
    <t>Q9Y2H6-2</t>
  </si>
  <si>
    <t>Q9Y2I1</t>
  </si>
  <si>
    <t>Q9Y2J2-2</t>
  </si>
  <si>
    <t>Q9Y2J4</t>
  </si>
  <si>
    <t>Q9Y2K6</t>
  </si>
  <si>
    <t>Q9Y2L1</t>
  </si>
  <si>
    <t>Q9Y2Q3</t>
  </si>
  <si>
    <t>Q9Y2Q5</t>
  </si>
  <si>
    <t>Q9Y2Q9</t>
  </si>
  <si>
    <t>Q9Y2R0</t>
  </si>
  <si>
    <t>Q9Y2S2-2</t>
  </si>
  <si>
    <t>Q9Y2S6</t>
  </si>
  <si>
    <t>Q9Y2S7</t>
  </si>
  <si>
    <t>Q9Y2T2</t>
  </si>
  <si>
    <t>Q9Y2U5</t>
  </si>
  <si>
    <t>Q9Y2U8</t>
  </si>
  <si>
    <t>Q9Y2V7</t>
  </si>
  <si>
    <t>Q9Y2W1</t>
  </si>
  <si>
    <t>Q9Y2Z0</t>
  </si>
  <si>
    <t>Q9Y2Z0-2</t>
  </si>
  <si>
    <t>Q9Y2Z4</t>
  </si>
  <si>
    <t>Q9Y2Z9-3</t>
  </si>
  <si>
    <t>Q9Y303</t>
  </si>
  <si>
    <t>Q9Y305</t>
  </si>
  <si>
    <t>Q9Y314</t>
  </si>
  <si>
    <t>Q9Y316</t>
  </si>
  <si>
    <t>Q9Y320-2</t>
  </si>
  <si>
    <t>Q9Y333</t>
  </si>
  <si>
    <t>Q9Y371</t>
  </si>
  <si>
    <t>Q9Y375</t>
  </si>
  <si>
    <t>Q9Y376</t>
  </si>
  <si>
    <t>Q9Y383</t>
  </si>
  <si>
    <t>Q9Y385</t>
  </si>
  <si>
    <t>Q9Y394-2</t>
  </si>
  <si>
    <t>Q9Y3A3-3</t>
  </si>
  <si>
    <t>Q9Y3A5</t>
  </si>
  <si>
    <t>Q9Y3B3</t>
  </si>
  <si>
    <t>Q9Y3B9</t>
  </si>
  <si>
    <t>Q9Y3C1</t>
  </si>
  <si>
    <t>Q9Y3C4-2</t>
  </si>
  <si>
    <t>Q9Y3C5</t>
  </si>
  <si>
    <t>Q9Y3C6</t>
  </si>
  <si>
    <t>Q9Y3C8</t>
  </si>
  <si>
    <t>Q9Y3D0</t>
  </si>
  <si>
    <t>Q9Y3D2</t>
  </si>
  <si>
    <t>Q9Y3D6</t>
  </si>
  <si>
    <t>Q9Y3D8</t>
  </si>
  <si>
    <t>Q9Y3E0</t>
  </si>
  <si>
    <t>Q9Y3E1</t>
  </si>
  <si>
    <t>Q9Y3E2</t>
  </si>
  <si>
    <t>Q9Y3E7</t>
  </si>
  <si>
    <t>Q9Y3F4</t>
  </si>
  <si>
    <t>Q9Y3I0</t>
  </si>
  <si>
    <t>Q9Y3I1</t>
  </si>
  <si>
    <t>Q9Y3L3</t>
  </si>
  <si>
    <t>Q9Y3L5</t>
  </si>
  <si>
    <t>Q9Y3M8-3</t>
  </si>
  <si>
    <t>Q9Y3P4</t>
  </si>
  <si>
    <t>Q9Y3P9</t>
  </si>
  <si>
    <t>Q9Y3Q3</t>
  </si>
  <si>
    <t>Q9Y3Q8</t>
  </si>
  <si>
    <t>Q9Y3S2</t>
  </si>
  <si>
    <t>Q9Y3T6</t>
  </si>
  <si>
    <t>Q9Y3T9</t>
  </si>
  <si>
    <t>Q9Y3U8</t>
  </si>
  <si>
    <t>Q9Y3X0</t>
  </si>
  <si>
    <t>Q9Y3Y4</t>
  </si>
  <si>
    <t>Q9Y3Z3-4</t>
  </si>
  <si>
    <t>Q9Y450-4</t>
  </si>
  <si>
    <t>Q9Y478</t>
  </si>
  <si>
    <t>Q9Y490</t>
  </si>
  <si>
    <t>Q9Y4B5</t>
  </si>
  <si>
    <t>Q9Y4C2-2</t>
  </si>
  <si>
    <t>Q9Y4E1-2</t>
  </si>
  <si>
    <t>Q9Y4E8</t>
  </si>
  <si>
    <t>Q9Y4F1</t>
  </si>
  <si>
    <t>Q9Y4G6</t>
  </si>
  <si>
    <t>Q9Y4G8</t>
  </si>
  <si>
    <t>Q9Y4H2</t>
  </si>
  <si>
    <t>Q9Y4K0</t>
  </si>
  <si>
    <t>Q9Y4K1</t>
  </si>
  <si>
    <t>Q9Y4K4</t>
  </si>
  <si>
    <t>Q9Y4P1-6</t>
  </si>
  <si>
    <t>Q9Y4P8-4</t>
  </si>
  <si>
    <t>Q9Y4U1</t>
  </si>
  <si>
    <t>Q9Y4W6</t>
  </si>
  <si>
    <t>Q9Y4X5</t>
  </si>
  <si>
    <t>Q9Y4Z0</t>
  </si>
  <si>
    <t>Q9Y508</t>
  </si>
  <si>
    <t>Q9Y534</t>
  </si>
  <si>
    <t>Q9Y570</t>
  </si>
  <si>
    <t>Q9Y584</t>
  </si>
  <si>
    <t>Q9Y597-3</t>
  </si>
  <si>
    <t>Q9Y5A9-2</t>
  </si>
  <si>
    <t>Q9Y5B0</t>
  </si>
  <si>
    <t>Q9Y5B8-2</t>
  </si>
  <si>
    <t>Q9Y5J5</t>
  </si>
  <si>
    <t>Q9Y5J6</t>
  </si>
  <si>
    <t>Q9Y5J7</t>
  </si>
  <si>
    <t>Q9Y5K5-2</t>
  </si>
  <si>
    <t>Q9Y5K6</t>
  </si>
  <si>
    <t>Q9Y5K8</t>
  </si>
  <si>
    <t>Q9Y5L0</t>
  </si>
  <si>
    <t>Q9Y5L4</t>
  </si>
  <si>
    <t>Q9Y5M8</t>
  </si>
  <si>
    <t>Q9Y5N5</t>
  </si>
  <si>
    <t>Q9Y5P4-2</t>
  </si>
  <si>
    <t>Q9Y5P6</t>
  </si>
  <si>
    <t>Q9Y5R8</t>
  </si>
  <si>
    <t>Q9Y5S1</t>
  </si>
  <si>
    <t>Q9Y5S2</t>
  </si>
  <si>
    <t>Q9Y5S9</t>
  </si>
  <si>
    <t>Q9Y5U2-2</t>
  </si>
  <si>
    <t>Q9Y5U9</t>
  </si>
  <si>
    <t>Q9Y5V3</t>
  </si>
  <si>
    <t>Q9Y5X1</t>
  </si>
  <si>
    <t>Q9Y5X2</t>
  </si>
  <si>
    <t>Q9Y5X3</t>
  </si>
  <si>
    <t>Q9Y5Y2</t>
  </si>
  <si>
    <t>Q9Y5Z4</t>
  </si>
  <si>
    <t>Q9Y605</t>
  </si>
  <si>
    <t>Q9Y608-4</t>
  </si>
  <si>
    <t>Q9Y613</t>
  </si>
  <si>
    <t>Q9Y617</t>
  </si>
  <si>
    <t>Q9Y619</t>
  </si>
  <si>
    <t>Q9Y625</t>
  </si>
  <si>
    <t>Q9Y639-1</t>
  </si>
  <si>
    <t>Q9Y646</t>
  </si>
  <si>
    <t>Q9Y673</t>
  </si>
  <si>
    <t>Q9Y678</t>
  </si>
  <si>
    <t>Q9Y679</t>
  </si>
  <si>
    <t>Q9Y680-2</t>
  </si>
  <si>
    <t>Q9Y693</t>
  </si>
  <si>
    <t>Q9Y696</t>
  </si>
  <si>
    <t>Q9Y697-2</t>
  </si>
  <si>
    <t>Q9Y6A4</t>
  </si>
  <si>
    <t>Q9Y6C2</t>
  </si>
  <si>
    <t>Q9Y6C9</t>
  </si>
  <si>
    <t>Q9Y6D5</t>
  </si>
  <si>
    <t>Q9Y6D6</t>
  </si>
  <si>
    <t>Q9Y6D9</t>
  </si>
  <si>
    <t>Q9Y6E0-2</t>
  </si>
  <si>
    <t>Q9Y6G5</t>
  </si>
  <si>
    <t>Q9Y6G9</t>
  </si>
  <si>
    <t>Q9Y6H1</t>
  </si>
  <si>
    <t>Q9Y6I3</t>
  </si>
  <si>
    <t>Q9Y6I9</t>
  </si>
  <si>
    <t>Q9Y6K8-3</t>
  </si>
  <si>
    <t>Q9Y6M5</t>
  </si>
  <si>
    <t>Q9Y6N1</t>
  </si>
  <si>
    <t>Q9Y6N5</t>
  </si>
  <si>
    <t>Q9Y6N7-5</t>
  </si>
  <si>
    <t>Q9Y6P5-2</t>
  </si>
  <si>
    <t>Q9Y6Q9-5</t>
  </si>
  <si>
    <t>Q9Y6R0</t>
  </si>
  <si>
    <t>Q9Y6V0-2</t>
  </si>
  <si>
    <t>Q9Y6W3</t>
  </si>
  <si>
    <t>Q9Y6W5</t>
  </si>
  <si>
    <t>Q9Y6X5</t>
  </si>
  <si>
    <t>R4GMN1</t>
  </si>
  <si>
    <t>R4GMR5</t>
  </si>
  <si>
    <t>R4GMU1</t>
  </si>
  <si>
    <t>R4GMX3</t>
  </si>
  <si>
    <t>R4GMX8</t>
  </si>
  <si>
    <t>R4GMY4</t>
  </si>
  <si>
    <t>R4GN02</t>
  </si>
  <si>
    <t>R4GN55</t>
  </si>
  <si>
    <t>R4GN98</t>
  </si>
  <si>
    <t>R4GNB2</t>
  </si>
  <si>
    <t>R4GNH2</t>
  </si>
  <si>
    <t>R4GNH3</t>
  </si>
  <si>
    <t>norm_FC_TMT126_H.sapiens_lung_fibroblasts_P017092</t>
  </si>
  <si>
    <t>norm_FC_TMT127L_H.sapiens_lung_fibroblasts_P017092</t>
  </si>
  <si>
    <t>norm_FC_TMT127H_H.sapiens_lung_fibroblasts_P017092</t>
  </si>
  <si>
    <t>norm_FC_TMT128L_H.sapiens_lung_fibroblasts_P017092</t>
  </si>
  <si>
    <t>norm_FC_TMT128H_H.sapiens_lung_fibroblasts_P017092</t>
  </si>
  <si>
    <t>norm_FC_TMT129L_H.sapiens_lung_fibroblasts_P017092</t>
  </si>
  <si>
    <t>norm_FC_TMT129H_H.sapiens_lung_fibroblasts_P017092</t>
  </si>
  <si>
    <t>norm_FC_TMT130L_H.sapiens_lung_fibroblasts_P017092</t>
  </si>
  <si>
    <t>norm_FC_TMT130H_H.sapiens_lung_fibroblasts_P017092</t>
  </si>
  <si>
    <t>norm_FC_TMT131L_H.sapiens_lung_fibroblasts_P017092</t>
  </si>
  <si>
    <t>a_H.sapiens_lung_fibroblasts_P017092</t>
  </si>
  <si>
    <t>b_H.sapiens_lung_fibroblasts_P017092</t>
  </si>
  <si>
    <t>meltPoint_H.sapiens_lung_fibroblasts_P017092</t>
  </si>
  <si>
    <t>inflPoint_H.sapiens_lung_fibroblasts_P017092</t>
  </si>
  <si>
    <t>slope_H.sapiens_lung_fibroblasts_P017092</t>
  </si>
  <si>
    <t>plateau_H.sapiens_lung_fibroblasts_P017092</t>
  </si>
  <si>
    <t>R_sq_H.sapiens_lung_fibroblasts_P017092</t>
  </si>
  <si>
    <t>protein_identified_in_H.sapiens_lung_fibroblasts_P017092</t>
  </si>
  <si>
    <t>model_converged_H.sapiens_lung_fibroblasts_P017092</t>
  </si>
  <si>
    <t>sufficient_data_for_fit_H.sapiens_lung_fibroblasts_P017092</t>
  </si>
  <si>
    <t>Proteinname_H.sapiens_lung_fibroblasts_P017092</t>
  </si>
  <si>
    <t>numSpec_H.sapiens_lung_fibroblasts_P017092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</si>
</sst>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5823"/>
  <sheetViews>
    <sheetView tabSelected="1" workbookViewId="0">
      <selection activeCell="P13" sqref="P13"/>
    </sheetView>
  </sheetViews>
  <sheetFormatPr defaultRowHeight="15" x14ac:dyDescent="0.25"/>
  <sheetData>
    <row r="1" spans="1:28" s="2" customFormat="1" ht="105" x14ac:dyDescent="0.25">
      <c r="A1" s="1" t="s">
        <v>0</v>
      </c>
      <c r="B1" s="1" t="s">
        <v>28886</v>
      </c>
      <c r="C1" s="1" t="s">
        <v>28887</v>
      </c>
      <c r="D1" s="1" t="s">
        <v>28888</v>
      </c>
      <c r="E1" s="1" t="s">
        <v>28889</v>
      </c>
      <c r="F1" s="1" t="s">
        <v>28890</v>
      </c>
      <c r="G1" s="1" t="s">
        <v>28891</v>
      </c>
      <c r="H1" s="1" t="s">
        <v>28892</v>
      </c>
      <c r="I1" s="1" t="s">
        <v>28893</v>
      </c>
      <c r="J1" s="1" t="s">
        <v>28894</v>
      </c>
      <c r="K1" s="1" t="s">
        <v>28895</v>
      </c>
      <c r="L1" s="1" t="s">
        <v>28896</v>
      </c>
      <c r="M1" s="1" t="s">
        <v>28897</v>
      </c>
      <c r="N1" s="1" t="s">
        <v>28898</v>
      </c>
      <c r="O1" s="1" t="s">
        <v>28899</v>
      </c>
      <c r="P1" s="1" t="s">
        <v>28900</v>
      </c>
      <c r="Q1" s="1" t="s">
        <v>28901</v>
      </c>
      <c r="R1" s="1" t="s">
        <v>28902</v>
      </c>
      <c r="S1" s="1" t="s">
        <v>1</v>
      </c>
      <c r="T1" s="1" t="s">
        <v>28903</v>
      </c>
      <c r="U1" s="1" t="s">
        <v>28904</v>
      </c>
      <c r="V1" s="1" t="s">
        <v>28905</v>
      </c>
      <c r="W1" s="1" t="s">
        <v>28906</v>
      </c>
      <c r="X1" s="1" t="s">
        <v>28907</v>
      </c>
      <c r="Y1" s="1" t="s">
        <v>2</v>
      </c>
      <c r="Z1" s="1" t="s">
        <v>3</v>
      </c>
      <c r="AA1" s="1" t="s">
        <v>4</v>
      </c>
      <c r="AB1" s="1" t="s">
        <v>5</v>
      </c>
    </row>
    <row r="2" spans="1:28" x14ac:dyDescent="0.25">
      <c r="A2" t="s">
        <v>6</v>
      </c>
      <c r="B2">
        <v>0.99996721820229495</v>
      </c>
      <c r="C2">
        <v>0.85634523637451698</v>
      </c>
      <c r="D2">
        <v>0.97548022248113297</v>
      </c>
      <c r="E2">
        <v>0.50070694969844198</v>
      </c>
      <c r="F2">
        <v>0.372399959420602</v>
      </c>
      <c r="G2">
        <v>0.33212390506777001</v>
      </c>
      <c r="H2">
        <v>0.134008932764418</v>
      </c>
      <c r="I2">
        <v>9.2443268178246205E-2</v>
      </c>
      <c r="J2">
        <v>0.12608000557350299</v>
      </c>
      <c r="K2">
        <v>3.4694871520270898E-2</v>
      </c>
      <c r="L2">
        <v>734.29749637811597</v>
      </c>
      <c r="M2">
        <v>14.4338314340071</v>
      </c>
      <c r="N2">
        <v>51.380494029981499</v>
      </c>
      <c r="O2">
        <v>49.926748554013599</v>
      </c>
      <c r="P2">
        <v>-6.7484570098271301E-2</v>
      </c>
      <c r="Q2">
        <v>6.6390792557147901E-2</v>
      </c>
      <c r="R2">
        <v>0.95982338493313901</v>
      </c>
      <c r="S2" t="s">
        <v>5828</v>
      </c>
      <c r="T2" t="s">
        <v>11650</v>
      </c>
      <c r="U2" t="s">
        <v>11650</v>
      </c>
      <c r="V2" t="s">
        <v>11650</v>
      </c>
      <c r="W2" t="s">
        <v>11652</v>
      </c>
      <c r="X2">
        <v>1</v>
      </c>
      <c r="Y2" t="s">
        <v>17413</v>
      </c>
      <c r="Z2" t="s">
        <v>23064</v>
      </c>
      <c r="AA2">
        <v>0.4278508754847235</v>
      </c>
      <c r="AB2" t="str">
        <f>HYPERLINK("Melting_Curves/meltCurve_A0AVI4_TMEM129.pdf", "Melting_Curves/meltCurve_A0AVI4_TMEM129.pdf")</f>
        <v>Melting_Curves/meltCurve_A0AVI4_TMEM129.pdf</v>
      </c>
    </row>
    <row r="3" spans="1:28" x14ac:dyDescent="0.25">
      <c r="A3" t="s">
        <v>7</v>
      </c>
      <c r="B3">
        <v>0.99996721820229495</v>
      </c>
      <c r="C3">
        <v>0.95697104153402901</v>
      </c>
      <c r="D3">
        <v>0.99948213124901797</v>
      </c>
      <c r="E3">
        <v>0.65632178802813401</v>
      </c>
      <c r="F3">
        <v>0.301328334466407</v>
      </c>
      <c r="G3">
        <v>0.24764862618123801</v>
      </c>
      <c r="H3">
        <v>0.161651601620344</v>
      </c>
      <c r="I3">
        <v>0.103836610681179</v>
      </c>
      <c r="J3">
        <v>7.7748041592129696E-2</v>
      </c>
      <c r="K3">
        <v>7.2264206114117893E-2</v>
      </c>
      <c r="L3">
        <v>1362.7373777768501</v>
      </c>
      <c r="M3">
        <v>26.797834817808699</v>
      </c>
      <c r="N3">
        <v>51.349462269207699</v>
      </c>
      <c r="O3">
        <v>50.571870215816901</v>
      </c>
      <c r="P3">
        <v>-0.117344241440219</v>
      </c>
      <c r="Q3">
        <v>0.114218452976796</v>
      </c>
      <c r="R3">
        <v>0.98796805497656004</v>
      </c>
      <c r="S3" t="s">
        <v>5829</v>
      </c>
      <c r="T3" t="s">
        <v>11650</v>
      </c>
      <c r="U3" t="s">
        <v>11650</v>
      </c>
      <c r="V3" t="s">
        <v>11650</v>
      </c>
      <c r="W3" t="s">
        <v>11653</v>
      </c>
      <c r="X3">
        <v>36</v>
      </c>
      <c r="Y3" t="s">
        <v>17414</v>
      </c>
      <c r="Z3" t="s">
        <v>23065</v>
      </c>
      <c r="AA3">
        <v>0.44161231428648651</v>
      </c>
      <c r="AB3" t="str">
        <f>HYPERLINK("Melting_Curves/meltCurve_A0AVT1_UBA6.pdf", "Melting_Curves/meltCurve_A0AVT1_UBA6.pdf")</f>
        <v>Melting_Curves/meltCurve_A0AVT1_UBA6.pdf</v>
      </c>
    </row>
    <row r="4" spans="1:28" x14ac:dyDescent="0.25">
      <c r="A4" t="s">
        <v>8</v>
      </c>
      <c r="B4">
        <v>0.99996721820229495</v>
      </c>
      <c r="C4">
        <v>1.0608772639822199</v>
      </c>
      <c r="D4">
        <v>1.0026319991970301</v>
      </c>
      <c r="E4">
        <v>1.1430981019384501</v>
      </c>
      <c r="F4">
        <v>1.4698164187816001</v>
      </c>
      <c r="G4">
        <v>1.2645012367716899</v>
      </c>
      <c r="H4">
        <v>0.69871632430485198</v>
      </c>
      <c r="I4">
        <v>0.49042372905236098</v>
      </c>
      <c r="J4">
        <v>0.34861426689582897</v>
      </c>
      <c r="K4">
        <v>0.41802785871057602</v>
      </c>
      <c r="L4">
        <v>5000.8997231778903</v>
      </c>
      <c r="M4">
        <v>81.977436692237106</v>
      </c>
      <c r="N4">
        <v>62.334682649090603</v>
      </c>
      <c r="O4">
        <v>60.967093990765903</v>
      </c>
      <c r="P4">
        <v>-0.19726033141153301</v>
      </c>
      <c r="Q4">
        <v>0.41318547089448998</v>
      </c>
      <c r="R4">
        <v>0.75172983084163303</v>
      </c>
      <c r="S4" t="s">
        <v>5830</v>
      </c>
      <c r="T4" t="s">
        <v>11650</v>
      </c>
      <c r="U4" t="s">
        <v>11650</v>
      </c>
      <c r="V4" t="s">
        <v>11650</v>
      </c>
      <c r="W4" t="s">
        <v>11654</v>
      </c>
      <c r="X4">
        <v>2</v>
      </c>
      <c r="Y4" t="s">
        <v>17415</v>
      </c>
      <c r="Z4" t="s">
        <v>23066</v>
      </c>
      <c r="AA4">
        <v>0.82460634855813353</v>
      </c>
      <c r="AB4" t="str">
        <f>HYPERLINK("Melting_Curves/meltCurve_A0JNW5_UHRF1BP1L.pdf", "Melting_Curves/meltCurve_A0JNW5_UHRF1BP1L.pdf")</f>
        <v>Melting_Curves/meltCurve_A0JNW5_UHRF1BP1L.pdf</v>
      </c>
    </row>
    <row r="5" spans="1:28" x14ac:dyDescent="0.25">
      <c r="A5" t="s">
        <v>9</v>
      </c>
      <c r="B5">
        <v>0.99996721820229495</v>
      </c>
      <c r="C5">
        <v>0.80009928830593502</v>
      </c>
      <c r="D5">
        <v>0.75993274792080001</v>
      </c>
      <c r="E5">
        <v>0.51843882934795504</v>
      </c>
      <c r="F5">
        <v>0.448943636632892</v>
      </c>
      <c r="G5">
        <v>0.30355615691485899</v>
      </c>
      <c r="H5">
        <v>0.17690335749720701</v>
      </c>
      <c r="I5">
        <v>0.24088370585671401</v>
      </c>
      <c r="J5">
        <v>0.23619489643562999</v>
      </c>
      <c r="K5">
        <v>0.14545634944528499</v>
      </c>
      <c r="L5">
        <v>546.15801095906397</v>
      </c>
      <c r="M5">
        <v>11.0785401927183</v>
      </c>
      <c r="N5">
        <v>50.898305495658803</v>
      </c>
      <c r="O5">
        <v>47.774202762922002</v>
      </c>
      <c r="P5">
        <v>-4.9467111812922002E-2</v>
      </c>
      <c r="Q5">
        <v>0.147008090249554</v>
      </c>
      <c r="R5">
        <v>0.97796682138798596</v>
      </c>
      <c r="S5" t="s">
        <v>5831</v>
      </c>
      <c r="T5" t="s">
        <v>11650</v>
      </c>
      <c r="U5" t="s">
        <v>11650</v>
      </c>
      <c r="V5" t="s">
        <v>11650</v>
      </c>
      <c r="W5" t="s">
        <v>11655</v>
      </c>
      <c r="X5">
        <v>2</v>
      </c>
      <c r="Y5" t="s">
        <v>17416</v>
      </c>
      <c r="Z5" t="s">
        <v>23067</v>
      </c>
      <c r="AA5">
        <v>0.4463742864728763</v>
      </c>
      <c r="AB5" t="str">
        <f>HYPERLINK("Melting_Curves/meltCurve_A1A4S6_ARHGAP10.pdf", "Melting_Curves/meltCurve_A1A4S6_ARHGAP10.pdf")</f>
        <v>Melting_Curves/meltCurve_A1A4S6_ARHGAP10.pdf</v>
      </c>
    </row>
    <row r="6" spans="1:28" x14ac:dyDescent="0.25">
      <c r="A6" t="s">
        <v>10</v>
      </c>
      <c r="B6">
        <v>0.99996721820229495</v>
      </c>
      <c r="C6">
        <v>0.93630758237124401</v>
      </c>
      <c r="D6">
        <v>0.97876393529925998</v>
      </c>
      <c r="E6">
        <v>0.93865423649606805</v>
      </c>
      <c r="F6">
        <v>1.19934693445339</v>
      </c>
      <c r="G6">
        <v>0.92164611946091701</v>
      </c>
      <c r="H6">
        <v>0.56726852146529805</v>
      </c>
      <c r="I6">
        <v>0.44963147860616998</v>
      </c>
      <c r="J6">
        <v>0.41066966384102299</v>
      </c>
      <c r="K6">
        <v>0.29979730863915399</v>
      </c>
      <c r="L6">
        <v>2279.9226942198702</v>
      </c>
      <c r="M6">
        <v>37.975249828427202</v>
      </c>
      <c r="N6">
        <v>62.097949489454003</v>
      </c>
      <c r="O6">
        <v>59.871310235949601</v>
      </c>
      <c r="P6">
        <v>-0.101768077408878</v>
      </c>
      <c r="Q6">
        <v>0.358216455373006</v>
      </c>
      <c r="R6">
        <v>0.93367648060729702</v>
      </c>
      <c r="S6" t="s">
        <v>5832</v>
      </c>
      <c r="T6" t="s">
        <v>11650</v>
      </c>
      <c r="U6" t="s">
        <v>11650</v>
      </c>
      <c r="V6" t="s">
        <v>11650</v>
      </c>
      <c r="W6" t="s">
        <v>11656</v>
      </c>
      <c r="X6">
        <v>2</v>
      </c>
      <c r="Y6" t="s">
        <v>17417</v>
      </c>
      <c r="Z6" t="s">
        <v>23068</v>
      </c>
      <c r="AA6">
        <v>0.78960365279175959</v>
      </c>
      <c r="AB6" t="str">
        <f>HYPERLINK("Melting_Curves/meltCurve_A1BQX2_MARVELD2.pdf", "Melting_Curves/meltCurve_A1BQX2_MARVELD2.pdf")</f>
        <v>Melting_Curves/meltCurve_A1BQX2_MARVELD2.pdf</v>
      </c>
    </row>
    <row r="7" spans="1:28" x14ac:dyDescent="0.25">
      <c r="A7" t="s">
        <v>11</v>
      </c>
      <c r="B7">
        <v>0.99996721820229495</v>
      </c>
      <c r="C7">
        <v>0.87434226130852599</v>
      </c>
      <c r="D7">
        <v>1.0071965938007701</v>
      </c>
      <c r="E7">
        <v>1.1385674760402</v>
      </c>
      <c r="F7">
        <v>1.2578455225627101</v>
      </c>
      <c r="G7">
        <v>1.0591601666300401</v>
      </c>
      <c r="H7">
        <v>0.66864397305286105</v>
      </c>
      <c r="I7">
        <v>0.39243863389542999</v>
      </c>
      <c r="J7">
        <v>0.19688983413727401</v>
      </c>
      <c r="K7">
        <v>0.25961885336551699</v>
      </c>
      <c r="L7">
        <v>2799.24140198026</v>
      </c>
      <c r="M7">
        <v>45.465524969507598</v>
      </c>
      <c r="N7">
        <v>62.426245541942997</v>
      </c>
      <c r="O7">
        <v>61.449667837386798</v>
      </c>
      <c r="P7">
        <v>-0.14200252569626201</v>
      </c>
      <c r="Q7">
        <v>0.232297496520397</v>
      </c>
      <c r="R7">
        <v>0.91325874479086799</v>
      </c>
      <c r="S7" t="s">
        <v>5833</v>
      </c>
      <c r="T7" t="s">
        <v>11650</v>
      </c>
      <c r="U7" t="s">
        <v>11650</v>
      </c>
      <c r="V7" t="s">
        <v>11650</v>
      </c>
      <c r="W7" t="s">
        <v>11657</v>
      </c>
      <c r="X7">
        <v>18</v>
      </c>
      <c r="Y7" t="s">
        <v>17418</v>
      </c>
      <c r="Z7" t="s">
        <v>23069</v>
      </c>
      <c r="AA7">
        <v>0.78656298753440146</v>
      </c>
      <c r="AB7" t="str">
        <f>HYPERLINK("Melting_Curves/meltCurve_A1L0T0_ILVBL.pdf", "Melting_Curves/meltCurve_A1L0T0_ILVBL.pdf")</f>
        <v>Melting_Curves/meltCurve_A1L0T0_ILVBL.pdf</v>
      </c>
    </row>
    <row r="8" spans="1:28" x14ac:dyDescent="0.25">
      <c r="A8" t="s">
        <v>12</v>
      </c>
      <c r="B8">
        <v>0.99996721820229495</v>
      </c>
      <c r="C8">
        <v>1.0169443404393701</v>
      </c>
      <c r="D8">
        <v>0.94951434124641698</v>
      </c>
      <c r="E8">
        <v>1.05867338125496</v>
      </c>
      <c r="F8">
        <v>1.3721389509836901</v>
      </c>
      <c r="G8">
        <v>1.3823684279667301</v>
      </c>
      <c r="H8">
        <v>0.99979045512876197</v>
      </c>
      <c r="I8">
        <v>0.99765628019528796</v>
      </c>
      <c r="J8">
        <v>0.86642532319540499</v>
      </c>
      <c r="K8">
        <v>0.61567806521573898</v>
      </c>
      <c r="L8">
        <v>6358.2628065870304</v>
      </c>
      <c r="M8">
        <v>94.219128717073701</v>
      </c>
      <c r="O8">
        <v>67.453393903531804</v>
      </c>
      <c r="P8">
        <v>-0.13874392871900901</v>
      </c>
      <c r="Q8">
        <v>0.60268160641367896</v>
      </c>
      <c r="R8">
        <v>0.35311820565989699</v>
      </c>
      <c r="S8" t="s">
        <v>5834</v>
      </c>
      <c r="T8" t="s">
        <v>11650</v>
      </c>
      <c r="U8" t="s">
        <v>11650</v>
      </c>
      <c r="V8" t="s">
        <v>11650</v>
      </c>
      <c r="W8" t="s">
        <v>11658</v>
      </c>
      <c r="X8">
        <v>2</v>
      </c>
      <c r="Y8" t="s">
        <v>17419</v>
      </c>
      <c r="Z8" t="s">
        <v>23070</v>
      </c>
      <c r="AA8">
        <v>0.96665979579741901</v>
      </c>
      <c r="AB8" t="str">
        <f>HYPERLINK("Melting_Curves/meltCurve_A1L188_C17orf89.pdf", "Melting_Curves/meltCurve_A1L188_C17orf89.pdf")</f>
        <v>Melting_Curves/meltCurve_A1L188_C17orf89.pdf</v>
      </c>
    </row>
    <row r="9" spans="1:28" x14ac:dyDescent="0.25">
      <c r="A9" t="s">
        <v>13</v>
      </c>
      <c r="B9">
        <v>0.99996721820229495</v>
      </c>
      <c r="C9">
        <v>1.03116797728747</v>
      </c>
      <c r="D9">
        <v>0.85819091860679297</v>
      </c>
      <c r="E9">
        <v>0.492769595459154</v>
      </c>
      <c r="F9">
        <v>0.44747186125417199</v>
      </c>
      <c r="G9">
        <v>0.36773639352983101</v>
      </c>
      <c r="H9">
        <v>0.25110695379923698</v>
      </c>
      <c r="I9">
        <v>0.182830743149378</v>
      </c>
      <c r="J9">
        <v>0.146195128883849</v>
      </c>
      <c r="K9">
        <v>0.11932359774804301</v>
      </c>
      <c r="L9">
        <v>728.38777617652795</v>
      </c>
      <c r="M9">
        <v>14.449226343922801</v>
      </c>
      <c r="N9">
        <v>51.691116826523199</v>
      </c>
      <c r="O9">
        <v>49.474089193332503</v>
      </c>
      <c r="P9">
        <v>-6.2033726945176997E-2</v>
      </c>
      <c r="Q9">
        <v>0.150486280935242</v>
      </c>
      <c r="R9">
        <v>0.97042854468270301</v>
      </c>
      <c r="S9" t="s">
        <v>5835</v>
      </c>
      <c r="T9" t="s">
        <v>11650</v>
      </c>
      <c r="U9" t="s">
        <v>11650</v>
      </c>
      <c r="V9" t="s">
        <v>11650</v>
      </c>
      <c r="W9" t="s">
        <v>11659</v>
      </c>
      <c r="X9">
        <v>25</v>
      </c>
      <c r="Y9" t="s">
        <v>17420</v>
      </c>
      <c r="Z9" t="s">
        <v>23071</v>
      </c>
      <c r="AA9">
        <v>0.46658605817068999</v>
      </c>
      <c r="AB9" t="str">
        <f>HYPERLINK("Melting_Curves/meltCurve_A1X283_SH3PXD2B.pdf", "Melting_Curves/meltCurve_A1X283_SH3PXD2B.pdf")</f>
        <v>Melting_Curves/meltCurve_A1X283_SH3PXD2B.pdf</v>
      </c>
    </row>
    <row r="10" spans="1:28" x14ac:dyDescent="0.25">
      <c r="A10" t="s">
        <v>14</v>
      </c>
      <c r="B10">
        <v>0.99996721820229495</v>
      </c>
      <c r="C10">
        <v>1.0164746108191201</v>
      </c>
      <c r="D10">
        <v>0.96988852659788205</v>
      </c>
      <c r="E10">
        <v>0.54953157419169996</v>
      </c>
      <c r="F10">
        <v>0.27901875491905098</v>
      </c>
      <c r="G10">
        <v>0.232065284927644</v>
      </c>
      <c r="H10">
        <v>0.126806590292938</v>
      </c>
      <c r="I10">
        <v>7.6128147196530105E-2</v>
      </c>
      <c r="J10">
        <v>6.1053022038615498E-2</v>
      </c>
      <c r="K10">
        <v>4.7268896388078498E-2</v>
      </c>
      <c r="L10">
        <v>1237.5878585601499</v>
      </c>
      <c r="M10">
        <v>24.604385590175902</v>
      </c>
      <c r="N10">
        <v>50.7107912751055</v>
      </c>
      <c r="O10">
        <v>49.970746072066497</v>
      </c>
      <c r="P10">
        <v>-0.111961085739612</v>
      </c>
      <c r="Q10">
        <v>9.0455051938577793E-2</v>
      </c>
      <c r="R10">
        <v>0.98869424746444801</v>
      </c>
      <c r="S10" t="s">
        <v>5836</v>
      </c>
      <c r="T10" t="s">
        <v>11650</v>
      </c>
      <c r="U10" t="s">
        <v>11650</v>
      </c>
      <c r="V10" t="s">
        <v>11650</v>
      </c>
      <c r="W10" t="s">
        <v>11660</v>
      </c>
      <c r="X10">
        <v>34</v>
      </c>
      <c r="Y10" t="s">
        <v>17421</v>
      </c>
      <c r="Z10" t="s">
        <v>23072</v>
      </c>
      <c r="AA10">
        <v>0.41113486483875178</v>
      </c>
      <c r="AB10" t="str">
        <f>HYPERLINK("Melting_Curves/meltCurve_A2A274_ACO2.pdf", "Melting_Curves/meltCurve_A2A274_ACO2.pdf")</f>
        <v>Melting_Curves/meltCurve_A2A274_ACO2.pdf</v>
      </c>
    </row>
    <row r="11" spans="1:28" x14ac:dyDescent="0.25">
      <c r="A11" t="s">
        <v>15</v>
      </c>
      <c r="B11">
        <v>0.99996721820229495</v>
      </c>
      <c r="C11">
        <v>1.07673896530121</v>
      </c>
      <c r="D11">
        <v>1.00370322925648</v>
      </c>
      <c r="E11">
        <v>0.82125469337396995</v>
      </c>
      <c r="F11">
        <v>0.92605067663159302</v>
      </c>
      <c r="G11">
        <v>1.0274926667019599</v>
      </c>
      <c r="H11">
        <v>0.58801334455596899</v>
      </c>
      <c r="I11">
        <v>0.41118461088401997</v>
      </c>
      <c r="J11">
        <v>0.33006414101549397</v>
      </c>
      <c r="K11">
        <v>0.21850213908147301</v>
      </c>
      <c r="L11">
        <v>2365.9820775267799</v>
      </c>
      <c r="M11">
        <v>38.833592084741198</v>
      </c>
      <c r="N11">
        <v>62.180178319114702</v>
      </c>
      <c r="O11">
        <v>60.765288875735003</v>
      </c>
      <c r="P11">
        <v>-0.11638831543889699</v>
      </c>
      <c r="Q11">
        <v>0.271522244498208</v>
      </c>
      <c r="R11">
        <v>0.94020970449803298</v>
      </c>
      <c r="S11" t="s">
        <v>5837</v>
      </c>
      <c r="T11" t="s">
        <v>11650</v>
      </c>
      <c r="U11" t="s">
        <v>11650</v>
      </c>
      <c r="V11" t="s">
        <v>11650</v>
      </c>
      <c r="W11" t="s">
        <v>11661</v>
      </c>
      <c r="X11">
        <v>4</v>
      </c>
      <c r="Y11" t="s">
        <v>17422</v>
      </c>
      <c r="Z11" t="s">
        <v>23073</v>
      </c>
      <c r="AA11">
        <v>0.78257377507790304</v>
      </c>
      <c r="AB11" t="str">
        <f>HYPERLINK("Melting_Curves/meltCurve_A2A2Q9_AAR2.pdf", "Melting_Curves/meltCurve_A2A2Q9_AAR2.pdf")</f>
        <v>Melting_Curves/meltCurve_A2A2Q9_AAR2.pdf</v>
      </c>
    </row>
    <row r="12" spans="1:28" x14ac:dyDescent="0.25">
      <c r="A12" t="s">
        <v>16</v>
      </c>
      <c r="B12">
        <v>0.99996721820229495</v>
      </c>
      <c r="C12">
        <v>0.93633632550786206</v>
      </c>
      <c r="D12">
        <v>1.04251838038586</v>
      </c>
      <c r="E12">
        <v>1.1820277591205399</v>
      </c>
      <c r="F12">
        <v>1.5401483076844</v>
      </c>
      <c r="G12">
        <v>1.90857608709524</v>
      </c>
      <c r="H12">
        <v>1.50011194567198</v>
      </c>
      <c r="I12">
        <v>1.2212397218320801</v>
      </c>
      <c r="J12">
        <v>0.891744060749043</v>
      </c>
      <c r="K12">
        <v>0.82502689431383003</v>
      </c>
      <c r="L12">
        <v>15000</v>
      </c>
      <c r="M12">
        <v>224.36326302455899</v>
      </c>
      <c r="O12">
        <v>66.850553140587195</v>
      </c>
      <c r="P12">
        <v>-0.14683048066388599</v>
      </c>
      <c r="Q12">
        <v>0.82500345740607695</v>
      </c>
      <c r="R12">
        <v>-0.34958364603328101</v>
      </c>
      <c r="S12" t="s">
        <v>5838</v>
      </c>
      <c r="T12" t="s">
        <v>11650</v>
      </c>
      <c r="U12" t="s">
        <v>11650</v>
      </c>
      <c r="V12" t="s">
        <v>11650</v>
      </c>
      <c r="W12" t="s">
        <v>11662</v>
      </c>
      <c r="X12">
        <v>5</v>
      </c>
      <c r="Y12" t="s">
        <v>17423</v>
      </c>
      <c r="Z12" t="s">
        <v>23074</v>
      </c>
      <c r="AA12">
        <v>0.98168498765863377</v>
      </c>
      <c r="AB12" t="str">
        <f>HYPERLINK("Melting_Curves/meltCurve_A2A2V1_PRNP.pdf", "Melting_Curves/meltCurve_A2A2V1_PRNP.pdf")</f>
        <v>Melting_Curves/meltCurve_A2A2V1_PRNP.pdf</v>
      </c>
    </row>
    <row r="13" spans="1:28" x14ac:dyDescent="0.25">
      <c r="A13" t="s">
        <v>17</v>
      </c>
      <c r="B13">
        <v>0.99996721820229495</v>
      </c>
      <c r="C13">
        <v>1.1004782542653999</v>
      </c>
      <c r="D13">
        <v>1.14849746953627</v>
      </c>
      <c r="E13">
        <v>1.1559198390424701</v>
      </c>
      <c r="F13">
        <v>1.4293308161671301</v>
      </c>
      <c r="G13">
        <v>1.7493707141033801</v>
      </c>
      <c r="H13">
        <v>1.26889615766663</v>
      </c>
      <c r="I13">
        <v>0.86326532284991997</v>
      </c>
      <c r="J13">
        <v>0.61714844906456001</v>
      </c>
      <c r="K13">
        <v>0.51443476821136902</v>
      </c>
      <c r="L13">
        <v>4540.5889129829902</v>
      </c>
      <c r="M13">
        <v>69.720512314378894</v>
      </c>
      <c r="O13">
        <v>65.072065685228395</v>
      </c>
      <c r="P13">
        <v>-0.12564860988645801</v>
      </c>
      <c r="Q13">
        <v>0.53091494663338101</v>
      </c>
      <c r="R13">
        <v>0.26984269290433599</v>
      </c>
      <c r="S13" t="s">
        <v>5839</v>
      </c>
      <c r="T13" t="s">
        <v>11650</v>
      </c>
      <c r="U13" t="s">
        <v>11650</v>
      </c>
      <c r="V13" t="s">
        <v>11650</v>
      </c>
      <c r="W13" t="s">
        <v>11663</v>
      </c>
      <c r="X13">
        <v>1</v>
      </c>
      <c r="Y13" t="s">
        <v>17424</v>
      </c>
      <c r="Z13" t="s">
        <v>23075</v>
      </c>
      <c r="AA13">
        <v>0.92433875777632735</v>
      </c>
      <c r="AB13" t="str">
        <f>HYPERLINK("Melting_Curves/meltCurve_A2BF36_HLA_DQB1.pdf", "Melting_Curves/meltCurve_A2BF36_HLA_DQB1.pdf")</f>
        <v>Melting_Curves/meltCurve_A2BF36_HLA_DQB1.pdf</v>
      </c>
    </row>
    <row r="14" spans="1:28" x14ac:dyDescent="0.25">
      <c r="A14" t="s">
        <v>18</v>
      </c>
      <c r="B14">
        <v>0.99996721820229495</v>
      </c>
      <c r="C14">
        <v>0.99464102210915595</v>
      </c>
      <c r="D14">
        <v>0.86508697629952203</v>
      </c>
      <c r="E14">
        <v>1.0297762927227301</v>
      </c>
      <c r="F14">
        <v>1.89540735457876</v>
      </c>
      <c r="G14">
        <v>2.98123918919508</v>
      </c>
      <c r="H14">
        <v>3.2221379806465502</v>
      </c>
      <c r="I14">
        <v>0.87595645389310695</v>
      </c>
      <c r="J14">
        <v>0.203319725799852</v>
      </c>
      <c r="K14">
        <v>0.33887137225681702</v>
      </c>
      <c r="L14">
        <v>15000</v>
      </c>
      <c r="M14">
        <v>232.79088900648199</v>
      </c>
      <c r="N14">
        <v>64.652453142472197</v>
      </c>
      <c r="O14">
        <v>64.430750271014205</v>
      </c>
      <c r="P14">
        <v>-0.65842599073515296</v>
      </c>
      <c r="Q14">
        <v>0.27105593489803897</v>
      </c>
      <c r="R14">
        <v>-8.5723784587583597E-3</v>
      </c>
      <c r="S14" t="s">
        <v>5840</v>
      </c>
      <c r="T14" t="s">
        <v>11650</v>
      </c>
      <c r="U14" t="s">
        <v>11650</v>
      </c>
      <c r="V14" t="s">
        <v>11650</v>
      </c>
      <c r="W14" t="s">
        <v>11664</v>
      </c>
      <c r="X14">
        <v>2</v>
      </c>
      <c r="Y14" t="s">
        <v>17425</v>
      </c>
      <c r="Z14" t="s">
        <v>23076</v>
      </c>
      <c r="AA14">
        <v>0.86488837639259042</v>
      </c>
      <c r="AB14" t="str">
        <f>HYPERLINK("Melting_Curves/meltCurve_A2RRP1_NBAS.pdf", "Melting_Curves/meltCurve_A2RRP1_NBAS.pdf")</f>
        <v>Melting_Curves/meltCurve_A2RRP1_NBAS.pdf</v>
      </c>
    </row>
    <row r="15" spans="1:28" x14ac:dyDescent="0.25">
      <c r="A15" t="s">
        <v>19</v>
      </c>
      <c r="B15">
        <v>0.99996721820229495</v>
      </c>
      <c r="C15">
        <v>0.96632144864055802</v>
      </c>
      <c r="D15">
        <v>0.90017665668567304</v>
      </c>
      <c r="E15">
        <v>0.71172870561762502</v>
      </c>
      <c r="F15">
        <v>1.00478514543513</v>
      </c>
      <c r="G15">
        <v>0.85433555357882096</v>
      </c>
      <c r="H15">
        <v>0.57472193721428699</v>
      </c>
      <c r="I15">
        <v>0.50073281744295906</v>
      </c>
      <c r="J15">
        <v>0.26717498566944298</v>
      </c>
      <c r="K15">
        <v>0.15280086556378</v>
      </c>
      <c r="L15">
        <v>897.48376591481303</v>
      </c>
      <c r="M15">
        <v>14.2733186215803</v>
      </c>
      <c r="N15">
        <v>62.878404116728397</v>
      </c>
      <c r="O15">
        <v>61.682799423407403</v>
      </c>
      <c r="P15">
        <v>-5.7856769319031498E-2</v>
      </c>
      <c r="Q15">
        <v>0</v>
      </c>
      <c r="R15">
        <v>0.89157563386968897</v>
      </c>
      <c r="S15" t="s">
        <v>5841</v>
      </c>
      <c r="T15" t="s">
        <v>11650</v>
      </c>
      <c r="U15" t="s">
        <v>11650</v>
      </c>
      <c r="V15" t="s">
        <v>11650</v>
      </c>
      <c r="W15" t="s">
        <v>11665</v>
      </c>
      <c r="X15">
        <v>1</v>
      </c>
      <c r="Y15" t="s">
        <v>17426</v>
      </c>
      <c r="Z15" t="s">
        <v>23077</v>
      </c>
      <c r="AA15">
        <v>0.75232614099544992</v>
      </c>
      <c r="AB15" t="str">
        <f>HYPERLINK("Melting_Curves/meltCurve_A2RU48_C12orf69.pdf", "Melting_Curves/meltCurve_A2RU48_C12orf69.pdf")</f>
        <v>Melting_Curves/meltCurve_A2RU48_C12orf69.pdf</v>
      </c>
    </row>
    <row r="16" spans="1:28" x14ac:dyDescent="0.25">
      <c r="A16" t="s">
        <v>20</v>
      </c>
      <c r="B16">
        <v>0.99996721820229495</v>
      </c>
      <c r="C16">
        <v>0.66558874113145305</v>
      </c>
      <c r="D16">
        <v>1.0271328830204001</v>
      </c>
      <c r="E16">
        <v>1.0924225043265501</v>
      </c>
      <c r="F16">
        <v>1.5356360877539701</v>
      </c>
      <c r="G16">
        <v>2.04741834768814</v>
      </c>
      <c r="H16">
        <v>1.5585998005530199</v>
      </c>
      <c r="I16">
        <v>0.925651050102966</v>
      </c>
      <c r="J16">
        <v>0.54395248895738202</v>
      </c>
      <c r="K16">
        <v>0.77813740055644298</v>
      </c>
      <c r="L16">
        <v>15000</v>
      </c>
      <c r="M16">
        <v>233.106516213422</v>
      </c>
      <c r="O16">
        <v>64.343550233312797</v>
      </c>
      <c r="P16">
        <v>-0.30699865030711398</v>
      </c>
      <c r="Q16">
        <v>0.66104119343317103</v>
      </c>
      <c r="R16">
        <v>5.01326132540173E-2</v>
      </c>
      <c r="S16" t="s">
        <v>5842</v>
      </c>
      <c r="T16" t="s">
        <v>11650</v>
      </c>
      <c r="U16" t="s">
        <v>11650</v>
      </c>
      <c r="V16" t="s">
        <v>11650</v>
      </c>
      <c r="W16" t="s">
        <v>11666</v>
      </c>
      <c r="X16">
        <v>2</v>
      </c>
      <c r="Y16" t="s">
        <v>17427</v>
      </c>
      <c r="Z16" t="s">
        <v>23078</v>
      </c>
      <c r="AA16">
        <v>0.93618719023069352</v>
      </c>
      <c r="AB16" t="str">
        <f>HYPERLINK("Melting_Curves/meltCurve_A2RU67_KIAA1467.pdf", "Melting_Curves/meltCurve_A2RU67_KIAA1467.pdf")</f>
        <v>Melting_Curves/meltCurve_A2RU67_KIAA1467.pdf</v>
      </c>
    </row>
    <row r="17" spans="1:28" x14ac:dyDescent="0.25">
      <c r="A17" t="s">
        <v>21</v>
      </c>
      <c r="B17">
        <v>0.99996721820229495</v>
      </c>
      <c r="C17">
        <v>1.0582997445848901</v>
      </c>
      <c r="D17">
        <v>1.0069614566835901</v>
      </c>
      <c r="E17">
        <v>1.20882897449284</v>
      </c>
      <c r="F17">
        <v>1.48030118620491</v>
      </c>
      <c r="G17">
        <v>1.4417284233990599</v>
      </c>
      <c r="H17">
        <v>1.00640394278162</v>
      </c>
      <c r="I17">
        <v>0.63897517760815103</v>
      </c>
      <c r="J17">
        <v>0.48357689108275498</v>
      </c>
      <c r="K17">
        <v>0.50246535249215996</v>
      </c>
      <c r="L17">
        <v>15000</v>
      </c>
      <c r="M17">
        <v>235.28063329674899</v>
      </c>
      <c r="N17">
        <v>64.932446108052503</v>
      </c>
      <c r="O17">
        <v>63.749056964338799</v>
      </c>
      <c r="P17">
        <v>-0.46778333986619403</v>
      </c>
      <c r="Q17">
        <v>0.49301832676540402</v>
      </c>
      <c r="R17">
        <v>0.57551704114816504</v>
      </c>
      <c r="S17" t="s">
        <v>5843</v>
      </c>
      <c r="T17" t="s">
        <v>11650</v>
      </c>
      <c r="U17" t="s">
        <v>11650</v>
      </c>
      <c r="V17" t="s">
        <v>11650</v>
      </c>
      <c r="W17" t="s">
        <v>11667</v>
      </c>
      <c r="X17">
        <v>3</v>
      </c>
      <c r="Y17" t="s">
        <v>17428</v>
      </c>
      <c r="Z17" t="s">
        <v>23079</v>
      </c>
      <c r="AA17">
        <v>0.894504607913022</v>
      </c>
      <c r="AB17" t="str">
        <f>HYPERLINK("Melting_Curves/meltCurve_A2VDF0_FUOM.pdf", "Melting_Curves/meltCurve_A2VDF0_FUOM.pdf")</f>
        <v>Melting_Curves/meltCurve_A2VDF0_FUOM.pdf</v>
      </c>
    </row>
    <row r="18" spans="1:28" x14ac:dyDescent="0.25">
      <c r="A18" t="s">
        <v>22</v>
      </c>
      <c r="B18">
        <v>0.99996721820229495</v>
      </c>
      <c r="C18">
        <v>0.93684463318084599</v>
      </c>
      <c r="D18">
        <v>0.83535052687358202</v>
      </c>
      <c r="E18">
        <v>0.77842840170632399</v>
      </c>
      <c r="F18">
        <v>0.60671432461219399</v>
      </c>
      <c r="G18">
        <v>0.43611913154481702</v>
      </c>
      <c r="H18">
        <v>0.28390371095314898</v>
      </c>
      <c r="I18">
        <v>0.21720629034618799</v>
      </c>
      <c r="J18">
        <v>0.16176625785212001</v>
      </c>
      <c r="K18">
        <v>0.118415682687917</v>
      </c>
      <c r="L18">
        <v>535.11047343937605</v>
      </c>
      <c r="M18">
        <v>9.6473116139570898</v>
      </c>
      <c r="N18">
        <v>55.4673151243679</v>
      </c>
      <c r="O18">
        <v>53.2412404385095</v>
      </c>
      <c r="P18">
        <v>-4.5325264050519502E-2</v>
      </c>
      <c r="Q18">
        <v>0</v>
      </c>
      <c r="R18">
        <v>0.99607270015535299</v>
      </c>
      <c r="S18" t="s">
        <v>5844</v>
      </c>
      <c r="T18" t="s">
        <v>11650</v>
      </c>
      <c r="U18" t="s">
        <v>11650</v>
      </c>
      <c r="V18" t="s">
        <v>11650</v>
      </c>
      <c r="W18" t="s">
        <v>11668</v>
      </c>
      <c r="X18">
        <v>3</v>
      </c>
      <c r="Y18" t="s">
        <v>17429</v>
      </c>
      <c r="Z18" t="s">
        <v>23080</v>
      </c>
      <c r="AA18">
        <v>0.53943741596601857</v>
      </c>
      <c r="AB18" t="str">
        <f>HYPERLINK("Melting_Curves/meltCurve_A3KN83_3_SBNO1.pdf", "Melting_Curves/meltCurve_A3KN83_3_SBNO1.pdf")</f>
        <v>Melting_Curves/meltCurve_A3KN83_3_SBNO1.pdf</v>
      </c>
    </row>
    <row r="19" spans="1:28" x14ac:dyDescent="0.25">
      <c r="A19" t="s">
        <v>23</v>
      </c>
      <c r="B19">
        <v>0.99996721820229495</v>
      </c>
      <c r="C19">
        <v>1.0385396842400001</v>
      </c>
      <c r="D19">
        <v>1.09732641877665</v>
      </c>
      <c r="E19">
        <v>1.1641629693861499</v>
      </c>
      <c r="F19">
        <v>1.50806056030078</v>
      </c>
      <c r="G19">
        <v>1.8377916970535499</v>
      </c>
      <c r="H19">
        <v>1.3027169537793799</v>
      </c>
      <c r="I19">
        <v>0.80790940378889498</v>
      </c>
      <c r="J19">
        <v>0.30667963731203102</v>
      </c>
      <c r="K19">
        <v>0.157081151845892</v>
      </c>
      <c r="L19">
        <v>4591.9130405359501</v>
      </c>
      <c r="M19">
        <v>70.322668175575998</v>
      </c>
      <c r="N19">
        <v>65.671617193140406</v>
      </c>
      <c r="O19">
        <v>65.245019731394095</v>
      </c>
      <c r="P19">
        <v>-0.22500911216151601</v>
      </c>
      <c r="Q19">
        <v>0.16495086966780301</v>
      </c>
      <c r="R19">
        <v>0.52662943027652598</v>
      </c>
      <c r="S19" t="s">
        <v>5845</v>
      </c>
      <c r="T19" t="s">
        <v>11650</v>
      </c>
      <c r="U19" t="s">
        <v>11650</v>
      </c>
      <c r="V19" t="s">
        <v>11650</v>
      </c>
      <c r="W19" t="s">
        <v>11669</v>
      </c>
      <c r="X19">
        <v>5</v>
      </c>
      <c r="Y19" t="s">
        <v>17430</v>
      </c>
      <c r="Z19" t="s">
        <v>23081</v>
      </c>
      <c r="AA19">
        <v>0.87005493674109846</v>
      </c>
      <c r="AB19" t="str">
        <f>HYPERLINK("Melting_Curves/meltCurve_A4D126_ISPD.pdf", "Melting_Curves/meltCurve_A4D126_ISPD.pdf")</f>
        <v>Melting_Curves/meltCurve_A4D126_ISPD.pdf</v>
      </c>
    </row>
    <row r="20" spans="1:28" x14ac:dyDescent="0.25">
      <c r="A20" t="s">
        <v>24</v>
      </c>
      <c r="B20">
        <v>0.99996721820229495</v>
      </c>
      <c r="C20">
        <v>0.91221707877740299</v>
      </c>
      <c r="D20">
        <v>0.86566226566891402</v>
      </c>
      <c r="E20">
        <v>0.80532183856954398</v>
      </c>
      <c r="F20">
        <v>0.631330393065763</v>
      </c>
      <c r="G20">
        <v>0.40925926185434802</v>
      </c>
      <c r="H20">
        <v>0.26912525563662398</v>
      </c>
      <c r="I20">
        <v>0.24113453413505201</v>
      </c>
      <c r="J20">
        <v>0.162371503380388</v>
      </c>
      <c r="K20">
        <v>0.153665638553342</v>
      </c>
      <c r="L20">
        <v>617.74418590134803</v>
      </c>
      <c r="M20">
        <v>11.2912668151363</v>
      </c>
      <c r="N20">
        <v>55.440021121636804</v>
      </c>
      <c r="O20">
        <v>53.078097631948999</v>
      </c>
      <c r="P20">
        <v>-4.95232805800815E-2</v>
      </c>
      <c r="Q20">
        <v>6.9085881772750907E-2</v>
      </c>
      <c r="R20">
        <v>0.99250498236539897</v>
      </c>
      <c r="S20" t="s">
        <v>5846</v>
      </c>
      <c r="T20" t="s">
        <v>11650</v>
      </c>
      <c r="U20" t="s">
        <v>11650</v>
      </c>
      <c r="V20" t="s">
        <v>11650</v>
      </c>
      <c r="W20" t="s">
        <v>11670</v>
      </c>
      <c r="X20">
        <v>2</v>
      </c>
      <c r="Y20" t="s">
        <v>17431</v>
      </c>
      <c r="Z20" t="s">
        <v>23082</v>
      </c>
      <c r="AA20">
        <v>0.54913207013660736</v>
      </c>
      <c r="AB20" t="str">
        <f>HYPERLINK("Melting_Curves/meltCurve_A4D1W8_UCC1.pdf", "Melting_Curves/meltCurve_A4D1W8_UCC1.pdf")</f>
        <v>Melting_Curves/meltCurve_A4D1W8_UCC1.pdf</v>
      </c>
    </row>
    <row r="21" spans="1:28" x14ac:dyDescent="0.25">
      <c r="A21" t="s">
        <v>25</v>
      </c>
      <c r="B21">
        <v>0.99996721820229495</v>
      </c>
      <c r="C21">
        <v>0.99365237513409199</v>
      </c>
      <c r="D21">
        <v>1.0158447410334699</v>
      </c>
      <c r="E21">
        <v>0.92740217576140604</v>
      </c>
      <c r="F21">
        <v>1.07926223575177</v>
      </c>
      <c r="G21">
        <v>0.92010606794375704</v>
      </c>
      <c r="H21">
        <v>0.68144603768531298</v>
      </c>
      <c r="I21">
        <v>0.53181242341449897</v>
      </c>
      <c r="J21">
        <v>0.396545992490487</v>
      </c>
      <c r="K21">
        <v>0.30421549985776702</v>
      </c>
      <c r="L21">
        <v>1432.84003116086</v>
      </c>
      <c r="M21">
        <v>23.077992294100799</v>
      </c>
      <c r="N21">
        <v>64.243129154697399</v>
      </c>
      <c r="O21">
        <v>61.626314454397303</v>
      </c>
      <c r="P21">
        <v>-6.8386047260949295E-2</v>
      </c>
      <c r="Q21">
        <v>0.26955479896165102</v>
      </c>
      <c r="R21">
        <v>0.97885789434861203</v>
      </c>
      <c r="S21" t="s">
        <v>5847</v>
      </c>
      <c r="T21" t="s">
        <v>11650</v>
      </c>
      <c r="U21" t="s">
        <v>11650</v>
      </c>
      <c r="V21" t="s">
        <v>11650</v>
      </c>
      <c r="W21" t="s">
        <v>11671</v>
      </c>
      <c r="X21">
        <v>5</v>
      </c>
      <c r="Y21" t="s">
        <v>17432</v>
      </c>
      <c r="Z21" t="s">
        <v>23083</v>
      </c>
      <c r="AA21">
        <v>0.81031245720696865</v>
      </c>
      <c r="AB21" t="str">
        <f>HYPERLINK("Melting_Curves/meltCurve_A4D2B0_MBLAC1.pdf", "Melting_Curves/meltCurve_A4D2B0_MBLAC1.pdf")</f>
        <v>Melting_Curves/meltCurve_A4D2B0_MBLAC1.pdf</v>
      </c>
    </row>
    <row r="22" spans="1:28" x14ac:dyDescent="0.25">
      <c r="A22" t="s">
        <v>26</v>
      </c>
      <c r="B22">
        <v>0.99996721820229495</v>
      </c>
      <c r="C22">
        <v>0.85742416916713005</v>
      </c>
      <c r="D22">
        <v>0.85335099220902599</v>
      </c>
      <c r="E22">
        <v>0.92901463479201196</v>
      </c>
      <c r="F22">
        <v>0.63563378561914896</v>
      </c>
      <c r="G22">
        <v>0.69930216318822003</v>
      </c>
      <c r="H22">
        <v>0.90447392586916997</v>
      </c>
      <c r="I22">
        <v>3.0939392013666001</v>
      </c>
      <c r="J22">
        <v>3.9633189045821799</v>
      </c>
      <c r="K22">
        <v>2.4808041740516198</v>
      </c>
      <c r="L22">
        <v>10976.398053618899</v>
      </c>
      <c r="M22">
        <v>177.05513930371399</v>
      </c>
      <c r="O22">
        <v>61.986326746571102</v>
      </c>
      <c r="P22">
        <v>0.35704474763246802</v>
      </c>
      <c r="Q22">
        <v>1.5</v>
      </c>
      <c r="R22">
        <v>0.22368363095763899</v>
      </c>
      <c r="S22" t="s">
        <v>5848</v>
      </c>
      <c r="T22" t="s">
        <v>11650</v>
      </c>
      <c r="U22" t="s">
        <v>11650</v>
      </c>
      <c r="V22" t="s">
        <v>11650</v>
      </c>
      <c r="W22" t="s">
        <v>11672</v>
      </c>
      <c r="X22">
        <v>2</v>
      </c>
      <c r="Y22" t="s">
        <v>17433</v>
      </c>
      <c r="Z22" t="s">
        <v>23084</v>
      </c>
      <c r="AA22">
        <v>1.1333209226893159</v>
      </c>
      <c r="AB22" t="str">
        <f>HYPERLINK("Melting_Curves/meltCurve_A4UGR9_2_XIRP2.pdf", "Melting_Curves/meltCurve_A4UGR9_2_XIRP2.pdf")</f>
        <v>Melting_Curves/meltCurve_A4UGR9_2_XIRP2.pdf</v>
      </c>
    </row>
    <row r="23" spans="1:28" x14ac:dyDescent="0.25">
      <c r="A23" t="s">
        <v>27</v>
      </c>
      <c r="B23">
        <v>0.99996721820229495</v>
      </c>
      <c r="C23">
        <v>0.786078095481896</v>
      </c>
      <c r="D23">
        <v>0.75874799119938396</v>
      </c>
      <c r="E23">
        <v>0.81705109616600702</v>
      </c>
      <c r="F23">
        <v>0.634940395808407</v>
      </c>
      <c r="G23">
        <v>0.53457039525153505</v>
      </c>
      <c r="H23">
        <v>0.42034686335197002</v>
      </c>
      <c r="I23">
        <v>0.33551297582141698</v>
      </c>
      <c r="J23">
        <v>0.25856944439739299</v>
      </c>
      <c r="K23">
        <v>0.25150685744481199</v>
      </c>
      <c r="L23">
        <v>356.84311155406101</v>
      </c>
      <c r="M23">
        <v>6.1967015764593798</v>
      </c>
      <c r="N23">
        <v>57.585976531089301</v>
      </c>
      <c r="O23">
        <v>52.456939076587503</v>
      </c>
      <c r="P23">
        <v>-2.96175384195069E-2</v>
      </c>
      <c r="Q23">
        <v>0</v>
      </c>
      <c r="R23">
        <v>0.94853690569320503</v>
      </c>
      <c r="S23" t="s">
        <v>5849</v>
      </c>
      <c r="T23" t="s">
        <v>11650</v>
      </c>
      <c r="U23" t="s">
        <v>11650</v>
      </c>
      <c r="V23" t="s">
        <v>11650</v>
      </c>
      <c r="W23" t="s">
        <v>11673</v>
      </c>
      <c r="X23">
        <v>4</v>
      </c>
      <c r="Y23" t="s">
        <v>17434</v>
      </c>
      <c r="Z23" t="s">
        <v>23085</v>
      </c>
      <c r="AA23">
        <v>0.58401547325059477</v>
      </c>
      <c r="AB23" t="str">
        <f>HYPERLINK("Melting_Curves/meltCurve_A5YKK6_2_CNOT1.pdf", "Melting_Curves/meltCurve_A5YKK6_2_CNOT1.pdf")</f>
        <v>Melting_Curves/meltCurve_A5YKK6_2_CNOT1.pdf</v>
      </c>
    </row>
    <row r="24" spans="1:28" x14ac:dyDescent="0.25">
      <c r="A24" t="s">
        <v>28</v>
      </c>
      <c r="B24">
        <v>0.99996721820229495</v>
      </c>
      <c r="C24">
        <v>0.89668914964516899</v>
      </c>
      <c r="D24">
        <v>0.97386410613804897</v>
      </c>
      <c r="E24">
        <v>0.50324543314700199</v>
      </c>
      <c r="F24">
        <v>0.55153034684523405</v>
      </c>
      <c r="G24">
        <v>0.48209418980192897</v>
      </c>
      <c r="H24">
        <v>0.33202031268539101</v>
      </c>
      <c r="I24">
        <v>0.22482308401801401</v>
      </c>
      <c r="J24">
        <v>0.191748032989845</v>
      </c>
      <c r="K24">
        <v>0.17764766521464001</v>
      </c>
      <c r="L24">
        <v>528.42980362090498</v>
      </c>
      <c r="M24">
        <v>10.033616562018601</v>
      </c>
      <c r="N24">
        <v>54.153246568523301</v>
      </c>
      <c r="O24">
        <v>50.702199277169299</v>
      </c>
      <c r="P24">
        <v>-4.3536071821250501E-2</v>
      </c>
      <c r="Q24">
        <v>0.120431005239306</v>
      </c>
      <c r="R24">
        <v>0.93533850155755205</v>
      </c>
      <c r="S24" t="s">
        <v>5850</v>
      </c>
      <c r="T24" t="s">
        <v>11650</v>
      </c>
      <c r="U24" t="s">
        <v>11650</v>
      </c>
      <c r="V24" t="s">
        <v>11650</v>
      </c>
      <c r="W24" t="s">
        <v>11674</v>
      </c>
      <c r="X24">
        <v>16</v>
      </c>
      <c r="Y24" t="s">
        <v>17435</v>
      </c>
      <c r="Z24" t="s">
        <v>23086</v>
      </c>
      <c r="AA24">
        <v>0.52289464867561142</v>
      </c>
      <c r="AB24" t="str">
        <f>HYPERLINK("Melting_Curves/meltCurve_A6H8Z3_RAB3GAP1.pdf", "Melting_Curves/meltCurve_A6H8Z3_RAB3GAP1.pdf")</f>
        <v>Melting_Curves/meltCurve_A6H8Z3_RAB3GAP1.pdf</v>
      </c>
    </row>
    <row r="25" spans="1:28" x14ac:dyDescent="0.25">
      <c r="A25" t="s">
        <v>29</v>
      </c>
      <c r="B25">
        <v>0.99996721820229495</v>
      </c>
      <c r="C25">
        <v>0.95704930667956301</v>
      </c>
      <c r="D25">
        <v>0.96642272178301702</v>
      </c>
      <c r="E25">
        <v>1.0164992446969201</v>
      </c>
      <c r="F25">
        <v>1.2975881645628899</v>
      </c>
      <c r="G25">
        <v>1.2020793406800201</v>
      </c>
      <c r="H25">
        <v>0.69241103948412797</v>
      </c>
      <c r="I25">
        <v>0.21559955232939601</v>
      </c>
      <c r="J25">
        <v>9.0796126204548994E-2</v>
      </c>
      <c r="K25">
        <v>7.0619981811847199E-2</v>
      </c>
      <c r="L25">
        <v>3604.1836947646002</v>
      </c>
      <c r="M25">
        <v>58.312473744139901</v>
      </c>
      <c r="N25">
        <v>62.001753483354399</v>
      </c>
      <c r="O25">
        <v>61.735545943497897</v>
      </c>
      <c r="P25">
        <v>-0.21647970806279401</v>
      </c>
      <c r="Q25">
        <v>8.3250274541166194E-2</v>
      </c>
      <c r="R25">
        <v>0.92865764202001899</v>
      </c>
      <c r="S25" t="s">
        <v>5851</v>
      </c>
      <c r="T25" t="s">
        <v>11650</v>
      </c>
      <c r="U25" t="s">
        <v>11650</v>
      </c>
      <c r="V25" t="s">
        <v>11650</v>
      </c>
      <c r="W25" t="s">
        <v>11675</v>
      </c>
      <c r="X25">
        <v>13</v>
      </c>
      <c r="Y25" t="s">
        <v>17436</v>
      </c>
      <c r="Z25" t="s">
        <v>23087</v>
      </c>
      <c r="AA25">
        <v>0.75145739217266061</v>
      </c>
      <c r="AB25" t="str">
        <f>HYPERLINK("Melting_Curves/meltCurve_A6NDG6_PGP.pdf", "Melting_Curves/meltCurve_A6NDG6_PGP.pdf")</f>
        <v>Melting_Curves/meltCurve_A6NDG6_PGP.pdf</v>
      </c>
    </row>
    <row r="26" spans="1:28" x14ac:dyDescent="0.25">
      <c r="A26" t="s">
        <v>30</v>
      </c>
      <c r="B26">
        <v>0.99996721820229495</v>
      </c>
      <c r="C26">
        <v>1.0683569696448401</v>
      </c>
      <c r="D26">
        <v>0.98851831889578901</v>
      </c>
      <c r="E26">
        <v>0.69438404324783698</v>
      </c>
      <c r="F26">
        <v>0.42003252685901199</v>
      </c>
      <c r="G26">
        <v>0.37699545521241901</v>
      </c>
      <c r="H26">
        <v>0.225840125930482</v>
      </c>
      <c r="I26">
        <v>0.15580668537398101</v>
      </c>
      <c r="J26">
        <v>0.13600586835797501</v>
      </c>
      <c r="K26">
        <v>9.4468447551532997E-2</v>
      </c>
      <c r="L26">
        <v>931.88359956987199</v>
      </c>
      <c r="M26">
        <v>17.934103510866802</v>
      </c>
      <c r="N26">
        <v>52.889124413505201</v>
      </c>
      <c r="O26">
        <v>51.328397368590799</v>
      </c>
      <c r="P26">
        <v>-7.5566888648132297E-2</v>
      </c>
      <c r="Q26">
        <v>0.13493682513271499</v>
      </c>
      <c r="R26">
        <v>0.97762772056269098</v>
      </c>
      <c r="S26" t="s">
        <v>5852</v>
      </c>
      <c r="T26" t="s">
        <v>11650</v>
      </c>
      <c r="U26" t="s">
        <v>11650</v>
      </c>
      <c r="V26" t="s">
        <v>11650</v>
      </c>
      <c r="W26" t="s">
        <v>11676</v>
      </c>
      <c r="X26">
        <v>4</v>
      </c>
      <c r="Y26" t="s">
        <v>17437</v>
      </c>
      <c r="Z26" t="s">
        <v>23088</v>
      </c>
      <c r="AA26">
        <v>0.49434653396021011</v>
      </c>
      <c r="AB26" t="str">
        <f>HYPERLINK("Melting_Curves/meltCurve_A6NDU8_C5orf51.pdf", "Melting_Curves/meltCurve_A6NDU8_C5orf51.pdf")</f>
        <v>Melting_Curves/meltCurve_A6NDU8_C5orf51.pdf</v>
      </c>
    </row>
    <row r="27" spans="1:28" x14ac:dyDescent="0.25">
      <c r="A27" t="s">
        <v>31</v>
      </c>
      <c r="B27">
        <v>0.99996721820229495</v>
      </c>
      <c r="C27">
        <v>0.88174951135225599</v>
      </c>
      <c r="D27">
        <v>0.82599831187363304</v>
      </c>
      <c r="E27">
        <v>0.80827391699446705</v>
      </c>
      <c r="F27">
        <v>0.76402245096821997</v>
      </c>
      <c r="G27">
        <v>0.51007565390425003</v>
      </c>
      <c r="H27">
        <v>0.34624947516325699</v>
      </c>
      <c r="I27">
        <v>0.35041282889445702</v>
      </c>
      <c r="J27">
        <v>0.212732372213814</v>
      </c>
      <c r="K27">
        <v>0.19023783727319499</v>
      </c>
      <c r="L27">
        <v>482.64158856687499</v>
      </c>
      <c r="M27">
        <v>8.3473183171385905</v>
      </c>
      <c r="N27">
        <v>57.819959140427201</v>
      </c>
      <c r="O27">
        <v>54.786908383213998</v>
      </c>
      <c r="P27">
        <v>-3.8126654774767399E-2</v>
      </c>
      <c r="Q27">
        <v>0</v>
      </c>
      <c r="R27">
        <v>0.97265334245907098</v>
      </c>
      <c r="S27" t="s">
        <v>5853</v>
      </c>
      <c r="T27" t="s">
        <v>11650</v>
      </c>
      <c r="U27" t="s">
        <v>11650</v>
      </c>
      <c r="V27" t="s">
        <v>11650</v>
      </c>
      <c r="W27" t="s">
        <v>11677</v>
      </c>
      <c r="X27">
        <v>5</v>
      </c>
      <c r="Y27" t="s">
        <v>17438</v>
      </c>
      <c r="Z27" t="s">
        <v>23089</v>
      </c>
      <c r="AA27">
        <v>0.60049654437116828</v>
      </c>
      <c r="AB27" t="str">
        <f>HYPERLINK("Melting_Curves/meltCurve_A6NED2_RCCD1.pdf", "Melting_Curves/meltCurve_A6NED2_RCCD1.pdf")</f>
        <v>Melting_Curves/meltCurve_A6NED2_RCCD1.pdf</v>
      </c>
    </row>
    <row r="28" spans="1:28" x14ac:dyDescent="0.25">
      <c r="A28" t="s">
        <v>32</v>
      </c>
      <c r="B28">
        <v>0.99996721820229495</v>
      </c>
      <c r="C28">
        <v>1.1937904796207901</v>
      </c>
      <c r="D28">
        <v>0.98358232330894002</v>
      </c>
      <c r="E28">
        <v>1.13664958668495</v>
      </c>
      <c r="F28">
        <v>1.1651335614382199</v>
      </c>
      <c r="G28">
        <v>1.02434779043393</v>
      </c>
      <c r="H28">
        <v>0.53052978669312101</v>
      </c>
      <c r="I28">
        <v>0.46815279882743099</v>
      </c>
      <c r="J28">
        <v>0.41044225168902998</v>
      </c>
      <c r="K28">
        <v>0.216716383314879</v>
      </c>
      <c r="L28">
        <v>3493.6784249905099</v>
      </c>
      <c r="M28">
        <v>58.076414227072398</v>
      </c>
      <c r="N28">
        <v>61.448889760378101</v>
      </c>
      <c r="O28">
        <v>60.085378560442102</v>
      </c>
      <c r="P28">
        <v>-0.15644123183580999</v>
      </c>
      <c r="Q28">
        <v>0.35258907817262197</v>
      </c>
      <c r="R28">
        <v>0.90179115438504198</v>
      </c>
      <c r="S28" t="s">
        <v>5854</v>
      </c>
      <c r="T28" t="s">
        <v>11650</v>
      </c>
      <c r="U28" t="s">
        <v>11650</v>
      </c>
      <c r="V28" t="s">
        <v>11650</v>
      </c>
      <c r="W28" t="s">
        <v>11678</v>
      </c>
      <c r="X28">
        <v>25</v>
      </c>
      <c r="Y28" t="s">
        <v>17439</v>
      </c>
      <c r="Z28" t="s">
        <v>23090</v>
      </c>
      <c r="AA28">
        <v>0.78883793049982365</v>
      </c>
      <c r="AB28" t="str">
        <f>HYPERLINK("Melting_Curves/meltCurve_A6NEM2_HCFC1.pdf", "Melting_Curves/meltCurve_A6NEM2_HCFC1.pdf")</f>
        <v>Melting_Curves/meltCurve_A6NEM2_HCFC1.pdf</v>
      </c>
    </row>
    <row r="29" spans="1:28" x14ac:dyDescent="0.25">
      <c r="A29" t="s">
        <v>33</v>
      </c>
      <c r="B29">
        <v>0.99996721820229495</v>
      </c>
      <c r="C29">
        <v>0.955232694115279</v>
      </c>
      <c r="D29">
        <v>1.0699966712081901</v>
      </c>
      <c r="E29">
        <v>1.1651063312208201</v>
      </c>
      <c r="F29">
        <v>1.4495961115668901</v>
      </c>
      <c r="G29">
        <v>1.5210871601635401</v>
      </c>
      <c r="H29">
        <v>1.07613898299653</v>
      </c>
      <c r="I29">
        <v>0.75934464886173303</v>
      </c>
      <c r="J29">
        <v>0.67244268671987595</v>
      </c>
      <c r="K29">
        <v>0.62485932954829304</v>
      </c>
      <c r="L29">
        <v>15000</v>
      </c>
      <c r="M29">
        <v>235.15143918235501</v>
      </c>
      <c r="O29">
        <v>63.784063497175801</v>
      </c>
      <c r="P29">
        <v>-0.32383210227827702</v>
      </c>
      <c r="Q29">
        <v>0.64864636294670597</v>
      </c>
      <c r="R29">
        <v>0.36522633890303702</v>
      </c>
      <c r="S29" t="s">
        <v>5855</v>
      </c>
      <c r="T29" t="s">
        <v>11650</v>
      </c>
      <c r="U29" t="s">
        <v>11650</v>
      </c>
      <c r="V29" t="s">
        <v>11650</v>
      </c>
      <c r="W29" t="s">
        <v>11679</v>
      </c>
      <c r="X29">
        <v>4</v>
      </c>
      <c r="Y29" t="s">
        <v>17440</v>
      </c>
      <c r="Z29" t="s">
        <v>23091</v>
      </c>
      <c r="AA29">
        <v>0.9272988011589427</v>
      </c>
      <c r="AB29" t="str">
        <f>HYPERLINK("Melting_Curves/meltCurve_A6NEP9_TSPAN14.pdf", "Melting_Curves/meltCurve_A6NEP9_TSPAN14.pdf")</f>
        <v>Melting_Curves/meltCurve_A6NEP9_TSPAN14.pdf</v>
      </c>
    </row>
    <row r="30" spans="1:28" x14ac:dyDescent="0.25">
      <c r="A30" t="s">
        <v>34</v>
      </c>
      <c r="B30">
        <v>0.99996721820229495</v>
      </c>
      <c r="C30">
        <v>0.89237130388351105</v>
      </c>
      <c r="D30">
        <v>0.74247500798666599</v>
      </c>
      <c r="E30">
        <v>0.29964012084744202</v>
      </c>
      <c r="F30">
        <v>0.33016914555916799</v>
      </c>
      <c r="G30">
        <v>0.219254225814415</v>
      </c>
      <c r="H30">
        <v>0.104263988158104</v>
      </c>
      <c r="I30">
        <v>5.2833089183561499E-2</v>
      </c>
      <c r="J30">
        <v>0</v>
      </c>
      <c r="K30">
        <v>0</v>
      </c>
      <c r="L30">
        <v>670.90614523352895</v>
      </c>
      <c r="M30">
        <v>13.7401404232491</v>
      </c>
      <c r="N30">
        <v>48.971663304875896</v>
      </c>
      <c r="O30">
        <v>47.828773811280499</v>
      </c>
      <c r="P30">
        <v>-7.0412385598243796E-2</v>
      </c>
      <c r="Q30">
        <v>1.9731371821182501E-2</v>
      </c>
      <c r="R30">
        <v>0.97262081831098701</v>
      </c>
      <c r="S30" t="s">
        <v>5856</v>
      </c>
      <c r="T30" t="s">
        <v>11650</v>
      </c>
      <c r="U30" t="s">
        <v>11650</v>
      </c>
      <c r="V30" t="s">
        <v>11650</v>
      </c>
      <c r="W30" t="s">
        <v>11680</v>
      </c>
      <c r="X30">
        <v>1</v>
      </c>
      <c r="Y30" t="s">
        <v>17441</v>
      </c>
      <c r="Z30" t="s">
        <v>23092</v>
      </c>
      <c r="AA30">
        <v>0.33687309966165108</v>
      </c>
      <c r="AB30" t="str">
        <f>HYPERLINK("Melting_Curves/meltCurve_A6NFQ2_2_FAM115C.pdf", "Melting_Curves/meltCurve_A6NFQ2_2_FAM115C.pdf")</f>
        <v>Melting_Curves/meltCurve_A6NFQ2_2_FAM115C.pdf</v>
      </c>
    </row>
    <row r="31" spans="1:28" x14ac:dyDescent="0.25">
      <c r="A31" t="s">
        <v>35</v>
      </c>
      <c r="B31">
        <v>0.99996721820229495</v>
      </c>
      <c r="C31">
        <v>0.92477948375778396</v>
      </c>
      <c r="D31">
        <v>0.88677217997304003</v>
      </c>
      <c r="E31">
        <v>0.91438950161871502</v>
      </c>
      <c r="F31">
        <v>1.26055650015955</v>
      </c>
      <c r="G31">
        <v>1.11915805125235</v>
      </c>
      <c r="H31">
        <v>0.75804239930119299</v>
      </c>
      <c r="I31">
        <v>0.68055216900665305</v>
      </c>
      <c r="J31">
        <v>0.54410677088288095</v>
      </c>
      <c r="K31">
        <v>0.46940460080702201</v>
      </c>
      <c r="L31">
        <v>2148.3227207919999</v>
      </c>
      <c r="M31">
        <v>34.514227744964003</v>
      </c>
      <c r="O31">
        <v>62.036707388982599</v>
      </c>
      <c r="P31">
        <v>-7.1035798550952697E-2</v>
      </c>
      <c r="Q31">
        <v>0.48927605689343101</v>
      </c>
      <c r="R31">
        <v>0.77693604596826904</v>
      </c>
      <c r="S31" t="s">
        <v>5857</v>
      </c>
      <c r="T31" t="s">
        <v>11650</v>
      </c>
      <c r="U31" t="s">
        <v>11650</v>
      </c>
      <c r="V31" t="s">
        <v>11650</v>
      </c>
      <c r="W31" t="s">
        <v>11681</v>
      </c>
      <c r="X31">
        <v>7</v>
      </c>
      <c r="Y31" t="s">
        <v>17442</v>
      </c>
      <c r="Z31" t="s">
        <v>23093</v>
      </c>
      <c r="AA31">
        <v>0.87003144789090803</v>
      </c>
      <c r="AB31" t="str">
        <f>HYPERLINK("Melting_Curves/meltCurve_A6NG32_CHMP1A.pdf", "Melting_Curves/meltCurve_A6NG32_CHMP1A.pdf")</f>
        <v>Melting_Curves/meltCurve_A6NG32_CHMP1A.pdf</v>
      </c>
    </row>
    <row r="32" spans="1:28" x14ac:dyDescent="0.25">
      <c r="A32" t="s">
        <v>36</v>
      </c>
      <c r="B32">
        <v>0.99996721820229495</v>
      </c>
      <c r="C32">
        <v>0.94257625529449396</v>
      </c>
      <c r="D32">
        <v>0.83774304694867596</v>
      </c>
      <c r="E32">
        <v>0.91506356674050404</v>
      </c>
      <c r="F32">
        <v>1.1384834785387801</v>
      </c>
      <c r="G32">
        <v>1.0831626785705299</v>
      </c>
      <c r="H32">
        <v>0.87949906949774403</v>
      </c>
      <c r="I32">
        <v>0.73173627430543997</v>
      </c>
      <c r="J32">
        <v>0.694687444694017</v>
      </c>
      <c r="K32">
        <v>0.61903302259690196</v>
      </c>
      <c r="L32">
        <v>2727.45119692753</v>
      </c>
      <c r="M32">
        <v>43.842474058975</v>
      </c>
      <c r="O32">
        <v>62.081236642941697</v>
      </c>
      <c r="P32">
        <v>-6.2211224914726498E-2</v>
      </c>
      <c r="Q32">
        <v>0.64763446306156802</v>
      </c>
      <c r="R32">
        <v>0.73832508121198603</v>
      </c>
      <c r="S32" t="s">
        <v>5858</v>
      </c>
      <c r="T32" t="s">
        <v>11650</v>
      </c>
      <c r="U32" t="s">
        <v>11650</v>
      </c>
      <c r="V32" t="s">
        <v>11650</v>
      </c>
      <c r="W32" t="s">
        <v>11682</v>
      </c>
      <c r="X32">
        <v>5</v>
      </c>
      <c r="Y32" t="s">
        <v>17443</v>
      </c>
      <c r="Z32" t="s">
        <v>23094</v>
      </c>
      <c r="AA32">
        <v>0.90959627413046096</v>
      </c>
      <c r="AB32" t="str">
        <f>HYPERLINK("Melting_Curves/meltCurve_A6NG79_PRCC.pdf", "Melting_Curves/meltCurve_A6NG79_PRCC.pdf")</f>
        <v>Melting_Curves/meltCurve_A6NG79_PRCC.pdf</v>
      </c>
    </row>
    <row r="33" spans="1:28" x14ac:dyDescent="0.25">
      <c r="A33" t="s">
        <v>37</v>
      </c>
      <c r="B33">
        <v>0.99996721820229495</v>
      </c>
      <c r="C33">
        <v>0.99568560088181701</v>
      </c>
      <c r="D33">
        <v>1.03187896031756</v>
      </c>
      <c r="E33">
        <v>1.32355681723033</v>
      </c>
      <c r="F33">
        <v>2.8138340258298302</v>
      </c>
      <c r="G33">
        <v>3.3912056606683398</v>
      </c>
      <c r="H33">
        <v>1.4737443332762601</v>
      </c>
      <c r="I33">
        <v>0.71199197437360795</v>
      </c>
      <c r="J33">
        <v>0.510937010361739</v>
      </c>
      <c r="K33">
        <v>0.33460427470902698</v>
      </c>
      <c r="L33">
        <v>12469.6802498423</v>
      </c>
      <c r="M33">
        <v>250</v>
      </c>
      <c r="O33">
        <v>49.875529788987002</v>
      </c>
      <c r="P33">
        <v>0.62655976999969998</v>
      </c>
      <c r="Q33">
        <v>1.5</v>
      </c>
      <c r="R33">
        <v>6.2847184300817899E-2</v>
      </c>
      <c r="S33" t="s">
        <v>5859</v>
      </c>
      <c r="T33" t="s">
        <v>11650</v>
      </c>
      <c r="U33" t="s">
        <v>11650</v>
      </c>
      <c r="V33" t="s">
        <v>11650</v>
      </c>
      <c r="W33" t="s">
        <v>11683</v>
      </c>
      <c r="X33">
        <v>2</v>
      </c>
      <c r="Y33" t="s">
        <v>17444</v>
      </c>
      <c r="Z33" t="s">
        <v>23095</v>
      </c>
      <c r="AA33">
        <v>1.335310881820978</v>
      </c>
      <c r="AB33" t="str">
        <f>HYPERLINK("Melting_Curves/meltCurve_A6NGJ0_DYNLT3.pdf", "Melting_Curves/meltCurve_A6NGJ0_DYNLT3.pdf")</f>
        <v>Melting_Curves/meltCurve_A6NGJ0_DYNLT3.pdf</v>
      </c>
    </row>
    <row r="34" spans="1:28" x14ac:dyDescent="0.25">
      <c r="A34" t="s">
        <v>38</v>
      </c>
      <c r="B34">
        <v>0.99996721820229495</v>
      </c>
      <c r="C34">
        <v>1.0077688621487599</v>
      </c>
      <c r="D34">
        <v>1.0426402262636001</v>
      </c>
      <c r="E34">
        <v>0.95987607103608696</v>
      </c>
      <c r="F34">
        <v>1.3752960948858</v>
      </c>
      <c r="G34">
        <v>2.0348405210826601</v>
      </c>
      <c r="H34">
        <v>1.6890107375471901</v>
      </c>
      <c r="I34">
        <v>1.3755976483157699</v>
      </c>
      <c r="J34">
        <v>1.39269279267271</v>
      </c>
      <c r="K34">
        <v>0.91936242464312401</v>
      </c>
      <c r="L34">
        <v>13183.493542836501</v>
      </c>
      <c r="M34">
        <v>250</v>
      </c>
      <c r="O34">
        <v>52.730599559043398</v>
      </c>
      <c r="P34">
        <v>0.57165675716167097</v>
      </c>
      <c r="Q34">
        <v>1.48230085607628</v>
      </c>
      <c r="R34">
        <v>0.43126125780776903</v>
      </c>
      <c r="S34" t="s">
        <v>5860</v>
      </c>
      <c r="T34" t="s">
        <v>11650</v>
      </c>
      <c r="U34" t="s">
        <v>11650</v>
      </c>
      <c r="V34" t="s">
        <v>11650</v>
      </c>
      <c r="W34" t="s">
        <v>11684</v>
      </c>
      <c r="X34">
        <v>18</v>
      </c>
      <c r="Y34" t="s">
        <v>17445</v>
      </c>
      <c r="Z34" t="s">
        <v>23096</v>
      </c>
      <c r="AA34">
        <v>1.277535998962571</v>
      </c>
      <c r="AB34" t="str">
        <f>HYPERLINK("Melting_Curves/meltCurve_A6NGP5_HN1L.pdf", "Melting_Curves/meltCurve_A6NGP5_HN1L.pdf")</f>
        <v>Melting_Curves/meltCurve_A6NGP5_HN1L.pdf</v>
      </c>
    </row>
    <row r="35" spans="1:28" x14ac:dyDescent="0.25">
      <c r="A35" t="s">
        <v>39</v>
      </c>
      <c r="B35">
        <v>0.99996721820229495</v>
      </c>
      <c r="C35">
        <v>0.52872246055736705</v>
      </c>
      <c r="D35">
        <v>0.67558908882151203</v>
      </c>
      <c r="E35">
        <v>1.00633396053157</v>
      </c>
      <c r="F35">
        <v>0.935111590406008</v>
      </c>
      <c r="G35">
        <v>0.77618440062826199</v>
      </c>
      <c r="H35">
        <v>0.51635271883831602</v>
      </c>
      <c r="I35">
        <v>0.188187577114692</v>
      </c>
      <c r="J35">
        <v>8.2421398586032202E-2</v>
      </c>
      <c r="K35">
        <v>0.10481357830169299</v>
      </c>
      <c r="L35">
        <v>1327.10861796982</v>
      </c>
      <c r="M35">
        <v>21.947788335335801</v>
      </c>
      <c r="N35">
        <v>60.5358078945495</v>
      </c>
      <c r="O35">
        <v>59.971359063570397</v>
      </c>
      <c r="P35">
        <v>-9.0361773662108402E-2</v>
      </c>
      <c r="Q35">
        <v>1.2384114651213101E-2</v>
      </c>
      <c r="R35">
        <v>0.71108277630698702</v>
      </c>
      <c r="S35" t="s">
        <v>5861</v>
      </c>
      <c r="T35" t="s">
        <v>11650</v>
      </c>
      <c r="U35" t="s">
        <v>11650</v>
      </c>
      <c r="V35" t="s">
        <v>11650</v>
      </c>
      <c r="W35" t="s">
        <v>11685</v>
      </c>
      <c r="X35">
        <v>2</v>
      </c>
      <c r="Y35" t="s">
        <v>17446</v>
      </c>
      <c r="Z35" t="s">
        <v>23097</v>
      </c>
      <c r="AA35">
        <v>0.69343249757003689</v>
      </c>
      <c r="AB35" t="str">
        <f>HYPERLINK("Melting_Curves/meltCurve_A6NGW1_YIF1A.pdf", "Melting_Curves/meltCurve_A6NGW1_YIF1A.pdf")</f>
        <v>Melting_Curves/meltCurve_A6NGW1_YIF1A.pdf</v>
      </c>
    </row>
    <row r="36" spans="1:28" x14ac:dyDescent="0.25">
      <c r="A36" t="s">
        <v>40</v>
      </c>
      <c r="B36">
        <v>0.99996721820229495</v>
      </c>
      <c r="C36">
        <v>0.96689012080338999</v>
      </c>
      <c r="D36">
        <v>1.0845284301107101</v>
      </c>
      <c r="E36">
        <v>1.40770418525318</v>
      </c>
      <c r="F36">
        <v>2.2455736761526</v>
      </c>
      <c r="G36">
        <v>2.7856915971446399</v>
      </c>
      <c r="H36">
        <v>0.88170394067637403</v>
      </c>
      <c r="I36">
        <v>0.12543760403785401</v>
      </c>
      <c r="J36">
        <v>5.6039363552236897E-2</v>
      </c>
      <c r="K36">
        <v>5.6124608251190998E-2</v>
      </c>
      <c r="L36">
        <v>6054.7945115146404</v>
      </c>
      <c r="M36">
        <v>97.264504603305497</v>
      </c>
      <c r="N36">
        <v>62.329901594942697</v>
      </c>
      <c r="O36">
        <v>62.224511593178597</v>
      </c>
      <c r="P36">
        <v>-0.36809482101505903</v>
      </c>
      <c r="Q36">
        <v>5.8052306980260697E-2</v>
      </c>
      <c r="R36">
        <v>0.33921107398855199</v>
      </c>
      <c r="S36" t="s">
        <v>5862</v>
      </c>
      <c r="T36" t="s">
        <v>11650</v>
      </c>
      <c r="U36" t="s">
        <v>11650</v>
      </c>
      <c r="V36" t="s">
        <v>11650</v>
      </c>
      <c r="W36" t="s">
        <v>11686</v>
      </c>
      <c r="X36">
        <v>8</v>
      </c>
      <c r="Y36" t="s">
        <v>17447</v>
      </c>
      <c r="Z36" t="s">
        <v>23098</v>
      </c>
      <c r="AA36">
        <v>0.7573691995866324</v>
      </c>
      <c r="AB36" t="str">
        <f>HYPERLINK("Melting_Curves/meltCurve_A6NHL2_2_TUBAL3.pdf", "Melting_Curves/meltCurve_A6NHL2_2_TUBAL3.pdf")</f>
        <v>Melting_Curves/meltCurve_A6NHL2_2_TUBAL3.pdf</v>
      </c>
    </row>
    <row r="37" spans="1:28" x14ac:dyDescent="0.25">
      <c r="A37" t="s">
        <v>41</v>
      </c>
      <c r="B37">
        <v>0.99996721820229495</v>
      </c>
      <c r="C37">
        <v>0.97030309753306099</v>
      </c>
      <c r="D37">
        <v>1.0013327480143099</v>
      </c>
      <c r="E37">
        <v>0.80342753362594599</v>
      </c>
      <c r="F37">
        <v>0.97417969432972995</v>
      </c>
      <c r="G37">
        <v>0.68857176410753795</v>
      </c>
      <c r="H37">
        <v>0.47590259837356602</v>
      </c>
      <c r="I37">
        <v>0.28434552555374198</v>
      </c>
      <c r="J37">
        <v>9.94570386128385E-2</v>
      </c>
      <c r="K37">
        <v>7.2976653503057196E-2</v>
      </c>
      <c r="L37">
        <v>1003.71907457917</v>
      </c>
      <c r="M37">
        <v>16.694751742081898</v>
      </c>
      <c r="N37">
        <v>60.121832918113398</v>
      </c>
      <c r="O37">
        <v>59.279074952315398</v>
      </c>
      <c r="P37">
        <v>-7.0412112816367098E-2</v>
      </c>
      <c r="Q37">
        <v>0</v>
      </c>
      <c r="R37">
        <v>0.97040081833530101</v>
      </c>
      <c r="S37" t="s">
        <v>5863</v>
      </c>
      <c r="T37" t="s">
        <v>11650</v>
      </c>
      <c r="U37" t="s">
        <v>11650</v>
      </c>
      <c r="V37" t="s">
        <v>11650</v>
      </c>
      <c r="W37" t="s">
        <v>11687</v>
      </c>
      <c r="X37">
        <v>2</v>
      </c>
      <c r="Y37" t="s">
        <v>17448</v>
      </c>
      <c r="Z37" t="s">
        <v>23099</v>
      </c>
      <c r="AA37">
        <v>0.678243349948351</v>
      </c>
      <c r="AB37" t="str">
        <f>HYPERLINK("Melting_Curves/meltCurve_A6NHX0_GATSL2.pdf", "Melting_Curves/meltCurve_A6NHX0_GATSL2.pdf")</f>
        <v>Melting_Curves/meltCurve_A6NHX0_GATSL2.pdf</v>
      </c>
    </row>
    <row r="38" spans="1:28" x14ac:dyDescent="0.25">
      <c r="A38" t="s">
        <v>42</v>
      </c>
      <c r="B38">
        <v>0.99996721820229495</v>
      </c>
      <c r="C38">
        <v>1.0956454210189499</v>
      </c>
      <c r="D38">
        <v>1.05390836134416</v>
      </c>
      <c r="E38">
        <v>0.98553764476692496</v>
      </c>
      <c r="F38">
        <v>0.81187436889054498</v>
      </c>
      <c r="G38">
        <v>0.62264573462946404</v>
      </c>
      <c r="H38">
        <v>0.37359180115635698</v>
      </c>
      <c r="I38">
        <v>0.20233717630692</v>
      </c>
      <c r="J38">
        <v>0.16221707628534299</v>
      </c>
      <c r="K38">
        <v>9.8802209325224502E-2</v>
      </c>
      <c r="L38">
        <v>1002.83413047585</v>
      </c>
      <c r="M38">
        <v>17.207062254117599</v>
      </c>
      <c r="N38">
        <v>58.686520265348399</v>
      </c>
      <c r="O38">
        <v>57.510319028725199</v>
      </c>
      <c r="P38">
        <v>-7.0605394413845696E-2</v>
      </c>
      <c r="Q38">
        <v>5.6132013203385497E-2</v>
      </c>
      <c r="R38">
        <v>0.98755682255839905</v>
      </c>
      <c r="S38" t="s">
        <v>5864</v>
      </c>
      <c r="T38" t="s">
        <v>11650</v>
      </c>
      <c r="U38" t="s">
        <v>11650</v>
      </c>
      <c r="V38" t="s">
        <v>11650</v>
      </c>
      <c r="W38" t="s">
        <v>11688</v>
      </c>
      <c r="X38">
        <v>8</v>
      </c>
      <c r="Y38" t="s">
        <v>17449</v>
      </c>
      <c r="Z38" t="s">
        <v>23100</v>
      </c>
      <c r="AA38">
        <v>0.64280257699545729</v>
      </c>
      <c r="AB38" t="str">
        <f>HYPERLINK("Melting_Curves/meltCurve_A6NIH7_UNC119B.pdf", "Melting_Curves/meltCurve_A6NIH7_UNC119B.pdf")</f>
        <v>Melting_Curves/meltCurve_A6NIH7_UNC119B.pdf</v>
      </c>
    </row>
    <row r="39" spans="1:28" x14ac:dyDescent="0.25">
      <c r="A39" t="s">
        <v>43</v>
      </c>
      <c r="B39">
        <v>0.99996721820229495</v>
      </c>
      <c r="C39">
        <v>1.0313506739946701</v>
      </c>
      <c r="D39">
        <v>0.91933855217764704</v>
      </c>
      <c r="E39">
        <v>0.66254299059265798</v>
      </c>
      <c r="F39">
        <v>0.56289779439603205</v>
      </c>
      <c r="G39">
        <v>0.49677028360317299</v>
      </c>
      <c r="H39">
        <v>0.301766660382563</v>
      </c>
      <c r="I39">
        <v>0.17988053978389801</v>
      </c>
      <c r="J39">
        <v>0.13057254758220299</v>
      </c>
      <c r="K39">
        <v>7.8785313105475305E-2</v>
      </c>
      <c r="L39">
        <v>563.32181265257702</v>
      </c>
      <c r="M39">
        <v>10.204468815916499</v>
      </c>
      <c r="N39">
        <v>55.203442994098801</v>
      </c>
      <c r="O39">
        <v>53.209385906897502</v>
      </c>
      <c r="P39">
        <v>-4.7966453816264402E-2</v>
      </c>
      <c r="Q39">
        <v>0</v>
      </c>
      <c r="R39">
        <v>0.97951871251872202</v>
      </c>
      <c r="S39" t="s">
        <v>5865</v>
      </c>
      <c r="T39" t="s">
        <v>11650</v>
      </c>
      <c r="U39" t="s">
        <v>11650</v>
      </c>
      <c r="V39" t="s">
        <v>11650</v>
      </c>
      <c r="W39" t="s">
        <v>11689</v>
      </c>
      <c r="X39">
        <v>2</v>
      </c>
      <c r="Y39" t="s">
        <v>17450</v>
      </c>
      <c r="Z39" t="s">
        <v>23101</v>
      </c>
      <c r="AA39">
        <v>0.53155043985241468</v>
      </c>
      <c r="AB39" t="str">
        <f>HYPERLINK("Melting_Curves/meltCurve_A6NIT2_PHKA1.pdf", "Melting_Curves/meltCurve_A6NIT2_PHKA1.pdf")</f>
        <v>Melting_Curves/meltCurve_A6NIT2_PHKA1.pdf</v>
      </c>
    </row>
    <row r="40" spans="1:28" x14ac:dyDescent="0.25">
      <c r="A40" t="s">
        <v>44</v>
      </c>
      <c r="B40">
        <v>0.99996721820229495</v>
      </c>
      <c r="C40">
        <v>1.05213659320418</v>
      </c>
      <c r="D40">
        <v>1.02601868279558</v>
      </c>
      <c r="E40">
        <v>0.98229929231911595</v>
      </c>
      <c r="F40">
        <v>0.98631278057509597</v>
      </c>
      <c r="G40">
        <v>1.02400066001808</v>
      </c>
      <c r="H40">
        <v>0.63129507309482402</v>
      </c>
      <c r="I40">
        <v>0.61349207544491302</v>
      </c>
      <c r="J40">
        <v>0.69762597094733003</v>
      </c>
      <c r="K40">
        <v>0.70090736757189398</v>
      </c>
      <c r="L40">
        <v>9363.9208137948008</v>
      </c>
      <c r="M40">
        <v>158.96761963747099</v>
      </c>
      <c r="O40">
        <v>58.8952583460336</v>
      </c>
      <c r="P40">
        <v>-0.22906545377090501</v>
      </c>
      <c r="Q40">
        <v>0.66053793859912202</v>
      </c>
      <c r="R40">
        <v>0.96490777584531795</v>
      </c>
      <c r="S40" t="s">
        <v>5866</v>
      </c>
      <c r="T40" t="s">
        <v>11650</v>
      </c>
      <c r="U40" t="s">
        <v>11650</v>
      </c>
      <c r="V40" t="s">
        <v>11650</v>
      </c>
      <c r="W40" t="s">
        <v>11690</v>
      </c>
      <c r="X40">
        <v>10</v>
      </c>
      <c r="Y40" t="s">
        <v>17451</v>
      </c>
      <c r="Z40" t="s">
        <v>23102</v>
      </c>
      <c r="AA40">
        <v>0.87453767756198431</v>
      </c>
      <c r="AB40" t="str">
        <f>HYPERLINK("Melting_Curves/meltCurve_A6NIZ0_NDEL1.pdf", "Melting_Curves/meltCurve_A6NIZ0_NDEL1.pdf")</f>
        <v>Melting_Curves/meltCurve_A6NIZ0_NDEL1.pdf</v>
      </c>
    </row>
    <row r="41" spans="1:28" x14ac:dyDescent="0.25">
      <c r="A41" t="s">
        <v>45</v>
      </c>
      <c r="B41">
        <v>0.99996721820229495</v>
      </c>
      <c r="C41">
        <v>0.99225059013078698</v>
      </c>
      <c r="D41">
        <v>1.24668130984335</v>
      </c>
      <c r="E41">
        <v>1.1027976120282399</v>
      </c>
      <c r="F41">
        <v>1.93046510577578</v>
      </c>
      <c r="G41">
        <v>0.93311196841878696</v>
      </c>
      <c r="H41">
        <v>0.53715402007718005</v>
      </c>
      <c r="I41">
        <v>0.254751019323954</v>
      </c>
      <c r="J41">
        <v>0.196123769660077</v>
      </c>
      <c r="K41">
        <v>0.19923035753023599</v>
      </c>
      <c r="L41">
        <v>3041.4595478042902</v>
      </c>
      <c r="M41">
        <v>50.174197728759999</v>
      </c>
      <c r="N41">
        <v>61.2270381016803</v>
      </c>
      <c r="O41">
        <v>60.521938020942002</v>
      </c>
      <c r="P41">
        <v>-0.166538901030994</v>
      </c>
      <c r="Q41">
        <v>0.19645960578685701</v>
      </c>
      <c r="R41">
        <v>0.657109158858727</v>
      </c>
      <c r="S41" t="s">
        <v>5867</v>
      </c>
      <c r="T41" t="s">
        <v>11650</v>
      </c>
      <c r="U41" t="s">
        <v>11650</v>
      </c>
      <c r="V41" t="s">
        <v>11650</v>
      </c>
      <c r="W41" t="s">
        <v>11691</v>
      </c>
      <c r="X41">
        <v>1</v>
      </c>
      <c r="Y41" t="s">
        <v>17452</v>
      </c>
      <c r="Z41" t="s">
        <v>23103</v>
      </c>
      <c r="AA41">
        <v>0.75078539810970379</v>
      </c>
      <c r="AB41" t="str">
        <f>HYPERLINK("Melting_Curves/meltCurve_A6NKF9_GPR89C.pdf", "Melting_Curves/meltCurve_A6NKF9_GPR89C.pdf")</f>
        <v>Melting_Curves/meltCurve_A6NKF9_GPR89C.pdf</v>
      </c>
    </row>
    <row r="42" spans="1:28" x14ac:dyDescent="0.25">
      <c r="A42" t="s">
        <v>46</v>
      </c>
      <c r="B42">
        <v>0.99996721820229495</v>
      </c>
      <c r="C42">
        <v>1.0041142904176299</v>
      </c>
      <c r="D42">
        <v>0.86241102342579201</v>
      </c>
      <c r="E42">
        <v>0.83156156592171104</v>
      </c>
      <c r="F42">
        <v>1.05479249797124</v>
      </c>
      <c r="G42">
        <v>1.2253490414291099</v>
      </c>
      <c r="H42">
        <v>0.57971201578776699</v>
      </c>
      <c r="I42">
        <v>0.41576044779340299</v>
      </c>
      <c r="J42">
        <v>0.34538544168098001</v>
      </c>
      <c r="K42">
        <v>0.206246592757619</v>
      </c>
      <c r="L42">
        <v>5817.8693857077797</v>
      </c>
      <c r="M42">
        <v>95.826828644813901</v>
      </c>
      <c r="N42">
        <v>61.365814085962</v>
      </c>
      <c r="O42">
        <v>60.685902147513701</v>
      </c>
      <c r="P42">
        <v>-0.26852594522275502</v>
      </c>
      <c r="Q42">
        <v>0.31978395490460998</v>
      </c>
      <c r="R42">
        <v>0.88400940658382898</v>
      </c>
      <c r="S42" t="s">
        <v>5868</v>
      </c>
      <c r="T42" t="s">
        <v>11650</v>
      </c>
      <c r="U42" t="s">
        <v>11650</v>
      </c>
      <c r="V42" t="s">
        <v>11650</v>
      </c>
      <c r="W42" t="s">
        <v>11692</v>
      </c>
      <c r="X42">
        <v>3</v>
      </c>
      <c r="Y42" t="s">
        <v>17453</v>
      </c>
      <c r="Z42" t="s">
        <v>23104</v>
      </c>
      <c r="AA42">
        <v>0.78990630637605497</v>
      </c>
      <c r="AB42" t="str">
        <f>HYPERLINK("Melting_Curves/meltCurve_A6NL54_ZMYM3.pdf", "Melting_Curves/meltCurve_A6NL54_ZMYM3.pdf")</f>
        <v>Melting_Curves/meltCurve_A6NL54_ZMYM3.pdf</v>
      </c>
    </row>
    <row r="43" spans="1:28" x14ac:dyDescent="0.25">
      <c r="A43" t="s">
        <v>47</v>
      </c>
      <c r="B43">
        <v>0.99996721820229495</v>
      </c>
      <c r="C43">
        <v>1.02707968831219</v>
      </c>
      <c r="D43">
        <v>0.936580698056664</v>
      </c>
      <c r="E43">
        <v>0.79879593420730599</v>
      </c>
      <c r="F43">
        <v>0.70231772169524798</v>
      </c>
      <c r="G43">
        <v>0.63314765059868405</v>
      </c>
      <c r="H43">
        <v>0.36714245086339797</v>
      </c>
      <c r="I43">
        <v>0.24992105903343401</v>
      </c>
      <c r="J43">
        <v>0.18450863450007801</v>
      </c>
      <c r="K43">
        <v>0.19293240557029201</v>
      </c>
      <c r="L43">
        <v>597.61395956876595</v>
      </c>
      <c r="M43">
        <v>10.2953349897368</v>
      </c>
      <c r="N43">
        <v>58.161538936133098</v>
      </c>
      <c r="O43">
        <v>55.984997517225501</v>
      </c>
      <c r="P43">
        <v>-4.5532324078392597E-2</v>
      </c>
      <c r="Q43">
        <v>1.0029963878124701E-2</v>
      </c>
      <c r="R43">
        <v>0.98473480983737705</v>
      </c>
      <c r="S43" t="s">
        <v>5869</v>
      </c>
      <c r="T43" t="s">
        <v>11650</v>
      </c>
      <c r="U43" t="s">
        <v>11650</v>
      </c>
      <c r="V43" t="s">
        <v>11650</v>
      </c>
      <c r="W43" t="s">
        <v>11693</v>
      </c>
      <c r="X43">
        <v>7</v>
      </c>
      <c r="Y43" t="s">
        <v>17454</v>
      </c>
      <c r="Z43" t="s">
        <v>23105</v>
      </c>
      <c r="AA43">
        <v>0.61568585105763041</v>
      </c>
      <c r="AB43" t="str">
        <f>HYPERLINK("Melting_Curves/meltCurve_A6NLG9_BGN.pdf", "Melting_Curves/meltCurve_A6NLG9_BGN.pdf")</f>
        <v>Melting_Curves/meltCurve_A6NLG9_BGN.pdf</v>
      </c>
    </row>
    <row r="44" spans="1:28" x14ac:dyDescent="0.25">
      <c r="A44" t="s">
        <v>48</v>
      </c>
      <c r="B44">
        <v>0.99996721820229495</v>
      </c>
      <c r="C44">
        <v>1.06109767294625</v>
      </c>
      <c r="D44">
        <v>0.97034919808237097</v>
      </c>
      <c r="E44">
        <v>1.0360564452843599</v>
      </c>
      <c r="F44">
        <v>1.0709464141784499</v>
      </c>
      <c r="G44">
        <v>1.0754114465762501</v>
      </c>
      <c r="H44">
        <v>0.601397425060199</v>
      </c>
      <c r="I44">
        <v>0.26388872887229098</v>
      </c>
      <c r="J44">
        <v>0.13897358176630001</v>
      </c>
      <c r="K44">
        <v>0.118446049432453</v>
      </c>
      <c r="L44">
        <v>3066.2746251406602</v>
      </c>
      <c r="M44">
        <v>50.004841964273098</v>
      </c>
      <c r="N44">
        <v>61.703551288883702</v>
      </c>
      <c r="O44">
        <v>61.221701086210203</v>
      </c>
      <c r="P44">
        <v>-0.176892070136213</v>
      </c>
      <c r="Q44">
        <v>0.13371364398036101</v>
      </c>
      <c r="R44">
        <v>0.98559279312950798</v>
      </c>
      <c r="S44" t="s">
        <v>5870</v>
      </c>
      <c r="T44" t="s">
        <v>11650</v>
      </c>
      <c r="U44" t="s">
        <v>11650</v>
      </c>
      <c r="V44" t="s">
        <v>11650</v>
      </c>
      <c r="W44" t="s">
        <v>11694</v>
      </c>
      <c r="X44">
        <v>1</v>
      </c>
      <c r="Y44" t="s">
        <v>17455</v>
      </c>
      <c r="Z44" t="s">
        <v>23106</v>
      </c>
      <c r="AA44">
        <v>0.75158625629058151</v>
      </c>
      <c r="AB44" t="str">
        <f>HYPERLINK("Melting_Curves/meltCurve_A6NLH6_CNIH4.pdf", "Melting_Curves/meltCurve_A6NLH6_CNIH4.pdf")</f>
        <v>Melting_Curves/meltCurve_A6NLH6_CNIH4.pdf</v>
      </c>
    </row>
    <row r="45" spans="1:28" x14ac:dyDescent="0.25">
      <c r="A45" t="s">
        <v>49</v>
      </c>
      <c r="B45">
        <v>0.99996721820229495</v>
      </c>
      <c r="C45">
        <v>0.90396453869383997</v>
      </c>
      <c r="D45">
        <v>0.87862004900161295</v>
      </c>
      <c r="E45">
        <v>1.19379916695154</v>
      </c>
      <c r="F45">
        <v>1.459970564789</v>
      </c>
      <c r="G45">
        <v>2.1189946778293001</v>
      </c>
      <c r="H45">
        <v>1.2355947811544801</v>
      </c>
      <c r="I45">
        <v>0.314602975832184</v>
      </c>
      <c r="J45">
        <v>0.21100797595461299</v>
      </c>
      <c r="K45">
        <v>0.29809948158849597</v>
      </c>
      <c r="L45">
        <v>15000</v>
      </c>
      <c r="M45">
        <v>236.80102976694599</v>
      </c>
      <c r="N45">
        <v>63.535066238174103</v>
      </c>
      <c r="O45">
        <v>63.339781663295597</v>
      </c>
      <c r="P45">
        <v>-0.696867193958845</v>
      </c>
      <c r="Q45">
        <v>0.25440477201412298</v>
      </c>
      <c r="R45">
        <v>0.49709366168174202</v>
      </c>
      <c r="S45" t="s">
        <v>5871</v>
      </c>
      <c r="T45" t="s">
        <v>11650</v>
      </c>
      <c r="U45" t="s">
        <v>11650</v>
      </c>
      <c r="V45" t="s">
        <v>11650</v>
      </c>
      <c r="W45" t="s">
        <v>11695</v>
      </c>
      <c r="X45">
        <v>14</v>
      </c>
      <c r="Y45" t="s">
        <v>17456</v>
      </c>
      <c r="Z45" t="s">
        <v>23107</v>
      </c>
      <c r="AA45">
        <v>0.83467758986272989</v>
      </c>
      <c r="AB45" t="str">
        <f>HYPERLINK("Melting_Curves/meltCurve_A6NMH6_SEPT8.pdf", "Melting_Curves/meltCurve_A6NMH6_SEPT8.pdf")</f>
        <v>Melting_Curves/meltCurve_A6NMH6_SEPT8.pdf</v>
      </c>
    </row>
    <row r="46" spans="1:28" x14ac:dyDescent="0.25">
      <c r="A46" t="s">
        <v>50</v>
      </c>
      <c r="B46">
        <v>0.99996721820229495</v>
      </c>
      <c r="C46">
        <v>0.88080049586728504</v>
      </c>
      <c r="D46">
        <v>1.0037506214147001</v>
      </c>
      <c r="E46">
        <v>0.24849625191473601</v>
      </c>
      <c r="F46">
        <v>0.24756987420577101</v>
      </c>
      <c r="G46">
        <v>0.18914440145778899</v>
      </c>
      <c r="H46">
        <v>0.10618684801721801</v>
      </c>
      <c r="I46">
        <v>5.43660825505453E-2</v>
      </c>
      <c r="J46">
        <v>2.36837019864212E-2</v>
      </c>
      <c r="K46">
        <v>1.17813598640819E-2</v>
      </c>
      <c r="L46">
        <v>2931.4282927367999</v>
      </c>
      <c r="M46">
        <v>60.1688100946212</v>
      </c>
      <c r="N46">
        <v>48.906577209048002</v>
      </c>
      <c r="O46">
        <v>48.666334069013097</v>
      </c>
      <c r="P46">
        <v>-0.27740086301044897</v>
      </c>
      <c r="Q46">
        <v>0.102519907281823</v>
      </c>
      <c r="R46">
        <v>0.96201007625157697</v>
      </c>
      <c r="S46" t="s">
        <v>5872</v>
      </c>
      <c r="T46" t="s">
        <v>11650</v>
      </c>
      <c r="U46" t="s">
        <v>11650</v>
      </c>
      <c r="V46" t="s">
        <v>11650</v>
      </c>
      <c r="W46" t="s">
        <v>11696</v>
      </c>
      <c r="X46">
        <v>7</v>
      </c>
      <c r="Y46" t="s">
        <v>17457</v>
      </c>
      <c r="Z46" t="s">
        <v>23108</v>
      </c>
      <c r="AA46">
        <v>0.36471899174124872</v>
      </c>
      <c r="AB46" t="str">
        <f>HYPERLINK("Melting_Curves/meltCurve_A6NML8_DIAPH2.pdf", "Melting_Curves/meltCurve_A6NML8_DIAPH2.pdf")</f>
        <v>Melting_Curves/meltCurve_A6NML8_DIAPH2.pdf</v>
      </c>
    </row>
    <row r="47" spans="1:28" x14ac:dyDescent="0.25">
      <c r="A47" t="s">
        <v>51</v>
      </c>
      <c r="B47">
        <v>0.99996721820229495</v>
      </c>
      <c r="C47">
        <v>1.1642396706176099</v>
      </c>
      <c r="D47">
        <v>1.0171041155813301</v>
      </c>
      <c r="E47">
        <v>0.71353220068212797</v>
      </c>
      <c r="F47">
        <v>0.87966290138689895</v>
      </c>
      <c r="G47">
        <v>0.43917884906660598</v>
      </c>
      <c r="H47">
        <v>0.34393422695172399</v>
      </c>
      <c r="I47">
        <v>0.24610508884701901</v>
      </c>
      <c r="J47">
        <v>0.18524087535946099</v>
      </c>
      <c r="K47">
        <v>0.13095907629672901</v>
      </c>
      <c r="L47">
        <v>826.00249248634202</v>
      </c>
      <c r="M47">
        <v>14.6671532612118</v>
      </c>
      <c r="N47">
        <v>57.187133773944304</v>
      </c>
      <c r="O47">
        <v>55.300677813187598</v>
      </c>
      <c r="P47">
        <v>-5.9678114085480898E-2</v>
      </c>
      <c r="Q47">
        <v>0.100063596802714</v>
      </c>
      <c r="R47">
        <v>0.93753575433775804</v>
      </c>
      <c r="S47" t="s">
        <v>5873</v>
      </c>
      <c r="T47" t="s">
        <v>11650</v>
      </c>
      <c r="U47" t="s">
        <v>11650</v>
      </c>
      <c r="V47" t="s">
        <v>11650</v>
      </c>
      <c r="W47" t="s">
        <v>11697</v>
      </c>
      <c r="X47">
        <v>75</v>
      </c>
      <c r="Y47" t="s">
        <v>17458</v>
      </c>
      <c r="Z47" t="s">
        <v>23109</v>
      </c>
      <c r="AA47">
        <v>0.60524406809535547</v>
      </c>
      <c r="AB47" t="str">
        <f>HYPERLINK("Melting_Curves/meltCurve_A6NN80_ANXA6.pdf", "Melting_Curves/meltCurve_A6NN80_ANXA6.pdf")</f>
        <v>Melting_Curves/meltCurve_A6NN80_ANXA6.pdf</v>
      </c>
    </row>
    <row r="48" spans="1:28" x14ac:dyDescent="0.25">
      <c r="A48" t="s">
        <v>52</v>
      </c>
      <c r="B48">
        <v>0.99996721820229495</v>
      </c>
      <c r="C48">
        <v>0.50494078500416095</v>
      </c>
      <c r="D48">
        <v>0.58693324480771103</v>
      </c>
      <c r="E48">
        <v>1.1678049753491899</v>
      </c>
      <c r="F48">
        <v>1.2457391022545301</v>
      </c>
      <c r="G48">
        <v>0.848913377189636</v>
      </c>
      <c r="H48">
        <v>1.0701381725191701</v>
      </c>
      <c r="I48">
        <v>0.84423323348600798</v>
      </c>
      <c r="J48">
        <v>0.50138998928856504</v>
      </c>
      <c r="K48">
        <v>1.08467611291446</v>
      </c>
      <c r="L48">
        <v>1.0000000000000001E-5</v>
      </c>
      <c r="M48">
        <v>1.0000000000000001E-5</v>
      </c>
      <c r="Q48">
        <v>0.77094836674198197</v>
      </c>
      <c r="R48">
        <v>-2.0169956815863101E-9</v>
      </c>
      <c r="S48" t="s">
        <v>5874</v>
      </c>
      <c r="T48" t="s">
        <v>11650</v>
      </c>
      <c r="U48" t="s">
        <v>11650</v>
      </c>
      <c r="V48" t="s">
        <v>11650</v>
      </c>
      <c r="W48" t="s">
        <v>11698</v>
      </c>
      <c r="X48">
        <v>6</v>
      </c>
      <c r="Y48" t="s">
        <v>17459</v>
      </c>
      <c r="Z48" t="s">
        <v>23110</v>
      </c>
      <c r="AA48">
        <v>0.8854736214236506</v>
      </c>
      <c r="AB48" t="str">
        <f>HYPERLINK("Melting_Curves/meltCurve_A6NNI4_CD9.pdf", "Melting_Curves/meltCurve_A6NNI4_CD9.pdf")</f>
        <v>Melting_Curves/meltCurve_A6NNI4_CD9.pdf</v>
      </c>
    </row>
    <row r="49" spans="1:28" x14ac:dyDescent="0.25">
      <c r="A49" t="s">
        <v>53</v>
      </c>
      <c r="B49">
        <v>0.99996721820229495</v>
      </c>
      <c r="C49">
        <v>0.79226891363797303</v>
      </c>
      <c r="D49">
        <v>0.58433433676178104</v>
      </c>
      <c r="E49">
        <v>1.77580240048914</v>
      </c>
      <c r="F49">
        <v>0.56616460447013695</v>
      </c>
      <c r="G49">
        <v>0.39630227285896902</v>
      </c>
      <c r="H49">
        <v>0.28507501252106199</v>
      </c>
      <c r="I49">
        <v>0.31761799957025999</v>
      </c>
      <c r="J49">
        <v>0.19948162210510301</v>
      </c>
      <c r="K49">
        <v>0.16046431505478101</v>
      </c>
      <c r="L49">
        <v>13229.4467758663</v>
      </c>
      <c r="M49">
        <v>250</v>
      </c>
      <c r="N49">
        <v>53.084332015517099</v>
      </c>
      <c r="O49">
        <v>52.914422977353098</v>
      </c>
      <c r="P49">
        <v>-0.86012959118614096</v>
      </c>
      <c r="Q49">
        <v>0.27178812914869999</v>
      </c>
      <c r="R49">
        <v>0.60394644862480695</v>
      </c>
      <c r="S49" t="s">
        <v>5875</v>
      </c>
      <c r="T49" t="s">
        <v>11650</v>
      </c>
      <c r="U49" t="s">
        <v>11650</v>
      </c>
      <c r="V49" t="s">
        <v>11650</v>
      </c>
      <c r="W49" t="s">
        <v>11699</v>
      </c>
      <c r="X49">
        <v>2</v>
      </c>
      <c r="Y49" t="s">
        <v>17460</v>
      </c>
      <c r="Z49" t="s">
        <v>23111</v>
      </c>
      <c r="AA49">
        <v>0.58541862190284433</v>
      </c>
      <c r="AB49" t="str">
        <f>HYPERLINK("Melting_Curves/meltCurve_A6PW57_PIP5K1A.pdf", "Melting_Curves/meltCurve_A6PW57_PIP5K1A.pdf")</f>
        <v>Melting_Curves/meltCurve_A6PW57_PIP5K1A.pdf</v>
      </c>
    </row>
    <row r="50" spans="1:28" x14ac:dyDescent="0.25">
      <c r="A50" t="s">
        <v>54</v>
      </c>
      <c r="B50">
        <v>0.99996721820229495</v>
      </c>
      <c r="C50">
        <v>1.00896851299072</v>
      </c>
      <c r="D50">
        <v>0.94846882487566797</v>
      </c>
      <c r="E50">
        <v>0.86796420830448295</v>
      </c>
      <c r="F50">
        <v>0.792552097217885</v>
      </c>
      <c r="G50">
        <v>0.19388729133792401</v>
      </c>
      <c r="H50">
        <v>0.11043846933541999</v>
      </c>
      <c r="I50">
        <v>4.4789768452624203E-2</v>
      </c>
      <c r="J50">
        <v>2.22059356468969E-2</v>
      </c>
      <c r="K50">
        <v>2.80920670660759E-2</v>
      </c>
      <c r="L50">
        <v>1837.1036331575001</v>
      </c>
      <c r="M50">
        <v>33.613419256551197</v>
      </c>
      <c r="N50">
        <v>54.776485856207103</v>
      </c>
      <c r="O50">
        <v>54.461520607312202</v>
      </c>
      <c r="P50">
        <v>-0.14870822221364999</v>
      </c>
      <c r="Q50">
        <v>3.6237006335485003E-2</v>
      </c>
      <c r="R50">
        <v>0.99102313323019298</v>
      </c>
      <c r="S50" t="s">
        <v>5876</v>
      </c>
      <c r="T50" t="s">
        <v>11650</v>
      </c>
      <c r="U50" t="s">
        <v>11650</v>
      </c>
      <c r="V50" t="s">
        <v>11650</v>
      </c>
      <c r="W50" t="s">
        <v>11700</v>
      </c>
      <c r="X50">
        <v>1</v>
      </c>
      <c r="Y50" t="s">
        <v>17461</v>
      </c>
      <c r="Z50" t="s">
        <v>23112</v>
      </c>
      <c r="AA50">
        <v>0.51211726813873248</v>
      </c>
      <c r="AB50" t="str">
        <f>HYPERLINK("Melting_Curves/meltCurve_A6PW79_MB21D1.pdf", "Melting_Curves/meltCurve_A6PW79_MB21D1.pdf")</f>
        <v>Melting_Curves/meltCurve_A6PW79_MB21D1.pdf</v>
      </c>
    </row>
    <row r="51" spans="1:28" x14ac:dyDescent="0.25">
      <c r="A51" t="s">
        <v>55</v>
      </c>
      <c r="B51">
        <v>0.99996721820229495</v>
      </c>
      <c r="C51">
        <v>0.86221177597252197</v>
      </c>
      <c r="D51">
        <v>0.88044652073970497</v>
      </c>
      <c r="E51">
        <v>0.90778780993665698</v>
      </c>
      <c r="F51">
        <v>1.1332676761784799</v>
      </c>
      <c r="G51">
        <v>0.365437466774089</v>
      </c>
      <c r="H51">
        <v>0.21940720135054201</v>
      </c>
      <c r="I51">
        <v>0.104844446218937</v>
      </c>
      <c r="J51">
        <v>8.7929095729407103E-2</v>
      </c>
      <c r="K51">
        <v>7.6458780021227898E-2</v>
      </c>
      <c r="L51">
        <v>13665.8406117264</v>
      </c>
      <c r="M51">
        <v>240.71032201225799</v>
      </c>
      <c r="N51">
        <v>56.839124023893</v>
      </c>
      <c r="O51">
        <v>56.7690683674982</v>
      </c>
      <c r="P51">
        <v>-0.93054740200034103</v>
      </c>
      <c r="Q51">
        <v>0.122159858486418</v>
      </c>
      <c r="R51">
        <v>0.95615033718972398</v>
      </c>
      <c r="S51" t="s">
        <v>5877</v>
      </c>
      <c r="T51" t="s">
        <v>11650</v>
      </c>
      <c r="U51" t="s">
        <v>11650</v>
      </c>
      <c r="V51" t="s">
        <v>11650</v>
      </c>
      <c r="W51" t="s">
        <v>11701</v>
      </c>
      <c r="X51">
        <v>3</v>
      </c>
      <c r="Y51" t="s">
        <v>17462</v>
      </c>
      <c r="Z51" t="s">
        <v>23113</v>
      </c>
      <c r="AA51">
        <v>0.61305383855212858</v>
      </c>
      <c r="AB51" t="str">
        <f>HYPERLINK("Melting_Curves/meltCurve_A6QRJ0_DNASE1L1.pdf", "Melting_Curves/meltCurve_A6QRJ0_DNASE1L1.pdf")</f>
        <v>Melting_Curves/meltCurve_A6QRJ0_DNASE1L1.pdf</v>
      </c>
    </row>
    <row r="52" spans="1:28" x14ac:dyDescent="0.25">
      <c r="A52" t="s">
        <v>56</v>
      </c>
      <c r="B52">
        <v>0.99996721820229495</v>
      </c>
      <c r="C52">
        <v>0.91848002954421104</v>
      </c>
      <c r="D52">
        <v>0.64475099684479997</v>
      </c>
      <c r="E52">
        <v>0.35648006871654803</v>
      </c>
      <c r="F52">
        <v>0.33136796361267501</v>
      </c>
      <c r="G52">
        <v>0.278376990910985</v>
      </c>
      <c r="H52">
        <v>0.16710428124465401</v>
      </c>
      <c r="I52">
        <v>0.10243661119128</v>
      </c>
      <c r="J52">
        <v>7.3231844882882799E-2</v>
      </c>
      <c r="K52">
        <v>6.6441906336914894E-2</v>
      </c>
      <c r="L52">
        <v>670.11076361031098</v>
      </c>
      <c r="M52">
        <v>13.9399683701209</v>
      </c>
      <c r="N52">
        <v>48.804762094664298</v>
      </c>
      <c r="O52">
        <v>47.114328757299297</v>
      </c>
      <c r="P52">
        <v>-6.6986701676413393E-2</v>
      </c>
      <c r="Q52">
        <v>9.4514752592129894E-2</v>
      </c>
      <c r="R52">
        <v>0.97424321504093203</v>
      </c>
      <c r="S52" t="s">
        <v>5878</v>
      </c>
      <c r="T52" t="s">
        <v>11650</v>
      </c>
      <c r="U52" t="s">
        <v>11650</v>
      </c>
      <c r="V52" t="s">
        <v>11650</v>
      </c>
      <c r="W52" t="s">
        <v>11702</v>
      </c>
      <c r="X52">
        <v>7</v>
      </c>
      <c r="Y52" t="s">
        <v>17463</v>
      </c>
      <c r="Z52" t="s">
        <v>23114</v>
      </c>
      <c r="AA52">
        <v>0.36490331468288961</v>
      </c>
      <c r="AB52" t="str">
        <f>HYPERLINK("Melting_Curves/meltCurve_A6ZKI3_FAM127A.pdf", "Melting_Curves/meltCurve_A6ZKI3_FAM127A.pdf")</f>
        <v>Melting_Curves/meltCurve_A6ZKI3_FAM127A.pdf</v>
      </c>
    </row>
    <row r="53" spans="1:28" x14ac:dyDescent="0.25">
      <c r="A53" t="s">
        <v>57</v>
      </c>
      <c r="B53">
        <v>0.99996721820229495</v>
      </c>
      <c r="C53">
        <v>1.08733024505297</v>
      </c>
      <c r="D53">
        <v>0.95248194198607905</v>
      </c>
      <c r="E53">
        <v>0.79066611223383698</v>
      </c>
      <c r="F53">
        <v>0.51724283917783997</v>
      </c>
      <c r="G53">
        <v>0.32700909409557599</v>
      </c>
      <c r="H53">
        <v>0.177644466279408</v>
      </c>
      <c r="I53">
        <v>0.113143645350039</v>
      </c>
      <c r="J53">
        <v>7.8350667309489294E-2</v>
      </c>
      <c r="K53">
        <v>5.1147302114071702E-2</v>
      </c>
      <c r="L53">
        <v>914.27780713213099</v>
      </c>
      <c r="M53">
        <v>17.104416714734999</v>
      </c>
      <c r="N53">
        <v>53.826741684524997</v>
      </c>
      <c r="O53">
        <v>52.738135031577897</v>
      </c>
      <c r="P53">
        <v>-7.6543308346436995E-2</v>
      </c>
      <c r="Q53">
        <v>5.6031450589930698E-2</v>
      </c>
      <c r="R53">
        <v>0.99078468864762603</v>
      </c>
      <c r="S53" t="s">
        <v>5879</v>
      </c>
      <c r="T53" t="s">
        <v>11650</v>
      </c>
      <c r="U53" t="s">
        <v>11650</v>
      </c>
      <c r="V53" t="s">
        <v>11650</v>
      </c>
      <c r="W53" t="s">
        <v>11703</v>
      </c>
      <c r="X53">
        <v>4</v>
      </c>
      <c r="Y53" t="s">
        <v>17464</v>
      </c>
      <c r="Z53" t="s">
        <v>23115</v>
      </c>
      <c r="AA53">
        <v>0.49587705414959721</v>
      </c>
      <c r="AB53" t="str">
        <f>HYPERLINK("Melting_Curves/meltCurve_A8K0B5_ZBTB8OS.pdf", "Melting_Curves/meltCurve_A8K0B5_ZBTB8OS.pdf")</f>
        <v>Melting_Curves/meltCurve_A8K0B5_ZBTB8OS.pdf</v>
      </c>
    </row>
    <row r="54" spans="1:28" x14ac:dyDescent="0.25">
      <c r="A54" t="s">
        <v>58</v>
      </c>
      <c r="B54">
        <v>0.99996721820229495</v>
      </c>
      <c r="C54">
        <v>0.98810171695469495</v>
      </c>
      <c r="D54">
        <v>0.95837442897704905</v>
      </c>
      <c r="E54">
        <v>0.94468413751154501</v>
      </c>
      <c r="F54">
        <v>0.85057329076542698</v>
      </c>
      <c r="G54">
        <v>0.59602000938484101</v>
      </c>
      <c r="H54">
        <v>0.42406851650531202</v>
      </c>
      <c r="I54">
        <v>0.28652069403283498</v>
      </c>
      <c r="J54">
        <v>0.24849864006224101</v>
      </c>
      <c r="K54">
        <v>0.17885412496949399</v>
      </c>
      <c r="L54">
        <v>902.97643431905396</v>
      </c>
      <c r="M54">
        <v>15.5998801173341</v>
      </c>
      <c r="N54">
        <v>59.110565144880901</v>
      </c>
      <c r="O54">
        <v>56.957416947561399</v>
      </c>
      <c r="P54">
        <v>-5.9006350967084203E-2</v>
      </c>
      <c r="Q54">
        <v>0.138312089181828</v>
      </c>
      <c r="R54">
        <v>0.99732193753154497</v>
      </c>
      <c r="S54" t="s">
        <v>5880</v>
      </c>
      <c r="T54" t="s">
        <v>11650</v>
      </c>
      <c r="U54" t="s">
        <v>11650</v>
      </c>
      <c r="V54" t="s">
        <v>11650</v>
      </c>
      <c r="W54" t="s">
        <v>11704</v>
      </c>
      <c r="X54">
        <v>4</v>
      </c>
      <c r="Y54" t="s">
        <v>17465</v>
      </c>
      <c r="Z54" t="s">
        <v>23116</v>
      </c>
      <c r="AA54">
        <v>0.66368179712525743</v>
      </c>
      <c r="AB54" t="str">
        <f>HYPERLINK("Melting_Curves/meltCurve_A8K0M9_SELK.pdf", "Melting_Curves/meltCurve_A8K0M9_SELK.pdf")</f>
        <v>Melting_Curves/meltCurve_A8K0M9_SELK.pdf</v>
      </c>
    </row>
    <row r="55" spans="1:28" x14ac:dyDescent="0.25">
      <c r="A55" t="s">
        <v>59</v>
      </c>
      <c r="B55">
        <v>0.99996721820229495</v>
      </c>
      <c r="C55">
        <v>0.90213340064646297</v>
      </c>
      <c r="D55">
        <v>1.38276071973139</v>
      </c>
      <c r="E55">
        <v>2.2557536371101001</v>
      </c>
      <c r="F55">
        <v>1.72153749634622</v>
      </c>
      <c r="G55">
        <v>0.83283028352204103</v>
      </c>
      <c r="H55">
        <v>0.14061070757753499</v>
      </c>
      <c r="I55">
        <v>0.25450179050045002</v>
      </c>
      <c r="J55">
        <v>4.7958710542298999E-2</v>
      </c>
      <c r="K55">
        <v>4.17566542818694E-2</v>
      </c>
      <c r="L55">
        <v>5464.9346584505702</v>
      </c>
      <c r="M55">
        <v>94.412777704196202</v>
      </c>
      <c r="N55">
        <v>58.051105568534098</v>
      </c>
      <c r="O55">
        <v>57.857466612033697</v>
      </c>
      <c r="P55">
        <v>-0.35926675022215199</v>
      </c>
      <c r="Q55">
        <v>0.119345363017369</v>
      </c>
      <c r="R55">
        <v>0.56078507863343796</v>
      </c>
      <c r="S55" t="s">
        <v>5881</v>
      </c>
      <c r="T55" t="s">
        <v>11650</v>
      </c>
      <c r="U55" t="s">
        <v>11650</v>
      </c>
      <c r="V55" t="s">
        <v>11650</v>
      </c>
      <c r="W55" t="s">
        <v>11705</v>
      </c>
      <c r="X55">
        <v>45</v>
      </c>
      <c r="Y55" t="s">
        <v>17466</v>
      </c>
      <c r="Z55" t="s">
        <v>23117</v>
      </c>
      <c r="AA55">
        <v>0.64494408177565843</v>
      </c>
      <c r="AB55" t="str">
        <f>HYPERLINK("Melting_Curves/meltCurve_A8K7Q2_HSPA8.pdf", "Melting_Curves/meltCurve_A8K7Q2_HSPA8.pdf")</f>
        <v>Melting_Curves/meltCurve_A8K7Q2_HSPA8.pdf</v>
      </c>
    </row>
    <row r="56" spans="1:28" x14ac:dyDescent="0.25">
      <c r="A56" t="s">
        <v>60</v>
      </c>
      <c r="B56">
        <v>0.99996721820229495</v>
      </c>
      <c r="C56">
        <v>0.92047693218419102</v>
      </c>
      <c r="D56">
        <v>0.915410377750006</v>
      </c>
      <c r="E56">
        <v>0.88724021345574999</v>
      </c>
      <c r="F56">
        <v>0.81508746046490199</v>
      </c>
      <c r="G56">
        <v>0.80138570050832902</v>
      </c>
      <c r="H56">
        <v>0.59852561108441504</v>
      </c>
      <c r="I56">
        <v>0.50238608867085199</v>
      </c>
      <c r="J56">
        <v>0.372714723535019</v>
      </c>
      <c r="K56">
        <v>0.32540557819378302</v>
      </c>
      <c r="L56">
        <v>517.62974448618297</v>
      </c>
      <c r="M56">
        <v>8.1017122262266792</v>
      </c>
      <c r="N56">
        <v>63.891398793763599</v>
      </c>
      <c r="O56">
        <v>60.352137487614897</v>
      </c>
      <c r="P56">
        <v>-3.3596375799356697E-2</v>
      </c>
      <c r="Q56">
        <v>0</v>
      </c>
      <c r="R56">
        <v>0.97507047910122102</v>
      </c>
      <c r="S56" t="s">
        <v>5882</v>
      </c>
      <c r="T56" t="s">
        <v>11650</v>
      </c>
      <c r="U56" t="s">
        <v>11650</v>
      </c>
      <c r="V56" t="s">
        <v>11650</v>
      </c>
      <c r="W56" t="s">
        <v>11706</v>
      </c>
      <c r="X56">
        <v>20</v>
      </c>
      <c r="Y56" t="s">
        <v>17467</v>
      </c>
      <c r="Z56" t="s">
        <v>23118</v>
      </c>
      <c r="AA56">
        <v>0.73729671639108529</v>
      </c>
      <c r="AB56" t="str">
        <f>HYPERLINK("Melting_Curves/meltCurve_A8MQ02_MLLT4.pdf", "Melting_Curves/meltCurve_A8MQ02_MLLT4.pdf")</f>
        <v>Melting_Curves/meltCurve_A8MQ02_MLLT4.pdf</v>
      </c>
    </row>
    <row r="57" spans="1:28" x14ac:dyDescent="0.25">
      <c r="A57" t="s">
        <v>61</v>
      </c>
      <c r="B57">
        <v>0.99996721820229495</v>
      </c>
      <c r="C57">
        <v>0.89559073921090904</v>
      </c>
      <c r="D57">
        <v>0.50260016742673497</v>
      </c>
      <c r="E57">
        <v>0.22733363422272301</v>
      </c>
      <c r="F57">
        <v>0.25100666508041702</v>
      </c>
      <c r="G57">
        <v>0.25331382182689399</v>
      </c>
      <c r="H57">
        <v>0.18864893408772901</v>
      </c>
      <c r="I57">
        <v>0.17911101832308399</v>
      </c>
      <c r="J57">
        <v>0.16261041577039101</v>
      </c>
      <c r="K57">
        <v>0.12050811447137599</v>
      </c>
      <c r="L57">
        <v>1449.8287772846099</v>
      </c>
      <c r="M57">
        <v>31.952531961875199</v>
      </c>
      <c r="N57">
        <v>46.063544666729896</v>
      </c>
      <c r="O57">
        <v>45.197841399887501</v>
      </c>
      <c r="P57">
        <v>-0.14316056378040101</v>
      </c>
      <c r="Q57">
        <v>0.18998404807001301</v>
      </c>
      <c r="R57">
        <v>0.98623542373210404</v>
      </c>
      <c r="S57" t="s">
        <v>5883</v>
      </c>
      <c r="T57" t="s">
        <v>11650</v>
      </c>
      <c r="U57" t="s">
        <v>11650</v>
      </c>
      <c r="V57" t="s">
        <v>11650</v>
      </c>
      <c r="W57" t="s">
        <v>11707</v>
      </c>
      <c r="X57">
        <v>5</v>
      </c>
      <c r="Y57" t="s">
        <v>17468</v>
      </c>
      <c r="Z57" t="s">
        <v>23119</v>
      </c>
      <c r="AA57">
        <v>0.33948243493349939</v>
      </c>
      <c r="AB57" t="str">
        <f>HYPERLINK("Melting_Curves/meltCurve_A8MSH5_RTFDC1.pdf", "Melting_Curves/meltCurve_A8MSH5_RTFDC1.pdf")</f>
        <v>Melting_Curves/meltCurve_A8MSH5_RTFDC1.pdf</v>
      </c>
    </row>
    <row r="58" spans="1:28" x14ac:dyDescent="0.25">
      <c r="A58" t="s">
        <v>62</v>
      </c>
      <c r="B58">
        <v>0.99996721820229495</v>
      </c>
      <c r="C58">
        <v>0.92867931257854697</v>
      </c>
      <c r="D58">
        <v>0.80745852846359401</v>
      </c>
      <c r="E58">
        <v>0.83918804784743295</v>
      </c>
      <c r="F58">
        <v>0.96052519381721102</v>
      </c>
      <c r="G58">
        <v>0.71028878384012595</v>
      </c>
      <c r="H58">
        <v>0.44155743806832498</v>
      </c>
      <c r="I58">
        <v>0.35524992707922298</v>
      </c>
      <c r="J58">
        <v>0.327938060224296</v>
      </c>
      <c r="K58">
        <v>0.199683863631166</v>
      </c>
      <c r="L58">
        <v>628.57618279534699</v>
      </c>
      <c r="M58">
        <v>10.295931585597</v>
      </c>
      <c r="N58">
        <v>61.0509371514527</v>
      </c>
      <c r="O58">
        <v>58.882387372146098</v>
      </c>
      <c r="P58">
        <v>-4.37329853416547E-2</v>
      </c>
      <c r="Q58">
        <v>0</v>
      </c>
      <c r="R58">
        <v>0.92618724184309698</v>
      </c>
      <c r="S58" t="s">
        <v>5884</v>
      </c>
      <c r="T58" t="s">
        <v>11650</v>
      </c>
      <c r="U58" t="s">
        <v>11650</v>
      </c>
      <c r="V58" t="s">
        <v>11650</v>
      </c>
      <c r="W58" t="s">
        <v>11708</v>
      </c>
      <c r="X58">
        <v>3</v>
      </c>
      <c r="Y58" t="s">
        <v>17469</v>
      </c>
      <c r="Z58" t="s">
        <v>23120</v>
      </c>
      <c r="AA58">
        <v>0.69059734854306287</v>
      </c>
      <c r="AB58" t="str">
        <f>HYPERLINK("Melting_Curves/meltCurve_A8MSI8_LYRM9.pdf", "Melting_Curves/meltCurve_A8MSI8_LYRM9.pdf")</f>
        <v>Melting_Curves/meltCurve_A8MSI8_LYRM9.pdf</v>
      </c>
    </row>
    <row r="59" spans="1:28" x14ac:dyDescent="0.25">
      <c r="A59" t="s">
        <v>63</v>
      </c>
      <c r="B59">
        <v>0.99996721820229495</v>
      </c>
      <c r="C59">
        <v>0.90401326261585302</v>
      </c>
      <c r="D59">
        <v>0.84043304008115205</v>
      </c>
      <c r="E59">
        <v>1.02655708985956</v>
      </c>
      <c r="F59">
        <v>1.7846027958230899</v>
      </c>
      <c r="G59">
        <v>3.6630005575601099</v>
      </c>
      <c r="H59">
        <v>2.9251093834029098</v>
      </c>
      <c r="I59">
        <v>1.3552318346759999</v>
      </c>
      <c r="J59">
        <v>0.480471774585639</v>
      </c>
      <c r="K59">
        <v>1.1738257310428699</v>
      </c>
      <c r="L59">
        <v>12643.9223761918</v>
      </c>
      <c r="M59">
        <v>250</v>
      </c>
      <c r="O59">
        <v>50.5724453880987</v>
      </c>
      <c r="P59">
        <v>0.61792533630826296</v>
      </c>
      <c r="Q59">
        <v>1.5</v>
      </c>
      <c r="R59">
        <v>0.133131248400294</v>
      </c>
      <c r="S59" t="s">
        <v>5885</v>
      </c>
      <c r="T59" t="s">
        <v>11650</v>
      </c>
      <c r="U59" t="s">
        <v>11650</v>
      </c>
      <c r="V59" t="s">
        <v>11650</v>
      </c>
      <c r="W59" t="s">
        <v>11709</v>
      </c>
      <c r="X59">
        <v>1</v>
      </c>
      <c r="Y59" t="s">
        <v>17470</v>
      </c>
      <c r="Z59" t="s">
        <v>23121</v>
      </c>
      <c r="AA59">
        <v>1.3236941284799051</v>
      </c>
      <c r="AB59" t="str">
        <f>HYPERLINK("Melting_Curves/meltCurve_A8MT02_SNRPB.pdf", "Melting_Curves/meltCurve_A8MT02_SNRPB.pdf")</f>
        <v>Melting_Curves/meltCurve_A8MT02_SNRPB.pdf</v>
      </c>
    </row>
    <row r="60" spans="1:28" x14ac:dyDescent="0.25">
      <c r="A60" t="s">
        <v>64</v>
      </c>
      <c r="B60">
        <v>0.99996721820229495</v>
      </c>
      <c r="C60">
        <v>1.0395825142664501</v>
      </c>
      <c r="D60">
        <v>1.0495991799039399</v>
      </c>
      <c r="E60">
        <v>1.1434031447764501</v>
      </c>
      <c r="F60">
        <v>0.87976989654809101</v>
      </c>
      <c r="G60">
        <v>0.72426420551458504</v>
      </c>
      <c r="H60">
        <v>0.40325555297774501</v>
      </c>
      <c r="I60">
        <v>0.229845181362966</v>
      </c>
      <c r="J60">
        <v>0.158270442260383</v>
      </c>
      <c r="K60">
        <v>0.12213240102430099</v>
      </c>
      <c r="L60">
        <v>1344.36936401402</v>
      </c>
      <c r="M60">
        <v>22.758985881803401</v>
      </c>
      <c r="N60">
        <v>59.653886092681802</v>
      </c>
      <c r="O60">
        <v>58.619447864516999</v>
      </c>
      <c r="P60">
        <v>-8.7370128899673799E-2</v>
      </c>
      <c r="Q60">
        <v>9.9873963837839502E-2</v>
      </c>
      <c r="R60">
        <v>0.97811721843127197</v>
      </c>
      <c r="S60" t="s">
        <v>5886</v>
      </c>
      <c r="T60" t="s">
        <v>11650</v>
      </c>
      <c r="U60" t="s">
        <v>11650</v>
      </c>
      <c r="V60" t="s">
        <v>11650</v>
      </c>
      <c r="W60" t="s">
        <v>11710</v>
      </c>
      <c r="X60">
        <v>4</v>
      </c>
      <c r="Y60" t="s">
        <v>17471</v>
      </c>
      <c r="Z60" t="s">
        <v>23122</v>
      </c>
      <c r="AA60">
        <v>0.68015245167364546</v>
      </c>
      <c r="AB60" t="str">
        <f>HYPERLINK("Melting_Curves/meltCurve_A8MTG8_ARMC8.pdf", "Melting_Curves/meltCurve_A8MTG8_ARMC8.pdf")</f>
        <v>Melting_Curves/meltCurve_A8MTG8_ARMC8.pdf</v>
      </c>
    </row>
    <row r="61" spans="1:28" x14ac:dyDescent="0.25">
      <c r="A61" t="s">
        <v>65</v>
      </c>
      <c r="B61">
        <v>0.99996721820229495</v>
      </c>
      <c r="C61">
        <v>0.89658969312679804</v>
      </c>
      <c r="D61">
        <v>0.84866276035159405</v>
      </c>
      <c r="E61">
        <v>0.80272147779787995</v>
      </c>
      <c r="F61">
        <v>0.84662039162120195</v>
      </c>
      <c r="G61">
        <v>0.79954460736491695</v>
      </c>
      <c r="H61">
        <v>0.59478265021142196</v>
      </c>
      <c r="I61">
        <v>0.39311821982782102</v>
      </c>
      <c r="J61">
        <v>0.22209409061669999</v>
      </c>
      <c r="K61">
        <v>0.27053082316099297</v>
      </c>
      <c r="L61">
        <v>588.85607690216398</v>
      </c>
      <c r="M61">
        <v>9.51596447659389</v>
      </c>
      <c r="N61">
        <v>61.880842116478298</v>
      </c>
      <c r="O61">
        <v>59.333000369126999</v>
      </c>
      <c r="P61">
        <v>-4.0119145859888301E-2</v>
      </c>
      <c r="Q61">
        <v>0</v>
      </c>
      <c r="R61">
        <v>0.91566539068945996</v>
      </c>
      <c r="S61" t="s">
        <v>5887</v>
      </c>
      <c r="T61" t="s">
        <v>11650</v>
      </c>
      <c r="U61" t="s">
        <v>11650</v>
      </c>
      <c r="V61" t="s">
        <v>11650</v>
      </c>
      <c r="W61" t="s">
        <v>11711</v>
      </c>
      <c r="X61">
        <v>2</v>
      </c>
      <c r="Y61" t="s">
        <v>17472</v>
      </c>
      <c r="Z61" t="s">
        <v>23123</v>
      </c>
      <c r="AA61">
        <v>0.70619876390718772</v>
      </c>
      <c r="AB61" t="str">
        <f>HYPERLINK("Melting_Curves/meltCurve_A8MTT3_hCG_1988162.pdf", "Melting_Curves/meltCurve_A8MTT3_hCG_1988162.pdf")</f>
        <v>Melting_Curves/meltCurve_A8MTT3_hCG_1988162.pdf</v>
      </c>
    </row>
    <row r="62" spans="1:28" x14ac:dyDescent="0.25">
      <c r="A62" t="s">
        <v>66</v>
      </c>
      <c r="B62">
        <v>0.99996721820229495</v>
      </c>
      <c r="C62">
        <v>1.1039251763681801</v>
      </c>
      <c r="D62">
        <v>1.2199334884936599</v>
      </c>
      <c r="E62">
        <v>1.87876972584142</v>
      </c>
      <c r="F62">
        <v>0.66240594853276302</v>
      </c>
      <c r="G62">
        <v>0.41042570844415399</v>
      </c>
      <c r="H62">
        <v>0.207009026832667</v>
      </c>
      <c r="I62">
        <v>0.13679069780108899</v>
      </c>
      <c r="J62">
        <v>8.8976649042498204E-2</v>
      </c>
      <c r="K62">
        <v>8.6529131858874897E-2</v>
      </c>
      <c r="L62">
        <v>2065.2305919207001</v>
      </c>
      <c r="M62">
        <v>37.233750221658397</v>
      </c>
      <c r="N62">
        <v>55.900137648688002</v>
      </c>
      <c r="O62">
        <v>55.307369678283997</v>
      </c>
      <c r="P62">
        <v>-0.14719860027266499</v>
      </c>
      <c r="Q62">
        <v>0.12540174973860199</v>
      </c>
      <c r="R62">
        <v>0.72505377284986505</v>
      </c>
      <c r="S62" t="s">
        <v>5888</v>
      </c>
      <c r="T62" t="s">
        <v>11650</v>
      </c>
      <c r="U62" t="s">
        <v>11650</v>
      </c>
      <c r="V62" t="s">
        <v>11650</v>
      </c>
      <c r="W62" t="s">
        <v>11712</v>
      </c>
      <c r="X62">
        <v>6</v>
      </c>
      <c r="Y62" t="s">
        <v>17473</v>
      </c>
      <c r="Z62" t="s">
        <v>23124</v>
      </c>
      <c r="AA62">
        <v>0.58014838689544856</v>
      </c>
      <c r="AB62" t="str">
        <f>HYPERLINK("Melting_Curves/meltCurve_A8MTY9_DSCR3.pdf", "Melting_Curves/meltCurve_A8MTY9_DSCR3.pdf")</f>
        <v>Melting_Curves/meltCurve_A8MTY9_DSCR3.pdf</v>
      </c>
    </row>
    <row r="63" spans="1:28" x14ac:dyDescent="0.25">
      <c r="A63" t="s">
        <v>67</v>
      </c>
      <c r="B63">
        <v>0.99996721820229495</v>
      </c>
      <c r="C63">
        <v>1.04830498252596</v>
      </c>
      <c r="D63">
        <v>1.08787446067523</v>
      </c>
      <c r="E63">
        <v>1.0332335776385599</v>
      </c>
      <c r="F63">
        <v>0.85261154105738302</v>
      </c>
      <c r="G63">
        <v>0.33803162376943002</v>
      </c>
      <c r="H63">
        <v>0.18125799360063999</v>
      </c>
      <c r="I63">
        <v>0.15324370582069899</v>
      </c>
      <c r="J63">
        <v>9.2027447735209697E-2</v>
      </c>
      <c r="K63">
        <v>7.3811813119198696E-2</v>
      </c>
      <c r="L63">
        <v>2021.51588453203</v>
      </c>
      <c r="M63">
        <v>36.491817294911598</v>
      </c>
      <c r="N63">
        <v>55.789875561945003</v>
      </c>
      <c r="O63">
        <v>55.230851888198501</v>
      </c>
      <c r="P63">
        <v>-0.14643871504065301</v>
      </c>
      <c r="Q63">
        <v>0.113454967716281</v>
      </c>
      <c r="R63">
        <v>0.99045171290849099</v>
      </c>
      <c r="S63" t="s">
        <v>5889</v>
      </c>
      <c r="T63" t="s">
        <v>11650</v>
      </c>
      <c r="U63" t="s">
        <v>11650</v>
      </c>
      <c r="V63" t="s">
        <v>11650</v>
      </c>
      <c r="W63" t="s">
        <v>11713</v>
      </c>
      <c r="X63">
        <v>1</v>
      </c>
      <c r="Y63" t="s">
        <v>17474</v>
      </c>
      <c r="Z63" t="s">
        <v>23125</v>
      </c>
      <c r="AA63">
        <v>0.5724914044787871</v>
      </c>
      <c r="AB63" t="str">
        <f>HYPERLINK("Melting_Curves/meltCurve_A8MU21_TMEM147.pdf", "Melting_Curves/meltCurve_A8MU21_TMEM147.pdf")</f>
        <v>Melting_Curves/meltCurve_A8MU21_TMEM147.pdf</v>
      </c>
    </row>
    <row r="64" spans="1:28" x14ac:dyDescent="0.25">
      <c r="A64" t="s">
        <v>68</v>
      </c>
      <c r="B64">
        <v>0.99996721820229495</v>
      </c>
      <c r="C64">
        <v>0.91949131603964496</v>
      </c>
      <c r="D64">
        <v>0.78810553263921101</v>
      </c>
      <c r="E64">
        <v>1.0574499875286301</v>
      </c>
      <c r="F64">
        <v>1.1423684886171299</v>
      </c>
      <c r="G64">
        <v>1.1962676223097899</v>
      </c>
      <c r="H64">
        <v>0.92833833763394702</v>
      </c>
      <c r="I64">
        <v>0.76902985232427201</v>
      </c>
      <c r="J64">
        <v>0.71617859339228396</v>
      </c>
      <c r="K64">
        <v>0.49597750995387402</v>
      </c>
      <c r="L64">
        <v>1707.1101764790899</v>
      </c>
      <c r="M64">
        <v>25.703023318283801</v>
      </c>
      <c r="O64">
        <v>66.018586462070104</v>
      </c>
      <c r="P64">
        <v>-5.9682833463019801E-2</v>
      </c>
      <c r="Q64">
        <v>0.386822508318096</v>
      </c>
      <c r="R64">
        <v>0.69448329938383802</v>
      </c>
      <c r="S64" t="s">
        <v>5890</v>
      </c>
      <c r="T64" t="s">
        <v>11650</v>
      </c>
      <c r="U64" t="s">
        <v>11650</v>
      </c>
      <c r="V64" t="s">
        <v>11650</v>
      </c>
      <c r="W64" t="s">
        <v>11714</v>
      </c>
      <c r="X64">
        <v>3</v>
      </c>
      <c r="Y64" t="s">
        <v>17475</v>
      </c>
      <c r="Z64" t="s">
        <v>23126</v>
      </c>
      <c r="AA64">
        <v>0.91832623108419376</v>
      </c>
      <c r="AB64" t="str">
        <f>HYPERLINK("Melting_Curves/meltCurve_A8MUA9_SUMO3.pdf", "Melting_Curves/meltCurve_A8MUA9_SUMO3.pdf")</f>
        <v>Melting_Curves/meltCurve_A8MUA9_SUMO3.pdf</v>
      </c>
    </row>
    <row r="65" spans="1:28" x14ac:dyDescent="0.25">
      <c r="A65" t="s">
        <v>69</v>
      </c>
      <c r="B65">
        <v>0.99996721820229495</v>
      </c>
      <c r="C65">
        <v>1.1007234557247001</v>
      </c>
      <c r="D65">
        <v>1.11332323890504</v>
      </c>
      <c r="E65">
        <v>1.14933112170714</v>
      </c>
      <c r="F65">
        <v>1.36810319027365</v>
      </c>
      <c r="G65">
        <v>1.30894080709852</v>
      </c>
      <c r="H65">
        <v>0.48431938960469201</v>
      </c>
      <c r="I65">
        <v>0.17310729703851099</v>
      </c>
      <c r="J65">
        <v>0.14757333078165899</v>
      </c>
      <c r="K65">
        <v>0.17379900928546399</v>
      </c>
      <c r="L65">
        <v>13049.2562359599</v>
      </c>
      <c r="M65">
        <v>214.40095295158699</v>
      </c>
      <c r="N65">
        <v>60.977542231114199</v>
      </c>
      <c r="O65">
        <v>60.858499016857301</v>
      </c>
      <c r="P65">
        <v>-0.73557389138657203</v>
      </c>
      <c r="Q65">
        <v>0.16481853968221299</v>
      </c>
      <c r="R65">
        <v>0.87663646814793195</v>
      </c>
      <c r="S65" t="s">
        <v>5891</v>
      </c>
      <c r="T65" t="s">
        <v>11650</v>
      </c>
      <c r="U65" t="s">
        <v>11650</v>
      </c>
      <c r="V65" t="s">
        <v>11650</v>
      </c>
      <c r="W65" t="s">
        <v>11715</v>
      </c>
      <c r="X65">
        <v>28</v>
      </c>
      <c r="Y65" t="s">
        <v>17476</v>
      </c>
      <c r="Z65" t="s">
        <v>23127</v>
      </c>
      <c r="AA65">
        <v>0.74577507896636719</v>
      </c>
      <c r="AB65" t="str">
        <f>HYPERLINK("Melting_Curves/meltCurve_A8MUB1_TUBA4A.pdf", "Melting_Curves/meltCurve_A8MUB1_TUBA4A.pdf")</f>
        <v>Melting_Curves/meltCurve_A8MUB1_TUBA4A.pdf</v>
      </c>
    </row>
    <row r="66" spans="1:28" x14ac:dyDescent="0.25">
      <c r="A66" t="s">
        <v>70</v>
      </c>
      <c r="B66">
        <v>0.99996721820229495</v>
      </c>
      <c r="C66">
        <v>1.0678639840456401</v>
      </c>
      <c r="D66">
        <v>1.09934108393052</v>
      </c>
      <c r="E66">
        <v>1.11866322480763</v>
      </c>
      <c r="F66">
        <v>1.6505716064057601</v>
      </c>
      <c r="G66">
        <v>0.91768468885181798</v>
      </c>
      <c r="H66">
        <v>0.43774719436014198</v>
      </c>
      <c r="I66">
        <v>0.19804775786922499</v>
      </c>
      <c r="J66">
        <v>0.104263334382294</v>
      </c>
      <c r="K66">
        <v>7.5325043288752405E-2</v>
      </c>
      <c r="L66">
        <v>2695.21997309685</v>
      </c>
      <c r="M66">
        <v>44.639801496601699</v>
      </c>
      <c r="N66">
        <v>60.668659713459697</v>
      </c>
      <c r="O66">
        <v>60.256269096314199</v>
      </c>
      <c r="P66">
        <v>-0.16732506415585399</v>
      </c>
      <c r="Q66">
        <v>9.6557769791038903E-2</v>
      </c>
      <c r="R66">
        <v>0.81970920751200305</v>
      </c>
      <c r="S66" t="s">
        <v>5892</v>
      </c>
      <c r="T66" t="s">
        <v>11650</v>
      </c>
      <c r="U66" t="s">
        <v>11650</v>
      </c>
      <c r="V66" t="s">
        <v>11650</v>
      </c>
      <c r="W66" t="s">
        <v>11716</v>
      </c>
      <c r="X66">
        <v>9</v>
      </c>
      <c r="Y66" t="s">
        <v>17477</v>
      </c>
      <c r="Z66" t="s">
        <v>23128</v>
      </c>
      <c r="AA66">
        <v>0.71310569712232774</v>
      </c>
      <c r="AB66" t="str">
        <f>HYPERLINK("Melting_Curves/meltCurve_A8MUM1_TSSC1.pdf", "Melting_Curves/meltCurve_A8MUM1_TSSC1.pdf")</f>
        <v>Melting_Curves/meltCurve_A8MUM1_TSSC1.pdf</v>
      </c>
    </row>
    <row r="67" spans="1:28" x14ac:dyDescent="0.25">
      <c r="A67" t="s">
        <v>71</v>
      </c>
      <c r="B67">
        <v>0.99996721820229495</v>
      </c>
      <c r="C67">
        <v>0.88238915733367196</v>
      </c>
      <c r="D67">
        <v>0.92085027767055505</v>
      </c>
      <c r="E67">
        <v>1.16715409670867</v>
      </c>
      <c r="F67">
        <v>1.54446435163625</v>
      </c>
      <c r="G67">
        <v>1.81545931449892</v>
      </c>
      <c r="H67">
        <v>1.36466978639629</v>
      </c>
      <c r="I67">
        <v>0.99455873033230102</v>
      </c>
      <c r="J67">
        <v>0.69873803779819199</v>
      </c>
      <c r="K67">
        <v>0.57221999446681704</v>
      </c>
      <c r="L67">
        <v>7988.4057814336202</v>
      </c>
      <c r="M67">
        <v>120.089481314957</v>
      </c>
      <c r="O67">
        <v>66.501979219336107</v>
      </c>
      <c r="P67">
        <v>-0.19360699286380001</v>
      </c>
      <c r="Q67">
        <v>0.57114470122576999</v>
      </c>
      <c r="R67">
        <v>0.13710641644513299</v>
      </c>
      <c r="S67" t="s">
        <v>5893</v>
      </c>
      <c r="T67" t="s">
        <v>11650</v>
      </c>
      <c r="U67" t="s">
        <v>11650</v>
      </c>
      <c r="V67" t="s">
        <v>11650</v>
      </c>
      <c r="W67" t="s">
        <v>11717</v>
      </c>
      <c r="X67">
        <v>4</v>
      </c>
      <c r="Y67" t="s">
        <v>17478</v>
      </c>
      <c r="Z67" t="s">
        <v>23129</v>
      </c>
      <c r="AA67">
        <v>0.95045350214280711</v>
      </c>
      <c r="AB67" t="str">
        <f>HYPERLINK("Melting_Curves/meltCurve_A8MVW0_FAM171A2.pdf", "Melting_Curves/meltCurve_A8MVW0_FAM171A2.pdf")</f>
        <v>Melting_Curves/meltCurve_A8MVW0_FAM171A2.pdf</v>
      </c>
    </row>
    <row r="68" spans="1:28" x14ac:dyDescent="0.25">
      <c r="A68" t="s">
        <v>72</v>
      </c>
      <c r="B68">
        <v>0.99996721820229495</v>
      </c>
      <c r="C68">
        <v>0.76253182504332995</v>
      </c>
      <c r="D68">
        <v>0.90202974583769702</v>
      </c>
      <c r="E68">
        <v>1.01738070443143</v>
      </c>
      <c r="F68">
        <v>1.3063673845788399</v>
      </c>
      <c r="G68">
        <v>2.9071895824632201</v>
      </c>
      <c r="H68">
        <v>2.5308291616004399</v>
      </c>
      <c r="I68">
        <v>2.2503721594704098</v>
      </c>
      <c r="J68">
        <v>3.1148023924960699</v>
      </c>
      <c r="K68">
        <v>1.24599661067774</v>
      </c>
      <c r="L68">
        <v>13225.682359296199</v>
      </c>
      <c r="M68">
        <v>250</v>
      </c>
      <c r="O68">
        <v>52.899345660311397</v>
      </c>
      <c r="P68">
        <v>0.59074456628890804</v>
      </c>
      <c r="Q68">
        <v>1.5</v>
      </c>
      <c r="R68">
        <v>0.12910025997570401</v>
      </c>
      <c r="S68" t="s">
        <v>5894</v>
      </c>
      <c r="T68" t="s">
        <v>11650</v>
      </c>
      <c r="U68" t="s">
        <v>11650</v>
      </c>
      <c r="V68" t="s">
        <v>11650</v>
      </c>
      <c r="W68" t="s">
        <v>11718</v>
      </c>
      <c r="X68">
        <v>3</v>
      </c>
      <c r="Y68" t="s">
        <v>17479</v>
      </c>
      <c r="Z68" t="s">
        <v>23130</v>
      </c>
      <c r="AA68">
        <v>1.2849080876468459</v>
      </c>
      <c r="AB68" t="str">
        <f>HYPERLINK("Melting_Curves/meltCurve_A8MWH4_MT1F.pdf", "Melting_Curves/meltCurve_A8MWH4_MT1F.pdf")</f>
        <v>Melting_Curves/meltCurve_A8MWH4_MT1F.pdf</v>
      </c>
    </row>
    <row r="69" spans="1:28" x14ac:dyDescent="0.25">
      <c r="A69" t="s">
        <v>73</v>
      </c>
      <c r="B69">
        <v>0.99996721820229495</v>
      </c>
      <c r="C69">
        <v>0.90801929562887396</v>
      </c>
      <c r="D69">
        <v>0.862674937229857</v>
      </c>
      <c r="E69">
        <v>1.20838181245311</v>
      </c>
      <c r="F69">
        <v>1.8946192760065801</v>
      </c>
      <c r="G69">
        <v>2.0803301632449802</v>
      </c>
      <c r="H69">
        <v>1.73245611807167</v>
      </c>
      <c r="I69">
        <v>1.2026844329238999</v>
      </c>
      <c r="J69">
        <v>0.829969301716452</v>
      </c>
      <c r="K69">
        <v>0.78783595759018998</v>
      </c>
      <c r="L69">
        <v>15000</v>
      </c>
      <c r="M69">
        <v>225.26935495186299</v>
      </c>
      <c r="O69">
        <v>66.581705299027902</v>
      </c>
      <c r="P69">
        <v>-0.179535762584911</v>
      </c>
      <c r="Q69">
        <v>0.78774215051894203</v>
      </c>
      <c r="R69">
        <v>-0.269044184895052</v>
      </c>
      <c r="S69" t="s">
        <v>5895</v>
      </c>
      <c r="T69" t="s">
        <v>11650</v>
      </c>
      <c r="U69" t="s">
        <v>11650</v>
      </c>
      <c r="V69" t="s">
        <v>11650</v>
      </c>
      <c r="W69" t="s">
        <v>11719</v>
      </c>
      <c r="X69">
        <v>6</v>
      </c>
      <c r="Y69" t="s">
        <v>17480</v>
      </c>
      <c r="Z69" t="s">
        <v>23131</v>
      </c>
      <c r="AA69">
        <v>0.97588231231256017</v>
      </c>
      <c r="AB69" t="str">
        <f>HYPERLINK("Melting_Curves/meltCurve_A8MWK3_CDH2.pdf", "Melting_Curves/meltCurve_A8MWK3_CDH2.pdf")</f>
        <v>Melting_Curves/meltCurve_A8MWK3_CDH2.pdf</v>
      </c>
    </row>
    <row r="70" spans="1:28" x14ac:dyDescent="0.25">
      <c r="A70" t="s">
        <v>74</v>
      </c>
      <c r="B70">
        <v>0.99996721820229495</v>
      </c>
      <c r="C70">
        <v>0.99171260931910599</v>
      </c>
      <c r="D70">
        <v>0.93572553836464301</v>
      </c>
      <c r="E70">
        <v>0.78552906954884005</v>
      </c>
      <c r="F70">
        <v>0.57581451480449597</v>
      </c>
      <c r="G70">
        <v>0.27770421548753799</v>
      </c>
      <c r="H70">
        <v>0.14553797480230901</v>
      </c>
      <c r="I70">
        <v>8.2935130125880899E-2</v>
      </c>
      <c r="J70">
        <v>4.6362204226463602E-2</v>
      </c>
      <c r="K70">
        <v>4.8576140788090999E-2</v>
      </c>
      <c r="L70">
        <v>917.12765000825198</v>
      </c>
      <c r="M70">
        <v>17.075763067273002</v>
      </c>
      <c r="N70">
        <v>53.864886799317297</v>
      </c>
      <c r="O70">
        <v>52.988936590445903</v>
      </c>
      <c r="P70">
        <v>-7.8629362660693994E-2</v>
      </c>
      <c r="Q70">
        <v>2.4059240668907599E-2</v>
      </c>
      <c r="R70">
        <v>0.999616767863446</v>
      </c>
      <c r="S70" t="s">
        <v>5896</v>
      </c>
      <c r="T70" t="s">
        <v>11650</v>
      </c>
      <c r="U70" t="s">
        <v>11650</v>
      </c>
      <c r="V70" t="s">
        <v>11650</v>
      </c>
      <c r="W70" t="s">
        <v>11720</v>
      </c>
      <c r="X70">
        <v>8</v>
      </c>
      <c r="Y70" t="s">
        <v>17481</v>
      </c>
      <c r="Z70" t="s">
        <v>23132</v>
      </c>
      <c r="AA70">
        <v>0.4870601636517467</v>
      </c>
      <c r="AB70" t="str">
        <f>HYPERLINK("Melting_Curves/meltCurve_A8MXV4_NUDT19.pdf", "Melting_Curves/meltCurve_A8MXV4_NUDT19.pdf")</f>
        <v>Melting_Curves/meltCurve_A8MXV4_NUDT19.pdf</v>
      </c>
    </row>
    <row r="71" spans="1:28" x14ac:dyDescent="0.25">
      <c r="A71" t="s">
        <v>75</v>
      </c>
      <c r="B71">
        <v>0.99996721820229495</v>
      </c>
      <c r="C71">
        <v>0.99205555660072697</v>
      </c>
      <c r="D71">
        <v>0.96388029258153496</v>
      </c>
      <c r="E71">
        <v>0.86964500068216399</v>
      </c>
      <c r="F71">
        <v>0.63575130092639498</v>
      </c>
      <c r="G71">
        <v>0.34734539640361201</v>
      </c>
      <c r="H71">
        <v>0.17900703244833899</v>
      </c>
      <c r="I71">
        <v>0.10489158758207499</v>
      </c>
      <c r="J71">
        <v>8.78530134574836E-2</v>
      </c>
      <c r="K71">
        <v>7.0332776514647893E-2</v>
      </c>
      <c r="L71">
        <v>1022.31129243317</v>
      </c>
      <c r="M71">
        <v>18.764666130285899</v>
      </c>
      <c r="N71">
        <v>54.842252234039599</v>
      </c>
      <c r="O71">
        <v>53.873220934922699</v>
      </c>
      <c r="P71">
        <v>-8.2014486234950196E-2</v>
      </c>
      <c r="Q71">
        <v>5.8187420624876598E-2</v>
      </c>
      <c r="R71">
        <v>0.99951645511045895</v>
      </c>
      <c r="S71" t="s">
        <v>5897</v>
      </c>
      <c r="T71" t="s">
        <v>11650</v>
      </c>
      <c r="U71" t="s">
        <v>11650</v>
      </c>
      <c r="V71" t="s">
        <v>11650</v>
      </c>
      <c r="W71" t="s">
        <v>11721</v>
      </c>
      <c r="X71">
        <v>14</v>
      </c>
      <c r="Y71" t="s">
        <v>17482</v>
      </c>
      <c r="Z71" t="s">
        <v>23133</v>
      </c>
      <c r="AA71">
        <v>0.52677051074355452</v>
      </c>
      <c r="AB71" t="str">
        <f>HYPERLINK("Melting_Curves/meltCurve_A8MYQ9_RAB34.pdf", "Melting_Curves/meltCurve_A8MYQ9_RAB34.pdf")</f>
        <v>Melting_Curves/meltCurve_A8MYQ9_RAB34.pdf</v>
      </c>
    </row>
    <row r="72" spans="1:28" x14ac:dyDescent="0.25">
      <c r="A72" t="s">
        <v>76</v>
      </c>
      <c r="B72">
        <v>0.99996721820229495</v>
      </c>
      <c r="C72">
        <v>1.1510727289121101</v>
      </c>
      <c r="D72">
        <v>1.05566525863467</v>
      </c>
      <c r="E72">
        <v>1.1412771394858501</v>
      </c>
      <c r="F72">
        <v>0.90377126684743903</v>
      </c>
      <c r="G72">
        <v>0.39856733766951702</v>
      </c>
      <c r="H72">
        <v>0.24118158283347799</v>
      </c>
      <c r="I72">
        <v>0.16982427141121001</v>
      </c>
      <c r="J72">
        <v>0.14778924423574899</v>
      </c>
      <c r="K72">
        <v>9.9912644821195398E-2</v>
      </c>
      <c r="L72">
        <v>2265.2656745841</v>
      </c>
      <c r="M72">
        <v>40.579679347354499</v>
      </c>
      <c r="N72">
        <v>56.335178580856699</v>
      </c>
      <c r="O72">
        <v>55.687618904012197</v>
      </c>
      <c r="P72">
        <v>-0.15405825163265699</v>
      </c>
      <c r="Q72">
        <v>0.15434334905119099</v>
      </c>
      <c r="R72">
        <v>0.97031371461354798</v>
      </c>
      <c r="S72" t="s">
        <v>5898</v>
      </c>
      <c r="T72" t="s">
        <v>11650</v>
      </c>
      <c r="U72" t="s">
        <v>11650</v>
      </c>
      <c r="V72" t="s">
        <v>11650</v>
      </c>
      <c r="W72" t="s">
        <v>11722</v>
      </c>
      <c r="X72">
        <v>5</v>
      </c>
      <c r="Y72" t="s">
        <v>17483</v>
      </c>
      <c r="Z72" t="s">
        <v>23134</v>
      </c>
      <c r="AA72">
        <v>0.60351436022585647</v>
      </c>
      <c r="AB72" t="str">
        <f>HYPERLINK("Melting_Curves/meltCurve_A8MYT4_PIK3C3.pdf", "Melting_Curves/meltCurve_A8MYT4_PIK3C3.pdf")</f>
        <v>Melting_Curves/meltCurve_A8MYT4_PIK3C3.pdf</v>
      </c>
    </row>
    <row r="73" spans="1:28" x14ac:dyDescent="0.25">
      <c r="A73" t="s">
        <v>77</v>
      </c>
      <c r="B73">
        <v>0.99996721820229495</v>
      </c>
      <c r="C73">
        <v>1.0607201815196701</v>
      </c>
      <c r="D73">
        <v>0.98106491875927904</v>
      </c>
      <c r="E73">
        <v>0.93051384874767495</v>
      </c>
      <c r="F73">
        <v>1.3233913272621201</v>
      </c>
      <c r="G73">
        <v>1.3921576706705301</v>
      </c>
      <c r="H73">
        <v>0.97728684992853299</v>
      </c>
      <c r="I73">
        <v>0.84131608667107605</v>
      </c>
      <c r="J73">
        <v>0.68167104625307395</v>
      </c>
      <c r="K73">
        <v>0.44386522808023998</v>
      </c>
      <c r="L73">
        <v>2219.4457641414701</v>
      </c>
      <c r="M73">
        <v>33.117143749327099</v>
      </c>
      <c r="N73">
        <v>69.108227041654104</v>
      </c>
      <c r="O73">
        <v>66.775081908777395</v>
      </c>
      <c r="P73">
        <v>-8.4763165724026299E-2</v>
      </c>
      <c r="Q73">
        <v>0.316361043817184</v>
      </c>
      <c r="R73">
        <v>0.60719040149881698</v>
      </c>
      <c r="S73" t="s">
        <v>5899</v>
      </c>
      <c r="T73" t="s">
        <v>11650</v>
      </c>
      <c r="U73" t="s">
        <v>11650</v>
      </c>
      <c r="V73" t="s">
        <v>11650</v>
      </c>
      <c r="W73" t="s">
        <v>11723</v>
      </c>
      <c r="X73">
        <v>4</v>
      </c>
      <c r="Y73" t="s">
        <v>17484</v>
      </c>
      <c r="Z73" t="s">
        <v>23135</v>
      </c>
      <c r="AA73">
        <v>0.92489149226706779</v>
      </c>
      <c r="AB73" t="str">
        <f>HYPERLINK("Melting_Curves/meltCurve_A8MZ54_STX1A.pdf", "Melting_Curves/meltCurve_A8MZ54_STX1A.pdf")</f>
        <v>Melting_Curves/meltCurve_A8MZ54_STX1A.pdf</v>
      </c>
    </row>
    <row r="74" spans="1:28" x14ac:dyDescent="0.25">
      <c r="A74" t="s">
        <v>78</v>
      </c>
      <c r="B74">
        <v>0.99996721820229495</v>
      </c>
      <c r="C74">
        <v>0.87078830458041001</v>
      </c>
      <c r="D74">
        <v>0.80402641162036004</v>
      </c>
      <c r="E74">
        <v>1.2028635784143999</v>
      </c>
      <c r="F74">
        <v>1.05559778259394</v>
      </c>
      <c r="G74">
        <v>0.85722160089396504</v>
      </c>
      <c r="H74">
        <v>0.54290619132881601</v>
      </c>
      <c r="I74">
        <v>0.44781737360425</v>
      </c>
      <c r="J74">
        <v>0.32246048879278899</v>
      </c>
      <c r="K74">
        <v>0.29613531396156001</v>
      </c>
      <c r="L74">
        <v>1749.7335450871101</v>
      </c>
      <c r="M74">
        <v>29.203705263032901</v>
      </c>
      <c r="N74">
        <v>61.9028749401052</v>
      </c>
      <c r="O74">
        <v>59.635948769920603</v>
      </c>
      <c r="P74">
        <v>-8.5174227184592402E-2</v>
      </c>
      <c r="Q74">
        <v>0.304278831852066</v>
      </c>
      <c r="R74">
        <v>0.88405363763599998</v>
      </c>
      <c r="S74" t="s">
        <v>5900</v>
      </c>
      <c r="T74" t="s">
        <v>11650</v>
      </c>
      <c r="U74" t="s">
        <v>11650</v>
      </c>
      <c r="V74" t="s">
        <v>11650</v>
      </c>
      <c r="W74" t="s">
        <v>11724</v>
      </c>
      <c r="X74">
        <v>4</v>
      </c>
      <c r="Y74" t="s">
        <v>17485</v>
      </c>
      <c r="Z74" t="s">
        <v>23136</v>
      </c>
      <c r="AA74">
        <v>0.77051903387158105</v>
      </c>
      <c r="AB74" t="str">
        <f>HYPERLINK("Melting_Curves/meltCurve_A9Z1X7_SRRM1.pdf", "Melting_Curves/meltCurve_A9Z1X7_SRRM1.pdf")</f>
        <v>Melting_Curves/meltCurve_A9Z1X7_SRRM1.pdf</v>
      </c>
    </row>
    <row r="75" spans="1:28" x14ac:dyDescent="0.25">
      <c r="A75" t="s">
        <v>79</v>
      </c>
      <c r="B75">
        <v>0.99996721820229495</v>
      </c>
      <c r="C75">
        <v>1.0463539252752601</v>
      </c>
      <c r="D75">
        <v>1.1230076993217499</v>
      </c>
      <c r="E75">
        <v>1.25343385861081</v>
      </c>
      <c r="F75">
        <v>0.90139542723191901</v>
      </c>
      <c r="G75">
        <v>0.89007782699984195</v>
      </c>
      <c r="H75">
        <v>0.47675533089612199</v>
      </c>
      <c r="I75">
        <v>0.32003907969874701</v>
      </c>
      <c r="J75">
        <v>0.208575619902479</v>
      </c>
      <c r="K75">
        <v>0.19178153683895699</v>
      </c>
      <c r="L75">
        <v>1858.3645776977901</v>
      </c>
      <c r="M75">
        <v>30.950986509088398</v>
      </c>
      <c r="N75">
        <v>60.966122983078698</v>
      </c>
      <c r="O75">
        <v>59.793206863864903</v>
      </c>
      <c r="P75">
        <v>-0.10518321379635601</v>
      </c>
      <c r="Q75">
        <v>0.18720462491703199</v>
      </c>
      <c r="R75">
        <v>0.93690012611920803</v>
      </c>
      <c r="S75" t="s">
        <v>5901</v>
      </c>
      <c r="T75" t="s">
        <v>11650</v>
      </c>
      <c r="U75" t="s">
        <v>11650</v>
      </c>
      <c r="V75" t="s">
        <v>11650</v>
      </c>
      <c r="W75" t="s">
        <v>11725</v>
      </c>
      <c r="X75">
        <v>4</v>
      </c>
      <c r="Y75" t="s">
        <v>17486</v>
      </c>
      <c r="Z75" t="s">
        <v>23137</v>
      </c>
      <c r="AA75">
        <v>0.73493714479841199</v>
      </c>
      <c r="AB75" t="str">
        <f>HYPERLINK("Melting_Curves/meltCurve_B0FLL2_PFKFB2.pdf", "Melting_Curves/meltCurve_B0FLL2_PFKFB2.pdf")</f>
        <v>Melting_Curves/meltCurve_B0FLL2_PFKFB2.pdf</v>
      </c>
    </row>
    <row r="76" spans="1:28" x14ac:dyDescent="0.25">
      <c r="A76" t="s">
        <v>80</v>
      </c>
      <c r="B76">
        <v>0.99996721820229495</v>
      </c>
      <c r="C76">
        <v>0.95994199561517601</v>
      </c>
      <c r="D76">
        <v>0.69831872546224305</v>
      </c>
      <c r="E76">
        <v>0.38139778812927699</v>
      </c>
      <c r="F76">
        <v>0.27178197126165798</v>
      </c>
      <c r="G76">
        <v>0.201870164619741</v>
      </c>
      <c r="H76">
        <v>9.9514666445316105E-2</v>
      </c>
      <c r="I76">
        <v>5.8871543331834503E-2</v>
      </c>
      <c r="J76">
        <v>5.6226876703657599E-2</v>
      </c>
      <c r="K76">
        <v>3.5048585581691001E-2</v>
      </c>
      <c r="L76">
        <v>784.54198054817198</v>
      </c>
      <c r="M76">
        <v>16.165679795369499</v>
      </c>
      <c r="N76">
        <v>48.907245566660201</v>
      </c>
      <c r="O76">
        <v>47.806928409148298</v>
      </c>
      <c r="P76">
        <v>-7.9603539700532105E-2</v>
      </c>
      <c r="Q76">
        <v>5.8421979580670497E-2</v>
      </c>
      <c r="R76">
        <v>0.98984713655647105</v>
      </c>
      <c r="S76" t="s">
        <v>5902</v>
      </c>
      <c r="T76" t="s">
        <v>11650</v>
      </c>
      <c r="U76" t="s">
        <v>11650</v>
      </c>
      <c r="V76" t="s">
        <v>11650</v>
      </c>
      <c r="W76" t="s">
        <v>11726</v>
      </c>
      <c r="X76">
        <v>1</v>
      </c>
      <c r="Y76" t="s">
        <v>17487</v>
      </c>
      <c r="Z76" t="s">
        <v>23138</v>
      </c>
      <c r="AA76">
        <v>0.34663194945059339</v>
      </c>
      <c r="AB76" t="str">
        <f>HYPERLINK("Melting_Curves/meltCurve_B0QXZ5_DNAL4.pdf", "Melting_Curves/meltCurve_B0QXZ5_DNAL4.pdf")</f>
        <v>Melting_Curves/meltCurve_B0QXZ5_DNAL4.pdf</v>
      </c>
    </row>
    <row r="77" spans="1:28" x14ac:dyDescent="0.25">
      <c r="A77" t="s">
        <v>81</v>
      </c>
      <c r="B77">
        <v>0.99996721820229495</v>
      </c>
      <c r="C77">
        <v>1.1464918901041199</v>
      </c>
      <c r="D77">
        <v>1.6523361731487001</v>
      </c>
      <c r="E77">
        <v>5.1437233403879299</v>
      </c>
      <c r="F77">
        <v>2.7227311621432499</v>
      </c>
      <c r="G77">
        <v>0.98783191158177697</v>
      </c>
      <c r="H77">
        <v>0.53202278983354701</v>
      </c>
      <c r="I77">
        <v>0.359834512744656</v>
      </c>
      <c r="J77">
        <v>0.28241948009089801</v>
      </c>
      <c r="K77">
        <v>0.198948859239549</v>
      </c>
      <c r="L77">
        <v>3387.51899535047</v>
      </c>
      <c r="M77">
        <v>56.002326230235198</v>
      </c>
      <c r="N77">
        <v>61.3135919600753</v>
      </c>
      <c r="O77">
        <v>60.411913383127398</v>
      </c>
      <c r="P77">
        <v>-0.17043414992934</v>
      </c>
      <c r="Q77">
        <v>0.26458429219718499</v>
      </c>
      <c r="R77">
        <v>7.4513495806186603E-3</v>
      </c>
      <c r="S77" t="s">
        <v>5903</v>
      </c>
      <c r="T77" t="s">
        <v>11650</v>
      </c>
      <c r="U77" t="s">
        <v>11650</v>
      </c>
      <c r="V77" t="s">
        <v>11650</v>
      </c>
      <c r="W77" t="s">
        <v>11727</v>
      </c>
      <c r="X77">
        <v>20</v>
      </c>
      <c r="Y77" t="s">
        <v>17488</v>
      </c>
      <c r="Z77" t="s">
        <v>23139</v>
      </c>
      <c r="AA77">
        <v>0.7683902140423079</v>
      </c>
      <c r="AB77" t="str">
        <f>HYPERLINK("Melting_Curves/meltCurve_B0QY89_EIF3L.pdf", "Melting_Curves/meltCurve_B0QY89_EIF3L.pdf")</f>
        <v>Melting_Curves/meltCurve_B0QY89_EIF3L.pdf</v>
      </c>
    </row>
    <row r="78" spans="1:28" x14ac:dyDescent="0.25">
      <c r="A78" t="s">
        <v>82</v>
      </c>
      <c r="B78">
        <v>0.99996721820229495</v>
      </c>
      <c r="C78">
        <v>0.85017713697731701</v>
      </c>
      <c r="D78">
        <v>0.74848317227629202</v>
      </c>
      <c r="E78">
        <v>0.664390470520134</v>
      </c>
      <c r="F78">
        <v>0.47044189639004502</v>
      </c>
      <c r="G78">
        <v>0.28572222814687198</v>
      </c>
      <c r="H78">
        <v>0.17607917971062201</v>
      </c>
      <c r="I78">
        <v>0.12855651646758201</v>
      </c>
      <c r="J78">
        <v>9.9023803432714594E-2</v>
      </c>
      <c r="K78">
        <v>9.0302498009597901E-2</v>
      </c>
      <c r="L78">
        <v>516.79194855516596</v>
      </c>
      <c r="M78">
        <v>9.9015957641264603</v>
      </c>
      <c r="N78">
        <v>52.192788685640998</v>
      </c>
      <c r="O78">
        <v>50.197713812038202</v>
      </c>
      <c r="P78">
        <v>-4.9337896166257798E-2</v>
      </c>
      <c r="Q78">
        <v>0</v>
      </c>
      <c r="R78">
        <v>0.99021538534533604</v>
      </c>
      <c r="S78" t="s">
        <v>5904</v>
      </c>
      <c r="T78" t="s">
        <v>11650</v>
      </c>
      <c r="U78" t="s">
        <v>11650</v>
      </c>
      <c r="V78" t="s">
        <v>11650</v>
      </c>
      <c r="W78" t="s">
        <v>11728</v>
      </c>
      <c r="X78">
        <v>7</v>
      </c>
      <c r="Y78" t="s">
        <v>17489</v>
      </c>
      <c r="Z78" t="s">
        <v>23140</v>
      </c>
      <c r="AA78">
        <v>0.44406942266584531</v>
      </c>
      <c r="AB78" t="str">
        <f>HYPERLINK("Melting_Curves/meltCurve_B0QY95_SMCR7L.pdf", "Melting_Curves/meltCurve_B0QY95_SMCR7L.pdf")</f>
        <v>Melting_Curves/meltCurve_B0QY95_SMCR7L.pdf</v>
      </c>
    </row>
    <row r="79" spans="1:28" x14ac:dyDescent="0.25">
      <c r="A79" t="s">
        <v>83</v>
      </c>
      <c r="B79">
        <v>0.99996721820229495</v>
      </c>
      <c r="C79">
        <v>0.911642393408444</v>
      </c>
      <c r="D79">
        <v>0.90133278291252406</v>
      </c>
      <c r="E79">
        <v>0.99276313291860696</v>
      </c>
      <c r="F79">
        <v>1.13885923140822</v>
      </c>
      <c r="G79">
        <v>0.92467704036058396</v>
      </c>
      <c r="H79">
        <v>0.31737272150972901</v>
      </c>
      <c r="I79">
        <v>0.142937461173713</v>
      </c>
      <c r="J79">
        <v>0.10210887903200901</v>
      </c>
      <c r="K79">
        <v>7.8735581952012801E-2</v>
      </c>
      <c r="L79">
        <v>3061.8847234725199</v>
      </c>
      <c r="M79">
        <v>51.301082707099901</v>
      </c>
      <c r="N79">
        <v>59.934871639752203</v>
      </c>
      <c r="O79">
        <v>59.594128288386102</v>
      </c>
      <c r="P79">
        <v>-0.19446231390636301</v>
      </c>
      <c r="Q79">
        <v>9.6408832739440106E-2</v>
      </c>
      <c r="R79">
        <v>0.97739942719238104</v>
      </c>
      <c r="S79" t="s">
        <v>5905</v>
      </c>
      <c r="T79" t="s">
        <v>11650</v>
      </c>
      <c r="U79" t="s">
        <v>11650</v>
      </c>
      <c r="V79" t="s">
        <v>11650</v>
      </c>
      <c r="W79" t="s">
        <v>11729</v>
      </c>
      <c r="X79">
        <v>11</v>
      </c>
      <c r="Y79" t="s">
        <v>17490</v>
      </c>
      <c r="Z79" t="s">
        <v>23141</v>
      </c>
      <c r="AA79">
        <v>0.69153604698348115</v>
      </c>
      <c r="AB79" t="str">
        <f>HYPERLINK("Melting_Curves/meltCurve_B0QYI3_TBC1D22A.pdf", "Melting_Curves/meltCurve_B0QYI3_TBC1D22A.pdf")</f>
        <v>Melting_Curves/meltCurve_B0QYI3_TBC1D22A.pdf</v>
      </c>
    </row>
    <row r="80" spans="1:28" x14ac:dyDescent="0.25">
      <c r="A80" t="s">
        <v>84</v>
      </c>
      <c r="B80">
        <v>0.99996721820229495</v>
      </c>
      <c r="C80">
        <v>1.20088722887514</v>
      </c>
      <c r="D80">
        <v>1.08772999140558</v>
      </c>
      <c r="E80">
        <v>1.0180033973550899</v>
      </c>
      <c r="F80">
        <v>1.22833889768866</v>
      </c>
      <c r="G80">
        <v>1.22224677424863</v>
      </c>
      <c r="H80">
        <v>0.94900171258225596</v>
      </c>
      <c r="I80">
        <v>0.75681424203918601</v>
      </c>
      <c r="J80">
        <v>0.53356571645770301</v>
      </c>
      <c r="K80">
        <v>0.38590700916841902</v>
      </c>
      <c r="L80">
        <v>2509.4981161844398</v>
      </c>
      <c r="M80">
        <v>38.602733147778302</v>
      </c>
      <c r="N80">
        <v>67.205163029350302</v>
      </c>
      <c r="O80">
        <v>64.834563643348105</v>
      </c>
      <c r="P80">
        <v>-9.5497111008795293E-2</v>
      </c>
      <c r="Q80">
        <v>0.358439184430903</v>
      </c>
      <c r="R80">
        <v>0.80204613217646603</v>
      </c>
      <c r="S80" t="s">
        <v>5906</v>
      </c>
      <c r="T80" t="s">
        <v>11650</v>
      </c>
      <c r="U80" t="s">
        <v>11650</v>
      </c>
      <c r="V80" t="s">
        <v>11650</v>
      </c>
      <c r="W80" t="s">
        <v>11730</v>
      </c>
      <c r="X80">
        <v>5</v>
      </c>
      <c r="Y80" t="s">
        <v>17491</v>
      </c>
      <c r="Z80" t="s">
        <v>23142</v>
      </c>
      <c r="AA80">
        <v>0.89360822856345956</v>
      </c>
      <c r="AB80" t="str">
        <f>HYPERLINK("Melting_Curves/meltCurve_B0QYK0_EWSR1.pdf", "Melting_Curves/meltCurve_B0QYK0_EWSR1.pdf")</f>
        <v>Melting_Curves/meltCurve_B0QYK0_EWSR1.pdf</v>
      </c>
    </row>
    <row r="81" spans="1:28" x14ac:dyDescent="0.25">
      <c r="A81" t="s">
        <v>85</v>
      </c>
      <c r="B81">
        <v>0.99996721820229495</v>
      </c>
      <c r="C81">
        <v>0.97173271989341703</v>
      </c>
      <c r="D81">
        <v>0.88633430919598599</v>
      </c>
      <c r="E81">
        <v>0.72267832579608804</v>
      </c>
      <c r="F81">
        <v>0.29896646627367102</v>
      </c>
      <c r="G81">
        <v>0.18143308789197499</v>
      </c>
      <c r="H81">
        <v>0.104219659076972</v>
      </c>
      <c r="I81">
        <v>7.9033085877472695E-2</v>
      </c>
      <c r="J81">
        <v>5.5109796186790697E-2</v>
      </c>
      <c r="K81">
        <v>4.7511490757881303E-2</v>
      </c>
      <c r="L81">
        <v>1210.95565759023</v>
      </c>
      <c r="M81">
        <v>23.631360086176201</v>
      </c>
      <c r="N81">
        <v>51.548744911784297</v>
      </c>
      <c r="O81">
        <v>50.880862140979197</v>
      </c>
      <c r="P81">
        <v>-0.108534530354258</v>
      </c>
      <c r="Q81">
        <v>6.5269605822203702E-2</v>
      </c>
      <c r="R81">
        <v>0.99178412931197302</v>
      </c>
      <c r="S81" t="s">
        <v>5907</v>
      </c>
      <c r="T81" t="s">
        <v>11650</v>
      </c>
      <c r="U81" t="s">
        <v>11650</v>
      </c>
      <c r="V81" t="s">
        <v>11650</v>
      </c>
      <c r="W81" t="s">
        <v>11731</v>
      </c>
      <c r="X81">
        <v>18</v>
      </c>
      <c r="Y81" t="s">
        <v>17492</v>
      </c>
      <c r="Z81" t="s">
        <v>23143</v>
      </c>
      <c r="AA81">
        <v>0.42504150171388189</v>
      </c>
      <c r="AB81" t="str">
        <f>HYPERLINK("Melting_Curves/meltCurve_B0QZ18_CPNE1.pdf", "Melting_Curves/meltCurve_B0QZ18_CPNE1.pdf")</f>
        <v>Melting_Curves/meltCurve_B0QZ18_CPNE1.pdf</v>
      </c>
    </row>
    <row r="82" spans="1:28" x14ac:dyDescent="0.25">
      <c r="A82" t="s">
        <v>86</v>
      </c>
      <c r="B82">
        <v>0.99996721820229495</v>
      </c>
      <c r="C82">
        <v>0.84302422220172102</v>
      </c>
      <c r="D82">
        <v>0.80996308052541399</v>
      </c>
      <c r="E82">
        <v>0.90205435230613296</v>
      </c>
      <c r="F82">
        <v>1.51467250279318</v>
      </c>
      <c r="G82">
        <v>1.13518778505286</v>
      </c>
      <c r="H82">
        <v>0.84782905293358002</v>
      </c>
      <c r="I82">
        <v>0.84984519836008798</v>
      </c>
      <c r="J82">
        <v>0.79531271449655805</v>
      </c>
      <c r="K82">
        <v>0.51397730069238401</v>
      </c>
      <c r="L82">
        <v>1411.60367451056</v>
      </c>
      <c r="M82">
        <v>20.030332091765601</v>
      </c>
      <c r="O82">
        <v>69.782153957029706</v>
      </c>
      <c r="P82">
        <v>-7.1762541200914395E-2</v>
      </c>
      <c r="Q82">
        <v>0</v>
      </c>
      <c r="R82">
        <v>0.39205268190697601</v>
      </c>
      <c r="S82" t="s">
        <v>5908</v>
      </c>
      <c r="T82" t="s">
        <v>11650</v>
      </c>
      <c r="U82" t="s">
        <v>11650</v>
      </c>
      <c r="V82" t="s">
        <v>11650</v>
      </c>
      <c r="W82" t="s">
        <v>11732</v>
      </c>
      <c r="X82">
        <v>1</v>
      </c>
      <c r="Y82" t="s">
        <v>17493</v>
      </c>
      <c r="Z82" t="s">
        <v>23144</v>
      </c>
      <c r="AA82">
        <v>0.93464733679415446</v>
      </c>
      <c r="AB82" t="str">
        <f>HYPERLINK("Melting_Curves/meltCurve_B0QZK9_HP1BP3.pdf", "Melting_Curves/meltCurve_B0QZK9_HP1BP3.pdf")</f>
        <v>Melting_Curves/meltCurve_B0QZK9_HP1BP3.pdf</v>
      </c>
    </row>
    <row r="83" spans="1:28" x14ac:dyDescent="0.25">
      <c r="A83" t="s">
        <v>87</v>
      </c>
      <c r="B83">
        <v>0.99996721820229495</v>
      </c>
      <c r="C83">
        <v>0.97330969920472699</v>
      </c>
      <c r="D83">
        <v>1.0717819275383</v>
      </c>
      <c r="E83">
        <v>1.1918886467644501</v>
      </c>
      <c r="F83">
        <v>0.91130875731363303</v>
      </c>
      <c r="G83">
        <v>0.76251869812451301</v>
      </c>
      <c r="H83">
        <v>0.44876910575503898</v>
      </c>
      <c r="I83">
        <v>0.34779024966072702</v>
      </c>
      <c r="J83">
        <v>0.23246475645978301</v>
      </c>
      <c r="K83">
        <v>0.17400127724759701</v>
      </c>
      <c r="L83">
        <v>1353.9782713443101</v>
      </c>
      <c r="M83">
        <v>22.794921530246</v>
      </c>
      <c r="N83">
        <v>60.521490367319501</v>
      </c>
      <c r="O83">
        <v>58.946755664374102</v>
      </c>
      <c r="P83">
        <v>-8.0002669096707099E-2</v>
      </c>
      <c r="Q83">
        <v>0.172481038750151</v>
      </c>
      <c r="R83">
        <v>0.95966981872893997</v>
      </c>
      <c r="S83" t="s">
        <v>5909</v>
      </c>
      <c r="T83" t="s">
        <v>11650</v>
      </c>
      <c r="U83" t="s">
        <v>11650</v>
      </c>
      <c r="V83" t="s">
        <v>11650</v>
      </c>
      <c r="W83" t="s">
        <v>11733</v>
      </c>
      <c r="X83">
        <v>22</v>
      </c>
      <c r="Y83" t="s">
        <v>17494</v>
      </c>
      <c r="Z83" t="s">
        <v>23145</v>
      </c>
      <c r="AA83">
        <v>0.71472842544327153</v>
      </c>
      <c r="AB83" t="str">
        <f>HYPERLINK("Melting_Curves/meltCurve_B0UX83_BAG6.pdf", "Melting_Curves/meltCurve_B0UX83_BAG6.pdf")</f>
        <v>Melting_Curves/meltCurve_B0UX83_BAG6.pdf</v>
      </c>
    </row>
    <row r="84" spans="1:28" x14ac:dyDescent="0.25">
      <c r="A84" t="s">
        <v>88</v>
      </c>
      <c r="B84">
        <v>0.99996721820229495</v>
      </c>
      <c r="C84">
        <v>0.80962238562468603</v>
      </c>
      <c r="D84">
        <v>0.91073110677103497</v>
      </c>
      <c r="E84">
        <v>0.696095692010957</v>
      </c>
      <c r="F84">
        <v>0.41283795571145498</v>
      </c>
      <c r="G84">
        <v>0.33906263210801801</v>
      </c>
      <c r="H84">
        <v>0.19601384177279499</v>
      </c>
      <c r="I84">
        <v>0.117423532031771</v>
      </c>
      <c r="J84">
        <v>8.2869579618245606E-2</v>
      </c>
      <c r="K84">
        <v>5.7793344370399499E-2</v>
      </c>
      <c r="L84">
        <v>587.80153954745504</v>
      </c>
      <c r="M84">
        <v>11.125794611455399</v>
      </c>
      <c r="N84">
        <v>52.832316898211801</v>
      </c>
      <c r="O84">
        <v>51.211655041640498</v>
      </c>
      <c r="P84">
        <v>-5.4330332884166901E-2</v>
      </c>
      <c r="Q84">
        <v>0</v>
      </c>
      <c r="R84">
        <v>0.975030627356401</v>
      </c>
      <c r="S84" t="s">
        <v>5910</v>
      </c>
      <c r="T84" t="s">
        <v>11650</v>
      </c>
      <c r="U84" t="s">
        <v>11650</v>
      </c>
      <c r="V84" t="s">
        <v>11650</v>
      </c>
      <c r="W84" t="s">
        <v>11734</v>
      </c>
      <c r="X84">
        <v>11</v>
      </c>
      <c r="Y84" t="s">
        <v>17495</v>
      </c>
      <c r="Z84" t="s">
        <v>23146</v>
      </c>
      <c r="AA84">
        <v>0.4590901843003668</v>
      </c>
      <c r="AB84" t="str">
        <f>HYPERLINK("Melting_Curves/meltCurve_B0UXB6_ABHD16A.pdf", "Melting_Curves/meltCurve_B0UXB6_ABHD16A.pdf")</f>
        <v>Melting_Curves/meltCurve_B0UXB6_ABHD16A.pdf</v>
      </c>
    </row>
    <row r="85" spans="1:28" x14ac:dyDescent="0.25">
      <c r="A85" t="s">
        <v>89</v>
      </c>
      <c r="B85">
        <v>0.99996721820229495</v>
      </c>
      <c r="C85">
        <v>1.0560795570895101</v>
      </c>
      <c r="D85">
        <v>0.94524422400067099</v>
      </c>
      <c r="E85">
        <v>1.04823164159052</v>
      </c>
      <c r="F85">
        <v>0.61095787551745695</v>
      </c>
      <c r="G85">
        <v>0.43965717422815498</v>
      </c>
      <c r="H85">
        <v>0.26293977316828299</v>
      </c>
      <c r="I85">
        <v>0.15635643920306599</v>
      </c>
      <c r="J85">
        <v>0.102991518087804</v>
      </c>
      <c r="K85">
        <v>8.5892818629286702E-2</v>
      </c>
      <c r="L85">
        <v>1064.38025041843</v>
      </c>
      <c r="M85">
        <v>19.2389170524904</v>
      </c>
      <c r="N85">
        <v>55.898160095475603</v>
      </c>
      <c r="O85">
        <v>54.737019217081603</v>
      </c>
      <c r="P85">
        <v>-7.9998879502621606E-2</v>
      </c>
      <c r="Q85">
        <v>8.9609328029396806E-2</v>
      </c>
      <c r="R85">
        <v>0.97099126699484795</v>
      </c>
      <c r="S85" t="s">
        <v>5911</v>
      </c>
      <c r="T85" t="s">
        <v>11650</v>
      </c>
      <c r="U85" t="s">
        <v>11650</v>
      </c>
      <c r="V85" t="s">
        <v>11650</v>
      </c>
      <c r="W85" t="s">
        <v>11735</v>
      </c>
      <c r="X85">
        <v>11</v>
      </c>
      <c r="Y85" t="s">
        <v>17496</v>
      </c>
      <c r="Z85" t="s">
        <v>23147</v>
      </c>
      <c r="AA85">
        <v>0.56734235430521418</v>
      </c>
      <c r="AB85" t="str">
        <f>HYPERLINK("Melting_Curves/meltCurve_B0V043_VARS.pdf", "Melting_Curves/meltCurve_B0V043_VARS.pdf")</f>
        <v>Melting_Curves/meltCurve_B0V043_VARS.pdf</v>
      </c>
    </row>
    <row r="86" spans="1:28" x14ac:dyDescent="0.25">
      <c r="A86" t="s">
        <v>90</v>
      </c>
      <c r="B86">
        <v>0.99996721820229495</v>
      </c>
      <c r="C86">
        <v>0.42552281555909899</v>
      </c>
      <c r="D86">
        <v>0.48280951486419699</v>
      </c>
      <c r="E86">
        <v>1.1214791645989299</v>
      </c>
      <c r="F86">
        <v>1.30527869653282</v>
      </c>
      <c r="G86">
        <v>0.49706108994977899</v>
      </c>
      <c r="H86">
        <v>0.78223738420352096</v>
      </c>
      <c r="I86">
        <v>0.50401817283247496</v>
      </c>
      <c r="J86">
        <v>0.11249594613783399</v>
      </c>
      <c r="K86">
        <v>9.7456387779743497E-2</v>
      </c>
      <c r="L86">
        <v>1160.5552289930099</v>
      </c>
      <c r="M86">
        <v>18.491879288756898</v>
      </c>
      <c r="N86">
        <v>62.760265609624</v>
      </c>
      <c r="O86">
        <v>62.040118281599597</v>
      </c>
      <c r="P86">
        <v>-7.4519120093509306E-2</v>
      </c>
      <c r="Q86">
        <v>0</v>
      </c>
      <c r="R86">
        <v>0.39485023416959603</v>
      </c>
      <c r="S86" t="s">
        <v>5912</v>
      </c>
      <c r="T86" t="s">
        <v>11650</v>
      </c>
      <c r="U86" t="s">
        <v>11650</v>
      </c>
      <c r="V86" t="s">
        <v>11650</v>
      </c>
      <c r="W86" t="s">
        <v>11736</v>
      </c>
      <c r="X86">
        <v>2</v>
      </c>
      <c r="Y86" t="s">
        <v>17497</v>
      </c>
      <c r="Z86" t="s">
        <v>23148</v>
      </c>
      <c r="AA86">
        <v>0.75728930146734774</v>
      </c>
      <c r="AB86" t="str">
        <f>HYPERLINK("Melting_Curves/meltCurve_B0V1E9_MICA.pdf", "Melting_Curves/meltCurve_B0V1E9_MICA.pdf")</f>
        <v>Melting_Curves/meltCurve_B0V1E9_MICA.pdf</v>
      </c>
    </row>
    <row r="87" spans="1:28" x14ac:dyDescent="0.25">
      <c r="A87" t="s">
        <v>91</v>
      </c>
      <c r="B87">
        <v>0.99996721820229495</v>
      </c>
      <c r="C87">
        <v>1.0305571211348601</v>
      </c>
      <c r="D87">
        <v>0.97044673432238904</v>
      </c>
      <c r="E87">
        <v>1.05136276781768</v>
      </c>
      <c r="F87">
        <v>1.2566803014675201</v>
      </c>
      <c r="G87">
        <v>1.5317756171763599</v>
      </c>
      <c r="H87">
        <v>1.1484892903136401</v>
      </c>
      <c r="I87">
        <v>0.94150103142366104</v>
      </c>
      <c r="J87">
        <v>0.79737220269434606</v>
      </c>
      <c r="K87">
        <v>0.71067882692875295</v>
      </c>
      <c r="L87">
        <v>4015.2837596210502</v>
      </c>
      <c r="M87">
        <v>60.8210983831097</v>
      </c>
      <c r="O87">
        <v>65.946684595383701</v>
      </c>
      <c r="P87">
        <v>-6.8042061537751303E-2</v>
      </c>
      <c r="Q87">
        <v>0.70489539035792503</v>
      </c>
      <c r="R87">
        <v>0.222761375997577</v>
      </c>
      <c r="S87" t="s">
        <v>5913</v>
      </c>
      <c r="T87" t="s">
        <v>11650</v>
      </c>
      <c r="U87" t="s">
        <v>11650</v>
      </c>
      <c r="V87" t="s">
        <v>11650</v>
      </c>
      <c r="W87" t="s">
        <v>11737</v>
      </c>
      <c r="X87">
        <v>1</v>
      </c>
      <c r="Y87" t="s">
        <v>17498</v>
      </c>
      <c r="Z87" t="s">
        <v>23149</v>
      </c>
      <c r="AA87">
        <v>0.9610236244337963</v>
      </c>
      <c r="AB87" t="str">
        <f>HYPERLINK("Melting_Curves/meltCurve_B0YIW2_APOC3.pdf", "Melting_Curves/meltCurve_B0YIW2_APOC3.pdf")</f>
        <v>Melting_Curves/meltCurve_B0YIW2_APOC3.pdf</v>
      </c>
    </row>
    <row r="88" spans="1:28" x14ac:dyDescent="0.25">
      <c r="A88" t="s">
        <v>92</v>
      </c>
      <c r="B88">
        <v>0.99996721820229495</v>
      </c>
      <c r="C88">
        <v>0.99990300758477502</v>
      </c>
      <c r="D88">
        <v>1.09528612156784</v>
      </c>
      <c r="E88">
        <v>1.312367841126</v>
      </c>
      <c r="F88">
        <v>2.1755721521420401</v>
      </c>
      <c r="G88">
        <v>2.2824041466902099</v>
      </c>
      <c r="H88">
        <v>1.75509254230008</v>
      </c>
      <c r="I88">
        <v>1.0335758046851999</v>
      </c>
      <c r="J88">
        <v>0.28084103333711702</v>
      </c>
      <c r="K88">
        <v>0.20734596236926001</v>
      </c>
      <c r="L88">
        <v>15000</v>
      </c>
      <c r="M88">
        <v>226.15855539883299</v>
      </c>
      <c r="N88">
        <v>66.482506704828793</v>
      </c>
      <c r="O88">
        <v>66.319963868437199</v>
      </c>
      <c r="P88">
        <v>-0.67584053607030503</v>
      </c>
      <c r="Q88">
        <v>0.207251402277047</v>
      </c>
      <c r="R88">
        <v>0.15634417318140101</v>
      </c>
      <c r="S88" t="s">
        <v>5914</v>
      </c>
      <c r="T88" t="s">
        <v>11650</v>
      </c>
      <c r="U88" t="s">
        <v>11650</v>
      </c>
      <c r="V88" t="s">
        <v>11650</v>
      </c>
      <c r="W88" t="s">
        <v>11738</v>
      </c>
      <c r="X88">
        <v>2</v>
      </c>
      <c r="Y88" t="s">
        <v>17499</v>
      </c>
      <c r="Z88" t="s">
        <v>23150</v>
      </c>
      <c r="AA88">
        <v>0.90300494867443803</v>
      </c>
      <c r="AB88" t="str">
        <f>HYPERLINK("Melting_Curves/meltCurve_B1AH87_TSPO.pdf", "Melting_Curves/meltCurve_B1AH87_TSPO.pdf")</f>
        <v>Melting_Curves/meltCurve_B1AH87_TSPO.pdf</v>
      </c>
    </row>
    <row r="89" spans="1:28" x14ac:dyDescent="0.25">
      <c r="A89" t="s">
        <v>93</v>
      </c>
      <c r="B89">
        <v>0.99996721820229495</v>
      </c>
      <c r="C89">
        <v>1.11901790467078</v>
      </c>
      <c r="D89">
        <v>1.05592740609233</v>
      </c>
      <c r="E89">
        <v>1.0505312039605399</v>
      </c>
      <c r="F89">
        <v>1.2952488770292001</v>
      </c>
      <c r="G89">
        <v>1.2270884245529201</v>
      </c>
      <c r="H89">
        <v>0.73349348971618999</v>
      </c>
      <c r="I89">
        <v>0.459154455139134</v>
      </c>
      <c r="J89">
        <v>0.27797674247023402</v>
      </c>
      <c r="K89">
        <v>0.23358801580223701</v>
      </c>
      <c r="L89">
        <v>2746.2930662521699</v>
      </c>
      <c r="M89">
        <v>44.099115997717099</v>
      </c>
      <c r="N89">
        <v>63.245613305179901</v>
      </c>
      <c r="O89">
        <v>62.147820452273898</v>
      </c>
      <c r="P89">
        <v>-0.13379379181974899</v>
      </c>
      <c r="Q89">
        <v>0.245791678662236</v>
      </c>
      <c r="R89">
        <v>0.87849858391345503</v>
      </c>
      <c r="S89" t="s">
        <v>5915</v>
      </c>
      <c r="T89" t="s">
        <v>11650</v>
      </c>
      <c r="U89" t="s">
        <v>11650</v>
      </c>
      <c r="V89" t="s">
        <v>11650</v>
      </c>
      <c r="W89" t="s">
        <v>11739</v>
      </c>
      <c r="X89">
        <v>5</v>
      </c>
      <c r="Y89" t="s">
        <v>17500</v>
      </c>
      <c r="Z89" t="s">
        <v>23151</v>
      </c>
      <c r="AA89">
        <v>0.80810756797785688</v>
      </c>
      <c r="AB89" t="str">
        <f>HYPERLINK("Melting_Curves/meltCurve_B1AHD1_NHP2L1.pdf", "Melting_Curves/meltCurve_B1AHD1_NHP2L1.pdf")</f>
        <v>Melting_Curves/meltCurve_B1AHD1_NHP2L1.pdf</v>
      </c>
    </row>
    <row r="90" spans="1:28" x14ac:dyDescent="0.25">
      <c r="A90" t="s">
        <v>94</v>
      </c>
      <c r="B90">
        <v>0.99996721820229495</v>
      </c>
      <c r="C90">
        <v>0.69994008623715798</v>
      </c>
      <c r="D90">
        <v>0.57639967018161897</v>
      </c>
      <c r="E90">
        <v>1.1791389928647</v>
      </c>
      <c r="F90">
        <v>2.0822846865237898</v>
      </c>
      <c r="G90">
        <v>0.95041181512753503</v>
      </c>
      <c r="H90">
        <v>1.10710894765358</v>
      </c>
      <c r="I90">
        <v>1.6605363421353101</v>
      </c>
      <c r="J90">
        <v>2.3017923977483399</v>
      </c>
      <c r="K90">
        <v>2.7549956305527998</v>
      </c>
      <c r="L90">
        <v>12529.1410137188</v>
      </c>
      <c r="M90">
        <v>250</v>
      </c>
      <c r="O90">
        <v>50.113356544380103</v>
      </c>
      <c r="P90">
        <v>0.62358624432208398</v>
      </c>
      <c r="Q90">
        <v>1.5</v>
      </c>
      <c r="R90">
        <v>0.31612099460667997</v>
      </c>
      <c r="S90" t="s">
        <v>5916</v>
      </c>
      <c r="T90" t="s">
        <v>11650</v>
      </c>
      <c r="U90" t="s">
        <v>11650</v>
      </c>
      <c r="V90" t="s">
        <v>11650</v>
      </c>
      <c r="W90" t="s">
        <v>11740</v>
      </c>
      <c r="X90">
        <v>1</v>
      </c>
      <c r="Y90" t="s">
        <v>17501</v>
      </c>
      <c r="Z90" t="s">
        <v>23152</v>
      </c>
      <c r="AA90">
        <v>1.331346622190448</v>
      </c>
      <c r="AB90" t="str">
        <f>HYPERLINK("Melting_Curves/meltCurve_B1AJQ5_FAM76A.pdf", "Melting_Curves/meltCurve_B1AJQ5_FAM76A.pdf")</f>
        <v>Melting_Curves/meltCurve_B1AJQ5_FAM76A.pdf</v>
      </c>
    </row>
    <row r="91" spans="1:28" x14ac:dyDescent="0.25">
      <c r="A91" t="s">
        <v>95</v>
      </c>
      <c r="B91">
        <v>0.99996721820229495</v>
      </c>
      <c r="C91">
        <v>0.98185069570343697</v>
      </c>
      <c r="D91">
        <v>0.93459394165720799</v>
      </c>
      <c r="E91">
        <v>0.94167107886919299</v>
      </c>
      <c r="F91">
        <v>0.95994383515604198</v>
      </c>
      <c r="G91">
        <v>0.53867269147745001</v>
      </c>
      <c r="H91">
        <v>0.21525633214814299</v>
      </c>
      <c r="I91">
        <v>0.137041245254026</v>
      </c>
      <c r="J91">
        <v>9.7772552360881407E-2</v>
      </c>
      <c r="K91">
        <v>7.6337868698988204E-2</v>
      </c>
      <c r="L91">
        <v>1753.97740331163</v>
      </c>
      <c r="M91">
        <v>30.727578054226299</v>
      </c>
      <c r="N91">
        <v>57.456687378482599</v>
      </c>
      <c r="O91">
        <v>56.841407615141001</v>
      </c>
      <c r="P91">
        <v>-0.122862965519207</v>
      </c>
      <c r="Q91">
        <v>9.0893200160520493E-2</v>
      </c>
      <c r="R91">
        <v>0.99411611402729905</v>
      </c>
      <c r="S91" t="s">
        <v>5917</v>
      </c>
      <c r="T91" t="s">
        <v>11650</v>
      </c>
      <c r="U91" t="s">
        <v>11650</v>
      </c>
      <c r="V91" t="s">
        <v>11650</v>
      </c>
      <c r="W91" t="s">
        <v>11741</v>
      </c>
      <c r="X91">
        <v>15</v>
      </c>
      <c r="Y91" t="s">
        <v>17502</v>
      </c>
      <c r="Z91" t="s">
        <v>23153</v>
      </c>
      <c r="AA91">
        <v>0.61432532987580002</v>
      </c>
      <c r="AB91" t="str">
        <f>HYPERLINK("Melting_Curves/meltCurve_B1AK13_HMGCL.pdf", "Melting_Curves/meltCurve_B1AK13_HMGCL.pdf")</f>
        <v>Melting_Curves/meltCurve_B1AK13_HMGCL.pdf</v>
      </c>
    </row>
    <row r="92" spans="1:28" x14ac:dyDescent="0.25">
      <c r="A92" t="s">
        <v>96</v>
      </c>
      <c r="B92">
        <v>0.99996721820229495</v>
      </c>
      <c r="C92">
        <v>1.08309156058587</v>
      </c>
      <c r="D92">
        <v>1.1526322300932801</v>
      </c>
      <c r="E92">
        <v>0.78153192972849295</v>
      </c>
      <c r="F92">
        <v>0.44541899920154998</v>
      </c>
      <c r="G92">
        <v>0.33947679339986703</v>
      </c>
      <c r="H92">
        <v>0.20867627251885101</v>
      </c>
      <c r="I92">
        <v>0.138167536651815</v>
      </c>
      <c r="J92">
        <v>9.8045500317286705E-2</v>
      </c>
      <c r="K92">
        <v>7.4719973800606895E-2</v>
      </c>
      <c r="L92">
        <v>1247.1742569181099</v>
      </c>
      <c r="M92">
        <v>23.775343314534599</v>
      </c>
      <c r="N92">
        <v>53.1281763396562</v>
      </c>
      <c r="O92">
        <v>52.089744787159901</v>
      </c>
      <c r="P92">
        <v>-9.9299717405888596E-2</v>
      </c>
      <c r="Q92">
        <v>0.129785512998286</v>
      </c>
      <c r="R92">
        <v>0.96304313479479398</v>
      </c>
      <c r="S92" t="s">
        <v>5918</v>
      </c>
      <c r="T92" t="s">
        <v>11650</v>
      </c>
      <c r="U92" t="s">
        <v>11650</v>
      </c>
      <c r="V92" t="s">
        <v>11650</v>
      </c>
      <c r="W92" t="s">
        <v>11742</v>
      </c>
      <c r="X92">
        <v>21</v>
      </c>
      <c r="Y92" t="s">
        <v>17503</v>
      </c>
      <c r="Z92" t="s">
        <v>23154</v>
      </c>
      <c r="AA92">
        <v>0.49988927335076722</v>
      </c>
      <c r="AB92" t="str">
        <f>HYPERLINK("Melting_Curves/meltCurve_B1AKJ5_NRD1.pdf", "Melting_Curves/meltCurve_B1AKJ5_NRD1.pdf")</f>
        <v>Melting_Curves/meltCurve_B1AKJ5_NRD1.pdf</v>
      </c>
    </row>
    <row r="93" spans="1:28" x14ac:dyDescent="0.25">
      <c r="A93" t="s">
        <v>97</v>
      </c>
      <c r="B93">
        <v>0.99996721820229495</v>
      </c>
      <c r="C93">
        <v>0.97580265909407304</v>
      </c>
      <c r="D93">
        <v>1.0090311418826801</v>
      </c>
      <c r="E93">
        <v>0.70204032759898505</v>
      </c>
      <c r="F93">
        <v>0.31486363821283098</v>
      </c>
      <c r="G93">
        <v>0.26135870255017701</v>
      </c>
      <c r="H93">
        <v>0.14950690793792201</v>
      </c>
      <c r="I93">
        <v>0.116278349098691</v>
      </c>
      <c r="J93">
        <v>0.10917376934004</v>
      </c>
      <c r="K93">
        <v>7.3655783897237301E-2</v>
      </c>
      <c r="L93">
        <v>1490.5100798492199</v>
      </c>
      <c r="M93">
        <v>29.179757626770702</v>
      </c>
      <c r="N93">
        <v>51.594121627539202</v>
      </c>
      <c r="O93">
        <v>50.842172327209298</v>
      </c>
      <c r="P93">
        <v>-0.12539014042711699</v>
      </c>
      <c r="Q93">
        <v>0.12609819164491901</v>
      </c>
      <c r="R93">
        <v>0.98897183488551199</v>
      </c>
      <c r="S93" t="s">
        <v>5919</v>
      </c>
      <c r="T93" t="s">
        <v>11650</v>
      </c>
      <c r="U93" t="s">
        <v>11650</v>
      </c>
      <c r="V93" t="s">
        <v>11650</v>
      </c>
      <c r="W93" t="s">
        <v>11743</v>
      </c>
      <c r="X93">
        <v>6</v>
      </c>
      <c r="Y93" t="s">
        <v>17504</v>
      </c>
      <c r="Z93" t="s">
        <v>23155</v>
      </c>
      <c r="AA93">
        <v>0.45468274014947152</v>
      </c>
      <c r="AB93" t="str">
        <f>HYPERLINK("Melting_Curves/meltCurve_B1AKJ6_OSBPL9.pdf", "Melting_Curves/meltCurve_B1AKJ6_OSBPL9.pdf")</f>
        <v>Melting_Curves/meltCurve_B1AKJ6_OSBPL9.pdf</v>
      </c>
    </row>
    <row r="94" spans="1:28" x14ac:dyDescent="0.25">
      <c r="A94" t="s">
        <v>98</v>
      </c>
      <c r="B94">
        <v>0.99996721820229495</v>
      </c>
      <c r="C94">
        <v>0.92434155848112398</v>
      </c>
      <c r="D94">
        <v>0.65278556542913002</v>
      </c>
      <c r="E94">
        <v>0.45196460040167202</v>
      </c>
      <c r="F94">
        <v>0.54101766821807995</v>
      </c>
      <c r="G94">
        <v>0.39149311596108399</v>
      </c>
      <c r="H94">
        <v>0.33564953926207902</v>
      </c>
      <c r="I94">
        <v>0.29836085456477601</v>
      </c>
      <c r="J94">
        <v>0.28871778452704</v>
      </c>
      <c r="K94">
        <v>0.237602776972129</v>
      </c>
      <c r="L94">
        <v>615.96051173677802</v>
      </c>
      <c r="M94">
        <v>12.929918695582</v>
      </c>
      <c r="N94">
        <v>50.8688330450045</v>
      </c>
      <c r="O94">
        <v>46.542059112120398</v>
      </c>
      <c r="P94">
        <v>-5.0012975534574497E-2</v>
      </c>
      <c r="Q94">
        <v>0.280030440170906</v>
      </c>
      <c r="R94">
        <v>0.94666275000909705</v>
      </c>
      <c r="S94" t="s">
        <v>5920</v>
      </c>
      <c r="T94" t="s">
        <v>11650</v>
      </c>
      <c r="U94" t="s">
        <v>11650</v>
      </c>
      <c r="V94" t="s">
        <v>11650</v>
      </c>
      <c r="W94" t="s">
        <v>11744</v>
      </c>
      <c r="X94">
        <v>5</v>
      </c>
      <c r="Y94" t="s">
        <v>17505</v>
      </c>
      <c r="Z94" t="s">
        <v>23156</v>
      </c>
      <c r="AA94">
        <v>0.48852223814543738</v>
      </c>
      <c r="AB94" t="str">
        <f>HYPERLINK("Melting_Curves/meltCurve_B1AKL4_EIF4ENIF1.pdf", "Melting_Curves/meltCurve_B1AKL4_EIF4ENIF1.pdf")</f>
        <v>Melting_Curves/meltCurve_B1AKL4_EIF4ENIF1.pdf</v>
      </c>
    </row>
    <row r="95" spans="1:28" x14ac:dyDescent="0.25">
      <c r="A95" t="s">
        <v>99</v>
      </c>
      <c r="B95">
        <v>0.99996721820229495</v>
      </c>
      <c r="C95">
        <v>0.91669054816166495</v>
      </c>
      <c r="D95">
        <v>0.76756059050811398</v>
      </c>
      <c r="E95">
        <v>0.91334494165773505</v>
      </c>
      <c r="F95">
        <v>1.0685305805252401</v>
      </c>
      <c r="G95">
        <v>0.90455290970726299</v>
      </c>
      <c r="H95">
        <v>0.81084956972128797</v>
      </c>
      <c r="I95">
        <v>0.95277648245299795</v>
      </c>
      <c r="J95">
        <v>0.80020505925409002</v>
      </c>
      <c r="K95">
        <v>0.71788984134190403</v>
      </c>
      <c r="L95">
        <v>193.76085085176101</v>
      </c>
      <c r="M95">
        <v>1.3904324188592601</v>
      </c>
      <c r="O95">
        <v>64.588501274728799</v>
      </c>
      <c r="P95">
        <v>-6.4506939385493003E-3</v>
      </c>
      <c r="Q95">
        <v>0</v>
      </c>
      <c r="R95">
        <v>0.23184168229775001</v>
      </c>
      <c r="S95" t="s">
        <v>5921</v>
      </c>
      <c r="T95" t="s">
        <v>11650</v>
      </c>
      <c r="U95" t="s">
        <v>11650</v>
      </c>
      <c r="V95" t="s">
        <v>11650</v>
      </c>
      <c r="W95" t="s">
        <v>11745</v>
      </c>
      <c r="X95">
        <v>6</v>
      </c>
      <c r="Y95" t="s">
        <v>17506</v>
      </c>
      <c r="Z95" t="s">
        <v>23157</v>
      </c>
      <c r="AA95">
        <v>0.89071966168755246</v>
      </c>
      <c r="AB95" t="str">
        <f>HYPERLINK("Melting_Curves/meltCurve_B1AKN3_RERE.pdf", "Melting_Curves/meltCurve_B1AKN3_RERE.pdf")</f>
        <v>Melting_Curves/meltCurve_B1AKN3_RERE.pdf</v>
      </c>
    </row>
    <row r="96" spans="1:28" x14ac:dyDescent="0.25">
      <c r="A96" t="s">
        <v>100</v>
      </c>
      <c r="B96">
        <v>0.99996721820229495</v>
      </c>
      <c r="C96">
        <v>0.81672890032359502</v>
      </c>
      <c r="D96">
        <v>0.93563524657380404</v>
      </c>
      <c r="E96">
        <v>1.10319619956791</v>
      </c>
      <c r="F96">
        <v>1.54980263764891</v>
      </c>
      <c r="G96">
        <v>1.7027870095984601</v>
      </c>
      <c r="H96">
        <v>1.5658177802409701</v>
      </c>
      <c r="I96">
        <v>1.1283241752759301</v>
      </c>
      <c r="J96">
        <v>1.0655956664500299</v>
      </c>
      <c r="K96">
        <v>0.97005689342712897</v>
      </c>
      <c r="L96">
        <v>12539.4591558429</v>
      </c>
      <c r="M96">
        <v>250</v>
      </c>
      <c r="O96">
        <v>50.154626594249301</v>
      </c>
      <c r="P96">
        <v>0.41172337134735398</v>
      </c>
      <c r="Q96">
        <v>1.33039731252825</v>
      </c>
      <c r="R96">
        <v>0.38632193356070998</v>
      </c>
      <c r="S96" t="s">
        <v>5922</v>
      </c>
      <c r="T96" t="s">
        <v>11650</v>
      </c>
      <c r="U96" t="s">
        <v>11650</v>
      </c>
      <c r="V96" t="s">
        <v>11650</v>
      </c>
      <c r="W96" t="s">
        <v>11746</v>
      </c>
      <c r="X96">
        <v>1</v>
      </c>
      <c r="Y96" t="s">
        <v>17507</v>
      </c>
      <c r="Z96" t="s">
        <v>23158</v>
      </c>
      <c r="AA96">
        <v>1.218497498185356</v>
      </c>
      <c r="AB96" t="str">
        <f>HYPERLINK("Melting_Curves/meltCurve_B1AKP2_TSPAN2.pdf", "Melting_Curves/meltCurve_B1AKP2_TSPAN2.pdf")</f>
        <v>Melting_Curves/meltCurve_B1AKP2_TSPAN2.pdf</v>
      </c>
    </row>
    <row r="97" spans="1:28" x14ac:dyDescent="0.25">
      <c r="A97" t="s">
        <v>101</v>
      </c>
      <c r="B97">
        <v>0.99996721820229495</v>
      </c>
      <c r="C97">
        <v>1.0846407569713901</v>
      </c>
      <c r="D97">
        <v>1.1481210669142301</v>
      </c>
      <c r="E97">
        <v>1.27264391933013</v>
      </c>
      <c r="F97">
        <v>2.8975700452711202</v>
      </c>
      <c r="G97">
        <v>3.3820621562032298</v>
      </c>
      <c r="H97">
        <v>2.3854427932590201</v>
      </c>
      <c r="I97">
        <v>2.28917010102874</v>
      </c>
      <c r="J97">
        <v>2.1320000862000499</v>
      </c>
      <c r="K97">
        <v>1.0933339811577101</v>
      </c>
      <c r="L97">
        <v>2261.1385459226999</v>
      </c>
      <c r="M97">
        <v>48.150367051627498</v>
      </c>
      <c r="O97">
        <v>46.8791461598179</v>
      </c>
      <c r="P97">
        <v>0.128389719622228</v>
      </c>
      <c r="Q97">
        <v>1.5</v>
      </c>
      <c r="R97">
        <v>-0.121257182557043</v>
      </c>
      <c r="S97" t="s">
        <v>5923</v>
      </c>
      <c r="T97" t="s">
        <v>11650</v>
      </c>
      <c r="U97" t="s">
        <v>11650</v>
      </c>
      <c r="V97" t="s">
        <v>11650</v>
      </c>
      <c r="W97" t="s">
        <v>11747</v>
      </c>
      <c r="X97">
        <v>4</v>
      </c>
      <c r="Y97" t="s">
        <v>17508</v>
      </c>
      <c r="Z97" t="s">
        <v>23159</v>
      </c>
      <c r="AA97">
        <v>1.3828810122104671</v>
      </c>
      <c r="AB97" t="str">
        <f>HYPERLINK("Melting_Curves/meltCurve_B1AKR6_DYNLRB1.pdf", "Melting_Curves/meltCurve_B1AKR6_DYNLRB1.pdf")</f>
        <v>Melting_Curves/meltCurve_B1AKR6_DYNLRB1.pdf</v>
      </c>
    </row>
    <row r="98" spans="1:28" x14ac:dyDescent="0.25">
      <c r="A98" t="s">
        <v>102</v>
      </c>
      <c r="B98">
        <v>0.99996721820229495</v>
      </c>
      <c r="C98">
        <v>0.79850793135882203</v>
      </c>
      <c r="D98">
        <v>1.1159705695309901</v>
      </c>
      <c r="E98">
        <v>1.2437216600306999</v>
      </c>
      <c r="F98">
        <v>1.01320084589181</v>
      </c>
      <c r="G98">
        <v>0.42256265573512902</v>
      </c>
      <c r="H98">
        <v>0.130304691750289</v>
      </c>
      <c r="I98">
        <v>9.4008296224583496E-2</v>
      </c>
      <c r="J98">
        <v>7.3487202315107802E-2</v>
      </c>
      <c r="K98">
        <v>4.9032968515062503E-2</v>
      </c>
      <c r="L98">
        <v>4060.0594957908402</v>
      </c>
      <c r="M98">
        <v>71.758309305699001</v>
      </c>
      <c r="N98">
        <v>56.727176818282999</v>
      </c>
      <c r="O98">
        <v>56.535748514628899</v>
      </c>
      <c r="P98">
        <v>-0.29030578653439998</v>
      </c>
      <c r="Q98">
        <v>8.5114932285462394E-2</v>
      </c>
      <c r="R98">
        <v>0.94529615336500294</v>
      </c>
      <c r="S98" t="s">
        <v>5924</v>
      </c>
      <c r="T98" t="s">
        <v>11650</v>
      </c>
      <c r="U98" t="s">
        <v>11650</v>
      </c>
      <c r="V98" t="s">
        <v>11650</v>
      </c>
      <c r="W98" t="s">
        <v>11748</v>
      </c>
      <c r="X98">
        <v>2</v>
      </c>
      <c r="Y98" t="s">
        <v>17509</v>
      </c>
      <c r="Z98" t="s">
        <v>23160</v>
      </c>
      <c r="AA98">
        <v>0.59183585126419502</v>
      </c>
      <c r="AB98" t="str">
        <f>HYPERLINK("Melting_Curves/meltCurve_B1AKT3_TMED5.pdf", "Melting_Curves/meltCurve_B1AKT3_TMED5.pdf")</f>
        <v>Melting_Curves/meltCurve_B1AKT3_TMED5.pdf</v>
      </c>
    </row>
    <row r="99" spans="1:28" x14ac:dyDescent="0.25">
      <c r="A99" t="s">
        <v>103</v>
      </c>
      <c r="B99">
        <v>0.99996721820229495</v>
      </c>
      <c r="C99">
        <v>0.92731435432014497</v>
      </c>
      <c r="D99">
        <v>0.99786210308051904</v>
      </c>
      <c r="E99">
        <v>1.33939013589247</v>
      </c>
      <c r="F99">
        <v>0.99567642615110996</v>
      </c>
      <c r="G99">
        <v>0.55818374774866897</v>
      </c>
      <c r="H99">
        <v>0.33180207602598599</v>
      </c>
      <c r="I99">
        <v>0.21955397431908499</v>
      </c>
      <c r="J99">
        <v>0.14492425261077599</v>
      </c>
      <c r="K99">
        <v>0.105475233292866</v>
      </c>
      <c r="L99">
        <v>1954.10670838132</v>
      </c>
      <c r="M99">
        <v>34.139781858170103</v>
      </c>
      <c r="N99">
        <v>57.908759026473099</v>
      </c>
      <c r="O99">
        <v>57.0430840878984</v>
      </c>
      <c r="P99">
        <v>-0.125200610746801</v>
      </c>
      <c r="Q99">
        <v>0.163228256519202</v>
      </c>
      <c r="R99">
        <v>0.91996404311117097</v>
      </c>
      <c r="S99" t="s">
        <v>5925</v>
      </c>
      <c r="T99" t="s">
        <v>11650</v>
      </c>
      <c r="U99" t="s">
        <v>11650</v>
      </c>
      <c r="V99" t="s">
        <v>11650</v>
      </c>
      <c r="W99" t="s">
        <v>11749</v>
      </c>
      <c r="X99">
        <v>7</v>
      </c>
      <c r="Y99" t="s">
        <v>17510</v>
      </c>
      <c r="Z99" t="s">
        <v>23161</v>
      </c>
      <c r="AA99">
        <v>0.64846036102565874</v>
      </c>
      <c r="AB99" t="str">
        <f>HYPERLINK("Melting_Curves/meltCurve_B1AL69_CDC37L1.pdf", "Melting_Curves/meltCurve_B1AL69_CDC37L1.pdf")</f>
        <v>Melting_Curves/meltCurve_B1AL69_CDC37L1.pdf</v>
      </c>
    </row>
    <row r="100" spans="1:28" x14ac:dyDescent="0.25">
      <c r="A100" t="s">
        <v>104</v>
      </c>
      <c r="B100">
        <v>0.99996721820229495</v>
      </c>
      <c r="C100">
        <v>1.0790427457074701</v>
      </c>
      <c r="D100">
        <v>1.21788392765305</v>
      </c>
      <c r="E100">
        <v>1.20537405335015</v>
      </c>
      <c r="F100">
        <v>1.87231918899827</v>
      </c>
      <c r="G100">
        <v>1.7405792888044</v>
      </c>
      <c r="H100">
        <v>1.10552157615651</v>
      </c>
      <c r="I100">
        <v>0.78912598157269698</v>
      </c>
      <c r="J100">
        <v>0.68384053098502495</v>
      </c>
      <c r="K100">
        <v>0.44249306340371702</v>
      </c>
      <c r="L100">
        <v>2578.2772460429101</v>
      </c>
      <c r="M100">
        <v>38.842886265198899</v>
      </c>
      <c r="N100">
        <v>69.005038839894695</v>
      </c>
      <c r="O100">
        <v>66.201871873201995</v>
      </c>
      <c r="P100">
        <v>-9.0049375271015794E-2</v>
      </c>
      <c r="Q100">
        <v>0.38609881285990899</v>
      </c>
      <c r="R100">
        <v>0.17733196606652701</v>
      </c>
      <c r="S100" t="s">
        <v>5926</v>
      </c>
      <c r="T100" t="s">
        <v>11650</v>
      </c>
      <c r="U100" t="s">
        <v>11650</v>
      </c>
      <c r="V100" t="s">
        <v>11650</v>
      </c>
      <c r="W100" t="s">
        <v>11750</v>
      </c>
      <c r="X100">
        <v>1</v>
      </c>
      <c r="Y100" t="s">
        <v>17511</v>
      </c>
      <c r="Z100" t="s">
        <v>23162</v>
      </c>
      <c r="AA100">
        <v>0.9236642745630731</v>
      </c>
      <c r="AB100" t="str">
        <f>HYPERLINK("Melting_Curves/meltCurve_B1AL88_FAM155A.pdf", "Melting_Curves/meltCurve_B1AL88_FAM155A.pdf")</f>
        <v>Melting_Curves/meltCurve_B1AL88_FAM155A.pdf</v>
      </c>
    </row>
    <row r="101" spans="1:28" x14ac:dyDescent="0.25">
      <c r="A101" t="s">
        <v>105</v>
      </c>
      <c r="B101">
        <v>0.99996721820229495</v>
      </c>
      <c r="C101">
        <v>0.87853645851271001</v>
      </c>
      <c r="D101">
        <v>0.71151022623257298</v>
      </c>
      <c r="E101">
        <v>0.43245827932375303</v>
      </c>
      <c r="F101">
        <v>0.22422150704411101</v>
      </c>
      <c r="G101">
        <v>0.17821824711133</v>
      </c>
      <c r="H101">
        <v>0.100056452800502</v>
      </c>
      <c r="I101">
        <v>8.2763182530540602E-2</v>
      </c>
      <c r="J101">
        <v>7.5730585193543296E-2</v>
      </c>
      <c r="K101">
        <v>5.36290193095579E-2</v>
      </c>
      <c r="L101">
        <v>758.62231659211795</v>
      </c>
      <c r="M101">
        <v>15.663472248000099</v>
      </c>
      <c r="N101">
        <v>48.849826181421001</v>
      </c>
      <c r="O101">
        <v>47.66375669816</v>
      </c>
      <c r="P101">
        <v>-7.7018638166798797E-2</v>
      </c>
      <c r="Q101">
        <v>6.2612781439806905E-2</v>
      </c>
      <c r="R101">
        <v>0.99669523713103103</v>
      </c>
      <c r="S101" t="s">
        <v>5927</v>
      </c>
      <c r="T101" t="s">
        <v>11650</v>
      </c>
      <c r="U101" t="s">
        <v>11650</v>
      </c>
      <c r="V101" t="s">
        <v>11650</v>
      </c>
      <c r="W101" t="s">
        <v>11751</v>
      </c>
      <c r="X101">
        <v>7</v>
      </c>
      <c r="Y101" t="s">
        <v>17512</v>
      </c>
      <c r="Z101" t="s">
        <v>23163</v>
      </c>
      <c r="AA101">
        <v>0.34784093042481412</v>
      </c>
      <c r="AB101" t="str">
        <f>HYPERLINK("Melting_Curves/meltCurve_B1ALH6_PHYH.pdf", "Melting_Curves/meltCurve_B1ALH6_PHYH.pdf")</f>
        <v>Melting_Curves/meltCurve_B1ALH6_PHYH.pdf</v>
      </c>
    </row>
    <row r="102" spans="1:28" x14ac:dyDescent="0.25">
      <c r="A102" t="s">
        <v>106</v>
      </c>
      <c r="B102">
        <v>0.99996721820229495</v>
      </c>
      <c r="C102">
        <v>0.95221133138804703</v>
      </c>
      <c r="D102">
        <v>0.989654974149629</v>
      </c>
      <c r="E102">
        <v>0.73835701042577995</v>
      </c>
      <c r="F102">
        <v>0.46306838484109197</v>
      </c>
      <c r="G102">
        <v>0.30271120285309899</v>
      </c>
      <c r="H102">
        <v>0.179189276037266</v>
      </c>
      <c r="I102">
        <v>0.120986485895254</v>
      </c>
      <c r="J102">
        <v>9.5326774116170507E-2</v>
      </c>
      <c r="K102">
        <v>7.82043840545463E-2</v>
      </c>
      <c r="L102">
        <v>938.10266119938399</v>
      </c>
      <c r="M102">
        <v>17.863961006546901</v>
      </c>
      <c r="N102">
        <v>53.081026292911801</v>
      </c>
      <c r="O102">
        <v>51.868901098603203</v>
      </c>
      <c r="P102">
        <v>-7.8622905585318897E-2</v>
      </c>
      <c r="Q102">
        <v>8.6904383107384797E-2</v>
      </c>
      <c r="R102">
        <v>0.99392613662325802</v>
      </c>
      <c r="S102" t="s">
        <v>5928</v>
      </c>
      <c r="T102" t="s">
        <v>11650</v>
      </c>
      <c r="U102" t="s">
        <v>11650</v>
      </c>
      <c r="V102" t="s">
        <v>11650</v>
      </c>
      <c r="W102" t="s">
        <v>11752</v>
      </c>
      <c r="X102">
        <v>10</v>
      </c>
      <c r="Y102" t="s">
        <v>17513</v>
      </c>
      <c r="Z102" t="s">
        <v>23164</v>
      </c>
      <c r="AA102">
        <v>0.48304670440445668</v>
      </c>
      <c r="AB102" t="str">
        <f>HYPERLINK("Melting_Curves/meltCurve_B1ALK7_ARHGEF7.pdf", "Melting_Curves/meltCurve_B1ALK7_ARHGEF7.pdf")</f>
        <v>Melting_Curves/meltCurve_B1ALK7_ARHGEF7.pdf</v>
      </c>
    </row>
    <row r="103" spans="1:28" x14ac:dyDescent="0.25">
      <c r="A103" t="s">
        <v>107</v>
      </c>
      <c r="B103">
        <v>0.99996721820229495</v>
      </c>
      <c r="C103">
        <v>0.99039795598051295</v>
      </c>
      <c r="D103">
        <v>1.14243917537866</v>
      </c>
      <c r="E103">
        <v>1.1587316668104299</v>
      </c>
      <c r="F103">
        <v>1.2502293999176499</v>
      </c>
      <c r="G103">
        <v>1.11415697140489</v>
      </c>
      <c r="H103">
        <v>0.72056003381187805</v>
      </c>
      <c r="I103">
        <v>0.66475820231684801</v>
      </c>
      <c r="J103">
        <v>0.56585252804872999</v>
      </c>
      <c r="K103">
        <v>0.48419556698390198</v>
      </c>
      <c r="L103">
        <v>4244.2211869324401</v>
      </c>
      <c r="M103">
        <v>70.018204272994296</v>
      </c>
      <c r="O103">
        <v>60.566581792347201</v>
      </c>
      <c r="P103">
        <v>-0.12580717664425001</v>
      </c>
      <c r="Q103">
        <v>0.56470129166924099</v>
      </c>
      <c r="R103">
        <v>0.79940433699298596</v>
      </c>
      <c r="S103" t="s">
        <v>5929</v>
      </c>
      <c r="T103" t="s">
        <v>11650</v>
      </c>
      <c r="U103" t="s">
        <v>11650</v>
      </c>
      <c r="V103" t="s">
        <v>11650</v>
      </c>
      <c r="W103" t="s">
        <v>11753</v>
      </c>
      <c r="X103">
        <v>1</v>
      </c>
      <c r="Y103" t="s">
        <v>17514</v>
      </c>
      <c r="Z103" t="s">
        <v>23165</v>
      </c>
      <c r="AA103">
        <v>0.86442852595436936</v>
      </c>
      <c r="AB103" t="str">
        <f>HYPERLINK("Melting_Curves/meltCurve_B1ALM5_TMEM9.pdf", "Melting_Curves/meltCurve_B1ALM5_TMEM9.pdf")</f>
        <v>Melting_Curves/meltCurve_B1ALM5_TMEM9.pdf</v>
      </c>
    </row>
    <row r="104" spans="1:28" x14ac:dyDescent="0.25">
      <c r="A104" t="s">
        <v>108</v>
      </c>
      <c r="B104">
        <v>0.99996721820229495</v>
      </c>
      <c r="C104">
        <v>0.89261356830063299</v>
      </c>
      <c r="D104">
        <v>0.98671329884546199</v>
      </c>
      <c r="E104">
        <v>1.1525974376238499</v>
      </c>
      <c r="F104">
        <v>1.3826797174172101</v>
      </c>
      <c r="G104">
        <v>1.47270092710923</v>
      </c>
      <c r="H104">
        <v>1.3413017941577701</v>
      </c>
      <c r="I104">
        <v>1.3238352827212001</v>
      </c>
      <c r="J104">
        <v>1.2647864858107301</v>
      </c>
      <c r="K104">
        <v>1.0749909923441501</v>
      </c>
      <c r="L104">
        <v>12501.565664399401</v>
      </c>
      <c r="M104">
        <v>250</v>
      </c>
      <c r="O104">
        <v>50.003062605422699</v>
      </c>
      <c r="P104">
        <v>0.38753777867492001</v>
      </c>
      <c r="Q104">
        <v>1.3100492124762499</v>
      </c>
      <c r="R104">
        <v>0.70370601701574598</v>
      </c>
      <c r="S104" t="s">
        <v>5930</v>
      </c>
      <c r="T104" t="s">
        <v>11650</v>
      </c>
      <c r="U104" t="s">
        <v>11650</v>
      </c>
      <c r="V104" t="s">
        <v>11650</v>
      </c>
      <c r="W104" t="s">
        <v>11754</v>
      </c>
      <c r="X104">
        <v>21</v>
      </c>
      <c r="Y104" t="s">
        <v>17515</v>
      </c>
      <c r="Z104" t="s">
        <v>23166</v>
      </c>
      <c r="AA104">
        <v>1.206607540597463</v>
      </c>
      <c r="AB104" t="str">
        <f>HYPERLINK("Melting_Curves/meltCurve_B1ALY0_PALM2_AKAP2.pdf", "Melting_Curves/meltCurve_B1ALY0_PALM2_AKAP2.pdf")</f>
        <v>Melting_Curves/meltCurve_B1ALY0_PALM2_AKAP2.pdf</v>
      </c>
    </row>
    <row r="105" spans="1:28" x14ac:dyDescent="0.25">
      <c r="A105" t="s">
        <v>109</v>
      </c>
      <c r="B105">
        <v>0.99996721820229495</v>
      </c>
      <c r="C105">
        <v>0.86696952922860904</v>
      </c>
      <c r="D105">
        <v>1.0728948838886401</v>
      </c>
      <c r="E105">
        <v>1.3695921235028301</v>
      </c>
      <c r="F105">
        <v>1.71519328241369</v>
      </c>
      <c r="G105">
        <v>1.7525341747286101</v>
      </c>
      <c r="H105">
        <v>1.37110629534218</v>
      </c>
      <c r="I105">
        <v>0.91481416758738199</v>
      </c>
      <c r="J105">
        <v>0.55052001336968504</v>
      </c>
      <c r="K105">
        <v>0.71764385427334199</v>
      </c>
      <c r="L105">
        <v>15000</v>
      </c>
      <c r="M105">
        <v>233.18296254360899</v>
      </c>
      <c r="O105">
        <v>64.322438012148794</v>
      </c>
      <c r="P105">
        <v>-0.33164065573644502</v>
      </c>
      <c r="Q105">
        <v>0.63407385725391197</v>
      </c>
      <c r="R105">
        <v>6.5788759411948103E-2</v>
      </c>
      <c r="S105" t="s">
        <v>5931</v>
      </c>
      <c r="T105" t="s">
        <v>11650</v>
      </c>
      <c r="U105" t="s">
        <v>11650</v>
      </c>
      <c r="V105" t="s">
        <v>11650</v>
      </c>
      <c r="W105" t="s">
        <v>11755</v>
      </c>
      <c r="X105">
        <v>2</v>
      </c>
      <c r="Y105" t="s">
        <v>17516</v>
      </c>
      <c r="Z105" t="s">
        <v>23167</v>
      </c>
      <c r="AA105">
        <v>0.93085292175957313</v>
      </c>
      <c r="AB105" t="str">
        <f>HYPERLINK("Melting_Curves/meltCurve_B1AMW1_CD58.pdf", "Melting_Curves/meltCurve_B1AMW1_CD58.pdf")</f>
        <v>Melting_Curves/meltCurve_B1AMW1_CD58.pdf</v>
      </c>
    </row>
    <row r="106" spans="1:28" x14ac:dyDescent="0.25">
      <c r="A106" t="s">
        <v>110</v>
      </c>
      <c r="B106">
        <v>0.99996721820229495</v>
      </c>
      <c r="C106">
        <v>1.0026683181954099</v>
      </c>
      <c r="D106">
        <v>0.72182479985492998</v>
      </c>
      <c r="E106">
        <v>0.54208265049420101</v>
      </c>
      <c r="F106">
        <v>0.68962695619535397</v>
      </c>
      <c r="G106">
        <v>0.75048547471562699</v>
      </c>
      <c r="H106">
        <v>0.52865635797699795</v>
      </c>
      <c r="I106">
        <v>0.62784850025397099</v>
      </c>
      <c r="J106">
        <v>0.60344369312147605</v>
      </c>
      <c r="K106">
        <v>0.39537764532089698</v>
      </c>
      <c r="L106">
        <v>11465.2718362169</v>
      </c>
      <c r="M106">
        <v>250</v>
      </c>
      <c r="O106">
        <v>45.858152570129</v>
      </c>
      <c r="P106">
        <v>-0.55732394398852603</v>
      </c>
      <c r="Q106">
        <v>0.59107445748214205</v>
      </c>
      <c r="R106">
        <v>0.76416444663769101</v>
      </c>
      <c r="S106" t="s">
        <v>5932</v>
      </c>
      <c r="T106" t="s">
        <v>11650</v>
      </c>
      <c r="U106" t="s">
        <v>11650</v>
      </c>
      <c r="V106" t="s">
        <v>11650</v>
      </c>
      <c r="W106" t="s">
        <v>11756</v>
      </c>
      <c r="X106">
        <v>5</v>
      </c>
      <c r="Y106" t="s">
        <v>17517</v>
      </c>
      <c r="Z106" t="s">
        <v>23168</v>
      </c>
      <c r="AA106">
        <v>0.67099898079814368</v>
      </c>
      <c r="AB106" t="str">
        <f>HYPERLINK("Melting_Curves/meltCurve_B1AN89_EIF4G3.pdf", "Melting_Curves/meltCurve_B1AN89_EIF4G3.pdf")</f>
        <v>Melting_Curves/meltCurve_B1AN89_EIF4G3.pdf</v>
      </c>
    </row>
    <row r="107" spans="1:28" x14ac:dyDescent="0.25">
      <c r="A107" t="s">
        <v>111</v>
      </c>
      <c r="B107">
        <v>0.99996721820229495</v>
      </c>
      <c r="C107">
        <v>1.0224364312708001</v>
      </c>
      <c r="D107">
        <v>1.0696329442747401</v>
      </c>
      <c r="E107">
        <v>1.2442422155063699</v>
      </c>
      <c r="F107">
        <v>2.7027169155609201</v>
      </c>
      <c r="G107">
        <v>4.4333181861881998</v>
      </c>
      <c r="H107">
        <v>4.7865305193493501</v>
      </c>
      <c r="I107">
        <v>2.8602887009343698</v>
      </c>
      <c r="J107">
        <v>1.19015631315099</v>
      </c>
      <c r="K107">
        <v>2.6100446963885702</v>
      </c>
      <c r="L107">
        <v>12502.302163930701</v>
      </c>
      <c r="M107">
        <v>250</v>
      </c>
      <c r="O107">
        <v>50.0060084129518</v>
      </c>
      <c r="P107">
        <v>0.62492490478071605</v>
      </c>
      <c r="Q107">
        <v>1.5</v>
      </c>
      <c r="R107">
        <v>-0.30009962514895799</v>
      </c>
      <c r="S107" t="s">
        <v>5933</v>
      </c>
      <c r="T107" t="s">
        <v>11650</v>
      </c>
      <c r="U107" t="s">
        <v>11650</v>
      </c>
      <c r="V107" t="s">
        <v>11650</v>
      </c>
      <c r="W107" t="s">
        <v>11757</v>
      </c>
      <c r="X107">
        <v>1</v>
      </c>
      <c r="Y107" t="s">
        <v>17518</v>
      </c>
      <c r="Z107" t="s">
        <v>23169</v>
      </c>
      <c r="AA107">
        <v>1.333135973046516</v>
      </c>
      <c r="AB107" t="str">
        <f>HYPERLINK("Melting_Curves/meltCurve_B1AN99_PRSS3.pdf", "Melting_Curves/meltCurve_B1AN99_PRSS3.pdf")</f>
        <v>Melting_Curves/meltCurve_B1AN99_PRSS3.pdf</v>
      </c>
    </row>
    <row r="108" spans="1:28" x14ac:dyDescent="0.25">
      <c r="A108" t="s">
        <v>112</v>
      </c>
      <c r="B108">
        <v>0.99996721820229495</v>
      </c>
      <c r="C108">
        <v>1.04767877234032</v>
      </c>
      <c r="D108">
        <v>0.77889966118609699</v>
      </c>
      <c r="E108">
        <v>0.317736824355491</v>
      </c>
      <c r="F108">
        <v>0.28345178558451301</v>
      </c>
      <c r="G108">
        <v>0.245112612498883</v>
      </c>
      <c r="H108">
        <v>0.17441416121049999</v>
      </c>
      <c r="I108">
        <v>0.1202214382522</v>
      </c>
      <c r="J108">
        <v>9.1507376224585393E-2</v>
      </c>
      <c r="K108">
        <v>7.1353709683247599E-2</v>
      </c>
      <c r="L108">
        <v>1251.5308442360399</v>
      </c>
      <c r="M108">
        <v>26.097599019811401</v>
      </c>
      <c r="N108">
        <v>48.586821373540403</v>
      </c>
      <c r="O108">
        <v>47.676860088764002</v>
      </c>
      <c r="P108">
        <v>-0.11717708118731</v>
      </c>
      <c r="Q108">
        <v>0.143741488689169</v>
      </c>
      <c r="R108">
        <v>0.97530974450228702</v>
      </c>
      <c r="S108" t="s">
        <v>5934</v>
      </c>
      <c r="T108" t="s">
        <v>11650</v>
      </c>
      <c r="U108" t="s">
        <v>11650</v>
      </c>
      <c r="V108" t="s">
        <v>11650</v>
      </c>
      <c r="W108" t="s">
        <v>11758</v>
      </c>
      <c r="X108">
        <v>11</v>
      </c>
      <c r="Y108" t="s">
        <v>17519</v>
      </c>
      <c r="Z108" t="s">
        <v>23170</v>
      </c>
      <c r="AA108">
        <v>0.37772402643805741</v>
      </c>
      <c r="AB108" t="str">
        <f>HYPERLINK("Melting_Curves/meltCurve_B1ANH0_GUK1.pdf", "Melting_Curves/meltCurve_B1ANH0_GUK1.pdf")</f>
        <v>Melting_Curves/meltCurve_B1ANH0_GUK1.pdf</v>
      </c>
    </row>
    <row r="109" spans="1:28" x14ac:dyDescent="0.25">
      <c r="A109" t="s">
        <v>113</v>
      </c>
      <c r="B109">
        <v>0.99996721820229495</v>
      </c>
      <c r="C109">
        <v>1.03662753841152</v>
      </c>
      <c r="D109">
        <v>1.0853454940342799</v>
      </c>
      <c r="E109">
        <v>1.3181685023429499</v>
      </c>
      <c r="F109">
        <v>1.2463863645053099</v>
      </c>
      <c r="G109">
        <v>0.94258948632884099</v>
      </c>
      <c r="H109">
        <v>0.52964292643169297</v>
      </c>
      <c r="I109">
        <v>0.40039530209100599</v>
      </c>
      <c r="J109">
        <v>0.343453917877038</v>
      </c>
      <c r="K109">
        <v>0.22010351837689901</v>
      </c>
      <c r="L109">
        <v>2449.2839698374601</v>
      </c>
      <c r="M109">
        <v>40.673784166564602</v>
      </c>
      <c r="N109">
        <v>61.536485008562103</v>
      </c>
      <c r="O109">
        <v>60.072741030027501</v>
      </c>
      <c r="P109">
        <v>-0.120034228384539</v>
      </c>
      <c r="Q109">
        <v>0.29086793445162201</v>
      </c>
      <c r="R109">
        <v>0.87347974705698805</v>
      </c>
      <c r="S109" t="s">
        <v>5935</v>
      </c>
      <c r="T109" t="s">
        <v>11650</v>
      </c>
      <c r="U109" t="s">
        <v>11650</v>
      </c>
      <c r="V109" t="s">
        <v>11650</v>
      </c>
      <c r="W109" t="s">
        <v>11759</v>
      </c>
      <c r="X109">
        <v>2</v>
      </c>
      <c r="Y109" t="s">
        <v>17520</v>
      </c>
      <c r="Z109" t="s">
        <v>23171</v>
      </c>
      <c r="AA109">
        <v>0.77145401104912026</v>
      </c>
      <c r="AB109" t="str">
        <f>HYPERLINK("Melting_Curves/meltCurve_B1APM4_SOAT1.pdf", "Melting_Curves/meltCurve_B1APM4_SOAT1.pdf")</f>
        <v>Melting_Curves/meltCurve_B1APM4_SOAT1.pdf</v>
      </c>
    </row>
    <row r="110" spans="1:28" x14ac:dyDescent="0.25">
      <c r="A110" t="s">
        <v>114</v>
      </c>
      <c r="B110">
        <v>0.99996721820229495</v>
      </c>
      <c r="C110">
        <v>1.0161118870018699</v>
      </c>
      <c r="D110">
        <v>0.98166387278369804</v>
      </c>
      <c r="E110">
        <v>0.89704069694885802</v>
      </c>
      <c r="F110">
        <v>1.1951138505265599</v>
      </c>
      <c r="G110">
        <v>1.20702336536779</v>
      </c>
      <c r="H110">
        <v>1.0214351580864001</v>
      </c>
      <c r="I110">
        <v>1.1591709544641999</v>
      </c>
      <c r="J110">
        <v>1.1608064803265901</v>
      </c>
      <c r="K110">
        <v>0.77474896355622302</v>
      </c>
      <c r="L110">
        <v>15000</v>
      </c>
      <c r="M110">
        <v>213.05028620738599</v>
      </c>
      <c r="Q110">
        <v>0</v>
      </c>
      <c r="R110">
        <v>0.189729471137325</v>
      </c>
      <c r="S110" t="s">
        <v>5936</v>
      </c>
      <c r="T110" t="s">
        <v>11650</v>
      </c>
      <c r="U110" t="s">
        <v>11650</v>
      </c>
      <c r="V110" t="s">
        <v>11650</v>
      </c>
      <c r="W110" t="s">
        <v>11760</v>
      </c>
      <c r="X110">
        <v>21</v>
      </c>
      <c r="Y110" t="s">
        <v>17521</v>
      </c>
      <c r="Z110" t="s">
        <v>23172</v>
      </c>
      <c r="AA110">
        <v>0.99724847957864837</v>
      </c>
      <c r="AB110" t="str">
        <f>HYPERLINK("Melting_Curves/meltCurve_B1AVU8_PSAP.pdf", "Melting_Curves/meltCurve_B1AVU8_PSAP.pdf")</f>
        <v>Melting_Curves/meltCurve_B1AVU8_PSAP.pdf</v>
      </c>
    </row>
    <row r="111" spans="1:28" x14ac:dyDescent="0.25">
      <c r="A111" t="s">
        <v>115</v>
      </c>
      <c r="B111">
        <v>0.99996721820229495</v>
      </c>
      <c r="C111">
        <v>0.68481705711330598</v>
      </c>
      <c r="D111">
        <v>0.72053015363947204</v>
      </c>
      <c r="E111">
        <v>0.23793884728282999</v>
      </c>
      <c r="F111">
        <v>0.233325769441764</v>
      </c>
      <c r="G111">
        <v>0.183658605898111</v>
      </c>
      <c r="H111">
        <v>0.12980594029505599</v>
      </c>
      <c r="I111">
        <v>8.9031499707566505E-2</v>
      </c>
      <c r="J111">
        <v>6.5778899536032401E-2</v>
      </c>
      <c r="K111">
        <v>4.75286631578496E-2</v>
      </c>
      <c r="L111">
        <v>677.00360872889598</v>
      </c>
      <c r="M111">
        <v>14.441709596328201</v>
      </c>
      <c r="N111">
        <v>47.372176546552403</v>
      </c>
      <c r="O111">
        <v>46.0070062144557</v>
      </c>
      <c r="P111">
        <v>-7.3000283536894403E-2</v>
      </c>
      <c r="Q111">
        <v>6.9880004412848598E-2</v>
      </c>
      <c r="R111">
        <v>0.95122291188403896</v>
      </c>
      <c r="S111" t="s">
        <v>5937</v>
      </c>
      <c r="T111" t="s">
        <v>11650</v>
      </c>
      <c r="U111" t="s">
        <v>11650</v>
      </c>
      <c r="V111" t="s">
        <v>11650</v>
      </c>
      <c r="W111" t="s">
        <v>11761</v>
      </c>
      <c r="X111">
        <v>6</v>
      </c>
      <c r="Y111" t="s">
        <v>17522</v>
      </c>
      <c r="Z111" t="s">
        <v>23173</v>
      </c>
      <c r="AA111">
        <v>0.31066135524568278</v>
      </c>
      <c r="AB111" t="str">
        <f>HYPERLINK("Melting_Curves/meltCurve_B1AZV3_TAP1.pdf", "Melting_Curves/meltCurve_B1AZV3_TAP1.pdf")</f>
        <v>Melting_Curves/meltCurve_B1AZV3_TAP1.pdf</v>
      </c>
    </row>
    <row r="112" spans="1:28" x14ac:dyDescent="0.25">
      <c r="A112" t="s">
        <v>116</v>
      </c>
      <c r="B112">
        <v>0.99996721820229495</v>
      </c>
      <c r="C112">
        <v>0.90747550387268205</v>
      </c>
      <c r="D112">
        <v>0.91761807560293596</v>
      </c>
      <c r="E112">
        <v>0.77502325968291097</v>
      </c>
      <c r="F112">
        <v>0.51130224965131699</v>
      </c>
      <c r="G112">
        <v>0.32049952571690499</v>
      </c>
      <c r="H112">
        <v>0.15661921429770001</v>
      </c>
      <c r="I112">
        <v>9.85957670604026E-2</v>
      </c>
      <c r="J112">
        <v>6.0243346486323297E-2</v>
      </c>
      <c r="K112">
        <v>6.0986224885996199E-2</v>
      </c>
      <c r="L112">
        <v>767.36819209577004</v>
      </c>
      <c r="M112">
        <v>14.336056450952499</v>
      </c>
      <c r="N112">
        <v>53.652392089964899</v>
      </c>
      <c r="O112">
        <v>52.517925052233998</v>
      </c>
      <c r="P112">
        <v>-6.7128716329961202E-2</v>
      </c>
      <c r="Q112">
        <v>1.64555292869604E-2</v>
      </c>
      <c r="R112">
        <v>0.994721378747769</v>
      </c>
      <c r="S112" t="s">
        <v>5938</v>
      </c>
      <c r="T112" t="s">
        <v>11650</v>
      </c>
      <c r="U112" t="s">
        <v>11650</v>
      </c>
      <c r="V112" t="s">
        <v>11650</v>
      </c>
      <c r="W112" t="s">
        <v>11762</v>
      </c>
      <c r="X112">
        <v>8</v>
      </c>
      <c r="Y112" t="s">
        <v>17523</v>
      </c>
      <c r="Z112" t="s">
        <v>23174</v>
      </c>
      <c r="AA112">
        <v>0.48184796379341438</v>
      </c>
      <c r="AB112" t="str">
        <f>HYPERLINK("Melting_Curves/meltCurve_B2WTI3_JMJD6.pdf", "Melting_Curves/meltCurve_B2WTI3_JMJD6.pdf")</f>
        <v>Melting_Curves/meltCurve_B2WTI3_JMJD6.pdf</v>
      </c>
    </row>
    <row r="113" spans="1:28" x14ac:dyDescent="0.25">
      <c r="A113" t="s">
        <v>117</v>
      </c>
      <c r="B113">
        <v>0.99996721820229495</v>
      </c>
      <c r="C113">
        <v>0.99832949406815996</v>
      </c>
      <c r="D113">
        <v>1.14414164927398</v>
      </c>
      <c r="E113">
        <v>1.8282153022915499</v>
      </c>
      <c r="F113">
        <v>1.1005846853410199</v>
      </c>
      <c r="G113">
        <v>0.64297752276674702</v>
      </c>
      <c r="H113">
        <v>0.388391184813348</v>
      </c>
      <c r="I113">
        <v>0.25066656163379802</v>
      </c>
      <c r="J113">
        <v>0.24539490728188501</v>
      </c>
      <c r="K113">
        <v>0.20417454808664101</v>
      </c>
      <c r="L113">
        <v>2728.4236128554398</v>
      </c>
      <c r="M113">
        <v>47.621420599075897</v>
      </c>
      <c r="N113">
        <v>58.176242413556999</v>
      </c>
      <c r="O113">
        <v>57.193280362472002</v>
      </c>
      <c r="P113">
        <v>-0.15463282987065799</v>
      </c>
      <c r="Q113">
        <v>0.25714524885582202</v>
      </c>
      <c r="R113">
        <v>0.70641652846835901</v>
      </c>
      <c r="S113" t="s">
        <v>5939</v>
      </c>
      <c r="T113" t="s">
        <v>11650</v>
      </c>
      <c r="U113" t="s">
        <v>11650</v>
      </c>
      <c r="V113" t="s">
        <v>11650</v>
      </c>
      <c r="W113" t="s">
        <v>11763</v>
      </c>
      <c r="X113">
        <v>1</v>
      </c>
      <c r="Y113" t="s">
        <v>11763</v>
      </c>
      <c r="Z113" t="s">
        <v>23175</v>
      </c>
      <c r="AA113">
        <v>0.68743980338398569</v>
      </c>
      <c r="AB113" t="str">
        <f>HYPERLINK("Melting_Curves/meltCurve_B3FL70_DOCK10_2.pdf", "Melting_Curves/meltCurve_B3FL70_DOCK10_2.pdf")</f>
        <v>Melting_Curves/meltCurve_B3FL70_DOCK10_2.pdf</v>
      </c>
    </row>
    <row r="114" spans="1:28" x14ac:dyDescent="0.25">
      <c r="A114" t="s">
        <v>118</v>
      </c>
      <c r="B114">
        <v>0.99996721820229495</v>
      </c>
      <c r="C114">
        <v>1.0679870889246701</v>
      </c>
      <c r="D114">
        <v>1.34990799931479</v>
      </c>
      <c r="E114">
        <v>3.2573019380961599</v>
      </c>
      <c r="F114">
        <v>2.0182422070235999</v>
      </c>
      <c r="G114">
        <v>1.49741555573603</v>
      </c>
      <c r="H114">
        <v>0.71752682892014996</v>
      </c>
      <c r="I114">
        <v>0.36173855087294698</v>
      </c>
      <c r="J114">
        <v>0.18872445747160599</v>
      </c>
      <c r="K114">
        <v>0.152418285408008</v>
      </c>
      <c r="L114">
        <v>3347.1891060160601</v>
      </c>
      <c r="M114">
        <v>53.9182185439116</v>
      </c>
      <c r="N114">
        <v>62.586062233272699</v>
      </c>
      <c r="O114">
        <v>61.993792567656499</v>
      </c>
      <c r="P114">
        <v>-0.178956765086355</v>
      </c>
      <c r="Q114">
        <v>0.17696097650213899</v>
      </c>
      <c r="R114">
        <v>0.196195934850416</v>
      </c>
      <c r="S114" t="s">
        <v>5940</v>
      </c>
      <c r="T114" t="s">
        <v>11650</v>
      </c>
      <c r="U114" t="s">
        <v>11650</v>
      </c>
      <c r="V114" t="s">
        <v>11650</v>
      </c>
      <c r="W114" t="s">
        <v>11764</v>
      </c>
      <c r="X114">
        <v>11</v>
      </c>
      <c r="Y114" t="s">
        <v>17524</v>
      </c>
      <c r="Z114" t="s">
        <v>23176</v>
      </c>
      <c r="AA114">
        <v>0.78453295572946502</v>
      </c>
      <c r="AB114" t="str">
        <f>HYPERLINK("Melting_Curves/meltCurve_B3KS98_EIF3S3.pdf", "Melting_Curves/meltCurve_B3KS98_EIF3S3.pdf")</f>
        <v>Melting_Curves/meltCurve_B3KS98_EIF3S3.pdf</v>
      </c>
    </row>
    <row r="115" spans="1:28" x14ac:dyDescent="0.25">
      <c r="A115" t="s">
        <v>119</v>
      </c>
      <c r="B115">
        <v>0.99996721820229495</v>
      </c>
      <c r="C115">
        <v>0.84478942560924797</v>
      </c>
      <c r="D115">
        <v>0.80844375065496099</v>
      </c>
      <c r="E115">
        <v>0.76128430416056603</v>
      </c>
      <c r="F115">
        <v>0.329838280855342</v>
      </c>
      <c r="G115">
        <v>0.30904025764701398</v>
      </c>
      <c r="H115">
        <v>0.197570320434408</v>
      </c>
      <c r="I115">
        <v>0.12948745118015001</v>
      </c>
      <c r="J115">
        <v>7.9643521902774905E-2</v>
      </c>
      <c r="K115">
        <v>7.0587786744426201E-2</v>
      </c>
      <c r="L115">
        <v>594.42212910710498</v>
      </c>
      <c r="M115">
        <v>11.4152132208821</v>
      </c>
      <c r="N115">
        <v>52.265513027200498</v>
      </c>
      <c r="O115">
        <v>50.551581666002498</v>
      </c>
      <c r="P115">
        <v>-5.5306064776095801E-2</v>
      </c>
      <c r="Q115">
        <v>2.0608173674263999E-2</v>
      </c>
      <c r="R115">
        <v>0.96195621359829897</v>
      </c>
      <c r="S115" t="s">
        <v>5941</v>
      </c>
      <c r="T115" t="s">
        <v>11650</v>
      </c>
      <c r="U115" t="s">
        <v>11650</v>
      </c>
      <c r="V115" t="s">
        <v>11650</v>
      </c>
      <c r="W115" t="s">
        <v>11765</v>
      </c>
      <c r="X115">
        <v>11</v>
      </c>
      <c r="Y115" t="s">
        <v>17525</v>
      </c>
      <c r="Z115" t="s">
        <v>23177</v>
      </c>
      <c r="AA115">
        <v>0.44648026050743211</v>
      </c>
      <c r="AB115" t="str">
        <f>HYPERLINK("Melting_Curves/meltCurve_B3KSH1_EIF3F.pdf", "Melting_Curves/meltCurve_B3KSH1_EIF3F.pdf")</f>
        <v>Melting_Curves/meltCurve_B3KSH1_EIF3F.pdf</v>
      </c>
    </row>
    <row r="116" spans="1:28" x14ac:dyDescent="0.25">
      <c r="A116" t="s">
        <v>120</v>
      </c>
      <c r="B116">
        <v>0.99996721820229495</v>
      </c>
      <c r="C116">
        <v>1.0207618102529099</v>
      </c>
      <c r="D116">
        <v>0.95836583884631599</v>
      </c>
      <c r="E116">
        <v>0.96142361424718403</v>
      </c>
      <c r="F116">
        <v>0.81002091599473203</v>
      </c>
      <c r="G116">
        <v>0.35892141221828</v>
      </c>
      <c r="H116">
        <v>0.20269365435622</v>
      </c>
      <c r="I116">
        <v>0.147686991778437</v>
      </c>
      <c r="J116">
        <v>0.11354435663988</v>
      </c>
      <c r="K116">
        <v>9.1483907976804196E-2</v>
      </c>
      <c r="L116">
        <v>1575.80809235432</v>
      </c>
      <c r="M116">
        <v>28.506280749612799</v>
      </c>
      <c r="N116">
        <v>55.789819772021303</v>
      </c>
      <c r="O116">
        <v>55.0094329514964</v>
      </c>
      <c r="P116">
        <v>-0.114680470924115</v>
      </c>
      <c r="Q116">
        <v>0.11479755910223501</v>
      </c>
      <c r="R116">
        <v>0.99720892147510598</v>
      </c>
      <c r="S116" t="s">
        <v>5942</v>
      </c>
      <c r="T116" t="s">
        <v>11650</v>
      </c>
      <c r="U116" t="s">
        <v>11650</v>
      </c>
      <c r="V116" t="s">
        <v>11650</v>
      </c>
      <c r="W116" t="s">
        <v>11766</v>
      </c>
      <c r="X116">
        <v>23</v>
      </c>
      <c r="Y116" t="s">
        <v>17526</v>
      </c>
      <c r="Z116" t="s">
        <v>23178</v>
      </c>
      <c r="AA116">
        <v>0.57210999472443735</v>
      </c>
      <c r="AB116" t="str">
        <f>HYPERLINK("Melting_Curves/meltCurve_B3KSI9_LZTFL1.pdf", "Melting_Curves/meltCurve_B3KSI9_LZTFL1.pdf")</f>
        <v>Melting_Curves/meltCurve_B3KSI9_LZTFL1.pdf</v>
      </c>
    </row>
    <row r="117" spans="1:28" x14ac:dyDescent="0.25">
      <c r="A117" t="s">
        <v>121</v>
      </c>
      <c r="B117">
        <v>0.99996721820229495</v>
      </c>
      <c r="C117">
        <v>1.0089981543373401</v>
      </c>
      <c r="D117">
        <v>0.79758491461640602</v>
      </c>
      <c r="E117">
        <v>0.45461126809802499</v>
      </c>
      <c r="F117">
        <v>0.355205005193242</v>
      </c>
      <c r="G117">
        <v>0.24588201952264499</v>
      </c>
      <c r="H117">
        <v>0.17835285345388599</v>
      </c>
      <c r="I117">
        <v>0.11663509812105299</v>
      </c>
      <c r="J117">
        <v>0.106310790248882</v>
      </c>
      <c r="K117">
        <v>7.8912858388428805E-2</v>
      </c>
      <c r="L117">
        <v>829.42989542251803</v>
      </c>
      <c r="M117">
        <v>16.784597605440801</v>
      </c>
      <c r="N117">
        <v>50.1704162218536</v>
      </c>
      <c r="O117">
        <v>48.730667956387698</v>
      </c>
      <c r="P117">
        <v>-7.6511766107313306E-2</v>
      </c>
      <c r="Q117">
        <v>0.111512283631089</v>
      </c>
      <c r="R117">
        <v>0.987690185000899</v>
      </c>
      <c r="S117" t="s">
        <v>5943</v>
      </c>
      <c r="T117" t="s">
        <v>11650</v>
      </c>
      <c r="U117" t="s">
        <v>11650</v>
      </c>
      <c r="V117" t="s">
        <v>11650</v>
      </c>
      <c r="W117" t="s">
        <v>11767</v>
      </c>
      <c r="X117">
        <v>2</v>
      </c>
      <c r="Y117" t="s">
        <v>17527</v>
      </c>
      <c r="Z117" t="s">
        <v>23179</v>
      </c>
      <c r="AA117">
        <v>0.40787581353527452</v>
      </c>
      <c r="AB117" t="str">
        <f>HYPERLINK("Melting_Curves/meltCurve_B3KSP0_WHSC2.pdf", "Melting_Curves/meltCurve_B3KSP0_WHSC2.pdf")</f>
        <v>Melting_Curves/meltCurve_B3KSP0_WHSC2.pdf</v>
      </c>
    </row>
    <row r="118" spans="1:28" x14ac:dyDescent="0.25">
      <c r="A118" t="s">
        <v>122</v>
      </c>
      <c r="B118">
        <v>0.99996721820229495</v>
      </c>
      <c r="C118">
        <v>0.61295299464592701</v>
      </c>
      <c r="D118">
        <v>0.59652006992324502</v>
      </c>
      <c r="E118">
        <v>0.48951626693919598</v>
      </c>
      <c r="F118">
        <v>0.36644879931247798</v>
      </c>
      <c r="G118">
        <v>0.24296160277846299</v>
      </c>
      <c r="H118">
        <v>0.18824254856734701</v>
      </c>
      <c r="I118">
        <v>0.17162161464519299</v>
      </c>
      <c r="J118">
        <v>0.140562476945508</v>
      </c>
      <c r="K118">
        <v>0.12944471688151801</v>
      </c>
      <c r="L118">
        <v>425.43682004230999</v>
      </c>
      <c r="M118">
        <v>8.9381505586778296</v>
      </c>
      <c r="N118">
        <v>48.582611187490301</v>
      </c>
      <c r="O118">
        <v>45.396249839718202</v>
      </c>
      <c r="P118">
        <v>-4.51783460757261E-2</v>
      </c>
      <c r="Q118">
        <v>8.2853249647116295E-2</v>
      </c>
      <c r="R118">
        <v>0.94164229066983696</v>
      </c>
      <c r="S118" t="s">
        <v>5944</v>
      </c>
      <c r="T118" t="s">
        <v>11650</v>
      </c>
      <c r="U118" t="s">
        <v>11650</v>
      </c>
      <c r="V118" t="s">
        <v>11650</v>
      </c>
      <c r="W118" t="s">
        <v>11768</v>
      </c>
      <c r="X118">
        <v>1</v>
      </c>
      <c r="Y118" t="s">
        <v>17528</v>
      </c>
      <c r="Z118" t="s">
        <v>23180</v>
      </c>
      <c r="AA118">
        <v>0.37455133678018049</v>
      </c>
      <c r="AB118" t="str">
        <f>HYPERLINK("Melting_Curves/meltCurve_B3KSW4_RGS20.pdf", "Melting_Curves/meltCurve_B3KSW4_RGS20.pdf")</f>
        <v>Melting_Curves/meltCurve_B3KSW4_RGS20.pdf</v>
      </c>
    </row>
    <row r="119" spans="1:28" x14ac:dyDescent="0.25">
      <c r="A119" t="s">
        <v>123</v>
      </c>
      <c r="B119">
        <v>0.99996721820229495</v>
      </c>
      <c r="C119">
        <v>0.91234027118136496</v>
      </c>
      <c r="D119">
        <v>0.94660727412173096</v>
      </c>
      <c r="E119">
        <v>0.87278446566766199</v>
      </c>
      <c r="F119">
        <v>0.92105128619665899</v>
      </c>
      <c r="G119">
        <v>0.81875753172077403</v>
      </c>
      <c r="H119">
        <v>0.58758330407374304</v>
      </c>
      <c r="I119">
        <v>0.481553252137782</v>
      </c>
      <c r="J119">
        <v>0.432029018775059</v>
      </c>
      <c r="K119">
        <v>0.32719794897143301</v>
      </c>
      <c r="L119">
        <v>580.72920825204994</v>
      </c>
      <c r="M119">
        <v>9.0247382520956396</v>
      </c>
      <c r="N119">
        <v>64.348586532998993</v>
      </c>
      <c r="O119">
        <v>61.424799375558997</v>
      </c>
      <c r="P119">
        <v>-3.6757240482279602E-2</v>
      </c>
      <c r="Q119">
        <v>0</v>
      </c>
      <c r="R119">
        <v>0.96746950966120304</v>
      </c>
      <c r="S119" t="s">
        <v>5945</v>
      </c>
      <c r="T119" t="s">
        <v>11650</v>
      </c>
      <c r="U119" t="s">
        <v>11650</v>
      </c>
      <c r="V119" t="s">
        <v>11650</v>
      </c>
      <c r="W119" t="s">
        <v>11769</v>
      </c>
      <c r="X119">
        <v>17</v>
      </c>
      <c r="Y119" t="s">
        <v>17529</v>
      </c>
      <c r="Z119" t="s">
        <v>23181</v>
      </c>
      <c r="AA119">
        <v>0.75647419946237116</v>
      </c>
      <c r="AB119" t="str">
        <f>HYPERLINK("Melting_Curves/meltCurve_B3KTR6_MXRA8.pdf", "Melting_Curves/meltCurve_B3KTR6_MXRA8.pdf")</f>
        <v>Melting_Curves/meltCurve_B3KTR6_MXRA8.pdf</v>
      </c>
    </row>
    <row r="120" spans="1:28" x14ac:dyDescent="0.25">
      <c r="A120" t="s">
        <v>124</v>
      </c>
      <c r="B120">
        <v>0.99996721820229495</v>
      </c>
      <c r="C120">
        <v>0.92522495108079605</v>
      </c>
      <c r="D120">
        <v>0.96185499188866797</v>
      </c>
      <c r="E120">
        <v>1.0910386311778699</v>
      </c>
      <c r="F120">
        <v>1.4398301982672801</v>
      </c>
      <c r="G120">
        <v>1.4887953590409</v>
      </c>
      <c r="H120">
        <v>0.98964690907555697</v>
      </c>
      <c r="I120">
        <v>0.50220444576212397</v>
      </c>
      <c r="J120">
        <v>0.27149734309519702</v>
      </c>
      <c r="K120">
        <v>0.223010889360058</v>
      </c>
      <c r="L120">
        <v>5786.0435692429601</v>
      </c>
      <c r="M120">
        <v>91.051707346911201</v>
      </c>
      <c r="N120">
        <v>64.0153280359945</v>
      </c>
      <c r="O120">
        <v>63.516175349436999</v>
      </c>
      <c r="P120">
        <v>-0.27121200459917999</v>
      </c>
      <c r="Q120">
        <v>0.24322817325145499</v>
      </c>
      <c r="R120">
        <v>0.73725451816667298</v>
      </c>
      <c r="S120" t="s">
        <v>5946</v>
      </c>
      <c r="T120" t="s">
        <v>11650</v>
      </c>
      <c r="U120" t="s">
        <v>11650</v>
      </c>
      <c r="V120" t="s">
        <v>11650</v>
      </c>
      <c r="W120" t="s">
        <v>11770</v>
      </c>
      <c r="X120">
        <v>4</v>
      </c>
      <c r="Y120" t="s">
        <v>17530</v>
      </c>
      <c r="Z120" t="s">
        <v>23182</v>
      </c>
      <c r="AA120">
        <v>0.8378452704722279</v>
      </c>
      <c r="AB120" t="str">
        <f>HYPERLINK("Melting_Curves/meltCurve_B3KUE5_PLTP.pdf", "Melting_Curves/meltCurve_B3KUE5_PLTP.pdf")</f>
        <v>Melting_Curves/meltCurve_B3KUE5_PLTP.pdf</v>
      </c>
    </row>
    <row r="121" spans="1:28" x14ac:dyDescent="0.25">
      <c r="A121" t="s">
        <v>125</v>
      </c>
      <c r="B121">
        <v>0.99996721820229495</v>
      </c>
      <c r="C121">
        <v>0.94635642184240198</v>
      </c>
      <c r="D121">
        <v>1.0133383287751601</v>
      </c>
      <c r="E121">
        <v>1.0133922082351501</v>
      </c>
      <c r="F121">
        <v>1.1022416186416599</v>
      </c>
      <c r="G121">
        <v>1.19567675878383</v>
      </c>
      <c r="H121">
        <v>0.90056925635830998</v>
      </c>
      <c r="I121">
        <v>0.79718624914332104</v>
      </c>
      <c r="J121">
        <v>0.53668445409353505</v>
      </c>
      <c r="K121">
        <v>0.63872254300085396</v>
      </c>
      <c r="L121">
        <v>3187.1870829142999</v>
      </c>
      <c r="M121">
        <v>50.096323740079796</v>
      </c>
      <c r="O121">
        <v>63.520049266682001</v>
      </c>
      <c r="P121">
        <v>-8.2667687924793898E-2</v>
      </c>
      <c r="Q121">
        <v>0.58072367360414601</v>
      </c>
      <c r="R121">
        <v>0.82524871745053896</v>
      </c>
      <c r="S121" t="s">
        <v>5947</v>
      </c>
      <c r="T121" t="s">
        <v>11650</v>
      </c>
      <c r="U121" t="s">
        <v>11650</v>
      </c>
      <c r="V121" t="s">
        <v>11650</v>
      </c>
      <c r="W121" t="s">
        <v>11771</v>
      </c>
      <c r="X121">
        <v>7</v>
      </c>
      <c r="Y121" t="s">
        <v>17531</v>
      </c>
      <c r="Z121" t="s">
        <v>23183</v>
      </c>
      <c r="AA121">
        <v>0.91178943727026163</v>
      </c>
      <c r="AB121" t="str">
        <f>HYPERLINK("Melting_Curves/meltCurve_B3KUK2_SOD2.pdf", "Melting_Curves/meltCurve_B3KUK2_SOD2.pdf")</f>
        <v>Melting_Curves/meltCurve_B3KUK2_SOD2.pdf</v>
      </c>
    </row>
    <row r="122" spans="1:28" x14ac:dyDescent="0.25">
      <c r="A122" t="s">
        <v>126</v>
      </c>
      <c r="B122">
        <v>0.99996721820229495</v>
      </c>
      <c r="C122">
        <v>0.92640275344210798</v>
      </c>
      <c r="D122">
        <v>1.0011856900701399</v>
      </c>
      <c r="E122">
        <v>1.01342871038711</v>
      </c>
      <c r="F122">
        <v>1.6059734739040701</v>
      </c>
      <c r="G122">
        <v>1.3331690687617199</v>
      </c>
      <c r="H122">
        <v>0.82861130830821805</v>
      </c>
      <c r="I122">
        <v>0.57679902699084495</v>
      </c>
      <c r="J122">
        <v>0.430037131965054</v>
      </c>
      <c r="K122">
        <v>0.372031408406442</v>
      </c>
      <c r="L122">
        <v>2984.9046705690198</v>
      </c>
      <c r="M122">
        <v>47.601862309528499</v>
      </c>
      <c r="N122">
        <v>64.749426812304407</v>
      </c>
      <c r="O122">
        <v>62.5952607589442</v>
      </c>
      <c r="P122">
        <v>-0.116215750904584</v>
      </c>
      <c r="Q122">
        <v>0.38871739353242801</v>
      </c>
      <c r="R122">
        <v>0.63086884172505597</v>
      </c>
      <c r="S122" t="s">
        <v>5948</v>
      </c>
      <c r="T122" t="s">
        <v>11650</v>
      </c>
      <c r="U122" t="s">
        <v>11650</v>
      </c>
      <c r="V122" t="s">
        <v>11650</v>
      </c>
      <c r="W122" t="s">
        <v>11772</v>
      </c>
      <c r="X122">
        <v>1</v>
      </c>
      <c r="Y122" t="s">
        <v>17532</v>
      </c>
      <c r="Z122" t="s">
        <v>23184</v>
      </c>
      <c r="AA122">
        <v>0.85299026659687427</v>
      </c>
      <c r="AB122" t="str">
        <f>HYPERLINK("Melting_Curves/meltCurve_B3KV95_FBXO18.pdf", "Melting_Curves/meltCurve_B3KV95_FBXO18.pdf")</f>
        <v>Melting_Curves/meltCurve_B3KV95_FBXO18.pdf</v>
      </c>
    </row>
    <row r="123" spans="1:28" x14ac:dyDescent="0.25">
      <c r="A123" t="s">
        <v>127</v>
      </c>
      <c r="B123">
        <v>0.99996721820229495</v>
      </c>
      <c r="C123">
        <v>1.0158285513573699</v>
      </c>
      <c r="D123">
        <v>1.0839993611810801</v>
      </c>
      <c r="E123">
        <v>1.1357824527026401</v>
      </c>
      <c r="F123">
        <v>0.75489875943088103</v>
      </c>
      <c r="G123">
        <v>0.66032252084676701</v>
      </c>
      <c r="H123">
        <v>0.41666855564779698</v>
      </c>
      <c r="I123">
        <v>0.23603096034066401</v>
      </c>
      <c r="J123">
        <v>0.165315988347255</v>
      </c>
      <c r="K123">
        <v>0.128071697819026</v>
      </c>
      <c r="L123">
        <v>1040.16123617114</v>
      </c>
      <c r="M123">
        <v>17.742934442370601</v>
      </c>
      <c r="N123">
        <v>59.202126996405198</v>
      </c>
      <c r="O123">
        <v>57.894491723994399</v>
      </c>
      <c r="P123">
        <v>-7.0526595097209099E-2</v>
      </c>
      <c r="Q123">
        <v>7.9546136625784303E-2</v>
      </c>
      <c r="R123">
        <v>0.96047046958219695</v>
      </c>
      <c r="S123" t="s">
        <v>5949</v>
      </c>
      <c r="T123" t="s">
        <v>11650</v>
      </c>
      <c r="U123" t="s">
        <v>11650</v>
      </c>
      <c r="V123" t="s">
        <v>11650</v>
      </c>
      <c r="W123" t="s">
        <v>11773</v>
      </c>
      <c r="X123">
        <v>11</v>
      </c>
      <c r="Y123" t="s">
        <v>17533</v>
      </c>
      <c r="Z123" t="s">
        <v>23185</v>
      </c>
      <c r="AA123">
        <v>0.66144512231103125</v>
      </c>
      <c r="AB123" t="str">
        <f>HYPERLINK("Melting_Curves/meltCurve_B3KXW5_AP1G1.pdf", "Melting_Curves/meltCurve_B3KXW5_AP1G1.pdf")</f>
        <v>Melting_Curves/meltCurve_B3KXW5_AP1G1.pdf</v>
      </c>
    </row>
    <row r="124" spans="1:28" x14ac:dyDescent="0.25">
      <c r="A124" t="s">
        <v>128</v>
      </c>
      <c r="B124">
        <v>0.99996721820229495</v>
      </c>
      <c r="C124">
        <v>1.01468408460839</v>
      </c>
      <c r="D124">
        <v>1.1466731939730399</v>
      </c>
      <c r="E124">
        <v>1.48275585707714</v>
      </c>
      <c r="F124">
        <v>1.8119918285701899</v>
      </c>
      <c r="G124">
        <v>1.60877046013847</v>
      </c>
      <c r="H124">
        <v>0.73994516699988599</v>
      </c>
      <c r="I124">
        <v>0.210346119426737</v>
      </c>
      <c r="J124">
        <v>9.0774226327137303E-2</v>
      </c>
      <c r="K124">
        <v>0.103881694307742</v>
      </c>
      <c r="L124">
        <v>4431.6398553894696</v>
      </c>
      <c r="M124">
        <v>71.661523891637799</v>
      </c>
      <c r="N124">
        <v>62.050735898826197</v>
      </c>
      <c r="O124">
        <v>61.793167745349599</v>
      </c>
      <c r="P124">
        <v>-0.258776929085549</v>
      </c>
      <c r="Q124">
        <v>0.107434965679553</v>
      </c>
      <c r="R124">
        <v>0.63625024606956604</v>
      </c>
      <c r="S124" t="s">
        <v>5950</v>
      </c>
      <c r="T124" t="s">
        <v>11650</v>
      </c>
      <c r="U124" t="s">
        <v>11650</v>
      </c>
      <c r="V124" t="s">
        <v>11650</v>
      </c>
      <c r="W124" t="s">
        <v>11774</v>
      </c>
      <c r="X124">
        <v>3</v>
      </c>
      <c r="Y124" t="s">
        <v>17534</v>
      </c>
      <c r="Z124" t="s">
        <v>23186</v>
      </c>
      <c r="AA124">
        <v>0.75843405890406168</v>
      </c>
      <c r="AB124" t="str">
        <f>HYPERLINK("Melting_Curves/meltCurve_B3KY94_CDIPT.pdf", "Melting_Curves/meltCurve_B3KY94_CDIPT.pdf")</f>
        <v>Melting_Curves/meltCurve_B3KY94_CDIPT.pdf</v>
      </c>
    </row>
    <row r="125" spans="1:28" x14ac:dyDescent="0.25">
      <c r="A125" t="s">
        <v>129</v>
      </c>
      <c r="B125">
        <v>0.99996721820229495</v>
      </c>
      <c r="C125">
        <v>1.1355307155329899</v>
      </c>
      <c r="D125">
        <v>1.0066221852984401</v>
      </c>
      <c r="E125">
        <v>0.71456939200463598</v>
      </c>
      <c r="F125">
        <v>0.44040165008279702</v>
      </c>
      <c r="G125">
        <v>0.381353068699679</v>
      </c>
      <c r="H125">
        <v>0.22265530038655401</v>
      </c>
      <c r="I125">
        <v>0.172486415376577</v>
      </c>
      <c r="J125">
        <v>0.15072076731342399</v>
      </c>
      <c r="K125">
        <v>0.116772207697819</v>
      </c>
      <c r="L125">
        <v>1029.3937445706899</v>
      </c>
      <c r="M125">
        <v>19.7985297811327</v>
      </c>
      <c r="N125">
        <v>53.0089585178116</v>
      </c>
      <c r="O125">
        <v>51.471723161963297</v>
      </c>
      <c r="P125">
        <v>-8.0988019204051895E-2</v>
      </c>
      <c r="Q125">
        <v>0.15782599733603001</v>
      </c>
      <c r="R125">
        <v>0.969718283034263</v>
      </c>
      <c r="S125" t="s">
        <v>5951</v>
      </c>
      <c r="T125" t="s">
        <v>11650</v>
      </c>
      <c r="U125" t="s">
        <v>11650</v>
      </c>
      <c r="V125" t="s">
        <v>11650</v>
      </c>
      <c r="W125" t="s">
        <v>11775</v>
      </c>
      <c r="X125">
        <v>25</v>
      </c>
      <c r="Y125" t="s">
        <v>17535</v>
      </c>
      <c r="Z125" t="s">
        <v>23187</v>
      </c>
      <c r="AA125">
        <v>0.50637950666224063</v>
      </c>
      <c r="AB125" t="str">
        <f>HYPERLINK("Melting_Curves/meltCurve_B4DDF4_CNN2.pdf", "Melting_Curves/meltCurve_B4DDF4_CNN2.pdf")</f>
        <v>Melting_Curves/meltCurve_B4DDF4_CNN2.pdf</v>
      </c>
    </row>
    <row r="126" spans="1:28" x14ac:dyDescent="0.25">
      <c r="A126" t="s">
        <v>130</v>
      </c>
      <c r="B126">
        <v>0.99996721820229495</v>
      </c>
      <c r="C126">
        <v>1.03801539267937</v>
      </c>
      <c r="D126">
        <v>0.92149500167546905</v>
      </c>
      <c r="E126">
        <v>0.63129126889569998</v>
      </c>
      <c r="F126">
        <v>0.53046435923371005</v>
      </c>
      <c r="G126">
        <v>0.19052783203167201</v>
      </c>
      <c r="H126">
        <v>0.14330766247910701</v>
      </c>
      <c r="I126">
        <v>0.161793110980155</v>
      </c>
      <c r="J126">
        <v>0</v>
      </c>
      <c r="K126">
        <v>0</v>
      </c>
      <c r="L126">
        <v>804.36637309545995</v>
      </c>
      <c r="M126">
        <v>15.295880384417501</v>
      </c>
      <c r="N126">
        <v>52.671236539174899</v>
      </c>
      <c r="O126">
        <v>51.712867222750198</v>
      </c>
      <c r="P126">
        <v>-7.3061086495261301E-2</v>
      </c>
      <c r="Q126">
        <v>1.20621711952616E-2</v>
      </c>
      <c r="R126">
        <v>0.98301182921059205</v>
      </c>
      <c r="S126" t="s">
        <v>5952</v>
      </c>
      <c r="T126" t="s">
        <v>11650</v>
      </c>
      <c r="U126" t="s">
        <v>11650</v>
      </c>
      <c r="V126" t="s">
        <v>11650</v>
      </c>
      <c r="W126" t="s">
        <v>11697</v>
      </c>
      <c r="X126">
        <v>35</v>
      </c>
      <c r="Y126" t="s">
        <v>17536</v>
      </c>
      <c r="Z126" t="s">
        <v>23188</v>
      </c>
      <c r="AA126">
        <v>0.44758043153407512</v>
      </c>
      <c r="AB126" t="str">
        <f>HYPERLINK("Melting_Curves/meltCurve_B4DDF9_ANXA4.pdf", "Melting_Curves/meltCurve_B4DDF9_ANXA4.pdf")</f>
        <v>Melting_Curves/meltCurve_B4DDF9_ANXA4.pdf</v>
      </c>
    </row>
    <row r="127" spans="1:28" x14ac:dyDescent="0.25">
      <c r="A127" t="s">
        <v>131</v>
      </c>
      <c r="B127">
        <v>0.99996721820229495</v>
      </c>
      <c r="C127">
        <v>0.96806946693937401</v>
      </c>
      <c r="D127">
        <v>1.2520800586013101</v>
      </c>
      <c r="E127">
        <v>1.3476244275191001</v>
      </c>
      <c r="F127">
        <v>1.6686336472397301</v>
      </c>
      <c r="G127">
        <v>1.4416003558213299</v>
      </c>
      <c r="H127">
        <v>0.79479863421129704</v>
      </c>
      <c r="I127">
        <v>0.38927339180997</v>
      </c>
      <c r="J127">
        <v>0.22414964706412699</v>
      </c>
      <c r="K127">
        <v>0.12620096168116901</v>
      </c>
      <c r="L127">
        <v>3206.7279635989398</v>
      </c>
      <c r="M127">
        <v>51.1656049512602</v>
      </c>
      <c r="N127">
        <v>63.1500885827963</v>
      </c>
      <c r="O127">
        <v>62.577991570854799</v>
      </c>
      <c r="P127">
        <v>-0.17166990700653201</v>
      </c>
      <c r="Q127">
        <v>0.160158508385569</v>
      </c>
      <c r="R127">
        <v>0.67145297650510605</v>
      </c>
      <c r="S127" t="s">
        <v>5953</v>
      </c>
      <c r="T127" t="s">
        <v>11650</v>
      </c>
      <c r="U127" t="s">
        <v>11650</v>
      </c>
      <c r="V127" t="s">
        <v>11650</v>
      </c>
      <c r="W127" t="s">
        <v>11776</v>
      </c>
      <c r="X127">
        <v>1</v>
      </c>
      <c r="Y127" t="s">
        <v>17537</v>
      </c>
      <c r="Z127" t="s">
        <v>23189</v>
      </c>
      <c r="AA127">
        <v>0.79690256060943332</v>
      </c>
      <c r="AB127" t="str">
        <f>HYPERLINK("Melting_Curves/meltCurve_B4DE11_SLC35A2.pdf", "Melting_Curves/meltCurve_B4DE11_SLC35A2.pdf")</f>
        <v>Melting_Curves/meltCurve_B4DE11_SLC35A2.pdf</v>
      </c>
    </row>
    <row r="128" spans="1:28" x14ac:dyDescent="0.25">
      <c r="A128" t="s">
        <v>132</v>
      </c>
      <c r="B128">
        <v>0.99996721820229495</v>
      </c>
      <c r="C128">
        <v>0.404309072244115</v>
      </c>
      <c r="D128">
        <v>0.37818067252434601</v>
      </c>
      <c r="E128">
        <v>2.4217207393852802</v>
      </c>
      <c r="F128">
        <v>1.69579915309534</v>
      </c>
      <c r="G128">
        <v>0.57952537529389303</v>
      </c>
      <c r="H128">
        <v>0.39912962890804099</v>
      </c>
      <c r="I128">
        <v>0.30165159326509</v>
      </c>
      <c r="J128">
        <v>0.21368211709052001</v>
      </c>
      <c r="K128">
        <v>0.27517998995205301</v>
      </c>
      <c r="L128">
        <v>14227.252976989899</v>
      </c>
      <c r="M128">
        <v>250</v>
      </c>
      <c r="N128">
        <v>57.115412841922002</v>
      </c>
      <c r="O128">
        <v>56.905348099464902</v>
      </c>
      <c r="P128">
        <v>-0.77166397919552798</v>
      </c>
      <c r="Q128">
        <v>0.29741080980912299</v>
      </c>
      <c r="R128">
        <v>0.329999955305736</v>
      </c>
      <c r="S128" t="s">
        <v>5954</v>
      </c>
      <c r="T128" t="s">
        <v>11650</v>
      </c>
      <c r="U128" t="s">
        <v>11650</v>
      </c>
      <c r="V128" t="s">
        <v>11650</v>
      </c>
      <c r="W128" t="s">
        <v>11777</v>
      </c>
      <c r="X128">
        <v>15</v>
      </c>
      <c r="Y128" t="s">
        <v>17538</v>
      </c>
      <c r="Z128" t="s">
        <v>23190</v>
      </c>
      <c r="AA128">
        <v>0.69348394661553125</v>
      </c>
      <c r="AB128" t="str">
        <f>HYPERLINK("Melting_Curves/meltCurve_B4DE40_SMS.pdf", "Melting_Curves/meltCurve_B4DE40_SMS.pdf")</f>
        <v>Melting_Curves/meltCurve_B4DE40_SMS.pdf</v>
      </c>
    </row>
    <row r="129" spans="1:28" x14ac:dyDescent="0.25">
      <c r="A129" t="s">
        <v>133</v>
      </c>
      <c r="B129">
        <v>0.99996721820229495</v>
      </c>
      <c r="C129">
        <v>1.0234522724666399</v>
      </c>
      <c r="D129">
        <v>1.1836913642697799</v>
      </c>
      <c r="E129">
        <v>1.4917947231600599</v>
      </c>
      <c r="F129">
        <v>0.65051957086500001</v>
      </c>
      <c r="G129">
        <v>0.50606158736320905</v>
      </c>
      <c r="H129">
        <v>0.149050948491249</v>
      </c>
      <c r="I129">
        <v>0.110441098946259</v>
      </c>
      <c r="J129">
        <v>4.7110831232343497E-2</v>
      </c>
      <c r="K129">
        <v>7.5921034580683805E-2</v>
      </c>
      <c r="L129">
        <v>1608.65358240256</v>
      </c>
      <c r="M129">
        <v>28.5791139227474</v>
      </c>
      <c r="N129">
        <v>56.568584378363703</v>
      </c>
      <c r="O129">
        <v>56.014302218062902</v>
      </c>
      <c r="P129">
        <v>-0.119117223157409</v>
      </c>
      <c r="Q129">
        <v>6.6141038472812094E-2</v>
      </c>
      <c r="R129">
        <v>0.85946382866974902</v>
      </c>
      <c r="S129" t="s">
        <v>5955</v>
      </c>
      <c r="T129" t="s">
        <v>11650</v>
      </c>
      <c r="U129" t="s">
        <v>11650</v>
      </c>
      <c r="V129" t="s">
        <v>11650</v>
      </c>
      <c r="W129" t="s">
        <v>11778</v>
      </c>
      <c r="X129">
        <v>31</v>
      </c>
      <c r="Y129" t="s">
        <v>17539</v>
      </c>
      <c r="Z129" t="s">
        <v>23191</v>
      </c>
      <c r="AA129">
        <v>0.57995209361785527</v>
      </c>
      <c r="AB129" t="str">
        <f>HYPERLINK("Melting_Curves/meltCurve_B4DEK4_SNX2.pdf", "Melting_Curves/meltCurve_B4DEK4_SNX2.pdf")</f>
        <v>Melting_Curves/meltCurve_B4DEK4_SNX2.pdf</v>
      </c>
    </row>
    <row r="130" spans="1:28" x14ac:dyDescent="0.25">
      <c r="A130" t="s">
        <v>134</v>
      </c>
      <c r="B130">
        <v>0.99996721820229495</v>
      </c>
      <c r="C130">
        <v>1.0713180641491</v>
      </c>
      <c r="D130">
        <v>1.06098905447676</v>
      </c>
      <c r="E130">
        <v>0.89968386690894198</v>
      </c>
      <c r="F130">
        <v>0.70528766209892102</v>
      </c>
      <c r="G130">
        <v>0.376517799310218</v>
      </c>
      <c r="H130">
        <v>0.212506326151536</v>
      </c>
      <c r="I130">
        <v>0.13390308333576401</v>
      </c>
      <c r="J130">
        <v>9.9527476918161495E-2</v>
      </c>
      <c r="K130">
        <v>7.7699132049989794E-2</v>
      </c>
      <c r="L130">
        <v>1156.49440419248</v>
      </c>
      <c r="M130">
        <v>21.0161969996416</v>
      </c>
      <c r="N130">
        <v>55.511394411462099</v>
      </c>
      <c r="O130">
        <v>54.537755347328499</v>
      </c>
      <c r="P130">
        <v>-8.8295393460533306E-2</v>
      </c>
      <c r="Q130">
        <v>8.3506169521033902E-2</v>
      </c>
      <c r="R130">
        <v>0.992456847117135</v>
      </c>
      <c r="S130" t="s">
        <v>5956</v>
      </c>
      <c r="T130" t="s">
        <v>11650</v>
      </c>
      <c r="U130" t="s">
        <v>11650</v>
      </c>
      <c r="V130" t="s">
        <v>11650</v>
      </c>
      <c r="W130" t="s">
        <v>11779</v>
      </c>
      <c r="X130">
        <v>3</v>
      </c>
      <c r="Y130" t="s">
        <v>17540</v>
      </c>
      <c r="Z130" t="s">
        <v>23192</v>
      </c>
      <c r="AA130">
        <v>0.55393590674208382</v>
      </c>
      <c r="AB130" t="str">
        <f>HYPERLINK("Melting_Curves/meltCurve_B4DEX5_PRNPIP.pdf", "Melting_Curves/meltCurve_B4DEX5_PRNPIP.pdf")</f>
        <v>Melting_Curves/meltCurve_B4DEX5_PRNPIP.pdf</v>
      </c>
    </row>
    <row r="131" spans="1:28" x14ac:dyDescent="0.25">
      <c r="A131" t="s">
        <v>135</v>
      </c>
      <c r="B131">
        <v>0.99996721820229495</v>
      </c>
      <c r="C131">
        <v>0.81859631489590001</v>
      </c>
      <c r="D131">
        <v>1.01896445558521</v>
      </c>
      <c r="E131">
        <v>1.3295313889331299</v>
      </c>
      <c r="F131">
        <v>1.8023272870445599</v>
      </c>
      <c r="G131">
        <v>1.18323693737143</v>
      </c>
      <c r="H131">
        <v>0.63201055306575504</v>
      </c>
      <c r="I131">
        <v>0.18705868550233901</v>
      </c>
      <c r="J131">
        <v>8.0634555694599597E-2</v>
      </c>
      <c r="K131">
        <v>3.2799555548901897E-2</v>
      </c>
      <c r="L131">
        <v>3590.3164631345098</v>
      </c>
      <c r="M131">
        <v>58.331897507812002</v>
      </c>
      <c r="N131">
        <v>61.6947884527751</v>
      </c>
      <c r="O131">
        <v>61.477582725628402</v>
      </c>
      <c r="P131">
        <v>-0.22201417408381099</v>
      </c>
      <c r="Q131">
        <v>6.4053181244551699E-2</v>
      </c>
      <c r="R131">
        <v>0.727625583316036</v>
      </c>
      <c r="S131" t="s">
        <v>5957</v>
      </c>
      <c r="T131" t="s">
        <v>11650</v>
      </c>
      <c r="U131" t="s">
        <v>11650</v>
      </c>
      <c r="V131" t="s">
        <v>11650</v>
      </c>
      <c r="W131" t="s">
        <v>11780</v>
      </c>
      <c r="X131">
        <v>2</v>
      </c>
      <c r="Y131" t="s">
        <v>17541</v>
      </c>
      <c r="Z131" t="s">
        <v>23193</v>
      </c>
      <c r="AA131">
        <v>0.73819411162540283</v>
      </c>
      <c r="AB131" t="str">
        <f>HYPERLINK("Melting_Curves/meltCurve_B4DEZ3_NDUFA13.pdf", "Melting_Curves/meltCurve_B4DEZ3_NDUFA13.pdf")</f>
        <v>Melting_Curves/meltCurve_B4DEZ3_NDUFA13.pdf</v>
      </c>
    </row>
    <row r="132" spans="1:28" x14ac:dyDescent="0.25">
      <c r="A132" t="s">
        <v>136</v>
      </c>
      <c r="B132">
        <v>0.99996721820229495</v>
      </c>
      <c r="C132">
        <v>1.0945882452812901</v>
      </c>
      <c r="D132">
        <v>0.99325128903883697</v>
      </c>
      <c r="E132">
        <v>0.76363452846650204</v>
      </c>
      <c r="F132">
        <v>0.81525374909256698</v>
      </c>
      <c r="G132">
        <v>0.73858143986516001</v>
      </c>
      <c r="H132">
        <v>0.42596668324861497</v>
      </c>
      <c r="I132">
        <v>0.418306227992506</v>
      </c>
      <c r="J132">
        <v>0.27441308307172402</v>
      </c>
      <c r="K132">
        <v>0.153619352766207</v>
      </c>
      <c r="L132">
        <v>623.11398078682498</v>
      </c>
      <c r="M132">
        <v>10.2844657653098</v>
      </c>
      <c r="N132">
        <v>60.5878939826436</v>
      </c>
      <c r="O132">
        <v>58.431265562767301</v>
      </c>
      <c r="P132">
        <v>-4.40216322093838E-2</v>
      </c>
      <c r="Q132">
        <v>0</v>
      </c>
      <c r="R132">
        <v>0.95301657155288799</v>
      </c>
      <c r="S132" t="s">
        <v>5958</v>
      </c>
      <c r="T132" t="s">
        <v>11650</v>
      </c>
      <c r="U132" t="s">
        <v>11650</v>
      </c>
      <c r="V132" t="s">
        <v>11650</v>
      </c>
      <c r="W132" t="s">
        <v>11781</v>
      </c>
      <c r="X132">
        <v>4</v>
      </c>
      <c r="Y132" t="s">
        <v>17542</v>
      </c>
      <c r="Z132" t="s">
        <v>23194</v>
      </c>
      <c r="AA132">
        <v>0.67888586161829234</v>
      </c>
      <c r="AB132" t="str">
        <f>HYPERLINK("Melting_Curves/meltCurve_B4DFG0_DEK.pdf", "Melting_Curves/meltCurve_B4DFG0_DEK.pdf")</f>
        <v>Melting_Curves/meltCurve_B4DFG0_DEK.pdf</v>
      </c>
    </row>
    <row r="133" spans="1:28" x14ac:dyDescent="0.25">
      <c r="A133" t="s">
        <v>137</v>
      </c>
      <c r="B133">
        <v>0.99996721820229495</v>
      </c>
      <c r="C133">
        <v>0.90489625482717995</v>
      </c>
      <c r="D133">
        <v>1.1089747631567299</v>
      </c>
      <c r="E133">
        <v>1.7235376912522999</v>
      </c>
      <c r="F133">
        <v>2.7926409095842999</v>
      </c>
      <c r="G133">
        <v>2.7634022742205699</v>
      </c>
      <c r="H133">
        <v>1.4237771589682899</v>
      </c>
      <c r="I133">
        <v>0.46666059049149</v>
      </c>
      <c r="J133">
        <v>0.21558650655186401</v>
      </c>
      <c r="K133">
        <v>0.159609905257797</v>
      </c>
      <c r="L133">
        <v>15000</v>
      </c>
      <c r="M133">
        <v>235.02246828550099</v>
      </c>
      <c r="N133">
        <v>63.951642045835598</v>
      </c>
      <c r="O133">
        <v>63.8190637280209</v>
      </c>
      <c r="P133">
        <v>-0.74795847198816101</v>
      </c>
      <c r="Q133">
        <v>0.18758389981596901</v>
      </c>
      <c r="R133">
        <v>0.11871982102968399</v>
      </c>
      <c r="S133" t="s">
        <v>5959</v>
      </c>
      <c r="T133" t="s">
        <v>11650</v>
      </c>
      <c r="U133" t="s">
        <v>11650</v>
      </c>
      <c r="V133" t="s">
        <v>11650</v>
      </c>
      <c r="W133" t="s">
        <v>11782</v>
      </c>
      <c r="X133">
        <v>26</v>
      </c>
      <c r="Y133" t="s">
        <v>17543</v>
      </c>
      <c r="Z133" t="s">
        <v>23195</v>
      </c>
      <c r="AA133">
        <v>0.83284504625186873</v>
      </c>
      <c r="AB133" t="str">
        <f>HYPERLINK("Melting_Curves/meltCurve_B4DGU4_CTNNB1.pdf", "Melting_Curves/meltCurve_B4DGU4_CTNNB1.pdf")</f>
        <v>Melting_Curves/meltCurve_B4DGU4_CTNNB1.pdf</v>
      </c>
    </row>
    <row r="134" spans="1:28" x14ac:dyDescent="0.25">
      <c r="A134" t="s">
        <v>138</v>
      </c>
      <c r="B134">
        <v>0.99996721820229495</v>
      </c>
      <c r="C134">
        <v>1.0080119773020699</v>
      </c>
      <c r="D134">
        <v>1.2648001926516399</v>
      </c>
      <c r="E134">
        <v>1.4473001719462899</v>
      </c>
      <c r="F134">
        <v>2.0618971032464599</v>
      </c>
      <c r="G134">
        <v>2.7957660371469202</v>
      </c>
      <c r="H134">
        <v>2.3066655491258699</v>
      </c>
      <c r="I134">
        <v>1.4963592348597201</v>
      </c>
      <c r="J134">
        <v>0.96227315476238995</v>
      </c>
      <c r="K134">
        <v>1.2044244872105201</v>
      </c>
      <c r="L134">
        <v>2698.6416993355601</v>
      </c>
      <c r="M134">
        <v>58.779526414033903</v>
      </c>
      <c r="O134">
        <v>45.858204408618597</v>
      </c>
      <c r="P134">
        <v>0.16022093562857001</v>
      </c>
      <c r="Q134">
        <v>1.5</v>
      </c>
      <c r="R134">
        <v>0.14612783006312999</v>
      </c>
      <c r="S134" t="s">
        <v>5960</v>
      </c>
      <c r="T134" t="s">
        <v>11650</v>
      </c>
      <c r="U134" t="s">
        <v>11650</v>
      </c>
      <c r="V134" t="s">
        <v>11650</v>
      </c>
      <c r="W134" t="s">
        <v>11783</v>
      </c>
      <c r="X134">
        <v>1</v>
      </c>
      <c r="Y134" t="s">
        <v>17544</v>
      </c>
      <c r="Z134" t="s">
        <v>23196</v>
      </c>
      <c r="AA134">
        <v>1.400745949231887</v>
      </c>
      <c r="AB134" t="str">
        <f>HYPERLINK("Melting_Curves/meltCurve_B4DGV4_RYR2.pdf", "Melting_Curves/meltCurve_B4DGV4_RYR2.pdf")</f>
        <v>Melting_Curves/meltCurve_B4DGV4_RYR2.pdf</v>
      </c>
    </row>
    <row r="135" spans="1:28" x14ac:dyDescent="0.25">
      <c r="A135" t="s">
        <v>139</v>
      </c>
      <c r="B135">
        <v>0.99996721820229495</v>
      </c>
      <c r="C135">
        <v>0.915050324432375</v>
      </c>
      <c r="D135">
        <v>0.92535840935233304</v>
      </c>
      <c r="E135">
        <v>1.139955906655</v>
      </c>
      <c r="F135">
        <v>0.63054744393136897</v>
      </c>
      <c r="G135">
        <v>0.44978327667477502</v>
      </c>
      <c r="H135">
        <v>0.227022022782119</v>
      </c>
      <c r="I135">
        <v>0.15705423859870801</v>
      </c>
      <c r="J135">
        <v>0.113074392262516</v>
      </c>
      <c r="K135">
        <v>8.1107619659416E-2</v>
      </c>
      <c r="L135">
        <v>1233.98566941268</v>
      </c>
      <c r="M135">
        <v>22.267909553699599</v>
      </c>
      <c r="N135">
        <v>55.985358636371302</v>
      </c>
      <c r="O135">
        <v>54.974314419742697</v>
      </c>
      <c r="P135">
        <v>-9.0997175066424699E-2</v>
      </c>
      <c r="Q135">
        <v>0.10141520452997101</v>
      </c>
      <c r="R135">
        <v>0.949175010292582</v>
      </c>
      <c r="S135" t="s">
        <v>5961</v>
      </c>
      <c r="T135" t="s">
        <v>11650</v>
      </c>
      <c r="U135" t="s">
        <v>11650</v>
      </c>
      <c r="V135" t="s">
        <v>11650</v>
      </c>
      <c r="W135" t="s">
        <v>11784</v>
      </c>
      <c r="X135">
        <v>6</v>
      </c>
      <c r="Y135" t="s">
        <v>17545</v>
      </c>
      <c r="Z135" t="s">
        <v>23197</v>
      </c>
      <c r="AA135">
        <v>0.57319588285143364</v>
      </c>
      <c r="AB135" t="str">
        <f>HYPERLINK("Melting_Curves/meltCurve_B4DGX2_PIP4K2A.pdf", "Melting_Curves/meltCurve_B4DGX2_PIP4K2A.pdf")</f>
        <v>Melting_Curves/meltCurve_B4DGX2_PIP4K2A.pdf</v>
      </c>
    </row>
    <row r="136" spans="1:28" x14ac:dyDescent="0.25">
      <c r="A136" t="s">
        <v>140</v>
      </c>
      <c r="B136">
        <v>0.99996721820229495</v>
      </c>
      <c r="C136">
        <v>1.0427458499179501</v>
      </c>
      <c r="D136">
        <v>0.95316786992935199</v>
      </c>
      <c r="E136">
        <v>0.76254929402435101</v>
      </c>
      <c r="F136">
        <v>0.54051275735105797</v>
      </c>
      <c r="G136">
        <v>0.35707152117063301</v>
      </c>
      <c r="H136">
        <v>0.198304376548433</v>
      </c>
      <c r="I136">
        <v>0.15907840407451401</v>
      </c>
      <c r="J136">
        <v>0.14786366442051099</v>
      </c>
      <c r="K136">
        <v>8.5067930089327906E-2</v>
      </c>
      <c r="L136">
        <v>865.79657258609802</v>
      </c>
      <c r="M136">
        <v>16.254554165259002</v>
      </c>
      <c r="N136">
        <v>53.990338092782999</v>
      </c>
      <c r="O136">
        <v>52.4782174722449</v>
      </c>
      <c r="P136">
        <v>-6.9843223811688906E-2</v>
      </c>
      <c r="Q136">
        <v>9.8104103543728005E-2</v>
      </c>
      <c r="R136">
        <v>0.99490386407707199</v>
      </c>
      <c r="S136" t="s">
        <v>5962</v>
      </c>
      <c r="T136" t="s">
        <v>11650</v>
      </c>
      <c r="U136" t="s">
        <v>11650</v>
      </c>
      <c r="V136" t="s">
        <v>11650</v>
      </c>
      <c r="W136" t="s">
        <v>11785</v>
      </c>
      <c r="X136">
        <v>14</v>
      </c>
      <c r="Y136" t="s">
        <v>17546</v>
      </c>
      <c r="Z136" t="s">
        <v>23198</v>
      </c>
      <c r="AA136">
        <v>0.51402859297348769</v>
      </c>
      <c r="AB136" t="str">
        <f>HYPERLINK("Melting_Curves/meltCurve_B4DH53_MAP1S.pdf", "Melting_Curves/meltCurve_B4DH53_MAP1S.pdf")</f>
        <v>Melting_Curves/meltCurve_B4DH53_MAP1S.pdf</v>
      </c>
    </row>
    <row r="137" spans="1:28" x14ac:dyDescent="0.25">
      <c r="A137" t="s">
        <v>141</v>
      </c>
      <c r="B137">
        <v>0.99996721820229495</v>
      </c>
      <c r="C137">
        <v>1.1488096950576401</v>
      </c>
      <c r="D137">
        <v>1.0679177622701399</v>
      </c>
      <c r="E137">
        <v>0.91924819536322799</v>
      </c>
      <c r="F137">
        <v>0.85594295306254198</v>
      </c>
      <c r="G137">
        <v>0.63999519001566996</v>
      </c>
      <c r="H137">
        <v>0.38451926197881903</v>
      </c>
      <c r="I137">
        <v>0.265943221917465</v>
      </c>
      <c r="J137">
        <v>0.187860229331685</v>
      </c>
      <c r="K137">
        <v>0.18158094318471801</v>
      </c>
      <c r="L137">
        <v>1042.05200176571</v>
      </c>
      <c r="M137">
        <v>17.9806804824252</v>
      </c>
      <c r="N137">
        <v>58.960685466888599</v>
      </c>
      <c r="O137">
        <v>57.251403414753497</v>
      </c>
      <c r="P137">
        <v>-6.8141683270998399E-2</v>
      </c>
      <c r="Q137">
        <v>0.132176626311196</v>
      </c>
      <c r="R137">
        <v>0.97707376722691897</v>
      </c>
      <c r="S137" t="s">
        <v>5963</v>
      </c>
      <c r="T137" t="s">
        <v>11650</v>
      </c>
      <c r="U137" t="s">
        <v>11650</v>
      </c>
      <c r="V137" t="s">
        <v>11650</v>
      </c>
      <c r="W137" t="s">
        <v>11786</v>
      </c>
      <c r="X137">
        <v>1</v>
      </c>
      <c r="Y137" t="s">
        <v>17547</v>
      </c>
      <c r="Z137" t="s">
        <v>23199</v>
      </c>
      <c r="AA137">
        <v>0.66234405177583555</v>
      </c>
      <c r="AB137" t="str">
        <f>HYPERLINK("Melting_Curves/meltCurve_B4DHE1_RPS6KC1.pdf", "Melting_Curves/meltCurve_B4DHE1_RPS6KC1.pdf")</f>
        <v>Melting_Curves/meltCurve_B4DHE1_RPS6KC1.pdf</v>
      </c>
    </row>
    <row r="138" spans="1:28" x14ac:dyDescent="0.25">
      <c r="A138" t="s">
        <v>142</v>
      </c>
      <c r="B138">
        <v>0.99996721820229495</v>
      </c>
      <c r="C138">
        <v>0.794582942026272</v>
      </c>
      <c r="D138">
        <v>0.75521678668718994</v>
      </c>
      <c r="E138">
        <v>1.01802998045377</v>
      </c>
      <c r="F138">
        <v>1.3736123431370499</v>
      </c>
      <c r="G138">
        <v>1.74155369481678</v>
      </c>
      <c r="H138">
        <v>1.5294798641380301</v>
      </c>
      <c r="I138">
        <v>1.20610840250712</v>
      </c>
      <c r="J138">
        <v>0.91179341330571795</v>
      </c>
      <c r="K138">
        <v>1.08597093995828</v>
      </c>
      <c r="L138">
        <v>12638.8695984695</v>
      </c>
      <c r="M138">
        <v>250</v>
      </c>
      <c r="O138">
        <v>50.552247201102098</v>
      </c>
      <c r="P138">
        <v>0.38090141191955501</v>
      </c>
      <c r="Q138">
        <v>1.3080867325080101</v>
      </c>
      <c r="R138">
        <v>0.39730944484083802</v>
      </c>
      <c r="S138" t="s">
        <v>5964</v>
      </c>
      <c r="T138" t="s">
        <v>11650</v>
      </c>
      <c r="U138" t="s">
        <v>11650</v>
      </c>
      <c r="V138" t="s">
        <v>11650</v>
      </c>
      <c r="W138" t="s">
        <v>11787</v>
      </c>
      <c r="X138">
        <v>9</v>
      </c>
      <c r="Y138" t="s">
        <v>17548</v>
      </c>
      <c r="Z138" t="s">
        <v>23200</v>
      </c>
      <c r="AA138">
        <v>1.1996593028491711</v>
      </c>
      <c r="AB138" t="str">
        <f>HYPERLINK("Melting_Curves/meltCurve_B4DHJ7_BNIP3.pdf", "Melting_Curves/meltCurve_B4DHJ7_BNIP3.pdf")</f>
        <v>Melting_Curves/meltCurve_B4DHJ7_BNIP3.pdf</v>
      </c>
    </row>
    <row r="139" spans="1:28" x14ac:dyDescent="0.25">
      <c r="A139" t="s">
        <v>143</v>
      </c>
      <c r="B139">
        <v>0.99996721820229495</v>
      </c>
      <c r="C139">
        <v>0.811818536294867</v>
      </c>
      <c r="D139">
        <v>0.68055082668871802</v>
      </c>
      <c r="E139">
        <v>0.71920260391841895</v>
      </c>
      <c r="F139">
        <v>1.0728575229642101</v>
      </c>
      <c r="G139">
        <v>1.2385502652776399</v>
      </c>
      <c r="H139">
        <v>1.0050513759819499</v>
      </c>
      <c r="I139">
        <v>1.18981526999633</v>
      </c>
      <c r="J139">
        <v>0.99164081256618297</v>
      </c>
      <c r="K139">
        <v>0.65004979290807596</v>
      </c>
      <c r="L139">
        <v>7301.5806098740304</v>
      </c>
      <c r="M139">
        <v>104.39197070300899</v>
      </c>
      <c r="O139">
        <v>69.918215681038703</v>
      </c>
      <c r="P139">
        <v>-0.25015249751045998</v>
      </c>
      <c r="Q139">
        <v>0.32982508629781898</v>
      </c>
      <c r="R139">
        <v>0.20574333000849701</v>
      </c>
      <c r="S139" t="s">
        <v>5965</v>
      </c>
      <c r="T139" t="s">
        <v>11650</v>
      </c>
      <c r="U139" t="s">
        <v>11650</v>
      </c>
      <c r="V139" t="s">
        <v>11650</v>
      </c>
      <c r="W139" t="s">
        <v>11788</v>
      </c>
      <c r="X139">
        <v>1</v>
      </c>
      <c r="Y139" t="s">
        <v>17549</v>
      </c>
      <c r="Z139" t="s">
        <v>23201</v>
      </c>
      <c r="AA139">
        <v>0.98921418947494477</v>
      </c>
      <c r="AB139" t="str">
        <f>HYPERLINK("Melting_Curves/meltCurve_B4DHN6_DNALI1.pdf", "Melting_Curves/meltCurve_B4DHN6_DNALI1.pdf")</f>
        <v>Melting_Curves/meltCurve_B4DHN6_DNALI1.pdf</v>
      </c>
    </row>
    <row r="140" spans="1:28" x14ac:dyDescent="0.25">
      <c r="A140" t="s">
        <v>144</v>
      </c>
      <c r="B140">
        <v>0.99996721820229495</v>
      </c>
      <c r="C140">
        <v>0.880565818109729</v>
      </c>
      <c r="D140">
        <v>1.1111923852613901</v>
      </c>
      <c r="E140">
        <v>1.42216910382717</v>
      </c>
      <c r="F140">
        <v>1.94324302680286</v>
      </c>
      <c r="G140">
        <v>2.0399901722960099</v>
      </c>
      <c r="H140">
        <v>1.6779096224769601</v>
      </c>
      <c r="I140">
        <v>0.83558236227458804</v>
      </c>
      <c r="J140">
        <v>0.41973865231971103</v>
      </c>
      <c r="K140">
        <v>0.37317017850494599</v>
      </c>
      <c r="L140">
        <v>15000</v>
      </c>
      <c r="M140">
        <v>233.39238419297999</v>
      </c>
      <c r="N140">
        <v>64.7059397318572</v>
      </c>
      <c r="O140">
        <v>64.264722651259703</v>
      </c>
      <c r="P140">
        <v>-0.54800176995351602</v>
      </c>
      <c r="Q140">
        <v>0.39642956080804698</v>
      </c>
      <c r="R140">
        <v>0.15001374372319201</v>
      </c>
      <c r="S140" t="s">
        <v>5966</v>
      </c>
      <c r="T140" t="s">
        <v>11650</v>
      </c>
      <c r="U140" t="s">
        <v>11650</v>
      </c>
      <c r="V140" t="s">
        <v>11650</v>
      </c>
      <c r="W140" t="s">
        <v>11789</v>
      </c>
      <c r="X140">
        <v>7</v>
      </c>
      <c r="Y140" t="s">
        <v>17550</v>
      </c>
      <c r="Z140" t="s">
        <v>23202</v>
      </c>
      <c r="AA140">
        <v>0.8847850798852317</v>
      </c>
      <c r="AB140" t="str">
        <f>HYPERLINK("Melting_Curves/meltCurve_B4DHW1_TMEM165.pdf", "Melting_Curves/meltCurve_B4DHW1_TMEM165.pdf")</f>
        <v>Melting_Curves/meltCurve_B4DHW1_TMEM165.pdf</v>
      </c>
    </row>
    <row r="141" spans="1:28" x14ac:dyDescent="0.25">
      <c r="A141" t="s">
        <v>145</v>
      </c>
      <c r="B141">
        <v>0.99996721820229495</v>
      </c>
      <c r="C141">
        <v>1.0091314238908999</v>
      </c>
      <c r="D141">
        <v>1.03963029515167</v>
      </c>
      <c r="E141">
        <v>1.0362424502651699</v>
      </c>
      <c r="F141">
        <v>1.16575454567867</v>
      </c>
      <c r="G141">
        <v>1.13433704327573</v>
      </c>
      <c r="H141">
        <v>0.54396104595662997</v>
      </c>
      <c r="I141">
        <v>0.22136691651805099</v>
      </c>
      <c r="J141">
        <v>0.13013592476622901</v>
      </c>
      <c r="K141">
        <v>7.5856451131041003E-2</v>
      </c>
      <c r="L141">
        <v>3875.3749965586298</v>
      </c>
      <c r="M141">
        <v>63.537436348858897</v>
      </c>
      <c r="N141">
        <v>61.269009535613201</v>
      </c>
      <c r="O141">
        <v>60.933230084121703</v>
      </c>
      <c r="P141">
        <v>-0.22829915267822801</v>
      </c>
      <c r="Q141">
        <v>0.124232770923043</v>
      </c>
      <c r="R141">
        <v>0.96788065085650599</v>
      </c>
      <c r="S141" t="s">
        <v>5967</v>
      </c>
      <c r="T141" t="s">
        <v>11650</v>
      </c>
      <c r="U141" t="s">
        <v>11650</v>
      </c>
      <c r="V141" t="s">
        <v>11650</v>
      </c>
      <c r="W141" t="s">
        <v>11790</v>
      </c>
      <c r="X141">
        <v>12</v>
      </c>
      <c r="Y141" t="s">
        <v>17551</v>
      </c>
      <c r="Z141" t="s">
        <v>23203</v>
      </c>
      <c r="AA141">
        <v>0.7385273157783151</v>
      </c>
      <c r="AB141" t="str">
        <f>HYPERLINK("Melting_Curves/meltCurve_B4DJA5_RAB5A.pdf", "Melting_Curves/meltCurve_B4DJA5_RAB5A.pdf")</f>
        <v>Melting_Curves/meltCurve_B4DJA5_RAB5A.pdf</v>
      </c>
    </row>
    <row r="142" spans="1:28" x14ac:dyDescent="0.25">
      <c r="A142" t="s">
        <v>146</v>
      </c>
      <c r="B142">
        <v>0.99996721820229495</v>
      </c>
      <c r="C142">
        <v>1.05532746807085</v>
      </c>
      <c r="D142">
        <v>1.0294759381712499</v>
      </c>
      <c r="E142">
        <v>1.30266797957754</v>
      </c>
      <c r="F142">
        <v>1.8902321422938699</v>
      </c>
      <c r="G142">
        <v>3.4124360582201998</v>
      </c>
      <c r="H142">
        <v>2.48700977666403</v>
      </c>
      <c r="I142">
        <v>1.4841253129140199</v>
      </c>
      <c r="J142">
        <v>0.54966904748204404</v>
      </c>
      <c r="K142">
        <v>0.58540349452237395</v>
      </c>
      <c r="L142">
        <v>14408.503437449799</v>
      </c>
      <c r="M142">
        <v>218.574570553304</v>
      </c>
      <c r="O142">
        <v>65.914791943561895</v>
      </c>
      <c r="P142">
        <v>-0.36278529121773601</v>
      </c>
      <c r="Q142">
        <v>0.562384284647785</v>
      </c>
      <c r="R142">
        <v>-0.26668843674492199</v>
      </c>
      <c r="S142" t="s">
        <v>5968</v>
      </c>
      <c r="T142" t="s">
        <v>11650</v>
      </c>
      <c r="U142" t="s">
        <v>11650</v>
      </c>
      <c r="V142" t="s">
        <v>11650</v>
      </c>
      <c r="W142" t="s">
        <v>11791</v>
      </c>
      <c r="X142">
        <v>6</v>
      </c>
      <c r="Y142" t="s">
        <v>17552</v>
      </c>
      <c r="Z142" t="s">
        <v>23204</v>
      </c>
      <c r="AA142">
        <v>0.94055500552565285</v>
      </c>
      <c r="AB142" t="str">
        <f>HYPERLINK("Melting_Curves/meltCurve_B4DJP7_SNRPD3.pdf", "Melting_Curves/meltCurve_B4DJP7_SNRPD3.pdf")</f>
        <v>Melting_Curves/meltCurve_B4DJP7_SNRPD3.pdf</v>
      </c>
    </row>
    <row r="143" spans="1:28" x14ac:dyDescent="0.25">
      <c r="A143" t="s">
        <v>147</v>
      </c>
      <c r="B143">
        <v>0.99996721820229495</v>
      </c>
      <c r="C143">
        <v>0.98680090231395401</v>
      </c>
      <c r="D143">
        <v>0.96815639345696103</v>
      </c>
      <c r="E143">
        <v>0.88345048162356099</v>
      </c>
      <c r="F143">
        <v>0.57090571505082899</v>
      </c>
      <c r="G143">
        <v>0.31383505352355201</v>
      </c>
      <c r="H143">
        <v>0.13469220498266099</v>
      </c>
      <c r="I143">
        <v>9.3337877204385494E-2</v>
      </c>
      <c r="J143">
        <v>7.0068331501842204E-2</v>
      </c>
      <c r="K143">
        <v>5.8971367768202998E-2</v>
      </c>
      <c r="L143">
        <v>1112.71752221508</v>
      </c>
      <c r="M143">
        <v>20.639254249774801</v>
      </c>
      <c r="N143">
        <v>54.229548997211502</v>
      </c>
      <c r="O143">
        <v>53.414215826692697</v>
      </c>
      <c r="P143">
        <v>-9.1115362121143004E-2</v>
      </c>
      <c r="Q143">
        <v>5.6803957312806699E-2</v>
      </c>
      <c r="R143">
        <v>0.997461996952549</v>
      </c>
      <c r="S143" t="s">
        <v>5969</v>
      </c>
      <c r="T143" t="s">
        <v>11650</v>
      </c>
      <c r="U143" t="s">
        <v>11650</v>
      </c>
      <c r="V143" t="s">
        <v>11650</v>
      </c>
      <c r="W143" t="s">
        <v>11792</v>
      </c>
      <c r="X143">
        <v>17</v>
      </c>
      <c r="Y143" t="s">
        <v>17553</v>
      </c>
      <c r="Z143" t="s">
        <v>23205</v>
      </c>
      <c r="AA143">
        <v>0.50640909281754642</v>
      </c>
      <c r="AB143" t="str">
        <f>HYPERLINK("Melting_Curves/meltCurve_B4DJV2_CS.pdf", "Melting_Curves/meltCurve_B4DJV2_CS.pdf")</f>
        <v>Melting_Curves/meltCurve_B4DJV2_CS.pdf</v>
      </c>
    </row>
    <row r="144" spans="1:28" x14ac:dyDescent="0.25">
      <c r="A144" t="s">
        <v>148</v>
      </c>
      <c r="B144">
        <v>0.99996721820229495</v>
      </c>
      <c r="C144">
        <v>0.75099271625372599</v>
      </c>
      <c r="D144">
        <v>0.78994919463499602</v>
      </c>
      <c r="E144">
        <v>0.76364999755191798</v>
      </c>
      <c r="F144">
        <v>0.89664176155377795</v>
      </c>
      <c r="G144">
        <v>0.85335771205908395</v>
      </c>
      <c r="H144">
        <v>0.59534585764791204</v>
      </c>
      <c r="I144">
        <v>0.33652828482428099</v>
      </c>
      <c r="J144">
        <v>0.227911899271205</v>
      </c>
      <c r="K144">
        <v>0.25286965569903602</v>
      </c>
      <c r="L144">
        <v>627.28390905372601</v>
      </c>
      <c r="M144">
        <v>10.1456466340435</v>
      </c>
      <c r="N144">
        <v>61.827900931041903</v>
      </c>
      <c r="O144">
        <v>59.570123394283499</v>
      </c>
      <c r="P144">
        <v>-4.2598181732719197E-2</v>
      </c>
      <c r="Q144">
        <v>0</v>
      </c>
      <c r="R144">
        <v>0.77907541240684397</v>
      </c>
      <c r="S144" t="s">
        <v>5970</v>
      </c>
      <c r="T144" t="s">
        <v>11650</v>
      </c>
      <c r="U144" t="s">
        <v>11650</v>
      </c>
      <c r="V144" t="s">
        <v>11650</v>
      </c>
      <c r="W144" t="s">
        <v>11793</v>
      </c>
      <c r="X144">
        <v>1</v>
      </c>
      <c r="Y144" t="s">
        <v>17554</v>
      </c>
      <c r="Z144" t="s">
        <v>23206</v>
      </c>
      <c r="AA144">
        <v>0.7088675975165899</v>
      </c>
      <c r="AB144" t="str">
        <f>HYPERLINK("Melting_Curves/meltCurve_B4DJZ1_SLC23A2.pdf", "Melting_Curves/meltCurve_B4DJZ1_SLC23A2.pdf")</f>
        <v>Melting_Curves/meltCurve_B4DJZ1_SLC23A2.pdf</v>
      </c>
    </row>
    <row r="145" spans="1:28" x14ac:dyDescent="0.25">
      <c r="A145" t="s">
        <v>149</v>
      </c>
      <c r="B145">
        <v>0.99996721820229495</v>
      </c>
      <c r="C145">
        <v>1.09377541356719</v>
      </c>
      <c r="D145">
        <v>1.1093166883746699</v>
      </c>
      <c r="E145">
        <v>1.02759250955554</v>
      </c>
      <c r="F145">
        <v>0.911559163316782</v>
      </c>
      <c r="G145">
        <v>0.49496384410821498</v>
      </c>
      <c r="H145">
        <v>0.197110245246544</v>
      </c>
      <c r="I145">
        <v>0.16128998433980499</v>
      </c>
      <c r="J145">
        <v>0.112057347584339</v>
      </c>
      <c r="K145">
        <v>5.4813100648290897E-2</v>
      </c>
      <c r="L145">
        <v>1763.19132852189</v>
      </c>
      <c r="M145">
        <v>31.120213548602699</v>
      </c>
      <c r="N145">
        <v>57.060717803768704</v>
      </c>
      <c r="O145">
        <v>56.4250208274863</v>
      </c>
      <c r="P145">
        <v>-0.124271958272362</v>
      </c>
      <c r="Q145">
        <v>9.8719779038085403E-2</v>
      </c>
      <c r="R145">
        <v>0.98559358707451294</v>
      </c>
      <c r="S145" t="s">
        <v>5971</v>
      </c>
      <c r="T145" t="s">
        <v>11650</v>
      </c>
      <c r="U145" t="s">
        <v>11650</v>
      </c>
      <c r="V145" t="s">
        <v>11650</v>
      </c>
      <c r="W145" t="s">
        <v>11794</v>
      </c>
      <c r="X145">
        <v>3</v>
      </c>
      <c r="Y145" t="s">
        <v>17555</v>
      </c>
      <c r="Z145" t="s">
        <v>23207</v>
      </c>
      <c r="AA145">
        <v>0.60477968939380267</v>
      </c>
      <c r="AB145" t="str">
        <f>HYPERLINK("Melting_Curves/meltCurve_B4DK95_ZYG11B.pdf", "Melting_Curves/meltCurve_B4DK95_ZYG11B.pdf")</f>
        <v>Melting_Curves/meltCurve_B4DK95_ZYG11B.pdf</v>
      </c>
    </row>
    <row r="146" spans="1:28" x14ac:dyDescent="0.25">
      <c r="A146" t="s">
        <v>150</v>
      </c>
      <c r="B146">
        <v>0.99996721820229495</v>
      </c>
      <c r="C146">
        <v>1.0054523288448201</v>
      </c>
      <c r="D146">
        <v>1.1110377611262401</v>
      </c>
      <c r="E146">
        <v>2.0226126127022401</v>
      </c>
      <c r="F146">
        <v>2.7200290864177101</v>
      </c>
      <c r="G146">
        <v>4.2210549057371596</v>
      </c>
      <c r="H146">
        <v>3.1121993230315299</v>
      </c>
      <c r="I146">
        <v>0.94560390335876698</v>
      </c>
      <c r="J146">
        <v>0.24507804238309799</v>
      </c>
      <c r="K146">
        <v>0.158917270065151</v>
      </c>
      <c r="L146">
        <v>7531.0282632699</v>
      </c>
      <c r="M146">
        <v>114.66189420539899</v>
      </c>
      <c r="N146">
        <v>65.904670026455605</v>
      </c>
      <c r="O146">
        <v>65.660333019728398</v>
      </c>
      <c r="P146">
        <v>-0.36602646422820501</v>
      </c>
      <c r="Q146">
        <v>0.16159003119382101</v>
      </c>
      <c r="R146">
        <v>-0.18924342619839199</v>
      </c>
      <c r="S146" t="s">
        <v>5972</v>
      </c>
      <c r="T146" t="s">
        <v>11650</v>
      </c>
      <c r="U146" t="s">
        <v>11650</v>
      </c>
      <c r="V146" t="s">
        <v>11650</v>
      </c>
      <c r="W146" t="s">
        <v>11795</v>
      </c>
      <c r="X146">
        <v>7</v>
      </c>
      <c r="Y146" t="s">
        <v>17556</v>
      </c>
      <c r="Z146" t="s">
        <v>23208</v>
      </c>
      <c r="AA146">
        <v>0.87972164805567832</v>
      </c>
      <c r="AB146" t="str">
        <f>HYPERLINK("Melting_Curves/meltCurve_B4DL14_ATP5C1.pdf", "Melting_Curves/meltCurve_B4DL14_ATP5C1.pdf")</f>
        <v>Melting_Curves/meltCurve_B4DL14_ATP5C1.pdf</v>
      </c>
    </row>
    <row r="147" spans="1:28" x14ac:dyDescent="0.25">
      <c r="A147" t="s">
        <v>151</v>
      </c>
      <c r="B147">
        <v>0.99996721820229495</v>
      </c>
      <c r="C147">
        <v>1.07137853711583</v>
      </c>
      <c r="D147">
        <v>0.89534454568134103</v>
      </c>
      <c r="E147">
        <v>0.72648168439419802</v>
      </c>
      <c r="F147">
        <v>0.60995361360844003</v>
      </c>
      <c r="G147">
        <v>0.60761800122211795</v>
      </c>
      <c r="H147">
        <v>0.25430067551027002</v>
      </c>
      <c r="I147">
        <v>0.224149914032024</v>
      </c>
      <c r="J147">
        <v>0.168372976156206</v>
      </c>
      <c r="K147">
        <v>0.17038085576251799</v>
      </c>
      <c r="L147">
        <v>583.39626592464595</v>
      </c>
      <c r="M147">
        <v>10.420238254203101</v>
      </c>
      <c r="N147">
        <v>56.380349865105003</v>
      </c>
      <c r="O147">
        <v>54.042664121672701</v>
      </c>
      <c r="P147">
        <v>-4.6532432461136898E-2</v>
      </c>
      <c r="Q147">
        <v>3.5072997426192999E-2</v>
      </c>
      <c r="R147">
        <v>0.96210810348303499</v>
      </c>
      <c r="S147" t="s">
        <v>5973</v>
      </c>
      <c r="T147" t="s">
        <v>11650</v>
      </c>
      <c r="U147" t="s">
        <v>11650</v>
      </c>
      <c r="V147" t="s">
        <v>11650</v>
      </c>
      <c r="W147" t="s">
        <v>11796</v>
      </c>
      <c r="X147">
        <v>7</v>
      </c>
      <c r="Y147" t="s">
        <v>17557</v>
      </c>
      <c r="Z147" t="s">
        <v>23209</v>
      </c>
      <c r="AA147">
        <v>0.56966861827586268</v>
      </c>
      <c r="AB147" t="str">
        <f>HYPERLINK("Melting_Curves/meltCurve_B4DL54_CHURC1_FNTB.pdf", "Melting_Curves/meltCurve_B4DL54_CHURC1_FNTB.pdf")</f>
        <v>Melting_Curves/meltCurve_B4DL54_CHURC1_FNTB.pdf</v>
      </c>
    </row>
    <row r="148" spans="1:28" x14ac:dyDescent="0.25">
      <c r="A148" t="s">
        <v>152</v>
      </c>
      <c r="B148">
        <v>0.99996721820229495</v>
      </c>
      <c r="C148">
        <v>1.04173935603548</v>
      </c>
      <c r="D148">
        <v>1.0162830522975499</v>
      </c>
      <c r="E148">
        <v>0.95656254736003299</v>
      </c>
      <c r="F148">
        <v>1.1600003529896299</v>
      </c>
      <c r="G148">
        <v>1.3755725771902101</v>
      </c>
      <c r="H148">
        <v>1.0460693443597799</v>
      </c>
      <c r="I148">
        <v>0.88522162082730205</v>
      </c>
      <c r="J148">
        <v>0.74948528828386995</v>
      </c>
      <c r="K148">
        <v>0.61996668656493004</v>
      </c>
      <c r="L148">
        <v>2882.5035355932</v>
      </c>
      <c r="M148">
        <v>43.695605221351698</v>
      </c>
      <c r="O148">
        <v>65.830110542174694</v>
      </c>
      <c r="P148">
        <v>-6.6909262848867501E-2</v>
      </c>
      <c r="Q148">
        <v>0.59678906331645698</v>
      </c>
      <c r="R148">
        <v>0.55107187113024303</v>
      </c>
      <c r="S148" t="s">
        <v>5974</v>
      </c>
      <c r="T148" t="s">
        <v>11650</v>
      </c>
      <c r="U148" t="s">
        <v>11650</v>
      </c>
      <c r="V148" t="s">
        <v>11650</v>
      </c>
      <c r="W148" t="s">
        <v>11797</v>
      </c>
      <c r="X148">
        <v>12</v>
      </c>
      <c r="Y148" t="s">
        <v>17558</v>
      </c>
      <c r="Z148" t="s">
        <v>23210</v>
      </c>
      <c r="AA148">
        <v>0.94547670176030241</v>
      </c>
      <c r="AB148" t="str">
        <f>HYPERLINK("Melting_Curves/meltCurve_B4DLE8_CRYBG3.pdf", "Melting_Curves/meltCurve_B4DLE8_CRYBG3.pdf")</f>
        <v>Melting_Curves/meltCurve_B4DLE8_CRYBG3.pdf</v>
      </c>
    </row>
    <row r="149" spans="1:28" x14ac:dyDescent="0.25">
      <c r="A149" t="s">
        <v>153</v>
      </c>
      <c r="B149">
        <v>0.99996721820229495</v>
      </c>
      <c r="C149">
        <v>0.92519144473755399</v>
      </c>
      <c r="D149">
        <v>0.87692228829284802</v>
      </c>
      <c r="E149">
        <v>0.74085153551654803</v>
      </c>
      <c r="F149">
        <v>0.34997394185199698</v>
      </c>
      <c r="G149">
        <v>0.19233995333947501</v>
      </c>
      <c r="H149">
        <v>0.108211721059448</v>
      </c>
      <c r="I149">
        <v>7.2059875961473993E-2</v>
      </c>
      <c r="J149">
        <v>5.73459442171661E-2</v>
      </c>
      <c r="K149">
        <v>4.56030604711406E-2</v>
      </c>
      <c r="L149">
        <v>1011.21831273983</v>
      </c>
      <c r="M149">
        <v>19.583251568878602</v>
      </c>
      <c r="N149">
        <v>51.909544263834597</v>
      </c>
      <c r="O149">
        <v>51.107493585787999</v>
      </c>
      <c r="P149">
        <v>-9.1115922544847794E-2</v>
      </c>
      <c r="Q149">
        <v>4.8872611841713799E-2</v>
      </c>
      <c r="R149">
        <v>0.99049766667186001</v>
      </c>
      <c r="S149" t="s">
        <v>5975</v>
      </c>
      <c r="T149" t="s">
        <v>11650</v>
      </c>
      <c r="U149" t="s">
        <v>11650</v>
      </c>
      <c r="V149" t="s">
        <v>11650</v>
      </c>
      <c r="W149" t="s">
        <v>11798</v>
      </c>
      <c r="X149">
        <v>11</v>
      </c>
      <c r="Y149" t="s">
        <v>17559</v>
      </c>
      <c r="Z149" t="s">
        <v>23211</v>
      </c>
      <c r="AA149">
        <v>0.43150484088287921</v>
      </c>
      <c r="AB149" t="str">
        <f>HYPERLINK("Melting_Curves/meltCurve_B4DLR8_NQO1.pdf", "Melting_Curves/meltCurve_B4DLR8_NQO1.pdf")</f>
        <v>Melting_Curves/meltCurve_B4DLR8_NQO1.pdf</v>
      </c>
    </row>
    <row r="150" spans="1:28" x14ac:dyDescent="0.25">
      <c r="A150" t="s">
        <v>154</v>
      </c>
      <c r="B150">
        <v>0.99996721820229495</v>
      </c>
      <c r="C150">
        <v>0.99389350998808201</v>
      </c>
      <c r="D150">
        <v>0.90378536810208399</v>
      </c>
      <c r="E150">
        <v>0.73747556524566804</v>
      </c>
      <c r="F150">
        <v>0.44548973922360602</v>
      </c>
      <c r="G150">
        <v>0.42368007725817303</v>
      </c>
      <c r="H150">
        <v>0.250552661672168</v>
      </c>
      <c r="I150">
        <v>0.120695332821566</v>
      </c>
      <c r="J150">
        <v>7.4038481000621298E-2</v>
      </c>
      <c r="K150">
        <v>6.3918277189806305E-2</v>
      </c>
      <c r="L150">
        <v>624.14106280446197</v>
      </c>
      <c r="M150">
        <v>11.556144288812201</v>
      </c>
      <c r="N150">
        <v>54.0094554111691</v>
      </c>
      <c r="O150">
        <v>52.468116218898203</v>
      </c>
      <c r="P150">
        <v>-5.5078056867596203E-2</v>
      </c>
      <c r="Q150">
        <v>0</v>
      </c>
      <c r="R150">
        <v>0.98271727861300195</v>
      </c>
      <c r="S150" t="s">
        <v>5976</v>
      </c>
      <c r="T150" t="s">
        <v>11650</v>
      </c>
      <c r="U150" t="s">
        <v>11650</v>
      </c>
      <c r="V150" t="s">
        <v>11650</v>
      </c>
      <c r="W150" t="s">
        <v>11799</v>
      </c>
      <c r="X150">
        <v>8</v>
      </c>
      <c r="Y150" t="s">
        <v>17560</v>
      </c>
      <c r="Z150" t="s">
        <v>23212</v>
      </c>
      <c r="AA150">
        <v>0.49397104902722477</v>
      </c>
      <c r="AB150" t="str">
        <f>HYPERLINK("Melting_Curves/meltCurve_B4DLT4_RPS6KB1.pdf", "Melting_Curves/meltCurve_B4DLT4_RPS6KB1.pdf")</f>
        <v>Melting_Curves/meltCurve_B4DLT4_RPS6KB1.pdf</v>
      </c>
    </row>
    <row r="151" spans="1:28" x14ac:dyDescent="0.25">
      <c r="A151" t="s">
        <v>155</v>
      </c>
      <c r="B151">
        <v>0.99996721820229495</v>
      </c>
      <c r="C151">
        <v>0.939784799819816</v>
      </c>
      <c r="D151">
        <v>0.91964253521986705</v>
      </c>
      <c r="E151">
        <v>0.88150721168781898</v>
      </c>
      <c r="F151">
        <v>0.50993914475512503</v>
      </c>
      <c r="G151">
        <v>0.29626376980362601</v>
      </c>
      <c r="H151">
        <v>0.20457723161939001</v>
      </c>
      <c r="I151">
        <v>0.113332948146507</v>
      </c>
      <c r="J151">
        <v>4.9802115205767501E-2</v>
      </c>
      <c r="K151">
        <v>6.2849687766556306E-2</v>
      </c>
      <c r="L151">
        <v>970.58132208490701</v>
      </c>
      <c r="M151">
        <v>18.116595964292198</v>
      </c>
      <c r="N151">
        <v>53.946183204491199</v>
      </c>
      <c r="O151">
        <v>52.934191238266202</v>
      </c>
      <c r="P151">
        <v>-8.0541517860448594E-2</v>
      </c>
      <c r="Q151">
        <v>5.8720509058599199E-2</v>
      </c>
      <c r="R151">
        <v>0.98675080981521102</v>
      </c>
      <c r="S151" t="s">
        <v>5977</v>
      </c>
      <c r="T151" t="s">
        <v>11650</v>
      </c>
      <c r="U151" t="s">
        <v>11650</v>
      </c>
      <c r="V151" t="s">
        <v>11650</v>
      </c>
      <c r="W151" t="s">
        <v>11800</v>
      </c>
      <c r="X151">
        <v>6</v>
      </c>
      <c r="Y151" t="s">
        <v>17561</v>
      </c>
      <c r="Z151" t="s">
        <v>23213</v>
      </c>
      <c r="AA151">
        <v>0.49969787191009279</v>
      </c>
      <c r="AB151" t="str">
        <f>HYPERLINK("Melting_Curves/meltCurve_B4DLU3_PGS1.pdf", "Melting_Curves/meltCurve_B4DLU3_PGS1.pdf")</f>
        <v>Melting_Curves/meltCurve_B4DLU3_PGS1.pdf</v>
      </c>
    </row>
    <row r="152" spans="1:28" x14ac:dyDescent="0.25">
      <c r="A152" t="s">
        <v>156</v>
      </c>
      <c r="B152">
        <v>0.99996721820229495</v>
      </c>
      <c r="C152">
        <v>0.68751978940023195</v>
      </c>
      <c r="D152">
        <v>0.62711118757023798</v>
      </c>
      <c r="E152">
        <v>0.87519789999794095</v>
      </c>
      <c r="F152">
        <v>1.0598956917101301</v>
      </c>
      <c r="G152">
        <v>8.4564997044987295E-2</v>
      </c>
      <c r="H152">
        <v>3.52498167785762E-2</v>
      </c>
      <c r="I152">
        <v>1.35034566723389E-2</v>
      </c>
      <c r="J152">
        <v>1.2932107132977599E-2</v>
      </c>
      <c r="K152">
        <v>1.1426049396338799E-2</v>
      </c>
      <c r="L152">
        <v>14100.3521244202</v>
      </c>
      <c r="M152">
        <v>250</v>
      </c>
      <c r="N152">
        <v>56.409801775176597</v>
      </c>
      <c r="O152">
        <v>56.397823904693503</v>
      </c>
      <c r="P152">
        <v>-1.08794378567171</v>
      </c>
      <c r="Q152">
        <v>1.8277835881588302E-2</v>
      </c>
      <c r="R152">
        <v>0.85933441717287595</v>
      </c>
      <c r="S152" t="s">
        <v>5978</v>
      </c>
      <c r="T152" t="s">
        <v>11650</v>
      </c>
      <c r="U152" t="s">
        <v>11650</v>
      </c>
      <c r="V152" t="s">
        <v>11650</v>
      </c>
      <c r="W152" t="s">
        <v>11801</v>
      </c>
      <c r="X152">
        <v>20</v>
      </c>
      <c r="Y152" t="s">
        <v>17562</v>
      </c>
      <c r="Z152" t="s">
        <v>23214</v>
      </c>
      <c r="AA152">
        <v>0.55509588510092367</v>
      </c>
      <c r="AB152" t="str">
        <f>HYPERLINK("Melting_Curves/meltCurve_B4DMK0_RAB11B.pdf", "Melting_Curves/meltCurve_B4DMK0_RAB11B.pdf")</f>
        <v>Melting_Curves/meltCurve_B4DMK0_RAB11B.pdf</v>
      </c>
    </row>
    <row r="153" spans="1:28" x14ac:dyDescent="0.25">
      <c r="A153" t="s">
        <v>157</v>
      </c>
      <c r="B153">
        <v>0.99996721820229495</v>
      </c>
      <c r="C153">
        <v>1.10605918576327</v>
      </c>
      <c r="D153">
        <v>0.96342448706633499</v>
      </c>
      <c r="E153">
        <v>0.68258089045899295</v>
      </c>
      <c r="F153">
        <v>0.40902927365839697</v>
      </c>
      <c r="G153">
        <v>0.316517911509129</v>
      </c>
      <c r="H153">
        <v>0.18216836198085401</v>
      </c>
      <c r="I153">
        <v>0.13788826530121001</v>
      </c>
      <c r="J153">
        <v>0.114197208463429</v>
      </c>
      <c r="K153">
        <v>9.2961968692994806E-2</v>
      </c>
      <c r="L153">
        <v>1029.6463192352201</v>
      </c>
      <c r="M153">
        <v>19.9431459910538</v>
      </c>
      <c r="N153">
        <v>52.3758464528023</v>
      </c>
      <c r="O153">
        <v>51.118381684923897</v>
      </c>
      <c r="P153">
        <v>-8.5467412251225394E-2</v>
      </c>
      <c r="Q153">
        <v>0.123746672400829</v>
      </c>
      <c r="R153">
        <v>0.98232113984172498</v>
      </c>
      <c r="S153" t="s">
        <v>5979</v>
      </c>
      <c r="T153" t="s">
        <v>11650</v>
      </c>
      <c r="U153" t="s">
        <v>11650</v>
      </c>
      <c r="V153" t="s">
        <v>11650</v>
      </c>
      <c r="W153" t="s">
        <v>11802</v>
      </c>
      <c r="X153">
        <v>10</v>
      </c>
      <c r="Y153" t="s">
        <v>17563</v>
      </c>
      <c r="Z153" t="s">
        <v>23215</v>
      </c>
      <c r="AA153">
        <v>0.47561994264693441</v>
      </c>
      <c r="AB153" t="str">
        <f>HYPERLINK("Melting_Curves/meltCurve_B4DP21_PTGES3.pdf", "Melting_Curves/meltCurve_B4DP21_PTGES3.pdf")</f>
        <v>Melting_Curves/meltCurve_B4DP21_PTGES3.pdf</v>
      </c>
    </row>
    <row r="154" spans="1:28" x14ac:dyDescent="0.25">
      <c r="A154" t="s">
        <v>158</v>
      </c>
      <c r="B154">
        <v>0.99996721820229495</v>
      </c>
      <c r="C154">
        <v>1.00594485468617</v>
      </c>
      <c r="D154">
        <v>1.11938088056117</v>
      </c>
      <c r="E154">
        <v>2.0061698131616801</v>
      </c>
      <c r="F154">
        <v>3.0970725708801798</v>
      </c>
      <c r="G154">
        <v>1.4276531103415</v>
      </c>
      <c r="H154">
        <v>0.63282543615082498</v>
      </c>
      <c r="I154">
        <v>0.47638643277645099</v>
      </c>
      <c r="J154">
        <v>0.27353528821116802</v>
      </c>
      <c r="K154">
        <v>0.15209122504786299</v>
      </c>
      <c r="L154">
        <v>2760.56009488158</v>
      </c>
      <c r="M154">
        <v>44.503589371268198</v>
      </c>
      <c r="N154">
        <v>62.854747717517498</v>
      </c>
      <c r="O154">
        <v>61.905205619883397</v>
      </c>
      <c r="P154">
        <v>-0.13997923227470299</v>
      </c>
      <c r="Q154">
        <v>0.22114773559793099</v>
      </c>
      <c r="R154">
        <v>0.20638066868970401</v>
      </c>
      <c r="S154" t="s">
        <v>5980</v>
      </c>
      <c r="T154" t="s">
        <v>11650</v>
      </c>
      <c r="U154" t="s">
        <v>11650</v>
      </c>
      <c r="V154" t="s">
        <v>11650</v>
      </c>
      <c r="W154" t="s">
        <v>11803</v>
      </c>
      <c r="X154">
        <v>1</v>
      </c>
      <c r="Y154" t="s">
        <v>17564</v>
      </c>
      <c r="Z154" t="s">
        <v>23216</v>
      </c>
      <c r="AA154">
        <v>0.79547489677307581</v>
      </c>
      <c r="AB154" t="str">
        <f>HYPERLINK("Melting_Curves/meltCurve_B4DP38_WDR77.pdf", "Melting_Curves/meltCurve_B4DP38_WDR77.pdf")</f>
        <v>Melting_Curves/meltCurve_B4DP38_WDR77.pdf</v>
      </c>
    </row>
    <row r="155" spans="1:28" x14ac:dyDescent="0.25">
      <c r="A155" t="s">
        <v>159</v>
      </c>
      <c r="B155">
        <v>0.99996721820229495</v>
      </c>
      <c r="C155">
        <v>1.04089496710817</v>
      </c>
      <c r="D155">
        <v>0.85746058827417404</v>
      </c>
      <c r="E155">
        <v>0.54735914330318802</v>
      </c>
      <c r="F155">
        <v>0.35586803649460103</v>
      </c>
      <c r="G155">
        <v>0.26028541008289802</v>
      </c>
      <c r="H155">
        <v>0.17160042586052199</v>
      </c>
      <c r="I155">
        <v>0.100676751522856</v>
      </c>
      <c r="J155">
        <v>9.9748725190790796E-2</v>
      </c>
      <c r="K155">
        <v>6.2699823270729399E-2</v>
      </c>
      <c r="L155">
        <v>868.68018631724999</v>
      </c>
      <c r="M155">
        <v>17.226670620687099</v>
      </c>
      <c r="N155">
        <v>51.047041062369203</v>
      </c>
      <c r="O155">
        <v>49.761663970354498</v>
      </c>
      <c r="P155">
        <v>-7.8374214360175304E-2</v>
      </c>
      <c r="Q155">
        <v>9.4473427017391406E-2</v>
      </c>
      <c r="R155">
        <v>0.989273220498188</v>
      </c>
      <c r="S155" t="s">
        <v>5981</v>
      </c>
      <c r="T155" t="s">
        <v>11650</v>
      </c>
      <c r="U155" t="s">
        <v>11650</v>
      </c>
      <c r="V155" t="s">
        <v>11650</v>
      </c>
      <c r="W155" t="s">
        <v>11804</v>
      </c>
      <c r="X155">
        <v>5</v>
      </c>
      <c r="Y155" t="s">
        <v>17565</v>
      </c>
      <c r="Z155" t="s">
        <v>23217</v>
      </c>
      <c r="AA155">
        <v>0.42584444708526542</v>
      </c>
      <c r="AB155" t="str">
        <f>HYPERLINK("Melting_Curves/meltCurve_B4DPY5_SNX11.pdf", "Melting_Curves/meltCurve_B4DPY5_SNX11.pdf")</f>
        <v>Melting_Curves/meltCurve_B4DPY5_SNX11.pdf</v>
      </c>
    </row>
    <row r="156" spans="1:28" x14ac:dyDescent="0.25">
      <c r="A156" t="s">
        <v>160</v>
      </c>
      <c r="B156">
        <v>0.99996721820229495</v>
      </c>
      <c r="C156">
        <v>0.97541659447278695</v>
      </c>
      <c r="D156">
        <v>0.91637420134766601</v>
      </c>
      <c r="E156">
        <v>0.84450848678102497</v>
      </c>
      <c r="F156">
        <v>1.0200266032347201</v>
      </c>
      <c r="G156">
        <v>0.98311306918088104</v>
      </c>
      <c r="H156">
        <v>0.74309976181795701</v>
      </c>
      <c r="I156">
        <v>0.73004179950152703</v>
      </c>
      <c r="J156">
        <v>0.73900719276984295</v>
      </c>
      <c r="K156">
        <v>0.47966507016712701</v>
      </c>
      <c r="L156">
        <v>653.57735061659798</v>
      </c>
      <c r="M156">
        <v>9.1769665389131898</v>
      </c>
      <c r="O156">
        <v>68.082171849143904</v>
      </c>
      <c r="P156">
        <v>-3.3720858061430499E-2</v>
      </c>
      <c r="Q156">
        <v>0</v>
      </c>
      <c r="R156">
        <v>0.79572760057560099</v>
      </c>
      <c r="S156" t="s">
        <v>5982</v>
      </c>
      <c r="T156" t="s">
        <v>11650</v>
      </c>
      <c r="U156" t="s">
        <v>11650</v>
      </c>
      <c r="V156" t="s">
        <v>11650</v>
      </c>
      <c r="W156" t="s">
        <v>11805</v>
      </c>
      <c r="X156">
        <v>3</v>
      </c>
      <c r="Y156" t="s">
        <v>17566</v>
      </c>
      <c r="Z156" t="s">
        <v>23218</v>
      </c>
      <c r="AA156">
        <v>0.87500387359977438</v>
      </c>
      <c r="AB156" t="str">
        <f>HYPERLINK("Melting_Curves/meltCurve_B4DPY8_TOX4.pdf", "Melting_Curves/meltCurve_B4DPY8_TOX4.pdf")</f>
        <v>Melting_Curves/meltCurve_B4DPY8_TOX4.pdf</v>
      </c>
    </row>
    <row r="157" spans="1:28" x14ac:dyDescent="0.25">
      <c r="A157" t="s">
        <v>161</v>
      </c>
      <c r="B157">
        <v>0.99996721820229495</v>
      </c>
      <c r="C157">
        <v>1.0505278636514299</v>
      </c>
      <c r="D157">
        <v>0.95707016114631305</v>
      </c>
      <c r="E157">
        <v>0.98251898895690404</v>
      </c>
      <c r="F157">
        <v>0.79706116795800397</v>
      </c>
      <c r="G157">
        <v>0.67623587933208396</v>
      </c>
      <c r="H157">
        <v>0.47121209676220299</v>
      </c>
      <c r="I157">
        <v>0.36628448350731102</v>
      </c>
      <c r="J157">
        <v>0.30797858234646203</v>
      </c>
      <c r="K157">
        <v>0.22843330868974299</v>
      </c>
      <c r="L157">
        <v>799.68423466397201</v>
      </c>
      <c r="M157">
        <v>13.616305269191299</v>
      </c>
      <c r="N157">
        <v>60.423113517551698</v>
      </c>
      <c r="O157">
        <v>57.506582256285199</v>
      </c>
      <c r="P157">
        <v>-4.9813361132204199E-2</v>
      </c>
      <c r="Q157">
        <v>0.15860473292449301</v>
      </c>
      <c r="R157">
        <v>0.989635675236473</v>
      </c>
      <c r="S157" t="s">
        <v>5983</v>
      </c>
      <c r="T157" t="s">
        <v>11650</v>
      </c>
      <c r="U157" t="s">
        <v>11650</v>
      </c>
      <c r="V157" t="s">
        <v>11650</v>
      </c>
      <c r="W157" t="s">
        <v>11806</v>
      </c>
      <c r="X157">
        <v>14</v>
      </c>
      <c r="Y157" t="s">
        <v>17567</v>
      </c>
      <c r="Z157" t="s">
        <v>23219</v>
      </c>
      <c r="AA157">
        <v>0.6930084449674665</v>
      </c>
      <c r="AB157" t="str">
        <f>HYPERLINK("Melting_Curves/meltCurve_B4DQ14_EIF2A.pdf", "Melting_Curves/meltCurve_B4DQ14_EIF2A.pdf")</f>
        <v>Melting_Curves/meltCurve_B4DQ14_EIF2A.pdf</v>
      </c>
    </row>
    <row r="158" spans="1:28" x14ac:dyDescent="0.25">
      <c r="A158" t="s">
        <v>162</v>
      </c>
      <c r="B158">
        <v>0.99996721820229495</v>
      </c>
      <c r="C158">
        <v>0.76298695655704996</v>
      </c>
      <c r="D158">
        <v>0.83883695069178199</v>
      </c>
      <c r="E158">
        <v>1.1359636512498801</v>
      </c>
      <c r="F158">
        <v>1.82064863658147</v>
      </c>
      <c r="G158">
        <v>1.66814929980455</v>
      </c>
      <c r="H158">
        <v>1.1427597182767599</v>
      </c>
      <c r="I158">
        <v>0.63348193849993795</v>
      </c>
      <c r="J158">
        <v>0.35617639825566899</v>
      </c>
      <c r="K158">
        <v>0.34911520314858102</v>
      </c>
      <c r="L158">
        <v>15000</v>
      </c>
      <c r="M158">
        <v>234.641198299645</v>
      </c>
      <c r="N158">
        <v>64.261989654067193</v>
      </c>
      <c r="O158">
        <v>63.922753024269802</v>
      </c>
      <c r="P158">
        <v>-0.59406819541298705</v>
      </c>
      <c r="Q158">
        <v>0.35263760757986601</v>
      </c>
      <c r="R158">
        <v>0.43718848525269899</v>
      </c>
      <c r="S158" t="s">
        <v>5984</v>
      </c>
      <c r="T158" t="s">
        <v>11650</v>
      </c>
      <c r="U158" t="s">
        <v>11650</v>
      </c>
      <c r="V158" t="s">
        <v>11650</v>
      </c>
      <c r="W158" t="s">
        <v>11807</v>
      </c>
      <c r="X158">
        <v>4</v>
      </c>
      <c r="Y158" t="s">
        <v>17568</v>
      </c>
      <c r="Z158" t="s">
        <v>23220</v>
      </c>
      <c r="AA158">
        <v>0.86904319477288761</v>
      </c>
      <c r="AB158" t="str">
        <f>HYPERLINK("Melting_Curves/meltCurve_B4DQ18_LPAR1.pdf", "Melting_Curves/meltCurve_B4DQ18_LPAR1.pdf")</f>
        <v>Melting_Curves/meltCurve_B4DQ18_LPAR1.pdf</v>
      </c>
    </row>
    <row r="159" spans="1:28" x14ac:dyDescent="0.25">
      <c r="A159" t="s">
        <v>163</v>
      </c>
      <c r="B159">
        <v>0.99996721820229495</v>
      </c>
      <c r="C159">
        <v>0.87225749701163502</v>
      </c>
      <c r="D159">
        <v>0.82673720480841495</v>
      </c>
      <c r="E159">
        <v>0.81826207101714998</v>
      </c>
      <c r="F159">
        <v>1.2421667387261699</v>
      </c>
      <c r="G159">
        <v>0.90321297028097303</v>
      </c>
      <c r="H159">
        <v>0.54707662679713098</v>
      </c>
      <c r="I159">
        <v>0.37953595091192899</v>
      </c>
      <c r="J159">
        <v>0.54629190167086406</v>
      </c>
      <c r="K159">
        <v>0.184554805726895</v>
      </c>
      <c r="L159">
        <v>2349.86240354662</v>
      </c>
      <c r="M159">
        <v>39.313889675949902</v>
      </c>
      <c r="N159">
        <v>61.656787836639602</v>
      </c>
      <c r="O159">
        <v>59.6177845985926</v>
      </c>
      <c r="P159">
        <v>-0.107209102660777</v>
      </c>
      <c r="Q159">
        <v>0.34968988617403901</v>
      </c>
      <c r="R159">
        <v>0.77139403425849695</v>
      </c>
      <c r="S159" t="s">
        <v>5985</v>
      </c>
      <c r="T159" t="s">
        <v>11650</v>
      </c>
      <c r="U159" t="s">
        <v>11650</v>
      </c>
      <c r="V159" t="s">
        <v>11650</v>
      </c>
      <c r="W159" t="s">
        <v>11808</v>
      </c>
      <c r="X159">
        <v>2</v>
      </c>
      <c r="Y159" t="s">
        <v>17569</v>
      </c>
      <c r="Z159" t="s">
        <v>23221</v>
      </c>
      <c r="AA159">
        <v>0.78091268525790869</v>
      </c>
      <c r="AB159" t="str">
        <f>HYPERLINK("Melting_Curves/meltCurve_B4DQ84_ZDHHC18.pdf", "Melting_Curves/meltCurve_B4DQ84_ZDHHC18.pdf")</f>
        <v>Melting_Curves/meltCurve_B4DQ84_ZDHHC18.pdf</v>
      </c>
    </row>
    <row r="160" spans="1:28" x14ac:dyDescent="0.25">
      <c r="A160" t="s">
        <v>164</v>
      </c>
      <c r="B160">
        <v>0.99996721820229495</v>
      </c>
      <c r="C160">
        <v>1.0444796081985199</v>
      </c>
      <c r="D160">
        <v>1.1177660373012801</v>
      </c>
      <c r="E160">
        <v>1.2500060132481201</v>
      </c>
      <c r="F160">
        <v>1.1737473996471</v>
      </c>
      <c r="G160">
        <v>0.30043718729199798</v>
      </c>
      <c r="H160">
        <v>0.166761143443937</v>
      </c>
      <c r="I160">
        <v>0.108712466305843</v>
      </c>
      <c r="J160">
        <v>8.0154735496761498E-2</v>
      </c>
      <c r="K160">
        <v>6.2836870781763504E-2</v>
      </c>
      <c r="L160">
        <v>14177.4244691165</v>
      </c>
      <c r="M160">
        <v>250</v>
      </c>
      <c r="N160">
        <v>56.763005496096802</v>
      </c>
      <c r="O160">
        <v>56.706080971038702</v>
      </c>
      <c r="P160">
        <v>-0.98686935554654698</v>
      </c>
      <c r="Q160">
        <v>0.104616294749245</v>
      </c>
      <c r="R160">
        <v>0.95307441441391705</v>
      </c>
      <c r="S160" t="s">
        <v>5986</v>
      </c>
      <c r="T160" t="s">
        <v>11650</v>
      </c>
      <c r="U160" t="s">
        <v>11650</v>
      </c>
      <c r="V160" t="s">
        <v>11650</v>
      </c>
      <c r="W160" t="s">
        <v>11809</v>
      </c>
      <c r="X160">
        <v>31</v>
      </c>
      <c r="Y160" t="s">
        <v>17570</v>
      </c>
      <c r="Z160" t="s">
        <v>23222</v>
      </c>
      <c r="AA160">
        <v>0.60342511409600319</v>
      </c>
      <c r="AB160" t="str">
        <f>HYPERLINK("Melting_Curves/meltCurve_B4DQJ8_PGD.pdf", "Melting_Curves/meltCurve_B4DQJ8_PGD.pdf")</f>
        <v>Melting_Curves/meltCurve_B4DQJ8_PGD.pdf</v>
      </c>
    </row>
    <row r="161" spans="1:28" x14ac:dyDescent="0.25">
      <c r="A161" t="s">
        <v>165</v>
      </c>
      <c r="B161">
        <v>0.99996721820229495</v>
      </c>
      <c r="C161">
        <v>1.0409452884753101</v>
      </c>
      <c r="D161">
        <v>1.1429028693582399</v>
      </c>
      <c r="E161">
        <v>1.1788540138353401</v>
      </c>
      <c r="F161">
        <v>1.12614717794846</v>
      </c>
      <c r="G161">
        <v>1.30776360182623</v>
      </c>
      <c r="H161">
        <v>1.0451418148437099</v>
      </c>
      <c r="I161">
        <v>1.61496627640408</v>
      </c>
      <c r="J161">
        <v>0.38029141769341601</v>
      </c>
      <c r="K161">
        <v>0.372399668448681</v>
      </c>
      <c r="L161">
        <v>15000</v>
      </c>
      <c r="M161">
        <v>227.013262391171</v>
      </c>
      <c r="N161">
        <v>66.455375345715694</v>
      </c>
      <c r="O161">
        <v>66.070307240394797</v>
      </c>
      <c r="P161">
        <v>-0.54678852628189001</v>
      </c>
      <c r="Q161">
        <v>0.36344713550354601</v>
      </c>
      <c r="R161">
        <v>0.58618017945873502</v>
      </c>
      <c r="S161" t="s">
        <v>5987</v>
      </c>
      <c r="T161" t="s">
        <v>11650</v>
      </c>
      <c r="U161" t="s">
        <v>11650</v>
      </c>
      <c r="V161" t="s">
        <v>11650</v>
      </c>
      <c r="W161" t="s">
        <v>11810</v>
      </c>
      <c r="X161">
        <v>6</v>
      </c>
      <c r="Y161" t="s">
        <v>17571</v>
      </c>
      <c r="Z161" t="s">
        <v>23223</v>
      </c>
      <c r="AA161">
        <v>0.91681639552851169</v>
      </c>
      <c r="AB161" t="str">
        <f>HYPERLINK("Melting_Curves/meltCurve_B4DR52_HIST2H2BF.pdf", "Melting_Curves/meltCurve_B4DR52_HIST2H2BF.pdf")</f>
        <v>Melting_Curves/meltCurve_B4DR52_HIST2H2BF.pdf</v>
      </c>
    </row>
    <row r="162" spans="1:28" x14ac:dyDescent="0.25">
      <c r="A162" t="s">
        <v>166</v>
      </c>
      <c r="B162">
        <v>0.99996721820229495</v>
      </c>
      <c r="C162">
        <v>1.04343082235443</v>
      </c>
      <c r="D162">
        <v>1.1608267763871201</v>
      </c>
      <c r="E162">
        <v>1.3771258531297501</v>
      </c>
      <c r="F162">
        <v>1.79147682846578</v>
      </c>
      <c r="G162">
        <v>1.70335638315344</v>
      </c>
      <c r="H162">
        <v>1.19087857362953</v>
      </c>
      <c r="I162">
        <v>0.66853712594292902</v>
      </c>
      <c r="J162">
        <v>0.28196429022216302</v>
      </c>
      <c r="K162">
        <v>0.146683856146335</v>
      </c>
      <c r="L162">
        <v>7476.4529881998096</v>
      </c>
      <c r="M162">
        <v>116.476508239049</v>
      </c>
      <c r="N162">
        <v>64.491134544597202</v>
      </c>
      <c r="O162">
        <v>64.169565902067305</v>
      </c>
      <c r="P162">
        <v>-0.35824640244064498</v>
      </c>
      <c r="Q162">
        <v>0.210535263986739</v>
      </c>
      <c r="R162">
        <v>0.49899063467253302</v>
      </c>
      <c r="S162" t="s">
        <v>5988</v>
      </c>
      <c r="T162" t="s">
        <v>11650</v>
      </c>
      <c r="U162" t="s">
        <v>11650</v>
      </c>
      <c r="V162" t="s">
        <v>11650</v>
      </c>
      <c r="W162" t="s">
        <v>11811</v>
      </c>
      <c r="X162">
        <v>7</v>
      </c>
      <c r="Y162" t="s">
        <v>17572</v>
      </c>
      <c r="Z162" t="s">
        <v>23224</v>
      </c>
      <c r="AA162">
        <v>0.84747658536554982</v>
      </c>
      <c r="AB162" t="str">
        <f>HYPERLINK("Melting_Curves/meltCurve_B4DR61_SEC61A1.pdf", "Melting_Curves/meltCurve_B4DR61_SEC61A1.pdf")</f>
        <v>Melting_Curves/meltCurve_B4DR61_SEC61A1.pdf</v>
      </c>
    </row>
    <row r="163" spans="1:28" x14ac:dyDescent="0.25">
      <c r="A163" t="s">
        <v>167</v>
      </c>
      <c r="B163">
        <v>0.99996721820229495</v>
      </c>
      <c r="C163">
        <v>0.93059649483807305</v>
      </c>
      <c r="D163">
        <v>0.68091764409085098</v>
      </c>
      <c r="E163">
        <v>0.38446601993116902</v>
      </c>
      <c r="F163">
        <v>0.23534380690270501</v>
      </c>
      <c r="G163">
        <v>0.106745893289313</v>
      </c>
      <c r="H163">
        <v>9.2772718574888793E-2</v>
      </c>
      <c r="I163">
        <v>6.8831117747354703E-2</v>
      </c>
      <c r="J163">
        <v>6.7680336893647705E-2</v>
      </c>
      <c r="K163">
        <v>3.7212400855476398E-2</v>
      </c>
      <c r="L163">
        <v>833.18217587613594</v>
      </c>
      <c r="M163">
        <v>17.2943447847214</v>
      </c>
      <c r="N163">
        <v>48.503104745664999</v>
      </c>
      <c r="O163">
        <v>47.546270875267197</v>
      </c>
      <c r="P163">
        <v>-8.5942344131139006E-2</v>
      </c>
      <c r="Q163">
        <v>5.49507344167239E-2</v>
      </c>
      <c r="R163">
        <v>0.99708202974416105</v>
      </c>
      <c r="S163" t="s">
        <v>5989</v>
      </c>
      <c r="T163" t="s">
        <v>11650</v>
      </c>
      <c r="U163" t="s">
        <v>11650</v>
      </c>
      <c r="V163" t="s">
        <v>11650</v>
      </c>
      <c r="W163" t="s">
        <v>11812</v>
      </c>
      <c r="X163">
        <v>1</v>
      </c>
      <c r="Y163" t="s">
        <v>17573</v>
      </c>
      <c r="Z163" t="s">
        <v>23225</v>
      </c>
      <c r="AA163">
        <v>0.33064256525429209</v>
      </c>
      <c r="AB163" t="str">
        <f>HYPERLINK("Melting_Curves/meltCurve_B4DRC4_ASB6.pdf", "Melting_Curves/meltCurve_B4DRC4_ASB6.pdf")</f>
        <v>Melting_Curves/meltCurve_B4DRC4_ASB6.pdf</v>
      </c>
    </row>
    <row r="164" spans="1:28" x14ac:dyDescent="0.25">
      <c r="A164" t="s">
        <v>168</v>
      </c>
      <c r="B164">
        <v>0.99996721820229495</v>
      </c>
      <c r="C164">
        <v>1.0076177799691</v>
      </c>
      <c r="D164">
        <v>1.04191263462122</v>
      </c>
      <c r="E164">
        <v>1.0093267764862599</v>
      </c>
      <c r="F164">
        <v>0.84582345510726098</v>
      </c>
      <c r="G164">
        <v>0.39763629913920701</v>
      </c>
      <c r="H164">
        <v>0.24932075519621599</v>
      </c>
      <c r="I164">
        <v>0.17099255798973501</v>
      </c>
      <c r="J164">
        <v>0.10856599134565501</v>
      </c>
      <c r="K164">
        <v>0.108104681833478</v>
      </c>
      <c r="L164">
        <v>1648.8512183909099</v>
      </c>
      <c r="M164">
        <v>29.612203565045402</v>
      </c>
      <c r="N164">
        <v>56.267852558848702</v>
      </c>
      <c r="O164">
        <v>55.429395561798799</v>
      </c>
      <c r="P164">
        <v>-0.11582782772865501</v>
      </c>
      <c r="Q164">
        <v>0.13275995515736899</v>
      </c>
      <c r="R164">
        <v>0.99416764656067003</v>
      </c>
      <c r="S164" t="s">
        <v>5990</v>
      </c>
      <c r="T164" t="s">
        <v>11650</v>
      </c>
      <c r="U164" t="s">
        <v>11650</v>
      </c>
      <c r="V164" t="s">
        <v>11650</v>
      </c>
      <c r="W164" t="s">
        <v>11813</v>
      </c>
      <c r="X164">
        <v>10</v>
      </c>
      <c r="Y164" t="s">
        <v>17574</v>
      </c>
      <c r="Z164" t="s">
        <v>23226</v>
      </c>
      <c r="AA164">
        <v>0.59199756038681195</v>
      </c>
      <c r="AB164" t="str">
        <f>HYPERLINK("Melting_Curves/meltCurve_B4DRL9_CHM.pdf", "Melting_Curves/meltCurve_B4DRL9_CHM.pdf")</f>
        <v>Melting_Curves/meltCurve_B4DRL9_CHM.pdf</v>
      </c>
    </row>
    <row r="165" spans="1:28" x14ac:dyDescent="0.25">
      <c r="A165" t="s">
        <v>169</v>
      </c>
      <c r="B165">
        <v>0.99996721820229495</v>
      </c>
      <c r="C165">
        <v>0.77223615045608196</v>
      </c>
      <c r="D165">
        <v>0.97856928045260605</v>
      </c>
      <c r="E165">
        <v>1.0389763538340899</v>
      </c>
      <c r="F165">
        <v>1.0770844706704401</v>
      </c>
      <c r="G165">
        <v>0.98928036325845203</v>
      </c>
      <c r="H165">
        <v>0.771236965253977</v>
      </c>
      <c r="I165">
        <v>0.50712543327536497</v>
      </c>
      <c r="J165">
        <v>0.27633328961980802</v>
      </c>
      <c r="K165">
        <v>0.22845201676257901</v>
      </c>
      <c r="L165">
        <v>2038.63426449504</v>
      </c>
      <c r="M165">
        <v>32.388937518784601</v>
      </c>
      <c r="N165">
        <v>63.898322973162102</v>
      </c>
      <c r="O165">
        <v>62.703824307706697</v>
      </c>
      <c r="P165">
        <v>-0.10433801666633601</v>
      </c>
      <c r="Q165">
        <v>0.19202531002050899</v>
      </c>
      <c r="R165">
        <v>0.93326717108393797</v>
      </c>
      <c r="S165" t="s">
        <v>5991</v>
      </c>
      <c r="T165" t="s">
        <v>11650</v>
      </c>
      <c r="U165" t="s">
        <v>11650</v>
      </c>
      <c r="V165" t="s">
        <v>11650</v>
      </c>
      <c r="W165" t="s">
        <v>11814</v>
      </c>
      <c r="X165">
        <v>7</v>
      </c>
      <c r="Y165" t="s">
        <v>17575</v>
      </c>
      <c r="Z165" t="s">
        <v>23227</v>
      </c>
      <c r="AA165">
        <v>0.8126934538200602</v>
      </c>
      <c r="AB165" t="str">
        <f>HYPERLINK("Melting_Curves/meltCurve_B4DRN8_ZDHHC20.pdf", "Melting_Curves/meltCurve_B4DRN8_ZDHHC20.pdf")</f>
        <v>Melting_Curves/meltCurve_B4DRN8_ZDHHC20.pdf</v>
      </c>
    </row>
    <row r="166" spans="1:28" x14ac:dyDescent="0.25">
      <c r="A166" t="s">
        <v>170</v>
      </c>
      <c r="B166">
        <v>0.99996721820229495</v>
      </c>
      <c r="C166">
        <v>0.93269461944601195</v>
      </c>
      <c r="D166">
        <v>0.96962151766713001</v>
      </c>
      <c r="E166">
        <v>0.81108670195743804</v>
      </c>
      <c r="F166">
        <v>1.14572606593018</v>
      </c>
      <c r="G166">
        <v>0.96845998821998902</v>
      </c>
      <c r="H166">
        <v>0.709092741013579</v>
      </c>
      <c r="I166">
        <v>0.40138965324581799</v>
      </c>
      <c r="J166">
        <v>0.34170768274117003</v>
      </c>
      <c r="K166">
        <v>0.30711392995859199</v>
      </c>
      <c r="L166">
        <v>2794.6092660519198</v>
      </c>
      <c r="M166">
        <v>45.520797593249902</v>
      </c>
      <c r="N166">
        <v>62.753191558694802</v>
      </c>
      <c r="O166">
        <v>61.273775883263198</v>
      </c>
      <c r="P166">
        <v>-0.12745756139910999</v>
      </c>
      <c r="Q166">
        <v>0.31373798362057098</v>
      </c>
      <c r="R166">
        <v>0.92484381350230205</v>
      </c>
      <c r="S166" t="s">
        <v>5992</v>
      </c>
      <c r="T166" t="s">
        <v>11650</v>
      </c>
      <c r="U166" t="s">
        <v>11650</v>
      </c>
      <c r="V166" t="s">
        <v>11650</v>
      </c>
      <c r="W166" t="s">
        <v>11815</v>
      </c>
      <c r="X166">
        <v>1</v>
      </c>
      <c r="Y166" t="s">
        <v>17576</v>
      </c>
      <c r="Z166" t="s">
        <v>23228</v>
      </c>
      <c r="AA166">
        <v>0.80517509953356181</v>
      </c>
      <c r="AB166" t="str">
        <f>HYPERLINK("Melting_Curves/meltCurve_B4DS52_TXNDC15.pdf", "Melting_Curves/meltCurve_B4DS52_TXNDC15.pdf")</f>
        <v>Melting_Curves/meltCurve_B4DS52_TXNDC15.pdf</v>
      </c>
    </row>
    <row r="167" spans="1:28" x14ac:dyDescent="0.25">
      <c r="A167" t="s">
        <v>171</v>
      </c>
      <c r="B167">
        <v>0.99996721820229495</v>
      </c>
      <c r="C167">
        <v>1.00652151400816</v>
      </c>
      <c r="D167">
        <v>1.06621205791169</v>
      </c>
      <c r="E167">
        <v>1.2030427548692</v>
      </c>
      <c r="F167">
        <v>0.68500120055587399</v>
      </c>
      <c r="G167">
        <v>0.45962190211543602</v>
      </c>
      <c r="H167">
        <v>0.205438511696413</v>
      </c>
      <c r="I167">
        <v>0.13494831337454399</v>
      </c>
      <c r="J167">
        <v>0.115581910620198</v>
      </c>
      <c r="K167">
        <v>8.4438155835251202E-2</v>
      </c>
      <c r="L167">
        <v>1449.5285512753701</v>
      </c>
      <c r="M167">
        <v>26.017763221462801</v>
      </c>
      <c r="N167">
        <v>56.2182702398065</v>
      </c>
      <c r="O167">
        <v>55.387042689588597</v>
      </c>
      <c r="P167">
        <v>-0.105194811428518</v>
      </c>
      <c r="Q167">
        <v>0.104248733270758</v>
      </c>
      <c r="R167">
        <v>0.95334944799019095</v>
      </c>
      <c r="S167" t="s">
        <v>5993</v>
      </c>
      <c r="T167" t="s">
        <v>11650</v>
      </c>
      <c r="U167" t="s">
        <v>11650</v>
      </c>
      <c r="V167" t="s">
        <v>11650</v>
      </c>
      <c r="W167" t="s">
        <v>11816</v>
      </c>
      <c r="X167">
        <v>6</v>
      </c>
      <c r="Y167" t="s">
        <v>17577</v>
      </c>
      <c r="Z167" t="s">
        <v>23229</v>
      </c>
      <c r="AA167">
        <v>0.58111923255803788</v>
      </c>
      <c r="AB167" t="str">
        <f>HYPERLINK("Melting_Curves/meltCurve_B4DSD4_C9orf41.pdf", "Melting_Curves/meltCurve_B4DSD4_C9orf41.pdf")</f>
        <v>Melting_Curves/meltCurve_B4DSD4_C9orf41.pdf</v>
      </c>
    </row>
    <row r="168" spans="1:28" x14ac:dyDescent="0.25">
      <c r="A168" t="s">
        <v>172</v>
      </c>
      <c r="B168">
        <v>0.99996721820229495</v>
      </c>
      <c r="C168">
        <v>1.0483135611522001</v>
      </c>
      <c r="D168">
        <v>0.87685534876660898</v>
      </c>
      <c r="E168">
        <v>0.53439882569096797</v>
      </c>
      <c r="F168">
        <v>0.457811360526999</v>
      </c>
      <c r="G168">
        <v>0.49412435256710202</v>
      </c>
      <c r="H168">
        <v>0.39133783334386102</v>
      </c>
      <c r="I168">
        <v>0.23474479485671501</v>
      </c>
      <c r="J168">
        <v>0.22223327329552001</v>
      </c>
      <c r="K168">
        <v>0.162150593582604</v>
      </c>
      <c r="L168">
        <v>650.90485397824398</v>
      </c>
      <c r="M168">
        <v>12.7928634411521</v>
      </c>
      <c r="N168">
        <v>53.160683195309602</v>
      </c>
      <c r="O168">
        <v>49.685120074674401</v>
      </c>
      <c r="P168">
        <v>-5.0786368331435398E-2</v>
      </c>
      <c r="Q168">
        <v>0.21116879061431401</v>
      </c>
      <c r="R168">
        <v>0.93469230715736296</v>
      </c>
      <c r="S168" t="s">
        <v>5994</v>
      </c>
      <c r="T168" t="s">
        <v>11650</v>
      </c>
      <c r="U168" t="s">
        <v>11650</v>
      </c>
      <c r="V168" t="s">
        <v>11650</v>
      </c>
      <c r="W168" t="s">
        <v>11817</v>
      </c>
      <c r="X168">
        <v>2</v>
      </c>
      <c r="Y168" t="s">
        <v>17578</v>
      </c>
      <c r="Z168" t="s">
        <v>23230</v>
      </c>
      <c r="AA168">
        <v>0.52083223146848368</v>
      </c>
      <c r="AB168" t="str">
        <f>HYPERLINK("Melting_Curves/meltCurve_B4DSJ8_RNGTT.pdf", "Melting_Curves/meltCurve_B4DSJ8_RNGTT.pdf")</f>
        <v>Melting_Curves/meltCurve_B4DSJ8_RNGTT.pdf</v>
      </c>
    </row>
    <row r="169" spans="1:28" x14ac:dyDescent="0.25">
      <c r="A169" t="s">
        <v>173</v>
      </c>
      <c r="B169">
        <v>0.99996721820229495</v>
      </c>
      <c r="C169">
        <v>1.0951350756404099</v>
      </c>
      <c r="D169">
        <v>1.0322317178243201</v>
      </c>
      <c r="E169">
        <v>0.56848479953307296</v>
      </c>
      <c r="F169">
        <v>0.26540509103242199</v>
      </c>
      <c r="G169">
        <v>0.25558003765807502</v>
      </c>
      <c r="H169">
        <v>0.16895390108949701</v>
      </c>
      <c r="I169">
        <v>0.115872498478124</v>
      </c>
      <c r="J169">
        <v>0.11389778005522</v>
      </c>
      <c r="K169">
        <v>7.8590584596873805E-2</v>
      </c>
      <c r="L169">
        <v>1800.89792705224</v>
      </c>
      <c r="M169">
        <v>35.932743741634098</v>
      </c>
      <c r="N169">
        <v>50.5997081990051</v>
      </c>
      <c r="O169">
        <v>49.964108924603103</v>
      </c>
      <c r="P169">
        <v>-0.15377585145338099</v>
      </c>
      <c r="Q169">
        <v>0.144707838847149</v>
      </c>
      <c r="R169">
        <v>0.98035919291453</v>
      </c>
      <c r="S169" t="s">
        <v>5995</v>
      </c>
      <c r="T169" t="s">
        <v>11650</v>
      </c>
      <c r="U169" t="s">
        <v>11650</v>
      </c>
      <c r="V169" t="s">
        <v>11650</v>
      </c>
      <c r="W169" t="s">
        <v>11818</v>
      </c>
      <c r="X169">
        <v>10</v>
      </c>
      <c r="Y169" t="s">
        <v>17579</v>
      </c>
      <c r="Z169" t="s">
        <v>23231</v>
      </c>
      <c r="AA169">
        <v>0.43686608566395768</v>
      </c>
      <c r="AB169" t="str">
        <f>HYPERLINK("Melting_Curves/meltCurve_B4DSS5_KIAA0513.pdf", "Melting_Curves/meltCurve_B4DSS5_KIAA0513.pdf")</f>
        <v>Melting_Curves/meltCurve_B4DSS5_KIAA0513.pdf</v>
      </c>
    </row>
    <row r="170" spans="1:28" x14ac:dyDescent="0.25">
      <c r="A170" t="s">
        <v>174</v>
      </c>
      <c r="B170">
        <v>0.99996721820229495</v>
      </c>
      <c r="C170">
        <v>1.01851682124692</v>
      </c>
      <c r="D170">
        <v>0.97386282817738601</v>
      </c>
      <c r="E170">
        <v>0.87879807597623305</v>
      </c>
      <c r="F170">
        <v>0.28567693390280902</v>
      </c>
      <c r="G170">
        <v>0.21893073778180699</v>
      </c>
      <c r="H170">
        <v>0.13116153082574</v>
      </c>
      <c r="I170">
        <v>8.6940967816522094E-2</v>
      </c>
      <c r="J170">
        <v>6.9013259193343904E-2</v>
      </c>
      <c r="K170">
        <v>5.3312257209011601E-2</v>
      </c>
      <c r="L170">
        <v>2745.5479567417601</v>
      </c>
      <c r="M170">
        <v>53.132697436182198</v>
      </c>
      <c r="N170">
        <v>51.913919047862997</v>
      </c>
      <c r="O170">
        <v>51.600374495734897</v>
      </c>
      <c r="P170">
        <v>-0.229339870532968</v>
      </c>
      <c r="Q170">
        <v>0.109097379271374</v>
      </c>
      <c r="R170">
        <v>0.989652020007602</v>
      </c>
      <c r="S170" t="s">
        <v>5996</v>
      </c>
      <c r="T170" t="s">
        <v>11650</v>
      </c>
      <c r="U170" t="s">
        <v>11650</v>
      </c>
      <c r="V170" t="s">
        <v>11650</v>
      </c>
      <c r="W170" t="s">
        <v>11697</v>
      </c>
      <c r="X170">
        <v>28</v>
      </c>
      <c r="Y170" t="s">
        <v>17580</v>
      </c>
      <c r="Z170" t="s">
        <v>23232</v>
      </c>
      <c r="AA170">
        <v>0.45755699569272751</v>
      </c>
      <c r="AB170" t="str">
        <f>HYPERLINK("Melting_Curves/meltCurve_B4DT77_ANXA7.pdf", "Melting_Curves/meltCurve_B4DT77_ANXA7.pdf")</f>
        <v>Melting_Curves/meltCurve_B4DT77_ANXA7.pdf</v>
      </c>
    </row>
    <row r="171" spans="1:28" x14ac:dyDescent="0.25">
      <c r="A171" t="s">
        <v>175</v>
      </c>
      <c r="B171">
        <v>0.99996721820229495</v>
      </c>
      <c r="C171">
        <v>0.92228918760249701</v>
      </c>
      <c r="D171">
        <v>0.76815091186825801</v>
      </c>
      <c r="E171">
        <v>0.95745232125074398</v>
      </c>
      <c r="F171">
        <v>1.46060483985362</v>
      </c>
      <c r="G171">
        <v>0.96017265919778205</v>
      </c>
      <c r="H171">
        <v>1.4527367931200299</v>
      </c>
      <c r="I171">
        <v>1.6922777947780301</v>
      </c>
      <c r="J171">
        <v>1.2321600414426599</v>
      </c>
      <c r="K171">
        <v>1.6168543207817101</v>
      </c>
      <c r="L171">
        <v>964.35635969665498</v>
      </c>
      <c r="M171">
        <v>17.0747970721476</v>
      </c>
      <c r="O171">
        <v>55.720760880949399</v>
      </c>
      <c r="P171">
        <v>3.8306728375331202E-2</v>
      </c>
      <c r="Q171">
        <v>1.5</v>
      </c>
      <c r="R171">
        <v>0.56225247331966299</v>
      </c>
      <c r="S171" t="s">
        <v>5997</v>
      </c>
      <c r="T171" t="s">
        <v>11650</v>
      </c>
      <c r="U171" t="s">
        <v>11650</v>
      </c>
      <c r="V171" t="s">
        <v>11650</v>
      </c>
      <c r="W171" t="s">
        <v>11819</v>
      </c>
      <c r="X171">
        <v>14</v>
      </c>
      <c r="Y171" t="s">
        <v>17581</v>
      </c>
      <c r="Z171" t="s">
        <v>23233</v>
      </c>
      <c r="AA171">
        <v>1.2178134915439061</v>
      </c>
      <c r="AB171" t="str">
        <f>HYPERLINK("Melting_Curves/meltCurve_B4DTC3_HNRNPD.pdf", "Melting_Curves/meltCurve_B4DTC3_HNRNPD.pdf")</f>
        <v>Melting_Curves/meltCurve_B4DTC3_HNRNPD.pdf</v>
      </c>
    </row>
    <row r="172" spans="1:28" x14ac:dyDescent="0.25">
      <c r="A172" t="s">
        <v>176</v>
      </c>
      <c r="B172">
        <v>0.99996721820229495</v>
      </c>
      <c r="C172">
        <v>0.93402465039094595</v>
      </c>
      <c r="D172">
        <v>1.05433194277886</v>
      </c>
      <c r="E172">
        <v>1.17545542214337</v>
      </c>
      <c r="F172">
        <v>1.4588288399123901</v>
      </c>
      <c r="G172">
        <v>1.2630549500524599</v>
      </c>
      <c r="H172">
        <v>0.68250472513839899</v>
      </c>
      <c r="I172">
        <v>0.44037218330241701</v>
      </c>
      <c r="J172">
        <v>0.32088157222000502</v>
      </c>
      <c r="K172">
        <v>0.247065650485123</v>
      </c>
      <c r="L172">
        <v>3278.0853880499799</v>
      </c>
      <c r="M172">
        <v>53.301846500272902</v>
      </c>
      <c r="N172">
        <v>62.578566249361103</v>
      </c>
      <c r="O172">
        <v>61.4140254278567</v>
      </c>
      <c r="P172">
        <v>-0.15179597829380501</v>
      </c>
      <c r="Q172">
        <v>0.30040728581968101</v>
      </c>
      <c r="R172">
        <v>0.786629877091509</v>
      </c>
      <c r="S172" t="s">
        <v>5998</v>
      </c>
      <c r="T172" t="s">
        <v>11650</v>
      </c>
      <c r="U172" t="s">
        <v>11650</v>
      </c>
      <c r="V172" t="s">
        <v>11650</v>
      </c>
      <c r="W172" t="s">
        <v>11820</v>
      </c>
      <c r="X172">
        <v>10</v>
      </c>
      <c r="Y172" t="s">
        <v>17582</v>
      </c>
      <c r="Z172" t="s">
        <v>23234</v>
      </c>
      <c r="AA172">
        <v>0.80340418775088063</v>
      </c>
      <c r="AB172" t="str">
        <f>HYPERLINK("Melting_Curves/meltCurve_B4DTZ6_SLC9A1.pdf", "Melting_Curves/meltCurve_B4DTZ6_SLC9A1.pdf")</f>
        <v>Melting_Curves/meltCurve_B4DTZ6_SLC9A1.pdf</v>
      </c>
    </row>
    <row r="173" spans="1:28" x14ac:dyDescent="0.25">
      <c r="A173" t="s">
        <v>177</v>
      </c>
      <c r="B173">
        <v>0.99996721820229495</v>
      </c>
      <c r="C173">
        <v>0.89660720429570195</v>
      </c>
      <c r="D173">
        <v>1.0921017252174701</v>
      </c>
      <c r="E173">
        <v>1.0393721316014699</v>
      </c>
      <c r="F173">
        <v>1.1928189311152899</v>
      </c>
      <c r="G173">
        <v>1.2685548979832399</v>
      </c>
      <c r="H173">
        <v>0.85973986632108801</v>
      </c>
      <c r="I173">
        <v>0.57762723962455398</v>
      </c>
      <c r="J173">
        <v>0.41434039239175502</v>
      </c>
      <c r="K173">
        <v>0.42256074476596001</v>
      </c>
      <c r="L173">
        <v>3278.4068098538501</v>
      </c>
      <c r="M173">
        <v>52.312510223177</v>
      </c>
      <c r="N173">
        <v>64.827918968364799</v>
      </c>
      <c r="O173">
        <v>62.578273568478302</v>
      </c>
      <c r="P173">
        <v>-0.122805759610948</v>
      </c>
      <c r="Q173">
        <v>0.41238019181554503</v>
      </c>
      <c r="R173">
        <v>0.84365398447127204</v>
      </c>
      <c r="S173" t="s">
        <v>5999</v>
      </c>
      <c r="T173" t="s">
        <v>11650</v>
      </c>
      <c r="U173" t="s">
        <v>11650</v>
      </c>
      <c r="V173" t="s">
        <v>11650</v>
      </c>
      <c r="W173" t="s">
        <v>11821</v>
      </c>
      <c r="X173">
        <v>2</v>
      </c>
      <c r="Y173" t="s">
        <v>17583</v>
      </c>
      <c r="Z173" t="s">
        <v>23235</v>
      </c>
      <c r="AA173">
        <v>0.85777370290929966</v>
      </c>
      <c r="AB173" t="str">
        <f>HYPERLINK("Melting_Curves/meltCurve_B4DUE9_SERINC3.pdf", "Melting_Curves/meltCurve_B4DUE9_SERINC3.pdf")</f>
        <v>Melting_Curves/meltCurve_B4DUE9_SERINC3.pdf</v>
      </c>
    </row>
    <row r="174" spans="1:28" x14ac:dyDescent="0.25">
      <c r="A174" t="s">
        <v>178</v>
      </c>
      <c r="B174">
        <v>0.99996721820229495</v>
      </c>
      <c r="C174">
        <v>0.99994901068683795</v>
      </c>
      <c r="D174">
        <v>0.97422449436529202</v>
      </c>
      <c r="E174">
        <v>0.94078281960075905</v>
      </c>
      <c r="F174">
        <v>0.94473868199607303</v>
      </c>
      <c r="G174">
        <v>1.03198268590015</v>
      </c>
      <c r="H174">
        <v>0.47650252238534302</v>
      </c>
      <c r="I174">
        <v>0.17042375158203599</v>
      </c>
      <c r="J174">
        <v>0.119715878680011</v>
      </c>
      <c r="K174">
        <v>7.7386474872675595E-2</v>
      </c>
      <c r="L174">
        <v>3907.4664713249499</v>
      </c>
      <c r="M174">
        <v>64.381600091925193</v>
      </c>
      <c r="N174">
        <v>60.927506833697301</v>
      </c>
      <c r="O174">
        <v>60.6338109564958</v>
      </c>
      <c r="P174">
        <v>-0.23624304896398901</v>
      </c>
      <c r="Q174">
        <v>0.11003691684231399</v>
      </c>
      <c r="R174">
        <v>0.992590399968026</v>
      </c>
      <c r="S174" t="s">
        <v>6000</v>
      </c>
      <c r="T174" t="s">
        <v>11650</v>
      </c>
      <c r="U174" t="s">
        <v>11650</v>
      </c>
      <c r="V174" t="s">
        <v>11650</v>
      </c>
      <c r="W174" t="s">
        <v>11822</v>
      </c>
      <c r="X174">
        <v>22</v>
      </c>
      <c r="Y174" t="s">
        <v>17584</v>
      </c>
      <c r="Z174" t="s">
        <v>23236</v>
      </c>
      <c r="AA174">
        <v>0.72530902821482524</v>
      </c>
      <c r="AB174" t="str">
        <f>HYPERLINK("Melting_Curves/meltCurve_B4DUS9_BPNT1.pdf", "Melting_Curves/meltCurve_B4DUS9_BPNT1.pdf")</f>
        <v>Melting_Curves/meltCurve_B4DUS9_BPNT1.pdf</v>
      </c>
    </row>
    <row r="175" spans="1:28" x14ac:dyDescent="0.25">
      <c r="A175" t="s">
        <v>179</v>
      </c>
      <c r="B175">
        <v>0.99996721820229495</v>
      </c>
      <c r="C175">
        <v>1.08237121283289</v>
      </c>
      <c r="D175">
        <v>1.3317741544322601</v>
      </c>
      <c r="E175">
        <v>1.89774772379255</v>
      </c>
      <c r="F175">
        <v>1.9974811363645799</v>
      </c>
      <c r="G175">
        <v>1.6363316771654</v>
      </c>
      <c r="H175">
        <v>0.43890307337262102</v>
      </c>
      <c r="I175">
        <v>0.183480777080715</v>
      </c>
      <c r="J175">
        <v>9.2453808823885195E-2</v>
      </c>
      <c r="K175">
        <v>9.7551419004069898E-2</v>
      </c>
      <c r="L175">
        <v>10324.2904336315</v>
      </c>
      <c r="M175">
        <v>169.82918461975001</v>
      </c>
      <c r="N175">
        <v>60.894799358571703</v>
      </c>
      <c r="O175">
        <v>60.7837748572965</v>
      </c>
      <c r="P175">
        <v>-0.61159240608935295</v>
      </c>
      <c r="Q175">
        <v>0.124416808404895</v>
      </c>
      <c r="R175">
        <v>0.52842001458841703</v>
      </c>
      <c r="S175" t="s">
        <v>6001</v>
      </c>
      <c r="T175" t="s">
        <v>11650</v>
      </c>
      <c r="U175" t="s">
        <v>11650</v>
      </c>
      <c r="V175" t="s">
        <v>11650</v>
      </c>
      <c r="W175" t="s">
        <v>11823</v>
      </c>
      <c r="X175">
        <v>9</v>
      </c>
      <c r="Y175" t="s">
        <v>17585</v>
      </c>
      <c r="Z175" t="s">
        <v>23237</v>
      </c>
      <c r="AA175">
        <v>0.73146276771556462</v>
      </c>
      <c r="AB175" t="str">
        <f>HYPERLINK("Melting_Curves/meltCurve_B4DUV4_POFUT1.pdf", "Melting_Curves/meltCurve_B4DUV4_POFUT1.pdf")</f>
        <v>Melting_Curves/meltCurve_B4DUV4_POFUT1.pdf</v>
      </c>
    </row>
    <row r="176" spans="1:28" x14ac:dyDescent="0.25">
      <c r="A176" t="s">
        <v>180</v>
      </c>
      <c r="B176">
        <v>0.99996721820229495</v>
      </c>
      <c r="C176">
        <v>0.78348799165715999</v>
      </c>
      <c r="D176">
        <v>0.96115574917041002</v>
      </c>
      <c r="E176">
        <v>0.89959255922207504</v>
      </c>
      <c r="F176">
        <v>1.2567281787389399</v>
      </c>
      <c r="G176">
        <v>0.90918870595373302</v>
      </c>
      <c r="H176">
        <v>0.75555493341845403</v>
      </c>
      <c r="I176">
        <v>0.62772023183001302</v>
      </c>
      <c r="J176">
        <v>0.246267609404967</v>
      </c>
      <c r="K176">
        <v>0.29255421336315002</v>
      </c>
      <c r="L176">
        <v>1711.0658714363799</v>
      </c>
      <c r="M176">
        <v>26.967912072878001</v>
      </c>
      <c r="N176">
        <v>64.558598280595007</v>
      </c>
      <c r="O176">
        <v>63.102412738109003</v>
      </c>
      <c r="P176">
        <v>-8.7016343060216605E-2</v>
      </c>
      <c r="Q176">
        <v>0.18556742043004301</v>
      </c>
      <c r="R176">
        <v>0.83175531490712196</v>
      </c>
      <c r="S176" t="s">
        <v>6002</v>
      </c>
      <c r="T176" t="s">
        <v>11650</v>
      </c>
      <c r="U176" t="s">
        <v>11650</v>
      </c>
      <c r="V176" t="s">
        <v>11650</v>
      </c>
      <c r="W176" t="s">
        <v>11824</v>
      </c>
      <c r="X176">
        <v>1</v>
      </c>
      <c r="Y176" t="s">
        <v>17586</v>
      </c>
      <c r="Z176" t="s">
        <v>23238</v>
      </c>
      <c r="AA176">
        <v>0.82351319134108492</v>
      </c>
      <c r="AB176" t="str">
        <f>HYPERLINK("Melting_Curves/meltCurve_B4DV96_RBKS.pdf", "Melting_Curves/meltCurve_B4DV96_RBKS.pdf")</f>
        <v>Melting_Curves/meltCurve_B4DV96_RBKS.pdf</v>
      </c>
    </row>
    <row r="177" spans="1:28" x14ac:dyDescent="0.25">
      <c r="A177" t="s">
        <v>181</v>
      </c>
      <c r="B177">
        <v>0.99996721820229495</v>
      </c>
      <c r="C177">
        <v>0.98157817074698295</v>
      </c>
      <c r="D177">
        <v>0.82450667497348895</v>
      </c>
      <c r="E177">
        <v>0.45406712118495501</v>
      </c>
      <c r="F177">
        <v>0.22800258487713501</v>
      </c>
      <c r="G177">
        <v>0.19278636225159301</v>
      </c>
      <c r="H177">
        <v>0.119236692606296</v>
      </c>
      <c r="I177">
        <v>7.0759434540085195E-2</v>
      </c>
      <c r="J177">
        <v>5.00261596251824E-2</v>
      </c>
      <c r="K177">
        <v>3.92613936514861E-2</v>
      </c>
      <c r="L177">
        <v>993.70916370485497</v>
      </c>
      <c r="M177">
        <v>20.181231681100002</v>
      </c>
      <c r="N177">
        <v>49.616944648922697</v>
      </c>
      <c r="O177">
        <v>48.763444016928702</v>
      </c>
      <c r="P177">
        <v>-9.6101394032064802E-2</v>
      </c>
      <c r="Q177">
        <v>7.1198689124016307E-2</v>
      </c>
      <c r="R177">
        <v>0.99390039097975103</v>
      </c>
      <c r="S177" t="s">
        <v>6003</v>
      </c>
      <c r="T177" t="s">
        <v>11650</v>
      </c>
      <c r="U177" t="s">
        <v>11650</v>
      </c>
      <c r="V177" t="s">
        <v>11650</v>
      </c>
      <c r="W177" t="s">
        <v>11697</v>
      </c>
      <c r="X177">
        <v>32</v>
      </c>
      <c r="Y177" t="s">
        <v>17587</v>
      </c>
      <c r="Z177" t="s">
        <v>23239</v>
      </c>
      <c r="AA177">
        <v>0.36999735931595468</v>
      </c>
      <c r="AB177" t="str">
        <f>HYPERLINK("Melting_Curves/meltCurve_B4DVE7_ANXA11.pdf", "Melting_Curves/meltCurve_B4DVE7_ANXA11.pdf")</f>
        <v>Melting_Curves/meltCurve_B4DVE7_ANXA11.pdf</v>
      </c>
    </row>
    <row r="178" spans="1:28" x14ac:dyDescent="0.25">
      <c r="A178" t="s">
        <v>182</v>
      </c>
      <c r="B178">
        <v>0.99996721820229495</v>
      </c>
      <c r="C178">
        <v>1.0555063176494699</v>
      </c>
      <c r="D178">
        <v>0.84897653162597198</v>
      </c>
      <c r="E178">
        <v>0.46509912782443003</v>
      </c>
      <c r="F178">
        <v>0.46807882304806703</v>
      </c>
      <c r="G178">
        <v>0.42686216650641801</v>
      </c>
      <c r="H178">
        <v>0.29232574251339899</v>
      </c>
      <c r="I178">
        <v>0.21326433325027599</v>
      </c>
      <c r="J178">
        <v>0.17643776213965301</v>
      </c>
      <c r="K178">
        <v>0.147921307028822</v>
      </c>
      <c r="L178">
        <v>724.02460443827999</v>
      </c>
      <c r="M178">
        <v>14.4562521351898</v>
      </c>
      <c r="N178">
        <v>51.8254714850463</v>
      </c>
      <c r="O178">
        <v>49.154723923846603</v>
      </c>
      <c r="P178">
        <v>-5.9385095297277E-2</v>
      </c>
      <c r="Q178">
        <v>0.192400105686821</v>
      </c>
      <c r="R178">
        <v>0.94734894733832198</v>
      </c>
      <c r="S178" t="s">
        <v>6004</v>
      </c>
      <c r="T178" t="s">
        <v>11650</v>
      </c>
      <c r="U178" t="s">
        <v>11650</v>
      </c>
      <c r="V178" t="s">
        <v>11650</v>
      </c>
      <c r="W178" t="s">
        <v>11825</v>
      </c>
      <c r="X178">
        <v>11</v>
      </c>
      <c r="Y178" t="s">
        <v>17588</v>
      </c>
      <c r="Z178" t="s">
        <v>23240</v>
      </c>
      <c r="AA178">
        <v>0.48434246206875847</v>
      </c>
      <c r="AB178" t="str">
        <f>HYPERLINK("Melting_Curves/meltCurve_B4DVY1_EIF3D.pdf", "Melting_Curves/meltCurve_B4DVY1_EIF3D.pdf")</f>
        <v>Melting_Curves/meltCurve_B4DVY1_EIF3D.pdf</v>
      </c>
    </row>
    <row r="179" spans="1:28" x14ac:dyDescent="0.25">
      <c r="A179" t="s">
        <v>183</v>
      </c>
      <c r="B179">
        <v>0.99996721820229495</v>
      </c>
      <c r="C179">
        <v>0.80829776386070595</v>
      </c>
      <c r="D179">
        <v>0.72198627173020202</v>
      </c>
      <c r="E179">
        <v>0.82882832336867096</v>
      </c>
      <c r="F179">
        <v>0.80353439348519196</v>
      </c>
      <c r="G179">
        <v>0.72426500041213004</v>
      </c>
      <c r="H179">
        <v>0.54746686481521201</v>
      </c>
      <c r="I179">
        <v>0.28065085547042301</v>
      </c>
      <c r="J179">
        <v>0.22975051223661699</v>
      </c>
      <c r="K179">
        <v>0.29240406427014898</v>
      </c>
      <c r="L179">
        <v>427.28838360967302</v>
      </c>
      <c r="M179">
        <v>7.0988313315502403</v>
      </c>
      <c r="N179">
        <v>60.1913702840898</v>
      </c>
      <c r="O179">
        <v>55.962810411837502</v>
      </c>
      <c r="P179">
        <v>-3.1768116386429998E-2</v>
      </c>
      <c r="Q179">
        <v>0</v>
      </c>
      <c r="R179">
        <v>0.84492493641966604</v>
      </c>
      <c r="S179" t="s">
        <v>6005</v>
      </c>
      <c r="T179" t="s">
        <v>11650</v>
      </c>
      <c r="U179" t="s">
        <v>11650</v>
      </c>
      <c r="V179" t="s">
        <v>11650</v>
      </c>
      <c r="W179" t="s">
        <v>11826</v>
      </c>
      <c r="X179">
        <v>6</v>
      </c>
      <c r="Y179" t="s">
        <v>17589</v>
      </c>
      <c r="Z179" t="s">
        <v>23241</v>
      </c>
      <c r="AA179">
        <v>0.64843942412151534</v>
      </c>
      <c r="AB179" t="str">
        <f>HYPERLINK("Melting_Curves/meltCurve_B4DW75_EFEMP1.pdf", "Melting_Curves/meltCurve_B4DW75_EFEMP1.pdf")</f>
        <v>Melting_Curves/meltCurve_B4DW75_EFEMP1.pdf</v>
      </c>
    </row>
    <row r="180" spans="1:28" x14ac:dyDescent="0.25">
      <c r="A180" t="s">
        <v>184</v>
      </c>
      <c r="B180">
        <v>0.99996721820229495</v>
      </c>
      <c r="C180">
        <v>0.99247984378557996</v>
      </c>
      <c r="D180">
        <v>1.1845239028413499</v>
      </c>
      <c r="E180">
        <v>1.5671075996735799</v>
      </c>
      <c r="F180">
        <v>2.3069561912280001</v>
      </c>
      <c r="G180">
        <v>3.7679595978766902</v>
      </c>
      <c r="H180">
        <v>2.5042184282181199</v>
      </c>
      <c r="I180">
        <v>0.82721934572519795</v>
      </c>
      <c r="J180">
        <v>0.34799142058411398</v>
      </c>
      <c r="K180">
        <v>0.23158243212399099</v>
      </c>
      <c r="L180">
        <v>15000</v>
      </c>
      <c r="M180">
        <v>233.23974421532799</v>
      </c>
      <c r="N180">
        <v>64.551291036844205</v>
      </c>
      <c r="O180">
        <v>64.306780563829506</v>
      </c>
      <c r="P180">
        <v>-0.64401680191565602</v>
      </c>
      <c r="Q180">
        <v>0.28974973513180602</v>
      </c>
      <c r="R180">
        <v>-0.111023319736271</v>
      </c>
      <c r="S180" t="s">
        <v>6006</v>
      </c>
      <c r="T180" t="s">
        <v>11650</v>
      </c>
      <c r="U180" t="s">
        <v>11650</v>
      </c>
      <c r="V180" t="s">
        <v>11650</v>
      </c>
      <c r="W180" t="s">
        <v>11827</v>
      </c>
      <c r="X180">
        <v>10</v>
      </c>
      <c r="Y180" t="s">
        <v>17590</v>
      </c>
      <c r="Z180" t="s">
        <v>23242</v>
      </c>
      <c r="AA180">
        <v>0.86541703514334745</v>
      </c>
      <c r="AB180" t="str">
        <f>HYPERLINK("Melting_Curves/meltCurve_B4DWI1_HACL1.pdf", "Melting_Curves/meltCurve_B4DWI1_HACL1.pdf")</f>
        <v>Melting_Curves/meltCurve_B4DWI1_HACL1.pdf</v>
      </c>
    </row>
    <row r="181" spans="1:28" x14ac:dyDescent="0.25">
      <c r="A181" t="s">
        <v>185</v>
      </c>
      <c r="B181">
        <v>0.99996721820229495</v>
      </c>
      <c r="C181">
        <v>0.94279231425399301</v>
      </c>
      <c r="D181">
        <v>0.98805738336076998</v>
      </c>
      <c r="E181">
        <v>0.72055502700672203</v>
      </c>
      <c r="F181">
        <v>0.61058013337627304</v>
      </c>
      <c r="G181">
        <v>0.38635728107922501</v>
      </c>
      <c r="H181">
        <v>0.24972606749905299</v>
      </c>
      <c r="I181">
        <v>0.16568847071089299</v>
      </c>
      <c r="J181">
        <v>0.12259354381293799</v>
      </c>
      <c r="K181">
        <v>8.1157762140283293E-2</v>
      </c>
      <c r="L181">
        <v>693.51771344613303</v>
      </c>
      <c r="M181">
        <v>12.7315560886505</v>
      </c>
      <c r="N181">
        <v>54.822934465725901</v>
      </c>
      <c r="O181">
        <v>53.180910074886803</v>
      </c>
      <c r="P181">
        <v>-5.7521350220847998E-2</v>
      </c>
      <c r="Q181">
        <v>3.9095712804119699E-2</v>
      </c>
      <c r="R181">
        <v>0.99308867421293501</v>
      </c>
      <c r="S181" t="s">
        <v>6007</v>
      </c>
      <c r="T181" t="s">
        <v>11650</v>
      </c>
      <c r="U181" t="s">
        <v>11650</v>
      </c>
      <c r="V181" t="s">
        <v>11650</v>
      </c>
      <c r="W181" t="s">
        <v>11828</v>
      </c>
      <c r="X181">
        <v>6</v>
      </c>
      <c r="Y181" t="s">
        <v>17591</v>
      </c>
      <c r="Z181" t="s">
        <v>23243</v>
      </c>
      <c r="AA181">
        <v>0.5253828023617203</v>
      </c>
      <c r="AB181" t="str">
        <f>HYPERLINK("Melting_Curves/meltCurve_B4DWJ2_QARS.pdf", "Melting_Curves/meltCurve_B4DWJ2_QARS.pdf")</f>
        <v>Melting_Curves/meltCurve_B4DWJ2_QARS.pdf</v>
      </c>
    </row>
    <row r="182" spans="1:28" x14ac:dyDescent="0.25">
      <c r="A182" t="s">
        <v>186</v>
      </c>
      <c r="B182">
        <v>0.99996721820229495</v>
      </c>
      <c r="C182">
        <v>1.02336927186452</v>
      </c>
      <c r="D182">
        <v>0.85261538216713495</v>
      </c>
      <c r="E182">
        <v>0.65504578629701704</v>
      </c>
      <c r="F182">
        <v>0.68221455183363799</v>
      </c>
      <c r="G182">
        <v>0.69519206013158696</v>
      </c>
      <c r="H182">
        <v>0.456163879712702</v>
      </c>
      <c r="I182">
        <v>0.330709819759537</v>
      </c>
      <c r="J182">
        <v>0.25352856370172899</v>
      </c>
      <c r="K182">
        <v>0.17822853126323199</v>
      </c>
      <c r="L182">
        <v>445.12566643327199</v>
      </c>
      <c r="M182">
        <v>7.5839869724245199</v>
      </c>
      <c r="N182">
        <v>58.692832001604103</v>
      </c>
      <c r="O182">
        <v>55.028843022753499</v>
      </c>
      <c r="P182">
        <v>-3.4502135240707998E-2</v>
      </c>
      <c r="Q182">
        <v>0</v>
      </c>
      <c r="R182">
        <v>0.93794697579614095</v>
      </c>
      <c r="S182" t="s">
        <v>6008</v>
      </c>
      <c r="T182" t="s">
        <v>11650</v>
      </c>
      <c r="U182" t="s">
        <v>11650</v>
      </c>
      <c r="V182" t="s">
        <v>11650</v>
      </c>
      <c r="W182" t="s">
        <v>11829</v>
      </c>
      <c r="X182">
        <v>7</v>
      </c>
      <c r="Y182" t="s">
        <v>17592</v>
      </c>
      <c r="Z182" t="s">
        <v>23244</v>
      </c>
      <c r="AA182">
        <v>0.61812430608624969</v>
      </c>
      <c r="AB182" t="str">
        <f>HYPERLINK("Melting_Curves/meltCurve_B4DXZ6_FXR1.pdf", "Melting_Curves/meltCurve_B4DXZ6_FXR1.pdf")</f>
        <v>Melting_Curves/meltCurve_B4DXZ6_FXR1.pdf</v>
      </c>
    </row>
    <row r="183" spans="1:28" x14ac:dyDescent="0.25">
      <c r="A183" t="s">
        <v>187</v>
      </c>
      <c r="B183">
        <v>0.99996721820229495</v>
      </c>
      <c r="C183">
        <v>1.0996073577427701</v>
      </c>
      <c r="D183">
        <v>1.02015374790776</v>
      </c>
      <c r="E183">
        <v>1.39092649976214</v>
      </c>
      <c r="F183">
        <v>1.3527339727574199</v>
      </c>
      <c r="G183">
        <v>0.88463269980055403</v>
      </c>
      <c r="H183">
        <v>0.59912551713931705</v>
      </c>
      <c r="I183">
        <v>0.42352545947482201</v>
      </c>
      <c r="J183">
        <v>0.33804541264007198</v>
      </c>
      <c r="K183">
        <v>0.244254364580137</v>
      </c>
      <c r="L183">
        <v>2004.8182106603099</v>
      </c>
      <c r="M183">
        <v>32.997665753439797</v>
      </c>
      <c r="N183">
        <v>62.293024896013797</v>
      </c>
      <c r="O183">
        <v>60.534508244412997</v>
      </c>
      <c r="P183">
        <v>-9.8329505419115101E-2</v>
      </c>
      <c r="Q183">
        <v>0.27845763195829398</v>
      </c>
      <c r="R183">
        <v>0.80565887794852897</v>
      </c>
      <c r="S183" t="s">
        <v>6009</v>
      </c>
      <c r="T183" t="s">
        <v>11650</v>
      </c>
      <c r="U183" t="s">
        <v>11650</v>
      </c>
      <c r="V183" t="s">
        <v>11650</v>
      </c>
      <c r="W183" t="s">
        <v>11830</v>
      </c>
      <c r="X183">
        <v>3</v>
      </c>
      <c r="Y183" t="s">
        <v>17593</v>
      </c>
      <c r="Z183" t="s">
        <v>23245</v>
      </c>
      <c r="AA183">
        <v>0.781343177396566</v>
      </c>
      <c r="AB183" t="str">
        <f>HYPERLINK("Melting_Curves/meltCurve_B4DYB4_NUP35.pdf", "Melting_Curves/meltCurve_B4DYB4_NUP35.pdf")</f>
        <v>Melting_Curves/meltCurve_B4DYB4_NUP35.pdf</v>
      </c>
    </row>
    <row r="184" spans="1:28" x14ac:dyDescent="0.25">
      <c r="A184" t="s">
        <v>188</v>
      </c>
      <c r="B184">
        <v>0.99996721820229495</v>
      </c>
      <c r="C184">
        <v>1.08193757227222</v>
      </c>
      <c r="D184">
        <v>1.17385510141947</v>
      </c>
      <c r="E184">
        <v>1.4307371089702201</v>
      </c>
      <c r="F184">
        <v>1.55679476156823</v>
      </c>
      <c r="G184">
        <v>1.69132928509906</v>
      </c>
      <c r="H184">
        <v>1.25401845951845</v>
      </c>
      <c r="I184">
        <v>0.77323007057720405</v>
      </c>
      <c r="J184">
        <v>0.41132244890354103</v>
      </c>
      <c r="K184">
        <v>0.40009529392672</v>
      </c>
      <c r="L184">
        <v>15000</v>
      </c>
      <c r="M184">
        <v>233.89206217582901</v>
      </c>
      <c r="N184">
        <v>64.592793200275906</v>
      </c>
      <c r="O184">
        <v>64.127464776160593</v>
      </c>
      <c r="P184">
        <v>-0.541902373895634</v>
      </c>
      <c r="Q184">
        <v>0.40569472524746703</v>
      </c>
      <c r="R184">
        <v>0.39367495728561003</v>
      </c>
      <c r="S184" t="s">
        <v>6010</v>
      </c>
      <c r="T184" t="s">
        <v>11650</v>
      </c>
      <c r="U184" t="s">
        <v>11650</v>
      </c>
      <c r="V184" t="s">
        <v>11650</v>
      </c>
      <c r="W184" t="s">
        <v>11831</v>
      </c>
      <c r="X184">
        <v>2</v>
      </c>
      <c r="Y184" t="s">
        <v>17594</v>
      </c>
      <c r="Z184" t="s">
        <v>23246</v>
      </c>
      <c r="AA184">
        <v>0.88383321323650821</v>
      </c>
      <c r="AB184" t="str">
        <f>HYPERLINK("Melting_Curves/meltCurve_B4DZ23_GPR176.pdf", "Melting_Curves/meltCurve_B4DZ23_GPR176.pdf")</f>
        <v>Melting_Curves/meltCurve_B4DZ23_GPR176.pdf</v>
      </c>
    </row>
    <row r="185" spans="1:28" x14ac:dyDescent="0.25">
      <c r="A185" t="s">
        <v>189</v>
      </c>
      <c r="B185">
        <v>0.99996721820229495</v>
      </c>
      <c r="C185">
        <v>0.86573956558144405</v>
      </c>
      <c r="D185">
        <v>0.70525783360817795</v>
      </c>
      <c r="E185">
        <v>0.34840495111812397</v>
      </c>
      <c r="F185">
        <v>0.20416179593709</v>
      </c>
      <c r="G185">
        <v>0.167796744348337</v>
      </c>
      <c r="H185">
        <v>0.18421377176163301</v>
      </c>
      <c r="I185">
        <v>6.12404444476514E-2</v>
      </c>
      <c r="J185">
        <v>2.4863454183390601E-2</v>
      </c>
      <c r="K185">
        <v>3.64101586394062E-2</v>
      </c>
      <c r="L185">
        <v>799.44311942370405</v>
      </c>
      <c r="M185">
        <v>16.703669348102999</v>
      </c>
      <c r="N185">
        <v>48.2752154950361</v>
      </c>
      <c r="O185">
        <v>47.190137902046601</v>
      </c>
      <c r="P185">
        <v>-8.2579882578354705E-2</v>
      </c>
      <c r="Q185">
        <v>6.6864017560931494E-2</v>
      </c>
      <c r="R185">
        <v>0.985605558974878</v>
      </c>
      <c r="S185" t="s">
        <v>6011</v>
      </c>
      <c r="T185" t="s">
        <v>11650</v>
      </c>
      <c r="U185" t="s">
        <v>11650</v>
      </c>
      <c r="V185" t="s">
        <v>11650</v>
      </c>
      <c r="W185" t="s">
        <v>11832</v>
      </c>
      <c r="X185">
        <v>2</v>
      </c>
      <c r="Y185" t="s">
        <v>17595</v>
      </c>
      <c r="Z185" t="s">
        <v>23247</v>
      </c>
      <c r="AA185">
        <v>0.33078768919331059</v>
      </c>
      <c r="AB185" t="str">
        <f>HYPERLINK("Melting_Curves/meltCurve_B4DZH6_HDAC6.pdf", "Melting_Curves/meltCurve_B4DZH6_HDAC6.pdf")</f>
        <v>Melting_Curves/meltCurve_B4DZH6_HDAC6.pdf</v>
      </c>
    </row>
    <row r="186" spans="1:28" x14ac:dyDescent="0.25">
      <c r="A186" t="s">
        <v>190</v>
      </c>
      <c r="B186">
        <v>0.99996721820229495</v>
      </c>
      <c r="C186">
        <v>0.79575839086518296</v>
      </c>
      <c r="D186">
        <v>0.89123513256120501</v>
      </c>
      <c r="E186">
        <v>1.0696985178960601</v>
      </c>
      <c r="F186">
        <v>1.35892387793631</v>
      </c>
      <c r="G186">
        <v>1.3412582200022201</v>
      </c>
      <c r="H186">
        <v>0.78113585877056002</v>
      </c>
      <c r="I186">
        <v>0.31937213848045198</v>
      </c>
      <c r="J186">
        <v>0.16821173141939</v>
      </c>
      <c r="K186">
        <v>0.42206880397483698</v>
      </c>
      <c r="L186">
        <v>6729.0809631397597</v>
      </c>
      <c r="M186">
        <v>109.519896961966</v>
      </c>
      <c r="N186">
        <v>61.960559622867301</v>
      </c>
      <c r="O186">
        <v>61.421151425786803</v>
      </c>
      <c r="P186">
        <v>-0.31195484085515701</v>
      </c>
      <c r="Q186">
        <v>0.30019565990942199</v>
      </c>
      <c r="R186">
        <v>0.775516530913955</v>
      </c>
      <c r="S186" t="s">
        <v>6012</v>
      </c>
      <c r="T186" t="s">
        <v>11650</v>
      </c>
      <c r="U186" t="s">
        <v>11650</v>
      </c>
      <c r="V186" t="s">
        <v>11650</v>
      </c>
      <c r="W186" t="s">
        <v>11833</v>
      </c>
      <c r="X186">
        <v>10</v>
      </c>
      <c r="Y186" t="s">
        <v>17596</v>
      </c>
      <c r="Z186" t="s">
        <v>23248</v>
      </c>
      <c r="AA186">
        <v>0.80075404689880303</v>
      </c>
      <c r="AB186" t="str">
        <f>HYPERLINK("Melting_Curves/meltCurve_B4E072_ACAA1.pdf", "Melting_Curves/meltCurve_B4E072_ACAA1.pdf")</f>
        <v>Melting_Curves/meltCurve_B4E072_ACAA1.pdf</v>
      </c>
    </row>
    <row r="187" spans="1:28" x14ac:dyDescent="0.25">
      <c r="A187" t="s">
        <v>191</v>
      </c>
      <c r="B187">
        <v>0.99996721820229495</v>
      </c>
      <c r="C187">
        <v>0.89057630234592899</v>
      </c>
      <c r="D187">
        <v>0.746021752919385</v>
      </c>
      <c r="E187">
        <v>0.41683051537979598</v>
      </c>
      <c r="F187">
        <v>0.38812169771182697</v>
      </c>
      <c r="G187">
        <v>0.33759512766997102</v>
      </c>
      <c r="H187">
        <v>0.19266313371539201</v>
      </c>
      <c r="I187">
        <v>0.103448775666502</v>
      </c>
      <c r="J187">
        <v>7.59704804071865E-2</v>
      </c>
      <c r="K187">
        <v>6.8422809271572904E-2</v>
      </c>
      <c r="L187">
        <v>549.05269517988597</v>
      </c>
      <c r="M187">
        <v>10.998522720267299</v>
      </c>
      <c r="N187">
        <v>50.398118109122898</v>
      </c>
      <c r="O187">
        <v>48.355439825407302</v>
      </c>
      <c r="P187">
        <v>-5.4067377888462997E-2</v>
      </c>
      <c r="Q187">
        <v>4.9483431887232698E-2</v>
      </c>
      <c r="R187">
        <v>0.97493232201671498</v>
      </c>
      <c r="S187" t="s">
        <v>6013</v>
      </c>
      <c r="T187" t="s">
        <v>11650</v>
      </c>
      <c r="U187" t="s">
        <v>11650</v>
      </c>
      <c r="V187" t="s">
        <v>11650</v>
      </c>
      <c r="W187" t="s">
        <v>11834</v>
      </c>
      <c r="X187">
        <v>5</v>
      </c>
      <c r="Y187" t="s">
        <v>17597</v>
      </c>
      <c r="Z187" t="s">
        <v>23249</v>
      </c>
      <c r="AA187">
        <v>0.40156191372643762</v>
      </c>
      <c r="AB187" t="str">
        <f>HYPERLINK("Melting_Curves/meltCurve_B4E0T2_PEX5.pdf", "Melting_Curves/meltCurve_B4E0T2_PEX5.pdf")</f>
        <v>Melting_Curves/meltCurve_B4E0T2_PEX5.pdf</v>
      </c>
    </row>
    <row r="188" spans="1:28" x14ac:dyDescent="0.25">
      <c r="A188" t="s">
        <v>192</v>
      </c>
      <c r="B188">
        <v>0.99996721820229495</v>
      </c>
      <c r="C188">
        <v>0.98672166175167297</v>
      </c>
      <c r="D188">
        <v>0.85313821371190901</v>
      </c>
      <c r="E188">
        <v>0.78540229375089698</v>
      </c>
      <c r="F188">
        <v>1.21406355268241</v>
      </c>
      <c r="G188">
        <v>1.28736895464358</v>
      </c>
      <c r="H188">
        <v>1.01674420403484</v>
      </c>
      <c r="I188">
        <v>1.01212109501486</v>
      </c>
      <c r="J188">
        <v>0.91549824042536598</v>
      </c>
      <c r="K188">
        <v>0.60433430430102797</v>
      </c>
      <c r="L188">
        <v>15000</v>
      </c>
      <c r="M188">
        <v>222.57672241695099</v>
      </c>
      <c r="O188">
        <v>67.387051681379702</v>
      </c>
      <c r="P188">
        <v>-0.326798922039371</v>
      </c>
      <c r="Q188">
        <v>0.60423506170126595</v>
      </c>
      <c r="R188">
        <v>0.43785302291755901</v>
      </c>
      <c r="S188" t="s">
        <v>6014</v>
      </c>
      <c r="T188" t="s">
        <v>11650</v>
      </c>
      <c r="U188" t="s">
        <v>11650</v>
      </c>
      <c r="V188" t="s">
        <v>11650</v>
      </c>
      <c r="W188" t="s">
        <v>11835</v>
      </c>
      <c r="X188">
        <v>1</v>
      </c>
      <c r="Y188" t="s">
        <v>17598</v>
      </c>
      <c r="Z188" t="s">
        <v>23250</v>
      </c>
      <c r="AA188">
        <v>0.96565929191247746</v>
      </c>
      <c r="AB188" t="str">
        <f>HYPERLINK("Melting_Curves/meltCurve_B4E1F4_EDEM2.pdf", "Melting_Curves/meltCurve_B4E1F4_EDEM2.pdf")</f>
        <v>Melting_Curves/meltCurve_B4E1F4_EDEM2.pdf</v>
      </c>
    </row>
    <row r="189" spans="1:28" x14ac:dyDescent="0.25">
      <c r="A189" t="s">
        <v>193</v>
      </c>
      <c r="B189">
        <v>0.99996721820229495</v>
      </c>
      <c r="C189">
        <v>1.15787111854742</v>
      </c>
      <c r="D189">
        <v>1.0547840229992</v>
      </c>
      <c r="E189">
        <v>1.2119620108311899</v>
      </c>
      <c r="F189">
        <v>1.4959808750431001</v>
      </c>
      <c r="G189">
        <v>1.2296678750843799</v>
      </c>
      <c r="H189">
        <v>0.67776291076489903</v>
      </c>
      <c r="I189">
        <v>0.482467636255828</v>
      </c>
      <c r="J189">
        <v>0.353181410196092</v>
      </c>
      <c r="K189">
        <v>0.36474557709321598</v>
      </c>
      <c r="L189">
        <v>4527.7348641872104</v>
      </c>
      <c r="M189">
        <v>74.255874690869305</v>
      </c>
      <c r="N189">
        <v>62.255472696534</v>
      </c>
      <c r="O189">
        <v>60.930590051223497</v>
      </c>
      <c r="P189">
        <v>-0.185403640753729</v>
      </c>
      <c r="Q189">
        <v>0.39146895608484999</v>
      </c>
      <c r="R189">
        <v>0.74096934481467402</v>
      </c>
      <c r="S189" t="s">
        <v>6015</v>
      </c>
      <c r="T189" t="s">
        <v>11650</v>
      </c>
      <c r="U189" t="s">
        <v>11650</v>
      </c>
      <c r="V189" t="s">
        <v>11650</v>
      </c>
      <c r="W189" t="s">
        <v>11836</v>
      </c>
      <c r="X189">
        <v>2</v>
      </c>
      <c r="Y189" t="s">
        <v>17599</v>
      </c>
      <c r="Z189" t="s">
        <v>23251</v>
      </c>
      <c r="AA189">
        <v>0.81766714477600766</v>
      </c>
      <c r="AB189" t="str">
        <f>HYPERLINK("Melting_Curves/meltCurve_B4E1M0_MSANTD2.pdf", "Melting_Curves/meltCurve_B4E1M0_MSANTD2.pdf")</f>
        <v>Melting_Curves/meltCurve_B4E1M0_MSANTD2.pdf</v>
      </c>
    </row>
    <row r="190" spans="1:28" x14ac:dyDescent="0.25">
      <c r="A190" t="s">
        <v>194</v>
      </c>
      <c r="B190">
        <v>0.99996721820229495</v>
      </c>
      <c r="C190">
        <v>0.60649431511259999</v>
      </c>
      <c r="D190">
        <v>0.202451359607147</v>
      </c>
      <c r="E190">
        <v>0.153235413028905</v>
      </c>
      <c r="F190">
        <v>0.13278455413774801</v>
      </c>
      <c r="G190">
        <v>0.139800049447839</v>
      </c>
      <c r="H190">
        <v>0.104556027690037</v>
      </c>
      <c r="I190">
        <v>6.8922660724350507E-2</v>
      </c>
      <c r="J190">
        <v>5.6345752583839399E-2</v>
      </c>
      <c r="K190">
        <v>5.6606709950795198E-2</v>
      </c>
      <c r="L190">
        <v>1619.0483468027901</v>
      </c>
      <c r="M190">
        <v>37.4304789354522</v>
      </c>
      <c r="N190">
        <v>43.519925129326197</v>
      </c>
      <c r="O190">
        <v>43.131883923721901</v>
      </c>
      <c r="P190">
        <v>-0.19483683087137901</v>
      </c>
      <c r="Q190">
        <v>0.101944623507291</v>
      </c>
      <c r="R190">
        <v>0.98638239666472605</v>
      </c>
      <c r="S190" t="s">
        <v>6016</v>
      </c>
      <c r="T190" t="s">
        <v>11650</v>
      </c>
      <c r="U190" t="s">
        <v>11650</v>
      </c>
      <c r="V190" t="s">
        <v>11650</v>
      </c>
      <c r="W190" t="s">
        <v>11837</v>
      </c>
      <c r="X190">
        <v>6</v>
      </c>
      <c r="Y190" t="s">
        <v>17600</v>
      </c>
      <c r="Z190" t="s">
        <v>23252</v>
      </c>
      <c r="AA190">
        <v>0.20375966793625319</v>
      </c>
      <c r="AB190" t="str">
        <f>HYPERLINK("Melting_Curves/meltCurve_B4E1N1_ARMC6.pdf", "Melting_Curves/meltCurve_B4E1N1_ARMC6.pdf")</f>
        <v>Melting_Curves/meltCurve_B4E1N1_ARMC6.pdf</v>
      </c>
    </row>
    <row r="191" spans="1:28" x14ac:dyDescent="0.25">
      <c r="A191" t="s">
        <v>195</v>
      </c>
      <c r="B191">
        <v>0.99996721820229495</v>
      </c>
      <c r="C191">
        <v>1.10874656792375</v>
      </c>
      <c r="D191">
        <v>0.97435605650271395</v>
      </c>
      <c r="E191">
        <v>0.84932041200571196</v>
      </c>
      <c r="F191">
        <v>0.83935535101965797</v>
      </c>
      <c r="G191">
        <v>0.73708381038854698</v>
      </c>
      <c r="H191">
        <v>0.41419367336613599</v>
      </c>
      <c r="I191">
        <v>0.32030270276568301</v>
      </c>
      <c r="J191">
        <v>0.236740991748987</v>
      </c>
      <c r="K191">
        <v>0.18877090042276401</v>
      </c>
      <c r="L191">
        <v>777.90788974062696</v>
      </c>
      <c r="M191">
        <v>13.0547597221579</v>
      </c>
      <c r="N191">
        <v>60.143657174034402</v>
      </c>
      <c r="O191">
        <v>58.241861469049297</v>
      </c>
      <c r="P191">
        <v>-5.2862903386366802E-2</v>
      </c>
      <c r="Q191">
        <v>5.6804128387847798E-2</v>
      </c>
      <c r="R191">
        <v>0.97471110477804002</v>
      </c>
      <c r="S191" t="s">
        <v>6017</v>
      </c>
      <c r="T191" t="s">
        <v>11650</v>
      </c>
      <c r="U191" t="s">
        <v>11650</v>
      </c>
      <c r="V191" t="s">
        <v>11650</v>
      </c>
      <c r="W191" t="s">
        <v>11838</v>
      </c>
      <c r="X191">
        <v>9</v>
      </c>
      <c r="Y191" t="s">
        <v>17601</v>
      </c>
      <c r="Z191" t="s">
        <v>23253</v>
      </c>
      <c r="AA191">
        <v>0.67881582125406414</v>
      </c>
      <c r="AB191" t="str">
        <f>HYPERLINK("Melting_Curves/meltCurve_B4E1Q4_RIOK3.pdf", "Melting_Curves/meltCurve_B4E1Q4_RIOK3.pdf")</f>
        <v>Melting_Curves/meltCurve_B4E1Q4_RIOK3.pdf</v>
      </c>
    </row>
    <row r="192" spans="1:28" x14ac:dyDescent="0.25">
      <c r="A192" t="s">
        <v>196</v>
      </c>
      <c r="B192">
        <v>0.99996721820229495</v>
      </c>
      <c r="C192">
        <v>0.83198797057876595</v>
      </c>
      <c r="D192">
        <v>1.0063902412454799</v>
      </c>
      <c r="E192">
        <v>0.94850900730446297</v>
      </c>
      <c r="F192">
        <v>1.0459322150692201</v>
      </c>
      <c r="G192">
        <v>1.2113181738007699</v>
      </c>
      <c r="H192">
        <v>0.88462787490376305</v>
      </c>
      <c r="I192">
        <v>0.477191382009237</v>
      </c>
      <c r="J192">
        <v>0.14483331366271199</v>
      </c>
      <c r="K192">
        <v>0.161574335355431</v>
      </c>
      <c r="L192">
        <v>3444.0044516027501</v>
      </c>
      <c r="M192">
        <v>54.297228258620898</v>
      </c>
      <c r="N192">
        <v>63.788633123765798</v>
      </c>
      <c r="O192">
        <v>63.3428794223151</v>
      </c>
      <c r="P192">
        <v>-0.18602403139649501</v>
      </c>
      <c r="Q192">
        <v>0.131941776173574</v>
      </c>
      <c r="R192">
        <v>0.93646638082286104</v>
      </c>
      <c r="S192" t="s">
        <v>6018</v>
      </c>
      <c r="T192" t="s">
        <v>11650</v>
      </c>
      <c r="U192" t="s">
        <v>11650</v>
      </c>
      <c r="V192" t="s">
        <v>11650</v>
      </c>
      <c r="W192" t="s">
        <v>11839</v>
      </c>
      <c r="X192">
        <v>2</v>
      </c>
      <c r="Y192" t="s">
        <v>17602</v>
      </c>
      <c r="Z192" t="s">
        <v>23254</v>
      </c>
      <c r="AA192">
        <v>0.81165451986684978</v>
      </c>
      <c r="AB192" t="str">
        <f>HYPERLINK("Melting_Curves/meltCurve_B4E1Q6_SLC35B3.pdf", "Melting_Curves/meltCurve_B4E1Q6_SLC35B3.pdf")</f>
        <v>Melting_Curves/meltCurve_B4E1Q6_SLC35B3.pdf</v>
      </c>
    </row>
    <row r="193" spans="1:28" x14ac:dyDescent="0.25">
      <c r="A193" t="s">
        <v>197</v>
      </c>
      <c r="B193">
        <v>0.99996721820229495</v>
      </c>
      <c r="C193">
        <v>0.94589166359631804</v>
      </c>
      <c r="D193">
        <v>0.87288175423249104</v>
      </c>
      <c r="E193">
        <v>0.87950971592262694</v>
      </c>
      <c r="F193">
        <v>1.2114075887089999</v>
      </c>
      <c r="G193">
        <v>1.2510005209378601</v>
      </c>
      <c r="H193">
        <v>0.99337446419887798</v>
      </c>
      <c r="I193">
        <v>1.00623390318504</v>
      </c>
      <c r="J193">
        <v>0.889070689264296</v>
      </c>
      <c r="K193">
        <v>0.69101683274086001</v>
      </c>
      <c r="L193">
        <v>15000</v>
      </c>
      <c r="M193">
        <v>223.30075535177099</v>
      </c>
      <c r="O193">
        <v>67.168591926045394</v>
      </c>
      <c r="P193">
        <v>-0.25683349406078398</v>
      </c>
      <c r="Q193">
        <v>0.69097921623774905</v>
      </c>
      <c r="R193">
        <v>0.416780193469039</v>
      </c>
      <c r="S193" t="s">
        <v>6019</v>
      </c>
      <c r="T193" t="s">
        <v>11650</v>
      </c>
      <c r="U193" t="s">
        <v>11650</v>
      </c>
      <c r="V193" t="s">
        <v>11650</v>
      </c>
      <c r="W193" t="s">
        <v>11840</v>
      </c>
      <c r="X193">
        <v>6</v>
      </c>
      <c r="Y193" t="s">
        <v>17603</v>
      </c>
      <c r="Z193" t="s">
        <v>23255</v>
      </c>
      <c r="AA193">
        <v>0.97093526665046281</v>
      </c>
      <c r="AB193" t="str">
        <f>HYPERLINK("Melting_Curves/meltCurve_B4E1S6_SDC4.pdf", "Melting_Curves/meltCurve_B4E1S6_SDC4.pdf")</f>
        <v>Melting_Curves/meltCurve_B4E1S6_SDC4.pdf</v>
      </c>
    </row>
    <row r="194" spans="1:28" x14ac:dyDescent="0.25">
      <c r="A194" t="s">
        <v>198</v>
      </c>
      <c r="B194">
        <v>0.99996721820229495</v>
      </c>
      <c r="C194">
        <v>0.90525702469918301</v>
      </c>
      <c r="D194">
        <v>0.91151965037858695</v>
      </c>
      <c r="E194">
        <v>1.5365697363426201</v>
      </c>
      <c r="F194">
        <v>1.8507022339958901</v>
      </c>
      <c r="G194">
        <v>1.4286658244045201</v>
      </c>
      <c r="H194">
        <v>1.25490403087956</v>
      </c>
      <c r="I194">
        <v>2.0461025465764102</v>
      </c>
      <c r="J194">
        <v>1.5655379250627901</v>
      </c>
      <c r="K194">
        <v>1.8661563254514499</v>
      </c>
      <c r="L194">
        <v>12003.085183015501</v>
      </c>
      <c r="M194">
        <v>250</v>
      </c>
      <c r="O194">
        <v>48.0092691375174</v>
      </c>
      <c r="P194">
        <v>0.650915982863284</v>
      </c>
      <c r="Q194">
        <v>1.5</v>
      </c>
      <c r="R194">
        <v>0.581415315361546</v>
      </c>
      <c r="S194" t="s">
        <v>6020</v>
      </c>
      <c r="T194" t="s">
        <v>11650</v>
      </c>
      <c r="U194" t="s">
        <v>11650</v>
      </c>
      <c r="V194" t="s">
        <v>11650</v>
      </c>
      <c r="W194" t="s">
        <v>11841</v>
      </c>
      <c r="X194">
        <v>6</v>
      </c>
      <c r="Y194" t="s">
        <v>17604</v>
      </c>
      <c r="Z194" t="s">
        <v>23256</v>
      </c>
      <c r="AA194">
        <v>1.366418857343592</v>
      </c>
      <c r="AB194" t="str">
        <f>HYPERLINK("Melting_Curves/meltCurve_B4E241_SFRS3.pdf", "Melting_Curves/meltCurve_B4E241_SFRS3.pdf")</f>
        <v>Melting_Curves/meltCurve_B4E241_SFRS3.pdf</v>
      </c>
    </row>
    <row r="195" spans="1:28" x14ac:dyDescent="0.25">
      <c r="A195" t="s">
        <v>199</v>
      </c>
      <c r="B195">
        <v>0.99996721820229495</v>
      </c>
      <c r="C195">
        <v>0.86411423676615096</v>
      </c>
      <c r="D195">
        <v>0.99683230004721401</v>
      </c>
      <c r="E195">
        <v>1.1073804783512</v>
      </c>
      <c r="F195">
        <v>1.53024796846316</v>
      </c>
      <c r="G195">
        <v>1.6617257637937199</v>
      </c>
      <c r="H195">
        <v>1.26887926382767</v>
      </c>
      <c r="I195">
        <v>0.97766168728260905</v>
      </c>
      <c r="J195">
        <v>0.60160144206106403</v>
      </c>
      <c r="K195">
        <v>0.56183855150886497</v>
      </c>
      <c r="L195">
        <v>7622.3061680198198</v>
      </c>
      <c r="M195">
        <v>116.08726926272099</v>
      </c>
      <c r="O195">
        <v>65.640659279324495</v>
      </c>
      <c r="P195">
        <v>-0.193681063569521</v>
      </c>
      <c r="Q195">
        <v>0.56193810606068695</v>
      </c>
      <c r="R195">
        <v>0.27951005407614199</v>
      </c>
      <c r="S195" t="s">
        <v>6021</v>
      </c>
      <c r="T195" t="s">
        <v>11650</v>
      </c>
      <c r="U195" t="s">
        <v>11650</v>
      </c>
      <c r="V195" t="s">
        <v>11650</v>
      </c>
      <c r="W195" t="s">
        <v>11842</v>
      </c>
      <c r="X195">
        <v>8</v>
      </c>
      <c r="Y195" t="s">
        <v>17605</v>
      </c>
      <c r="Z195" t="s">
        <v>23257</v>
      </c>
      <c r="AA195">
        <v>0.93685620862393337</v>
      </c>
      <c r="AB195" t="str">
        <f>HYPERLINK("Melting_Curves/meltCurve_B4E2S7_LAMP2.pdf", "Melting_Curves/meltCurve_B4E2S7_LAMP2.pdf")</f>
        <v>Melting_Curves/meltCurve_B4E2S7_LAMP2.pdf</v>
      </c>
    </row>
    <row r="196" spans="1:28" x14ac:dyDescent="0.25">
      <c r="A196" t="s">
        <v>200</v>
      </c>
      <c r="B196">
        <v>0.99996721820229495</v>
      </c>
      <c r="C196">
        <v>0.8369761997288</v>
      </c>
      <c r="D196">
        <v>0.87671392241639101</v>
      </c>
      <c r="E196">
        <v>1.21071867924333</v>
      </c>
      <c r="F196">
        <v>1.88162191517976</v>
      </c>
      <c r="G196">
        <v>1.7686942699914501</v>
      </c>
      <c r="H196">
        <v>1.5735203773064499</v>
      </c>
      <c r="I196">
        <v>1.0042283307431501</v>
      </c>
      <c r="J196">
        <v>0.68452134197077896</v>
      </c>
      <c r="K196">
        <v>0.344654084779069</v>
      </c>
      <c r="L196">
        <v>15000</v>
      </c>
      <c r="M196">
        <v>223.805988528949</v>
      </c>
      <c r="N196">
        <v>67.3741629769752</v>
      </c>
      <c r="O196">
        <v>67.016978332562601</v>
      </c>
      <c r="P196">
        <v>-0.54717891425780096</v>
      </c>
      <c r="Q196">
        <v>0.34460591395991302</v>
      </c>
      <c r="R196">
        <v>0.17922010679578201</v>
      </c>
      <c r="S196" t="s">
        <v>6022</v>
      </c>
      <c r="T196" t="s">
        <v>11650</v>
      </c>
      <c r="U196" t="s">
        <v>11650</v>
      </c>
      <c r="V196" t="s">
        <v>11650</v>
      </c>
      <c r="W196" t="s">
        <v>11843</v>
      </c>
      <c r="X196">
        <v>7</v>
      </c>
      <c r="Y196" t="s">
        <v>17606</v>
      </c>
      <c r="Z196" t="s">
        <v>23258</v>
      </c>
      <c r="AA196">
        <v>0.93504420565367397</v>
      </c>
      <c r="AB196" t="str">
        <f>HYPERLINK("Melting_Curves/meltCurve_B4E2V5_STOM.pdf", "Melting_Curves/meltCurve_B4E2V5_STOM.pdf")</f>
        <v>Melting_Curves/meltCurve_B4E2V5_STOM.pdf</v>
      </c>
    </row>
    <row r="197" spans="1:28" x14ac:dyDescent="0.25">
      <c r="A197" t="s">
        <v>201</v>
      </c>
      <c r="B197">
        <v>0.99996721820229495</v>
      </c>
      <c r="C197">
        <v>1.0848187926814099</v>
      </c>
      <c r="D197">
        <v>1.3511107131034199</v>
      </c>
      <c r="E197">
        <v>2.4733923472486001</v>
      </c>
      <c r="F197">
        <v>0.76296866105938299</v>
      </c>
      <c r="G197">
        <v>0.47871716286346599</v>
      </c>
      <c r="H197">
        <v>0.249530690239848</v>
      </c>
      <c r="I197">
        <v>0.178413704064916</v>
      </c>
      <c r="J197">
        <v>0.12812989996763899</v>
      </c>
      <c r="K197">
        <v>0.100532074747921</v>
      </c>
      <c r="L197">
        <v>2373.5586996484199</v>
      </c>
      <c r="M197">
        <v>42.1506845658744</v>
      </c>
      <c r="N197">
        <v>56.806827294505901</v>
      </c>
      <c r="O197">
        <v>56.184946339077001</v>
      </c>
      <c r="P197">
        <v>-0.15870063920834199</v>
      </c>
      <c r="Q197">
        <v>0.153838147515618</v>
      </c>
      <c r="R197">
        <v>0.52499205182765796</v>
      </c>
      <c r="S197" t="s">
        <v>6023</v>
      </c>
      <c r="T197" t="s">
        <v>11650</v>
      </c>
      <c r="U197" t="s">
        <v>11650</v>
      </c>
      <c r="V197" t="s">
        <v>11650</v>
      </c>
      <c r="W197" t="s">
        <v>11844</v>
      </c>
      <c r="X197">
        <v>17</v>
      </c>
      <c r="Y197" t="s">
        <v>17607</v>
      </c>
      <c r="Z197" t="s">
        <v>23259</v>
      </c>
      <c r="AA197">
        <v>0.6168520263796915</v>
      </c>
      <c r="AB197" t="str">
        <f>HYPERLINK("Melting_Curves/meltCurve_B4E2W0_HADHB.pdf", "Melting_Curves/meltCurve_B4E2W0_HADHB.pdf")</f>
        <v>Melting_Curves/meltCurve_B4E2W0_HADHB.pdf</v>
      </c>
    </row>
    <row r="198" spans="1:28" x14ac:dyDescent="0.25">
      <c r="A198" t="s">
        <v>202</v>
      </c>
      <c r="B198">
        <v>0.99996721820229495</v>
      </c>
      <c r="C198">
        <v>0.91551333615403696</v>
      </c>
      <c r="D198">
        <v>0.62698758973672897</v>
      </c>
      <c r="E198">
        <v>0.360224273387798</v>
      </c>
      <c r="F198">
        <v>0.35535632059035199</v>
      </c>
      <c r="G198">
        <v>0.336725044552941</v>
      </c>
      <c r="H198">
        <v>0.25881619004255202</v>
      </c>
      <c r="I198">
        <v>0.14999607860422701</v>
      </c>
      <c r="J198">
        <v>0.101735328792412</v>
      </c>
      <c r="K198">
        <v>0.100980434804592</v>
      </c>
      <c r="L198">
        <v>671.52918996730705</v>
      </c>
      <c r="M198">
        <v>14.1153138285508</v>
      </c>
      <c r="N198">
        <v>48.829617551290198</v>
      </c>
      <c r="O198">
        <v>46.650185273812902</v>
      </c>
      <c r="P198">
        <v>-6.4143912549773099E-2</v>
      </c>
      <c r="Q198">
        <v>0.15214310188692301</v>
      </c>
      <c r="R198">
        <v>0.95476380875836098</v>
      </c>
      <c r="S198" t="s">
        <v>6024</v>
      </c>
      <c r="T198" t="s">
        <v>11650</v>
      </c>
      <c r="U198" t="s">
        <v>11650</v>
      </c>
      <c r="V198" t="s">
        <v>11650</v>
      </c>
      <c r="W198" t="s">
        <v>11845</v>
      </c>
      <c r="X198">
        <v>7</v>
      </c>
      <c r="Y198" t="s">
        <v>17608</v>
      </c>
      <c r="Z198" t="s">
        <v>23260</v>
      </c>
      <c r="AA198">
        <v>0.39136663174018083</v>
      </c>
      <c r="AB198" t="str">
        <f>HYPERLINK("Melting_Curves/meltCurve_B4E2X3_METTL13.pdf", "Melting_Curves/meltCurve_B4E2X3_METTL13.pdf")</f>
        <v>Melting_Curves/meltCurve_B4E2X3_METTL13.pdf</v>
      </c>
    </row>
    <row r="199" spans="1:28" x14ac:dyDescent="0.25">
      <c r="A199" t="s">
        <v>203</v>
      </c>
      <c r="B199">
        <v>0.99996721820229495</v>
      </c>
      <c r="C199">
        <v>0.977733375357977</v>
      </c>
      <c r="D199">
        <v>1.0581605620056</v>
      </c>
      <c r="E199">
        <v>1.0546987460595101</v>
      </c>
      <c r="F199">
        <v>1.4284822150933001</v>
      </c>
      <c r="G199">
        <v>1.70615534886036</v>
      </c>
      <c r="H199">
        <v>1.4201624523708201</v>
      </c>
      <c r="I199">
        <v>1.2653980462435801</v>
      </c>
      <c r="J199">
        <v>1.4943900627358699</v>
      </c>
      <c r="K199">
        <v>2.7664817930830301</v>
      </c>
      <c r="L199">
        <v>3567.06891095642</v>
      </c>
      <c r="M199">
        <v>69.178463881042205</v>
      </c>
      <c r="O199">
        <v>51.520247949943901</v>
      </c>
      <c r="P199">
        <v>0.16784294301494501</v>
      </c>
      <c r="Q199">
        <v>1.5</v>
      </c>
      <c r="R199">
        <v>0.33140079115243998</v>
      </c>
      <c r="S199" t="s">
        <v>6025</v>
      </c>
      <c r="T199" t="s">
        <v>11650</v>
      </c>
      <c r="U199" t="s">
        <v>11650</v>
      </c>
      <c r="V199" t="s">
        <v>11650</v>
      </c>
      <c r="W199" t="s">
        <v>11846</v>
      </c>
      <c r="X199">
        <v>21</v>
      </c>
      <c r="Y199" t="s">
        <v>17609</v>
      </c>
      <c r="Z199" t="s">
        <v>23261</v>
      </c>
      <c r="AA199">
        <v>1.306686071385794</v>
      </c>
      <c r="AB199" t="str">
        <f>HYPERLINK("Melting_Curves/meltCurve_B4E358_CTTN.pdf", "Melting_Curves/meltCurve_B4E358_CTTN.pdf")</f>
        <v>Melting_Curves/meltCurve_B4E358_CTTN.pdf</v>
      </c>
    </row>
    <row r="200" spans="1:28" x14ac:dyDescent="0.25">
      <c r="A200" t="s">
        <v>204</v>
      </c>
      <c r="B200">
        <v>0.99996721820229495</v>
      </c>
      <c r="C200">
        <v>0.97977871440882303</v>
      </c>
      <c r="D200">
        <v>0.86776865948838999</v>
      </c>
      <c r="E200">
        <v>0.41302275037967501</v>
      </c>
      <c r="F200">
        <v>0.363476128722652</v>
      </c>
      <c r="G200">
        <v>0.32852495443747098</v>
      </c>
      <c r="H200">
        <v>0.225625909422523</v>
      </c>
      <c r="I200">
        <v>0.129385513211148</v>
      </c>
      <c r="J200">
        <v>0.107155961522559</v>
      </c>
      <c r="K200">
        <v>7.8966053328152902E-2</v>
      </c>
      <c r="L200">
        <v>844.383096752352</v>
      </c>
      <c r="M200">
        <v>17.102280051145399</v>
      </c>
      <c r="N200">
        <v>50.318831459456497</v>
      </c>
      <c r="O200">
        <v>48.7123343972046</v>
      </c>
      <c r="P200">
        <v>-7.5706564005851004E-2</v>
      </c>
      <c r="Q200">
        <v>0.13751362433286399</v>
      </c>
      <c r="R200">
        <v>0.96652401055347104</v>
      </c>
      <c r="S200" t="s">
        <v>6026</v>
      </c>
      <c r="T200" t="s">
        <v>11650</v>
      </c>
      <c r="U200" t="s">
        <v>11650</v>
      </c>
      <c r="V200" t="s">
        <v>11650</v>
      </c>
      <c r="W200" t="s">
        <v>11847</v>
      </c>
      <c r="X200">
        <v>4</v>
      </c>
      <c r="Y200" t="s">
        <v>17610</v>
      </c>
      <c r="Z200" t="s">
        <v>23262</v>
      </c>
      <c r="AA200">
        <v>0.4233652803553643</v>
      </c>
      <c r="AB200" t="str">
        <f>HYPERLINK("Melting_Curves/meltCurve_B4E3E5_DVL3.pdf", "Melting_Curves/meltCurve_B4E3E5_DVL3.pdf")</f>
        <v>Melting_Curves/meltCurve_B4E3E5_DVL3.pdf</v>
      </c>
    </row>
    <row r="201" spans="1:28" x14ac:dyDescent="0.25">
      <c r="A201" t="s">
        <v>205</v>
      </c>
      <c r="B201">
        <v>0.99996721820229495</v>
      </c>
      <c r="C201">
        <v>0.93492662391261905</v>
      </c>
      <c r="D201">
        <v>1.0058352085468101</v>
      </c>
      <c r="E201">
        <v>0.970057052958616</v>
      </c>
      <c r="F201">
        <v>0.86890774392730197</v>
      </c>
      <c r="G201">
        <v>0.55118927408584095</v>
      </c>
      <c r="H201">
        <v>0.31245055179181203</v>
      </c>
      <c r="I201">
        <v>0.24132775312792901</v>
      </c>
      <c r="J201">
        <v>0.17517702895933901</v>
      </c>
      <c r="K201">
        <v>0.160350822153013</v>
      </c>
      <c r="L201">
        <v>1270.5317821966801</v>
      </c>
      <c r="M201">
        <v>22.357162243748899</v>
      </c>
      <c r="N201">
        <v>57.804574014710099</v>
      </c>
      <c r="O201">
        <v>56.380069244853601</v>
      </c>
      <c r="P201">
        <v>-8.3556057667563605E-2</v>
      </c>
      <c r="Q201">
        <v>0.15717462600794299</v>
      </c>
      <c r="R201">
        <v>0.99577026648881495</v>
      </c>
      <c r="S201" t="s">
        <v>6027</v>
      </c>
      <c r="T201" t="s">
        <v>11650</v>
      </c>
      <c r="U201" t="s">
        <v>11650</v>
      </c>
      <c r="V201" t="s">
        <v>11650</v>
      </c>
      <c r="W201" t="s">
        <v>11848</v>
      </c>
      <c r="X201">
        <v>3</v>
      </c>
      <c r="Y201" t="s">
        <v>17611</v>
      </c>
      <c r="Z201" t="s">
        <v>23263</v>
      </c>
      <c r="AA201">
        <v>0.63897170153638139</v>
      </c>
      <c r="AB201" t="str">
        <f>HYPERLINK("Melting_Curves/meltCurve_B4E3Q1_CLSTN1.pdf", "Melting_Curves/meltCurve_B4E3Q1_CLSTN1.pdf")</f>
        <v>Melting_Curves/meltCurve_B4E3Q1_CLSTN1.pdf</v>
      </c>
    </row>
    <row r="202" spans="1:28" x14ac:dyDescent="0.25">
      <c r="A202" t="s">
        <v>206</v>
      </c>
      <c r="B202">
        <v>0.99996721820229495</v>
      </c>
      <c r="C202">
        <v>0.71458723780030398</v>
      </c>
      <c r="D202">
        <v>0.66195956385812305</v>
      </c>
      <c r="E202">
        <v>0.75623145704056605</v>
      </c>
      <c r="F202">
        <v>0.92619237784408603</v>
      </c>
      <c r="G202">
        <v>0.47729894451740101</v>
      </c>
      <c r="H202">
        <v>0.22243979587565901</v>
      </c>
      <c r="I202">
        <v>0.14188919738004099</v>
      </c>
      <c r="J202">
        <v>0.100647820084769</v>
      </c>
      <c r="K202">
        <v>6.2985350133816398E-2</v>
      </c>
      <c r="L202">
        <v>622.107267107859</v>
      </c>
      <c r="M202">
        <v>11.086366030455199</v>
      </c>
      <c r="N202">
        <v>56.114632101326798</v>
      </c>
      <c r="O202">
        <v>54.381640060516098</v>
      </c>
      <c r="P202">
        <v>-5.0982258700921601E-2</v>
      </c>
      <c r="Q202">
        <v>0</v>
      </c>
      <c r="R202">
        <v>0.80751343999085401</v>
      </c>
      <c r="S202" t="s">
        <v>6028</v>
      </c>
      <c r="T202" t="s">
        <v>11650</v>
      </c>
      <c r="U202" t="s">
        <v>11650</v>
      </c>
      <c r="V202" t="s">
        <v>11650</v>
      </c>
      <c r="W202" t="s">
        <v>11849</v>
      </c>
      <c r="X202">
        <v>3</v>
      </c>
      <c r="Y202" t="s">
        <v>17612</v>
      </c>
      <c r="Z202" t="s">
        <v>23264</v>
      </c>
      <c r="AA202">
        <v>0.55757241442448169</v>
      </c>
      <c r="AB202" t="str">
        <f>HYPERLINK("Melting_Curves/meltCurve_B5MC53_MPV17.pdf", "Melting_Curves/meltCurve_B5MC53_MPV17.pdf")</f>
        <v>Melting_Curves/meltCurve_B5MC53_MPV17.pdf</v>
      </c>
    </row>
    <row r="203" spans="1:28" x14ac:dyDescent="0.25">
      <c r="A203" t="s">
        <v>207</v>
      </c>
      <c r="B203">
        <v>0.99996721820229495</v>
      </c>
      <c r="C203">
        <v>1.05436688240728</v>
      </c>
      <c r="D203">
        <v>0.95921578336100899</v>
      </c>
      <c r="E203">
        <v>1.13587283268395</v>
      </c>
      <c r="F203">
        <v>1.5295207851255199</v>
      </c>
      <c r="G203">
        <v>1.8799088274862299</v>
      </c>
      <c r="H203">
        <v>1.5140975992800101</v>
      </c>
      <c r="I203">
        <v>1.29462751700039</v>
      </c>
      <c r="J203">
        <v>0.91297108128590798</v>
      </c>
      <c r="K203">
        <v>0.636151473513071</v>
      </c>
      <c r="L203">
        <v>15000</v>
      </c>
      <c r="M203">
        <v>222.72297096019199</v>
      </c>
      <c r="O203">
        <v>67.342809563515303</v>
      </c>
      <c r="P203">
        <v>-0.30090503047129202</v>
      </c>
      <c r="Q203">
        <v>0.63607184236500403</v>
      </c>
      <c r="R203">
        <v>-0.189292476433085</v>
      </c>
      <c r="S203" t="s">
        <v>6029</v>
      </c>
      <c r="T203" t="s">
        <v>11650</v>
      </c>
      <c r="U203" t="s">
        <v>11650</v>
      </c>
      <c r="V203" t="s">
        <v>11650</v>
      </c>
      <c r="W203" t="s">
        <v>11850</v>
      </c>
      <c r="X203">
        <v>2</v>
      </c>
      <c r="Y203" t="s">
        <v>17613</v>
      </c>
      <c r="Z203" t="s">
        <v>23265</v>
      </c>
      <c r="AA203">
        <v>0.96788498906543841</v>
      </c>
      <c r="AB203" t="str">
        <f>HYPERLINK("Melting_Curves/meltCurve_B5MCD7_SYNGR1.pdf", "Melting_Curves/meltCurve_B5MCD7_SYNGR1.pdf")</f>
        <v>Melting_Curves/meltCurve_B5MCD7_SYNGR1.pdf</v>
      </c>
    </row>
    <row r="204" spans="1:28" x14ac:dyDescent="0.25">
      <c r="A204" t="s">
        <v>208</v>
      </c>
      <c r="B204">
        <v>0.99996721820229495</v>
      </c>
      <c r="C204">
        <v>0.84362975067178403</v>
      </c>
      <c r="D204">
        <v>1.01030750663304</v>
      </c>
      <c r="E204">
        <v>1.1328882860645499</v>
      </c>
      <c r="F204">
        <v>1.49238415471258</v>
      </c>
      <c r="G204">
        <v>1.3929920085332499</v>
      </c>
      <c r="H204">
        <v>1.0999418042498199</v>
      </c>
      <c r="I204">
        <v>0.90331703847038802</v>
      </c>
      <c r="J204">
        <v>0.71699548741790897</v>
      </c>
      <c r="K204">
        <v>0.72975410092542203</v>
      </c>
      <c r="L204">
        <v>15000</v>
      </c>
      <c r="M204">
        <v>233.75374914253601</v>
      </c>
      <c r="O204">
        <v>64.165396814359994</v>
      </c>
      <c r="P204">
        <v>-0.251941795675799</v>
      </c>
      <c r="Q204">
        <v>0.72336794073407396</v>
      </c>
      <c r="R204">
        <v>0.25285213271580598</v>
      </c>
      <c r="S204" t="s">
        <v>6030</v>
      </c>
      <c r="T204" t="s">
        <v>11650</v>
      </c>
      <c r="U204" t="s">
        <v>11650</v>
      </c>
      <c r="V204" t="s">
        <v>11650</v>
      </c>
      <c r="W204" t="s">
        <v>11851</v>
      </c>
      <c r="X204">
        <v>3</v>
      </c>
      <c r="Y204" t="s">
        <v>17614</v>
      </c>
      <c r="Z204" t="s">
        <v>23266</v>
      </c>
      <c r="AA204">
        <v>0.94627767008899433</v>
      </c>
      <c r="AB204" t="str">
        <f>HYPERLINK("Melting_Curves/meltCurve_B5MD23_TSPAN9.pdf", "Melting_Curves/meltCurve_B5MD23_TSPAN9.pdf")</f>
        <v>Melting_Curves/meltCurve_B5MD23_TSPAN9.pdf</v>
      </c>
    </row>
    <row r="205" spans="1:28" x14ac:dyDescent="0.25">
      <c r="A205" t="s">
        <v>209</v>
      </c>
      <c r="B205">
        <v>0.99996721820229495</v>
      </c>
      <c r="C205">
        <v>0.89919762784427304</v>
      </c>
      <c r="D205">
        <v>1.15841507568862</v>
      </c>
      <c r="E205">
        <v>1.3077678400109201</v>
      </c>
      <c r="F205">
        <v>1.8624294569876201</v>
      </c>
      <c r="G205">
        <v>1.9345431594917899</v>
      </c>
      <c r="H205">
        <v>1.44494651858259</v>
      </c>
      <c r="I205">
        <v>0.67056039415397595</v>
      </c>
      <c r="J205">
        <v>9.2736443899415003E-2</v>
      </c>
      <c r="K205">
        <v>2.7890785382829901E-2</v>
      </c>
      <c r="L205">
        <v>15000</v>
      </c>
      <c r="M205">
        <v>233.75840284925701</v>
      </c>
      <c r="N205">
        <v>64.204106883879106</v>
      </c>
      <c r="O205">
        <v>64.164119589747798</v>
      </c>
      <c r="P205">
        <v>-0.85587501486180895</v>
      </c>
      <c r="Q205">
        <v>6.0286758059281097E-2</v>
      </c>
      <c r="R205">
        <v>0.48836793518318999</v>
      </c>
      <c r="S205" t="s">
        <v>6031</v>
      </c>
      <c r="T205" t="s">
        <v>11650</v>
      </c>
      <c r="U205" t="s">
        <v>11650</v>
      </c>
      <c r="V205" t="s">
        <v>11650</v>
      </c>
      <c r="W205" t="s">
        <v>11852</v>
      </c>
      <c r="X205">
        <v>1</v>
      </c>
      <c r="Y205" t="s">
        <v>17615</v>
      </c>
      <c r="Z205" t="s">
        <v>23267</v>
      </c>
      <c r="AA205">
        <v>0.81746636029037856</v>
      </c>
      <c r="AB205" t="str">
        <f>HYPERLINK("Melting_Curves/meltCurve_B5MDE0_RFT1.pdf", "Melting_Curves/meltCurve_B5MDE0_RFT1.pdf")</f>
        <v>Melting_Curves/meltCurve_B5MDE0_RFT1.pdf</v>
      </c>
    </row>
    <row r="206" spans="1:28" x14ac:dyDescent="0.25">
      <c r="A206" t="s">
        <v>210</v>
      </c>
      <c r="B206">
        <v>0.99996721820229495</v>
      </c>
      <c r="C206">
        <v>1.0492785705483301</v>
      </c>
      <c r="D206">
        <v>0.93652534263989295</v>
      </c>
      <c r="E206">
        <v>0.71899587733262704</v>
      </c>
      <c r="F206">
        <v>0.42787921295653097</v>
      </c>
      <c r="G206">
        <v>0.25243313206793</v>
      </c>
      <c r="H206">
        <v>0.14743738994040001</v>
      </c>
      <c r="I206">
        <v>0.123054038692225</v>
      </c>
      <c r="J206">
        <v>9.6384049473846406E-2</v>
      </c>
      <c r="K206">
        <v>5.7189457287271601E-2</v>
      </c>
      <c r="L206">
        <v>1023.00785692048</v>
      </c>
      <c r="M206">
        <v>19.6853491300628</v>
      </c>
      <c r="N206">
        <v>52.477931204088101</v>
      </c>
      <c r="O206">
        <v>51.440601495093397</v>
      </c>
      <c r="P206">
        <v>-8.7344932866236097E-2</v>
      </c>
      <c r="Q206">
        <v>8.7052922885481193E-2</v>
      </c>
      <c r="R206">
        <v>0.99499883893589502</v>
      </c>
      <c r="S206" t="s">
        <v>6032</v>
      </c>
      <c r="T206" t="s">
        <v>11650</v>
      </c>
      <c r="U206" t="s">
        <v>11650</v>
      </c>
      <c r="V206" t="s">
        <v>11650</v>
      </c>
      <c r="W206" t="s">
        <v>11853</v>
      </c>
      <c r="X206">
        <v>3</v>
      </c>
      <c r="Y206" t="s">
        <v>17616</v>
      </c>
      <c r="Z206" t="s">
        <v>23268</v>
      </c>
      <c r="AA206">
        <v>0.464256638198491</v>
      </c>
      <c r="AB206" t="str">
        <f>HYPERLINK("Melting_Curves/meltCurve_B5MDU6_C2orf43.pdf", "Melting_Curves/meltCurve_B5MDU6_C2orf43.pdf")</f>
        <v>Melting_Curves/meltCurve_B5MDU6_C2orf43.pdf</v>
      </c>
    </row>
    <row r="207" spans="1:28" x14ac:dyDescent="0.25">
      <c r="A207" t="s">
        <v>211</v>
      </c>
      <c r="B207">
        <v>0.99996721820229495</v>
      </c>
      <c r="C207">
        <v>0.99922462498035702</v>
      </c>
      <c r="D207">
        <v>0.99198294293013001</v>
      </c>
      <c r="E207">
        <v>1.0029078557739</v>
      </c>
      <c r="F207">
        <v>0.91437862224105604</v>
      </c>
      <c r="G207">
        <v>0.66968161458410602</v>
      </c>
      <c r="H207">
        <v>0.46382403493695801</v>
      </c>
      <c r="I207">
        <v>0.40131884902755899</v>
      </c>
      <c r="J207">
        <v>0.36652460268303899</v>
      </c>
      <c r="K207">
        <v>0.36764479958131102</v>
      </c>
      <c r="L207">
        <v>1466.76610740248</v>
      </c>
      <c r="M207">
        <v>25.7761205982432</v>
      </c>
      <c r="N207">
        <v>59.894267849850301</v>
      </c>
      <c r="O207">
        <v>56.564880979326098</v>
      </c>
      <c r="P207">
        <v>-7.2691469057815497E-2</v>
      </c>
      <c r="Q207">
        <v>0.36193108572281801</v>
      </c>
      <c r="R207">
        <v>0.99919403759514103</v>
      </c>
      <c r="S207" t="s">
        <v>6033</v>
      </c>
      <c r="T207" t="s">
        <v>11650</v>
      </c>
      <c r="U207" t="s">
        <v>11650</v>
      </c>
      <c r="V207" t="s">
        <v>11650</v>
      </c>
      <c r="W207" t="s">
        <v>11854</v>
      </c>
      <c r="X207">
        <v>9</v>
      </c>
      <c r="Y207" t="s">
        <v>17617</v>
      </c>
      <c r="Z207" t="s">
        <v>23269</v>
      </c>
      <c r="AA207">
        <v>0.72695357640144365</v>
      </c>
      <c r="AB207" t="str">
        <f>HYPERLINK("Melting_Curves/meltCurve_B7WPE2_EML3.pdf", "Melting_Curves/meltCurve_B7WPE2_EML3.pdf")</f>
        <v>Melting_Curves/meltCurve_B7WPE2_EML3.pdf</v>
      </c>
    </row>
    <row r="208" spans="1:28" x14ac:dyDescent="0.25">
      <c r="A208" t="s">
        <v>212</v>
      </c>
      <c r="B208">
        <v>0.99996721820229495</v>
      </c>
      <c r="C208">
        <v>0.96592419826219</v>
      </c>
      <c r="D208">
        <v>0.74437305696693901</v>
      </c>
      <c r="E208">
        <v>0.69949457561239103</v>
      </c>
      <c r="F208">
        <v>1.22412676866768</v>
      </c>
      <c r="G208">
        <v>1.2160566031329301</v>
      </c>
      <c r="H208">
        <v>0.89751964625389602</v>
      </c>
      <c r="I208">
        <v>0.80845070150113796</v>
      </c>
      <c r="J208">
        <v>0.73283733559395303</v>
      </c>
      <c r="K208">
        <v>0.51659053121502996</v>
      </c>
      <c r="L208">
        <v>1599.4165950726001</v>
      </c>
      <c r="M208">
        <v>23.7601355890333</v>
      </c>
      <c r="O208">
        <v>66.843730387160903</v>
      </c>
      <c r="P208">
        <v>-5.8461450453168501E-2</v>
      </c>
      <c r="Q208">
        <v>0.34213888404140103</v>
      </c>
      <c r="R208">
        <v>0.429111440256007</v>
      </c>
      <c r="S208" t="s">
        <v>6034</v>
      </c>
      <c r="T208" t="s">
        <v>11650</v>
      </c>
      <c r="U208" t="s">
        <v>11650</v>
      </c>
      <c r="V208" t="s">
        <v>11650</v>
      </c>
      <c r="W208" t="s">
        <v>11855</v>
      </c>
      <c r="X208">
        <v>1</v>
      </c>
      <c r="Y208" t="s">
        <v>17618</v>
      </c>
      <c r="Z208" t="s">
        <v>23270</v>
      </c>
      <c r="AA208">
        <v>0.92472301464516471</v>
      </c>
      <c r="AB208" t="str">
        <f>HYPERLINK("Melting_Curves/meltCurve_B7WPG3_HNRPLL.pdf", "Melting_Curves/meltCurve_B7WPG3_HNRPLL.pdf")</f>
        <v>Melting_Curves/meltCurve_B7WPG3_HNRPLL.pdf</v>
      </c>
    </row>
    <row r="209" spans="1:28" x14ac:dyDescent="0.25">
      <c r="A209" t="s">
        <v>213</v>
      </c>
      <c r="B209">
        <v>0.99996721820229495</v>
      </c>
      <c r="C209">
        <v>0.83066676345897394</v>
      </c>
      <c r="D209">
        <v>0.89368721875839496</v>
      </c>
      <c r="E209">
        <v>1.18961652189036</v>
      </c>
      <c r="F209">
        <v>1.6466381163067201</v>
      </c>
      <c r="G209">
        <v>1.4899964337654601</v>
      </c>
      <c r="H209">
        <v>1.26100725540167</v>
      </c>
      <c r="I209">
        <v>0.85040020946335804</v>
      </c>
      <c r="J209">
        <v>0.61396749623233204</v>
      </c>
      <c r="K209">
        <v>0.63408537552159205</v>
      </c>
      <c r="L209">
        <v>15000</v>
      </c>
      <c r="M209">
        <v>233.96068206404499</v>
      </c>
      <c r="O209">
        <v>64.108635695198501</v>
      </c>
      <c r="P209">
        <v>-0.34303043333384797</v>
      </c>
      <c r="Q209">
        <v>0.62401855677143703</v>
      </c>
      <c r="R209">
        <v>0.264287441188987</v>
      </c>
      <c r="S209" t="s">
        <v>6035</v>
      </c>
      <c r="T209" t="s">
        <v>11650</v>
      </c>
      <c r="U209" t="s">
        <v>11650</v>
      </c>
      <c r="V209" t="s">
        <v>11650</v>
      </c>
      <c r="W209" t="s">
        <v>11856</v>
      </c>
      <c r="X209">
        <v>9</v>
      </c>
      <c r="Y209" t="s">
        <v>17619</v>
      </c>
      <c r="Z209" t="s">
        <v>23271</v>
      </c>
      <c r="AA209">
        <v>0.9262724341778209</v>
      </c>
      <c r="AB209" t="str">
        <f>HYPERLINK("Melting_Curves/meltCurve_B7Z1I4_NTM.pdf", "Melting_Curves/meltCurve_B7Z1I4_NTM.pdf")</f>
        <v>Melting_Curves/meltCurve_B7Z1I4_NTM.pdf</v>
      </c>
    </row>
    <row r="210" spans="1:28" x14ac:dyDescent="0.25">
      <c r="A210" t="s">
        <v>214</v>
      </c>
      <c r="B210">
        <v>0.99996721820229495</v>
      </c>
      <c r="C210">
        <v>1.01668504541809</v>
      </c>
      <c r="D210">
        <v>0.98668478109101099</v>
      </c>
      <c r="E210">
        <v>1.0756514881062</v>
      </c>
      <c r="F210">
        <v>1.1575529056370399</v>
      </c>
      <c r="G210">
        <v>0.39530380449436198</v>
      </c>
      <c r="H210">
        <v>0.182458856007017</v>
      </c>
      <c r="I210">
        <v>0.10960391870245</v>
      </c>
      <c r="J210">
        <v>8.8705336179736097E-2</v>
      </c>
      <c r="K210">
        <v>6.99107161452278E-2</v>
      </c>
      <c r="L210">
        <v>14206.6473450918</v>
      </c>
      <c r="M210">
        <v>250</v>
      </c>
      <c r="N210">
        <v>56.884682683741403</v>
      </c>
      <c r="O210">
        <v>56.8229542059455</v>
      </c>
      <c r="P210">
        <v>-0.97598138441094795</v>
      </c>
      <c r="Q210">
        <v>0.112669693923626</v>
      </c>
      <c r="R210">
        <v>0.981035173817001</v>
      </c>
      <c r="S210" t="s">
        <v>6036</v>
      </c>
      <c r="T210" t="s">
        <v>11650</v>
      </c>
      <c r="U210" t="s">
        <v>11650</v>
      </c>
      <c r="V210" t="s">
        <v>11650</v>
      </c>
      <c r="W210" t="s">
        <v>11857</v>
      </c>
      <c r="X210">
        <v>27</v>
      </c>
      <c r="Y210" t="s">
        <v>17620</v>
      </c>
      <c r="Z210" t="s">
        <v>23272</v>
      </c>
      <c r="AA210">
        <v>0.61044961068321302</v>
      </c>
      <c r="AB210" t="str">
        <f>HYPERLINK("Melting_Curves/meltCurve_B7Z254_PDIA6.pdf", "Melting_Curves/meltCurve_B7Z254_PDIA6.pdf")</f>
        <v>Melting_Curves/meltCurve_B7Z254_PDIA6.pdf</v>
      </c>
    </row>
    <row r="211" spans="1:28" x14ac:dyDescent="0.25">
      <c r="A211" t="s">
        <v>215</v>
      </c>
      <c r="B211">
        <v>0.99996721820229495</v>
      </c>
      <c r="C211">
        <v>0.77088667019647605</v>
      </c>
      <c r="D211">
        <v>0.77759394483199895</v>
      </c>
      <c r="E211">
        <v>0.97630801548005197</v>
      </c>
      <c r="F211">
        <v>1.22736897989399</v>
      </c>
      <c r="G211">
        <v>1.1637313402059299</v>
      </c>
      <c r="H211">
        <v>0.91241203919231195</v>
      </c>
      <c r="I211">
        <v>0.78739533456987498</v>
      </c>
      <c r="J211">
        <v>0.47871747636290601</v>
      </c>
      <c r="K211">
        <v>0.363593398949207</v>
      </c>
      <c r="L211">
        <v>2582.2836333226601</v>
      </c>
      <c r="M211">
        <v>39.662208100889998</v>
      </c>
      <c r="N211">
        <v>66.8273675937332</v>
      </c>
      <c r="O211">
        <v>64.942033899322993</v>
      </c>
      <c r="P211">
        <v>-0.10383991822376799</v>
      </c>
      <c r="Q211">
        <v>0.31990040326888403</v>
      </c>
      <c r="R211">
        <v>0.72644534013031603</v>
      </c>
      <c r="S211" t="s">
        <v>6037</v>
      </c>
      <c r="T211" t="s">
        <v>11650</v>
      </c>
      <c r="U211" t="s">
        <v>11650</v>
      </c>
      <c r="V211" t="s">
        <v>11650</v>
      </c>
      <c r="W211" t="s">
        <v>11858</v>
      </c>
      <c r="X211">
        <v>2</v>
      </c>
      <c r="Y211" t="s">
        <v>17621</v>
      </c>
      <c r="Z211" t="s">
        <v>23273</v>
      </c>
      <c r="AA211">
        <v>0.88942294304243386</v>
      </c>
      <c r="AB211" t="str">
        <f>HYPERLINK("Melting_Curves/meltCurve_B7Z2B2_MFSD8.pdf", "Melting_Curves/meltCurve_B7Z2B2_MFSD8.pdf")</f>
        <v>Melting_Curves/meltCurve_B7Z2B2_MFSD8.pdf</v>
      </c>
    </row>
    <row r="212" spans="1:28" x14ac:dyDescent="0.25">
      <c r="A212" t="s">
        <v>216</v>
      </c>
      <c r="B212">
        <v>0.99996721820229495</v>
      </c>
      <c r="C212">
        <v>0.96940756202390499</v>
      </c>
      <c r="D212">
        <v>0.90166662392473895</v>
      </c>
      <c r="E212">
        <v>0.718253622432657</v>
      </c>
      <c r="F212">
        <v>0.36750962932734299</v>
      </c>
      <c r="G212">
        <v>0.28367029959203799</v>
      </c>
      <c r="H212">
        <v>0.13702725750931699</v>
      </c>
      <c r="I212">
        <v>8.7886585816594101E-2</v>
      </c>
      <c r="J212">
        <v>5.9815336259334502E-2</v>
      </c>
      <c r="K212">
        <v>5.7027478859217398E-2</v>
      </c>
      <c r="L212">
        <v>874.87639836069604</v>
      </c>
      <c r="M212">
        <v>16.858070118495402</v>
      </c>
      <c r="N212">
        <v>52.254359937793801</v>
      </c>
      <c r="O212">
        <v>51.182816447522903</v>
      </c>
      <c r="P212">
        <v>-7.7859328451381798E-2</v>
      </c>
      <c r="Q212">
        <v>5.4504582882727401E-2</v>
      </c>
      <c r="R212">
        <v>0.99158419250963203</v>
      </c>
      <c r="S212" t="s">
        <v>6038</v>
      </c>
      <c r="T212" t="s">
        <v>11650</v>
      </c>
      <c r="U212" t="s">
        <v>11650</v>
      </c>
      <c r="V212" t="s">
        <v>11650</v>
      </c>
      <c r="W212" t="s">
        <v>11859</v>
      </c>
      <c r="X212">
        <v>16</v>
      </c>
      <c r="Y212" t="s">
        <v>17622</v>
      </c>
      <c r="Z212" t="s">
        <v>23274</v>
      </c>
      <c r="AA212">
        <v>0.44704173223022631</v>
      </c>
      <c r="AB212" t="str">
        <f>HYPERLINK("Melting_Curves/meltCurve_B7Z2C3_PPM1F.pdf", "Melting_Curves/meltCurve_B7Z2C3_PPM1F.pdf")</f>
        <v>Melting_Curves/meltCurve_B7Z2C3_PPM1F.pdf</v>
      </c>
    </row>
    <row r="213" spans="1:28" x14ac:dyDescent="0.25">
      <c r="A213" t="s">
        <v>217</v>
      </c>
      <c r="B213">
        <v>0.99996721820229495</v>
      </c>
      <c r="C213">
        <v>0.81450430869308699</v>
      </c>
      <c r="D213">
        <v>0.91981019944909603</v>
      </c>
      <c r="E213">
        <v>0.84979657448248003</v>
      </c>
      <c r="F213">
        <v>0.61720796298831604</v>
      </c>
      <c r="G213">
        <v>0.61302761118604798</v>
      </c>
      <c r="H213">
        <v>0.37360376885067798</v>
      </c>
      <c r="I213">
        <v>0.247864381796917</v>
      </c>
      <c r="J213">
        <v>0.23189437538657801</v>
      </c>
      <c r="K213">
        <v>0.14163277226841001</v>
      </c>
      <c r="L213">
        <v>517.53698843425298</v>
      </c>
      <c r="M213">
        <v>8.9838582701489802</v>
      </c>
      <c r="N213">
        <v>57.607430536141102</v>
      </c>
      <c r="O213">
        <v>54.967839758549502</v>
      </c>
      <c r="P213">
        <v>-4.08894870141078E-2</v>
      </c>
      <c r="Q213">
        <v>0</v>
      </c>
      <c r="R213">
        <v>0.95646061390165604</v>
      </c>
      <c r="S213" t="s">
        <v>6039</v>
      </c>
      <c r="T213" t="s">
        <v>11650</v>
      </c>
      <c r="U213" t="s">
        <v>11650</v>
      </c>
      <c r="V213" t="s">
        <v>11650</v>
      </c>
      <c r="W213" t="s">
        <v>11860</v>
      </c>
      <c r="X213">
        <v>14</v>
      </c>
      <c r="Y213" t="s">
        <v>17623</v>
      </c>
      <c r="Z213" t="s">
        <v>23275</v>
      </c>
      <c r="AA213">
        <v>0.59702553101721756</v>
      </c>
      <c r="AB213" t="str">
        <f>HYPERLINK("Melting_Curves/meltCurve_B7Z2L7_TOM1L2.pdf", "Melting_Curves/meltCurve_B7Z2L7_TOM1L2.pdf")</f>
        <v>Melting_Curves/meltCurve_B7Z2L7_TOM1L2.pdf</v>
      </c>
    </row>
    <row r="214" spans="1:28" x14ac:dyDescent="0.25">
      <c r="A214" t="s">
        <v>218</v>
      </c>
      <c r="B214">
        <v>0.99996721820229495</v>
      </c>
      <c r="C214">
        <v>0.691567727307138</v>
      </c>
      <c r="D214">
        <v>0.68639379431227499</v>
      </c>
      <c r="E214">
        <v>2.25579804921062</v>
      </c>
      <c r="F214">
        <v>2.10105679545094</v>
      </c>
      <c r="G214">
        <v>1.24811648228913</v>
      </c>
      <c r="H214">
        <v>2.2869501283566298</v>
      </c>
      <c r="I214">
        <v>0.70239601142463604</v>
      </c>
      <c r="J214">
        <v>1.0073797871410599</v>
      </c>
      <c r="K214">
        <v>3.0006418882559802</v>
      </c>
      <c r="L214">
        <v>11960.0936883461</v>
      </c>
      <c r="M214">
        <v>250</v>
      </c>
      <c r="O214">
        <v>47.837313400763399</v>
      </c>
      <c r="P214">
        <v>0.65325575141159298</v>
      </c>
      <c r="Q214">
        <v>1.5</v>
      </c>
      <c r="R214">
        <v>0.21738069528135301</v>
      </c>
      <c r="S214" t="s">
        <v>6040</v>
      </c>
      <c r="T214" t="s">
        <v>11650</v>
      </c>
      <c r="U214" t="s">
        <v>11650</v>
      </c>
      <c r="V214" t="s">
        <v>11650</v>
      </c>
      <c r="W214" t="s">
        <v>11861</v>
      </c>
      <c r="X214">
        <v>4</v>
      </c>
      <c r="Y214" t="s">
        <v>17624</v>
      </c>
      <c r="Z214" t="s">
        <v>23276</v>
      </c>
      <c r="AA214">
        <v>1.3692851078870281</v>
      </c>
      <c r="AB214" t="str">
        <f>HYPERLINK("Melting_Curves/meltCurve_B7Z2Y2_COG2.pdf", "Melting_Curves/meltCurve_B7Z2Y2_COG2.pdf")</f>
        <v>Melting_Curves/meltCurve_B7Z2Y2_COG2.pdf</v>
      </c>
    </row>
    <row r="215" spans="1:28" x14ac:dyDescent="0.25">
      <c r="A215" t="s">
        <v>219</v>
      </c>
      <c r="B215">
        <v>0.99996721820229495</v>
      </c>
      <c r="C215">
        <v>0.924787934347714</v>
      </c>
      <c r="D215">
        <v>1.19405646912967</v>
      </c>
      <c r="E215">
        <v>1.3567149444879301</v>
      </c>
      <c r="F215">
        <v>1.6294492637504201</v>
      </c>
      <c r="G215">
        <v>2.3663283729022502</v>
      </c>
      <c r="H215">
        <v>1.60661112795436</v>
      </c>
      <c r="I215">
        <v>1.0638724988544701</v>
      </c>
      <c r="J215">
        <v>0.85115317555532799</v>
      </c>
      <c r="K215">
        <v>0.97961243568400902</v>
      </c>
      <c r="L215">
        <v>11504.418482057499</v>
      </c>
      <c r="M215">
        <v>250</v>
      </c>
      <c r="O215">
        <v>46.014728945169999</v>
      </c>
      <c r="P215">
        <v>0.55373221180977295</v>
      </c>
      <c r="Q215">
        <v>1.40767740306877</v>
      </c>
      <c r="R215">
        <v>0.163246934662127</v>
      </c>
      <c r="S215" t="s">
        <v>6041</v>
      </c>
      <c r="T215" t="s">
        <v>11650</v>
      </c>
      <c r="U215" t="s">
        <v>11650</v>
      </c>
      <c r="V215" t="s">
        <v>11650</v>
      </c>
      <c r="W215" t="s">
        <v>11862</v>
      </c>
      <c r="X215">
        <v>2</v>
      </c>
      <c r="Y215" t="s">
        <v>17625</v>
      </c>
      <c r="Z215" t="s">
        <v>23277</v>
      </c>
      <c r="AA215">
        <v>1.325868822932915</v>
      </c>
      <c r="AB215" t="str">
        <f>HYPERLINK("Melting_Curves/meltCurve_B7Z317_TSPAN5.pdf", "Melting_Curves/meltCurve_B7Z317_TSPAN5.pdf")</f>
        <v>Melting_Curves/meltCurve_B7Z317_TSPAN5.pdf</v>
      </c>
    </row>
    <row r="216" spans="1:28" x14ac:dyDescent="0.25">
      <c r="A216" t="s">
        <v>220</v>
      </c>
      <c r="B216">
        <v>0.99996721820229495</v>
      </c>
      <c r="C216">
        <v>0.96495324547619898</v>
      </c>
      <c r="D216">
        <v>1.02771893808998</v>
      </c>
      <c r="E216">
        <v>1.26112802764489</v>
      </c>
      <c r="F216">
        <v>1.6892612452268001</v>
      </c>
      <c r="G216">
        <v>1.4678437614400801</v>
      </c>
      <c r="H216">
        <v>1.43444334514035</v>
      </c>
      <c r="I216">
        <v>1.6955085095550899</v>
      </c>
      <c r="J216">
        <v>1.1770554298564999</v>
      </c>
      <c r="K216">
        <v>1.8812717479457901</v>
      </c>
      <c r="L216">
        <v>12495.5456570935</v>
      </c>
      <c r="M216">
        <v>250</v>
      </c>
      <c r="O216">
        <v>49.9789637820761</v>
      </c>
      <c r="P216">
        <v>0.62526280832732595</v>
      </c>
      <c r="Q216">
        <v>1.5</v>
      </c>
      <c r="R216">
        <v>0.65125614932832099</v>
      </c>
      <c r="S216" t="s">
        <v>6042</v>
      </c>
      <c r="T216" t="s">
        <v>11650</v>
      </c>
      <c r="U216" t="s">
        <v>11650</v>
      </c>
      <c r="V216" t="s">
        <v>11650</v>
      </c>
      <c r="W216" t="s">
        <v>11863</v>
      </c>
      <c r="X216">
        <v>9</v>
      </c>
      <c r="Y216" t="s">
        <v>17626</v>
      </c>
      <c r="Z216" t="s">
        <v>23278</v>
      </c>
      <c r="AA216">
        <v>1.333586430550795</v>
      </c>
      <c r="AB216" t="str">
        <f>HYPERLINK("Melting_Curves/meltCurve_B7Z3I9_ALAD.pdf", "Melting_Curves/meltCurve_B7Z3I9_ALAD.pdf")</f>
        <v>Melting_Curves/meltCurve_B7Z3I9_ALAD.pdf</v>
      </c>
    </row>
    <row r="217" spans="1:28" x14ac:dyDescent="0.25">
      <c r="A217" t="s">
        <v>221</v>
      </c>
      <c r="B217">
        <v>0.99996721820229495</v>
      </c>
      <c r="C217">
        <v>0.66375920766188101</v>
      </c>
      <c r="D217">
        <v>0.64606132640928005</v>
      </c>
      <c r="E217">
        <v>1.2592067289739799</v>
      </c>
      <c r="F217">
        <v>0.48721346120467601</v>
      </c>
      <c r="G217">
        <v>0.221757383247319</v>
      </c>
      <c r="H217">
        <v>0.233032349534783</v>
      </c>
      <c r="I217">
        <v>4.8796998021088403E-2</v>
      </c>
      <c r="J217">
        <v>2.2361208952995901E-2</v>
      </c>
      <c r="K217">
        <v>3.30627884981377E-2</v>
      </c>
      <c r="L217">
        <v>13233.4727429901</v>
      </c>
      <c r="M217">
        <v>250</v>
      </c>
      <c r="N217">
        <v>52.987535931219199</v>
      </c>
      <c r="O217">
        <v>52.930506190365698</v>
      </c>
      <c r="P217">
        <v>-1.0487783919151099</v>
      </c>
      <c r="Q217">
        <v>0.11180210659630301</v>
      </c>
      <c r="R217">
        <v>0.78865599633310601</v>
      </c>
      <c r="S217" t="s">
        <v>6043</v>
      </c>
      <c r="T217" t="s">
        <v>11650</v>
      </c>
      <c r="U217" t="s">
        <v>11650</v>
      </c>
      <c r="V217" t="s">
        <v>11650</v>
      </c>
      <c r="W217" t="s">
        <v>11864</v>
      </c>
      <c r="X217">
        <v>45</v>
      </c>
      <c r="Y217" t="s">
        <v>17627</v>
      </c>
      <c r="Z217" t="s">
        <v>23279</v>
      </c>
      <c r="AA217">
        <v>0.49481310903532982</v>
      </c>
      <c r="AB217" t="str">
        <f>HYPERLINK("Melting_Curves/meltCurve_B7Z463_NPEPPS.pdf", "Melting_Curves/meltCurve_B7Z463_NPEPPS.pdf")</f>
        <v>Melting_Curves/meltCurve_B7Z463_NPEPPS.pdf</v>
      </c>
    </row>
    <row r="218" spans="1:28" x14ac:dyDescent="0.25">
      <c r="A218" t="s">
        <v>222</v>
      </c>
      <c r="B218">
        <v>0.99996721820229495</v>
      </c>
      <c r="C218">
        <v>1.0499260040167</v>
      </c>
      <c r="D218">
        <v>0.93688359144914102</v>
      </c>
      <c r="E218">
        <v>0.39144548505988203</v>
      </c>
      <c r="F218">
        <v>0.289738266170814</v>
      </c>
      <c r="G218">
        <v>0.27243896098625803</v>
      </c>
      <c r="H218">
        <v>0.17937345762943499</v>
      </c>
      <c r="I218">
        <v>0.147894359189717</v>
      </c>
      <c r="J218">
        <v>0.15113729901471001</v>
      </c>
      <c r="K218">
        <v>0.11621500838476</v>
      </c>
      <c r="L218">
        <v>1742.0818829141599</v>
      </c>
      <c r="M218">
        <v>35.716680299866098</v>
      </c>
      <c r="N218">
        <v>49.394855472467803</v>
      </c>
      <c r="O218">
        <v>48.622878972065102</v>
      </c>
      <c r="P218">
        <v>-0.15047454035875599</v>
      </c>
      <c r="Q218">
        <v>0.180609004072327</v>
      </c>
      <c r="R218">
        <v>0.98312955071889996</v>
      </c>
      <c r="S218" t="s">
        <v>6044</v>
      </c>
      <c r="T218" t="s">
        <v>11650</v>
      </c>
      <c r="U218" t="s">
        <v>11650</v>
      </c>
      <c r="V218" t="s">
        <v>11650</v>
      </c>
      <c r="W218" t="s">
        <v>11865</v>
      </c>
      <c r="X218">
        <v>4</v>
      </c>
      <c r="Y218" t="s">
        <v>17628</v>
      </c>
      <c r="Z218" t="s">
        <v>23280</v>
      </c>
      <c r="AA218">
        <v>0.4237630903301815</v>
      </c>
      <c r="AB218" t="str">
        <f>HYPERLINK("Melting_Curves/meltCurve_B7Z493_FGD4.pdf", "Melting_Curves/meltCurve_B7Z493_FGD4.pdf")</f>
        <v>Melting_Curves/meltCurve_B7Z493_FGD4.pdf</v>
      </c>
    </row>
    <row r="219" spans="1:28" x14ac:dyDescent="0.25">
      <c r="A219" t="s">
        <v>223</v>
      </c>
      <c r="B219">
        <v>0.99996721820229495</v>
      </c>
      <c r="C219">
        <v>1.0525727674171801</v>
      </c>
      <c r="D219">
        <v>1.00366406313451</v>
      </c>
      <c r="E219">
        <v>1.0260328490192401</v>
      </c>
      <c r="F219">
        <v>1.17767171538113</v>
      </c>
      <c r="G219">
        <v>1.2047752963353999</v>
      </c>
      <c r="H219">
        <v>0.83247916896052498</v>
      </c>
      <c r="I219">
        <v>0.83011442142575498</v>
      </c>
      <c r="J219">
        <v>0.72945612732095599</v>
      </c>
      <c r="K219">
        <v>0.52676800255283596</v>
      </c>
      <c r="L219">
        <v>1451.06278943555</v>
      </c>
      <c r="M219">
        <v>21.492885244663899</v>
      </c>
      <c r="O219">
        <v>66.937327694267097</v>
      </c>
      <c r="P219">
        <v>-5.4022791374701097E-2</v>
      </c>
      <c r="Q219">
        <v>0.327023287527615</v>
      </c>
      <c r="R219">
        <v>0.75584893388812602</v>
      </c>
      <c r="S219" t="s">
        <v>6045</v>
      </c>
      <c r="T219" t="s">
        <v>11650</v>
      </c>
      <c r="U219" t="s">
        <v>11650</v>
      </c>
      <c r="V219" t="s">
        <v>11650</v>
      </c>
      <c r="W219" t="s">
        <v>11866</v>
      </c>
      <c r="X219">
        <v>7</v>
      </c>
      <c r="Y219" t="s">
        <v>17629</v>
      </c>
      <c r="Z219" t="s">
        <v>23281</v>
      </c>
      <c r="AA219">
        <v>0.92270878224943709</v>
      </c>
      <c r="AB219" t="str">
        <f>HYPERLINK("Melting_Curves/meltCurve_B7Z4K6_DNASE2.pdf", "Melting_Curves/meltCurve_B7Z4K6_DNASE2.pdf")</f>
        <v>Melting_Curves/meltCurve_B7Z4K6_DNASE2.pdf</v>
      </c>
    </row>
    <row r="220" spans="1:28" x14ac:dyDescent="0.25">
      <c r="A220" t="s">
        <v>224</v>
      </c>
      <c r="B220">
        <v>0.99996721820229495</v>
      </c>
      <c r="C220">
        <v>0.97614757252240503</v>
      </c>
      <c r="D220">
        <v>0.93611548699650404</v>
      </c>
      <c r="E220">
        <v>0.93356402197858401</v>
      </c>
      <c r="F220">
        <v>1.1968061479255601</v>
      </c>
      <c r="G220">
        <v>1.0105800413605199</v>
      </c>
      <c r="H220">
        <v>0.67998393607194596</v>
      </c>
      <c r="I220">
        <v>0.75025667526163997</v>
      </c>
      <c r="J220">
        <v>0.66244385838619002</v>
      </c>
      <c r="K220">
        <v>0.50027372175489604</v>
      </c>
      <c r="L220">
        <v>5638.0853232561303</v>
      </c>
      <c r="M220">
        <v>94.340096149456798</v>
      </c>
      <c r="O220">
        <v>59.736551167621499</v>
      </c>
      <c r="P220">
        <v>-0.14353619154469699</v>
      </c>
      <c r="Q220">
        <v>0.63644902740793097</v>
      </c>
      <c r="R220">
        <v>0.79641230620474401</v>
      </c>
      <c r="S220" t="s">
        <v>6046</v>
      </c>
      <c r="T220" t="s">
        <v>11650</v>
      </c>
      <c r="U220" t="s">
        <v>11650</v>
      </c>
      <c r="V220" t="s">
        <v>11650</v>
      </c>
      <c r="W220" t="s">
        <v>11867</v>
      </c>
      <c r="X220">
        <v>4</v>
      </c>
      <c r="Y220" t="s">
        <v>17630</v>
      </c>
      <c r="Z220" t="s">
        <v>23282</v>
      </c>
      <c r="AA220">
        <v>0.87621730769343598</v>
      </c>
      <c r="AB220" t="str">
        <f>HYPERLINK("Melting_Curves/meltCurve_B7Z4M2_WBP4.pdf", "Melting_Curves/meltCurve_B7Z4M2_WBP4.pdf")</f>
        <v>Melting_Curves/meltCurve_B7Z4M2_WBP4.pdf</v>
      </c>
    </row>
    <row r="221" spans="1:28" x14ac:dyDescent="0.25">
      <c r="A221" t="s">
        <v>225</v>
      </c>
      <c r="B221">
        <v>0.99996721820229495</v>
      </c>
      <c r="C221">
        <v>0.90065122796543695</v>
      </c>
      <c r="D221">
        <v>0.94120942374628902</v>
      </c>
      <c r="E221">
        <v>1.0286642234404599</v>
      </c>
      <c r="F221">
        <v>1.30586782635015</v>
      </c>
      <c r="G221">
        <v>1.2470616074466401</v>
      </c>
      <c r="H221">
        <v>0.77849901967272495</v>
      </c>
      <c r="I221">
        <v>0.47730602456326299</v>
      </c>
      <c r="J221">
        <v>0.244118910437435</v>
      </c>
      <c r="K221">
        <v>0.142166711725735</v>
      </c>
      <c r="L221">
        <v>2519.3520749230902</v>
      </c>
      <c r="M221">
        <v>39.899348126344499</v>
      </c>
      <c r="N221">
        <v>63.696302422518499</v>
      </c>
      <c r="O221">
        <v>62.984702541504902</v>
      </c>
      <c r="P221">
        <v>-0.13516508022993401</v>
      </c>
      <c r="Q221">
        <v>0.146521043564901</v>
      </c>
      <c r="R221">
        <v>0.87455294338668599</v>
      </c>
      <c r="S221" t="s">
        <v>6047</v>
      </c>
      <c r="T221" t="s">
        <v>11650</v>
      </c>
      <c r="U221" t="s">
        <v>11650</v>
      </c>
      <c r="V221" t="s">
        <v>11650</v>
      </c>
      <c r="W221" t="s">
        <v>11868</v>
      </c>
      <c r="X221">
        <v>9</v>
      </c>
      <c r="Y221" t="s">
        <v>17631</v>
      </c>
      <c r="Z221" t="s">
        <v>23283</v>
      </c>
      <c r="AA221">
        <v>0.80749279822301645</v>
      </c>
      <c r="AB221" t="str">
        <f>HYPERLINK("Melting_Curves/meltCurve_B7Z4W5_CCBL1.pdf", "Melting_Curves/meltCurve_B7Z4W5_CCBL1.pdf")</f>
        <v>Melting_Curves/meltCurve_B7Z4W5_CCBL1.pdf</v>
      </c>
    </row>
    <row r="222" spans="1:28" x14ac:dyDescent="0.25">
      <c r="A222" t="s">
        <v>226</v>
      </c>
      <c r="B222">
        <v>0.99996721820229495</v>
      </c>
      <c r="C222">
        <v>0.79946468196673204</v>
      </c>
      <c r="D222">
        <v>0.60719912221486305</v>
      </c>
      <c r="E222">
        <v>1.3511735238253</v>
      </c>
      <c r="F222">
        <v>1.15438780598796</v>
      </c>
      <c r="G222">
        <v>1.15584759382041</v>
      </c>
      <c r="H222">
        <v>0.96793875153280395</v>
      </c>
      <c r="I222">
        <v>1.6934905206322</v>
      </c>
      <c r="J222">
        <v>1.1691626639411501</v>
      </c>
      <c r="K222">
        <v>2.001217386715</v>
      </c>
      <c r="L222">
        <v>15000</v>
      </c>
      <c r="M222">
        <v>240.99088953579101</v>
      </c>
      <c r="O222">
        <v>62.238749796884598</v>
      </c>
      <c r="P222">
        <v>0.48400507221191502</v>
      </c>
      <c r="Q222">
        <v>1.5</v>
      </c>
      <c r="R222">
        <v>0.49565924351840701</v>
      </c>
      <c r="S222" t="s">
        <v>6048</v>
      </c>
      <c r="T222" t="s">
        <v>11650</v>
      </c>
      <c r="U222" t="s">
        <v>11650</v>
      </c>
      <c r="V222" t="s">
        <v>11650</v>
      </c>
      <c r="W222" t="s">
        <v>11869</v>
      </c>
      <c r="X222">
        <v>7</v>
      </c>
      <c r="Y222" t="s">
        <v>17632</v>
      </c>
      <c r="Z222" t="s">
        <v>23284</v>
      </c>
      <c r="AA222">
        <v>1.129224273664277</v>
      </c>
      <c r="AB222" t="str">
        <f>HYPERLINK("Melting_Curves/meltCurve_B7Z5G4_STMN3.pdf", "Melting_Curves/meltCurve_B7Z5G4_STMN3.pdf")</f>
        <v>Melting_Curves/meltCurve_B7Z5G4_STMN3.pdf</v>
      </c>
    </row>
    <row r="223" spans="1:28" x14ac:dyDescent="0.25">
      <c r="A223" t="s">
        <v>227</v>
      </c>
      <c r="B223">
        <v>0.99996721820229495</v>
      </c>
      <c r="C223">
        <v>0.86872634092082002</v>
      </c>
      <c r="D223">
        <v>0.86283510263525898</v>
      </c>
      <c r="E223">
        <v>0.76921264943879897</v>
      </c>
      <c r="F223">
        <v>0.84395343679240098</v>
      </c>
      <c r="G223">
        <v>0.76947854747479105</v>
      </c>
      <c r="H223">
        <v>0.54533818337502604</v>
      </c>
      <c r="I223">
        <v>0.32501608041183899</v>
      </c>
      <c r="J223">
        <v>0.180793488750111</v>
      </c>
      <c r="K223">
        <v>0.128001907747604</v>
      </c>
      <c r="L223">
        <v>701.99399045039002</v>
      </c>
      <c r="M223">
        <v>11.5950586677048</v>
      </c>
      <c r="N223">
        <v>60.542513067284403</v>
      </c>
      <c r="O223">
        <v>58.825769479892998</v>
      </c>
      <c r="P223">
        <v>-4.9290689814749301E-2</v>
      </c>
      <c r="Q223">
        <v>0</v>
      </c>
      <c r="R223">
        <v>0.91967697650708602</v>
      </c>
      <c r="S223" t="s">
        <v>6049</v>
      </c>
      <c r="T223" t="s">
        <v>11650</v>
      </c>
      <c r="U223" t="s">
        <v>11650</v>
      </c>
      <c r="V223" t="s">
        <v>11650</v>
      </c>
      <c r="W223" t="s">
        <v>11870</v>
      </c>
      <c r="X223">
        <v>3</v>
      </c>
      <c r="Y223" t="s">
        <v>17633</v>
      </c>
      <c r="Z223" t="s">
        <v>23285</v>
      </c>
      <c r="AA223">
        <v>0.68258248493430662</v>
      </c>
      <c r="AB223" t="str">
        <f>HYPERLINK("Melting_Curves/meltCurve_B7Z5W1_F11R.pdf", "Melting_Curves/meltCurve_B7Z5W1_F11R.pdf")</f>
        <v>Melting_Curves/meltCurve_B7Z5W1_F11R.pdf</v>
      </c>
    </row>
    <row r="224" spans="1:28" x14ac:dyDescent="0.25">
      <c r="A224" t="s">
        <v>228</v>
      </c>
      <c r="B224">
        <v>0.99996721820229495</v>
      </c>
      <c r="C224">
        <v>0.94253532369826998</v>
      </c>
      <c r="D224">
        <v>0.67995982533370403</v>
      </c>
      <c r="E224">
        <v>0.35696407985621897</v>
      </c>
      <c r="F224">
        <v>0.32405364361469502</v>
      </c>
      <c r="G224">
        <v>0.25571380690434298</v>
      </c>
      <c r="H224">
        <v>0.13759568672294201</v>
      </c>
      <c r="I224">
        <v>0.107229933705251</v>
      </c>
      <c r="J224">
        <v>0.113796589753809</v>
      </c>
      <c r="K224">
        <v>8.5753879052310494E-2</v>
      </c>
      <c r="L224">
        <v>777.76775176169701</v>
      </c>
      <c r="M224">
        <v>16.213878444055698</v>
      </c>
      <c r="N224">
        <v>48.762380669673597</v>
      </c>
      <c r="O224">
        <v>47.257368178690001</v>
      </c>
      <c r="P224">
        <v>-7.5838156973555004E-2</v>
      </c>
      <c r="Q224">
        <v>0.115906792977035</v>
      </c>
      <c r="R224">
        <v>0.98253649379364505</v>
      </c>
      <c r="S224" t="s">
        <v>6050</v>
      </c>
      <c r="T224" t="s">
        <v>11650</v>
      </c>
      <c r="U224" t="s">
        <v>11650</v>
      </c>
      <c r="V224" t="s">
        <v>11650</v>
      </c>
      <c r="W224" t="s">
        <v>11871</v>
      </c>
      <c r="X224">
        <v>1</v>
      </c>
      <c r="Y224" t="s">
        <v>17634</v>
      </c>
      <c r="Z224" t="s">
        <v>23286</v>
      </c>
      <c r="AA224">
        <v>0.37024346484258841</v>
      </c>
      <c r="AB224" t="str">
        <f>HYPERLINK("Melting_Curves/meltCurve_B7Z5X7_WARS2.pdf", "Melting_Curves/meltCurve_B7Z5X7_WARS2.pdf")</f>
        <v>Melting_Curves/meltCurve_B7Z5X7_WARS2.pdf</v>
      </c>
    </row>
    <row r="225" spans="1:28" x14ac:dyDescent="0.25">
      <c r="A225" t="s">
        <v>229</v>
      </c>
      <c r="B225">
        <v>0.99996721820229495</v>
      </c>
      <c r="C225">
        <v>0.76005016152038296</v>
      </c>
      <c r="D225">
        <v>0.48778437048654699</v>
      </c>
      <c r="E225">
        <v>0.21318312952910601</v>
      </c>
      <c r="F225">
        <v>0.22547411808347101</v>
      </c>
      <c r="G225">
        <v>0.24205422342952199</v>
      </c>
      <c r="H225">
        <v>0.15521016076410399</v>
      </c>
      <c r="I225">
        <v>7.3708856820571406E-2</v>
      </c>
      <c r="J225">
        <v>4.9058761072018502E-2</v>
      </c>
      <c r="K225">
        <v>6.4398471714814901E-2</v>
      </c>
      <c r="L225">
        <v>849.818319656791</v>
      </c>
      <c r="M225">
        <v>18.731368334833</v>
      </c>
      <c r="N225">
        <v>46.000914960524099</v>
      </c>
      <c r="O225">
        <v>44.861121280427199</v>
      </c>
      <c r="P225">
        <v>-9.2543569158460307E-2</v>
      </c>
      <c r="Q225">
        <v>0.113479996458081</v>
      </c>
      <c r="R225">
        <v>0.96683129116357103</v>
      </c>
      <c r="S225" t="s">
        <v>6051</v>
      </c>
      <c r="T225" t="s">
        <v>11650</v>
      </c>
      <c r="U225" t="s">
        <v>11650</v>
      </c>
      <c r="V225" t="s">
        <v>11650</v>
      </c>
      <c r="W225" t="s">
        <v>11872</v>
      </c>
      <c r="X225">
        <v>3</v>
      </c>
      <c r="Y225" t="s">
        <v>17635</v>
      </c>
      <c r="Z225" t="s">
        <v>23287</v>
      </c>
      <c r="AA225">
        <v>0.28892641442840028</v>
      </c>
      <c r="AB225" t="str">
        <f>HYPERLINK("Melting_Curves/meltCurve_B7Z662_SLC27A1.pdf", "Melting_Curves/meltCurve_B7Z662_SLC27A1.pdf")</f>
        <v>Melting_Curves/meltCurve_B7Z662_SLC27A1.pdf</v>
      </c>
    </row>
    <row r="226" spans="1:28" x14ac:dyDescent="0.25">
      <c r="A226" t="s">
        <v>230</v>
      </c>
      <c r="B226">
        <v>0.99996721820229495</v>
      </c>
      <c r="C226">
        <v>1.0335197102740199</v>
      </c>
      <c r="D226">
        <v>1.1490908881072599</v>
      </c>
      <c r="E226">
        <v>1.57741981096191</v>
      </c>
      <c r="F226">
        <v>2.3003900686724101</v>
      </c>
      <c r="G226">
        <v>2.3814224000939399</v>
      </c>
      <c r="H226">
        <v>0.75617801500924597</v>
      </c>
      <c r="I226">
        <v>0.21924551931643399</v>
      </c>
      <c r="J226">
        <v>0.13632156861161401</v>
      </c>
      <c r="K226">
        <v>0.110358045987919</v>
      </c>
      <c r="L226">
        <v>5294.8974929045999</v>
      </c>
      <c r="M226">
        <v>85.790579811482402</v>
      </c>
      <c r="N226">
        <v>61.957300717146602</v>
      </c>
      <c r="O226">
        <v>61.685354575873298</v>
      </c>
      <c r="P226">
        <v>-0.29880828900113399</v>
      </c>
      <c r="Q226">
        <v>0.14060057100710599</v>
      </c>
      <c r="R226">
        <v>0.35264347264224299</v>
      </c>
      <c r="S226" t="s">
        <v>6052</v>
      </c>
      <c r="T226" t="s">
        <v>11650</v>
      </c>
      <c r="U226" t="s">
        <v>11650</v>
      </c>
      <c r="V226" t="s">
        <v>11650</v>
      </c>
      <c r="W226" t="s">
        <v>11873</v>
      </c>
      <c r="X226">
        <v>20</v>
      </c>
      <c r="Y226" t="s">
        <v>17636</v>
      </c>
      <c r="Z226" t="s">
        <v>23288</v>
      </c>
      <c r="AA226">
        <v>0.76356405991591392</v>
      </c>
      <c r="AB226" t="str">
        <f>HYPERLINK("Melting_Curves/meltCurve_B7Z6B8_DECR1.pdf", "Melting_Curves/meltCurve_B7Z6B8_DECR1.pdf")</f>
        <v>Melting_Curves/meltCurve_B7Z6B8_DECR1.pdf</v>
      </c>
    </row>
    <row r="227" spans="1:28" x14ac:dyDescent="0.25">
      <c r="A227" t="s">
        <v>231</v>
      </c>
      <c r="B227">
        <v>0.99996721820229495</v>
      </c>
      <c r="C227">
        <v>0.88650102676035603</v>
      </c>
      <c r="D227">
        <v>0.90426894962751203</v>
      </c>
      <c r="E227">
        <v>0.91373355572738102</v>
      </c>
      <c r="F227">
        <v>1.21380633692783</v>
      </c>
      <c r="G227">
        <v>1.13692316078123</v>
      </c>
      <c r="H227">
        <v>0.83528942320108401</v>
      </c>
      <c r="I227">
        <v>0.67772683044761295</v>
      </c>
      <c r="J227">
        <v>0.334605654826724</v>
      </c>
      <c r="K227">
        <v>0.25875503064918298</v>
      </c>
      <c r="L227">
        <v>2265.23007116706</v>
      </c>
      <c r="M227">
        <v>35.195506385873799</v>
      </c>
      <c r="N227">
        <v>65.3236312384862</v>
      </c>
      <c r="O227">
        <v>64.154615274556093</v>
      </c>
      <c r="P227">
        <v>-0.10940792796674</v>
      </c>
      <c r="Q227">
        <v>0.202284498740505</v>
      </c>
      <c r="R227">
        <v>0.88294704350036002</v>
      </c>
      <c r="S227" t="s">
        <v>6053</v>
      </c>
      <c r="T227" t="s">
        <v>11650</v>
      </c>
      <c r="U227" t="s">
        <v>11650</v>
      </c>
      <c r="V227" t="s">
        <v>11650</v>
      </c>
      <c r="W227" t="s">
        <v>11874</v>
      </c>
      <c r="X227">
        <v>6</v>
      </c>
      <c r="Y227" t="s">
        <v>17637</v>
      </c>
      <c r="Z227" t="s">
        <v>23289</v>
      </c>
      <c r="AA227">
        <v>0.85115295265367641</v>
      </c>
      <c r="AB227" t="str">
        <f>HYPERLINK("Melting_Curves/meltCurve_B7Z729_SMPDL3A.pdf", "Melting_Curves/meltCurve_B7Z729_SMPDL3A.pdf")</f>
        <v>Melting_Curves/meltCurve_B7Z729_SMPDL3A.pdf</v>
      </c>
    </row>
    <row r="228" spans="1:28" x14ac:dyDescent="0.25">
      <c r="A228" t="s">
        <v>232</v>
      </c>
      <c r="B228">
        <v>0.99996721820229495</v>
      </c>
      <c r="C228">
        <v>0.89724111202693302</v>
      </c>
      <c r="D228">
        <v>0.79680971060619499</v>
      </c>
      <c r="E228">
        <v>0.63502573193460798</v>
      </c>
      <c r="F228">
        <v>0.51206408800297698</v>
      </c>
      <c r="G228">
        <v>0.26680897651993102</v>
      </c>
      <c r="H228">
        <v>0.140299837289761</v>
      </c>
      <c r="I228">
        <v>0.102515456211351</v>
      </c>
      <c r="J228">
        <v>4.79039286821549E-2</v>
      </c>
      <c r="K228">
        <v>3.06210131443472E-2</v>
      </c>
      <c r="L228">
        <v>613.57441920351005</v>
      </c>
      <c r="M228">
        <v>11.730521907808299</v>
      </c>
      <c r="N228">
        <v>52.305827371311103</v>
      </c>
      <c r="O228">
        <v>50.855129259177303</v>
      </c>
      <c r="P228">
        <v>-5.7681544833747003E-2</v>
      </c>
      <c r="Q228">
        <v>0</v>
      </c>
      <c r="R228">
        <v>0.99451562358587997</v>
      </c>
      <c r="S228" t="s">
        <v>6054</v>
      </c>
      <c r="T228" t="s">
        <v>11650</v>
      </c>
      <c r="U228" t="s">
        <v>11650</v>
      </c>
      <c r="V228" t="s">
        <v>11650</v>
      </c>
      <c r="W228" t="s">
        <v>11875</v>
      </c>
      <c r="X228">
        <v>1</v>
      </c>
      <c r="Y228" t="s">
        <v>17638</v>
      </c>
      <c r="Z228" t="s">
        <v>23290</v>
      </c>
      <c r="AA228">
        <v>0.44100589675707591</v>
      </c>
      <c r="AB228" t="str">
        <f>HYPERLINK("Melting_Curves/meltCurve_B7Z765_DSE.pdf", "Melting_Curves/meltCurve_B7Z765_DSE.pdf")</f>
        <v>Melting_Curves/meltCurve_B7Z765_DSE.pdf</v>
      </c>
    </row>
    <row r="229" spans="1:28" x14ac:dyDescent="0.25">
      <c r="A229" t="s">
        <v>233</v>
      </c>
      <c r="B229">
        <v>0.99996721820229495</v>
      </c>
      <c r="C229">
        <v>0.96750227768178698</v>
      </c>
      <c r="D229">
        <v>0.96819872306736299</v>
      </c>
      <c r="E229">
        <v>0.90293020416252301</v>
      </c>
      <c r="F229">
        <v>0.977665770813965</v>
      </c>
      <c r="G229">
        <v>1.0094429283941699</v>
      </c>
      <c r="H229">
        <v>0.76370392486110195</v>
      </c>
      <c r="I229">
        <v>0.43850200934116601</v>
      </c>
      <c r="J229">
        <v>0.30192296733234097</v>
      </c>
      <c r="K229">
        <v>0.33623032564758698</v>
      </c>
      <c r="L229">
        <v>2987.8325716143199</v>
      </c>
      <c r="M229">
        <v>48.300478344810202</v>
      </c>
      <c r="N229">
        <v>63.150134170246702</v>
      </c>
      <c r="O229">
        <v>61.753514551988701</v>
      </c>
      <c r="P229">
        <v>-0.13419502033991401</v>
      </c>
      <c r="Q229">
        <v>0.31371229952142199</v>
      </c>
      <c r="R229">
        <v>0.98206210154350604</v>
      </c>
      <c r="S229" t="s">
        <v>6055</v>
      </c>
      <c r="T229" t="s">
        <v>11650</v>
      </c>
      <c r="U229" t="s">
        <v>11650</v>
      </c>
      <c r="V229" t="s">
        <v>11650</v>
      </c>
      <c r="W229" t="s">
        <v>11876</v>
      </c>
      <c r="X229">
        <v>1</v>
      </c>
      <c r="Y229" t="s">
        <v>17639</v>
      </c>
      <c r="Z229" t="s">
        <v>23291</v>
      </c>
      <c r="AA229">
        <v>0.81563522358876084</v>
      </c>
      <c r="AB229" t="str">
        <f>HYPERLINK("Melting_Curves/meltCurve_B7Z779_TMEM106A.pdf", "Melting_Curves/meltCurve_B7Z779_TMEM106A.pdf")</f>
        <v>Melting_Curves/meltCurve_B7Z779_TMEM106A.pdf</v>
      </c>
    </row>
    <row r="230" spans="1:28" x14ac:dyDescent="0.25">
      <c r="A230" t="s">
        <v>234</v>
      </c>
      <c r="B230">
        <v>0.99996721820229495</v>
      </c>
      <c r="C230">
        <v>0.879775027093461</v>
      </c>
      <c r="D230">
        <v>0.99593257310298999</v>
      </c>
      <c r="E230">
        <v>0.99319407095501799</v>
      </c>
      <c r="F230">
        <v>1.0906708320848399</v>
      </c>
      <c r="G230">
        <v>1.0801662514441499</v>
      </c>
      <c r="H230">
        <v>0.85178552040804001</v>
      </c>
      <c r="I230">
        <v>0.57926678901873296</v>
      </c>
      <c r="J230">
        <v>0.348165052822137</v>
      </c>
      <c r="K230">
        <v>0.29864218558780498</v>
      </c>
      <c r="L230">
        <v>2533.3062773761899</v>
      </c>
      <c r="M230">
        <v>39.989310188043099</v>
      </c>
      <c r="N230">
        <v>64.686028552552699</v>
      </c>
      <c r="O230">
        <v>63.191785611672401</v>
      </c>
      <c r="P230">
        <v>-0.113727573694582</v>
      </c>
      <c r="Q230">
        <v>0.28114453370478898</v>
      </c>
      <c r="R230">
        <v>0.960509086863226</v>
      </c>
      <c r="S230" t="s">
        <v>6056</v>
      </c>
      <c r="T230" t="s">
        <v>11650</v>
      </c>
      <c r="U230" t="s">
        <v>11650</v>
      </c>
      <c r="V230" t="s">
        <v>11650</v>
      </c>
      <c r="W230" t="s">
        <v>11877</v>
      </c>
      <c r="X230">
        <v>13</v>
      </c>
      <c r="Y230" t="s">
        <v>17640</v>
      </c>
      <c r="Z230" t="s">
        <v>23292</v>
      </c>
      <c r="AA230">
        <v>0.84270563292764489</v>
      </c>
      <c r="AB230" t="str">
        <f>HYPERLINK("Melting_Curves/meltCurve_B7Z817_DHCR24.pdf", "Melting_Curves/meltCurve_B7Z817_DHCR24.pdf")</f>
        <v>Melting_Curves/meltCurve_B7Z817_DHCR24.pdf</v>
      </c>
    </row>
    <row r="231" spans="1:28" x14ac:dyDescent="0.25">
      <c r="A231" t="s">
        <v>235</v>
      </c>
      <c r="B231">
        <v>0.99996721820229495</v>
      </c>
      <c r="C231">
        <v>0.94028338022245805</v>
      </c>
      <c r="D231">
        <v>0.93098731325360196</v>
      </c>
      <c r="E231">
        <v>0.84365575669995896</v>
      </c>
      <c r="F231">
        <v>1.1833943372334299</v>
      </c>
      <c r="G231">
        <v>1.2163774446859601</v>
      </c>
      <c r="H231">
        <v>0.822520990437414</v>
      </c>
      <c r="I231">
        <v>0.56022157967286002</v>
      </c>
      <c r="J231">
        <v>0.43637749553175698</v>
      </c>
      <c r="K231">
        <v>0.42178757816988899</v>
      </c>
      <c r="L231">
        <v>3186.0720049021102</v>
      </c>
      <c r="M231">
        <v>51.1989073931652</v>
      </c>
      <c r="N231">
        <v>64.658976777082202</v>
      </c>
      <c r="O231">
        <v>62.134581228371196</v>
      </c>
      <c r="P231">
        <v>-0.118042011684866</v>
      </c>
      <c r="Q231">
        <v>0.42698112719821801</v>
      </c>
      <c r="R231">
        <v>0.83773997326838501</v>
      </c>
      <c r="S231" t="s">
        <v>6057</v>
      </c>
      <c r="T231" t="s">
        <v>11650</v>
      </c>
      <c r="U231" t="s">
        <v>11650</v>
      </c>
      <c r="V231" t="s">
        <v>11650</v>
      </c>
      <c r="W231" t="s">
        <v>11878</v>
      </c>
      <c r="X231">
        <v>1</v>
      </c>
      <c r="Y231" t="s">
        <v>17641</v>
      </c>
      <c r="Z231" t="s">
        <v>23293</v>
      </c>
      <c r="AA231">
        <v>0.85296995113981822</v>
      </c>
      <c r="AB231" t="str">
        <f>HYPERLINK("Melting_Curves/meltCurve_B7Z831_GPRC5B.pdf", "Melting_Curves/meltCurve_B7Z831_GPRC5B.pdf")</f>
        <v>Melting_Curves/meltCurve_B7Z831_GPRC5B.pdf</v>
      </c>
    </row>
    <row r="232" spans="1:28" x14ac:dyDescent="0.25">
      <c r="A232" t="s">
        <v>236</v>
      </c>
      <c r="B232">
        <v>0.99996721820229495</v>
      </c>
      <c r="C232">
        <v>1.0101587440341999</v>
      </c>
      <c r="D232">
        <v>0.97261749155061605</v>
      </c>
      <c r="E232">
        <v>0.73028531213120496</v>
      </c>
      <c r="F232">
        <v>0.62274478488107199</v>
      </c>
      <c r="G232">
        <v>0.45044158149186703</v>
      </c>
      <c r="H232">
        <v>0.303918433079095</v>
      </c>
      <c r="I232">
        <v>0.17941311292161799</v>
      </c>
      <c r="J232">
        <v>0.13523255543035501</v>
      </c>
      <c r="K232">
        <v>0.123368367535098</v>
      </c>
      <c r="L232">
        <v>662.25336021423198</v>
      </c>
      <c r="M232">
        <v>12.023630158286201</v>
      </c>
      <c r="N232">
        <v>55.559034358783101</v>
      </c>
      <c r="O232">
        <v>53.622090328041899</v>
      </c>
      <c r="P232">
        <v>-5.3306138093613099E-2</v>
      </c>
      <c r="Q232">
        <v>4.9304473131461503E-2</v>
      </c>
      <c r="R232">
        <v>0.99203679051395099</v>
      </c>
      <c r="S232" t="s">
        <v>6058</v>
      </c>
      <c r="T232" t="s">
        <v>11650</v>
      </c>
      <c r="U232" t="s">
        <v>11650</v>
      </c>
      <c r="V232" t="s">
        <v>11650</v>
      </c>
      <c r="W232" t="s">
        <v>11879</v>
      </c>
      <c r="X232">
        <v>5</v>
      </c>
      <c r="Y232" t="s">
        <v>17642</v>
      </c>
      <c r="Z232" t="s">
        <v>23294</v>
      </c>
      <c r="AA232">
        <v>0.54921550422195964</v>
      </c>
      <c r="AB232" t="str">
        <f>HYPERLINK("Melting_Curves/meltCurve_B7Z9I3_ATP6AP2.pdf", "Melting_Curves/meltCurve_B7Z9I3_ATP6AP2.pdf")</f>
        <v>Melting_Curves/meltCurve_B7Z9I3_ATP6AP2.pdf</v>
      </c>
    </row>
    <row r="233" spans="1:28" x14ac:dyDescent="0.25">
      <c r="A233" t="s">
        <v>237</v>
      </c>
      <c r="B233">
        <v>0.99996721820229495</v>
      </c>
      <c r="C233">
        <v>0.77692897211238299</v>
      </c>
      <c r="D233">
        <v>1.1387607363991299</v>
      </c>
      <c r="E233">
        <v>1.6189284683935801</v>
      </c>
      <c r="F233">
        <v>1.8119883531601</v>
      </c>
      <c r="G233">
        <v>1.74147360483265</v>
      </c>
      <c r="H233">
        <v>0.83570694623777797</v>
      </c>
      <c r="I233">
        <v>0.83260157307515703</v>
      </c>
      <c r="J233">
        <v>0.52805159027119897</v>
      </c>
      <c r="K233">
        <v>0.677511671366122</v>
      </c>
      <c r="L233">
        <v>3113.9876887790901</v>
      </c>
      <c r="M233">
        <v>49.000043875662101</v>
      </c>
      <c r="O233">
        <v>63.445131880811097</v>
      </c>
      <c r="P233">
        <v>-7.6664330452208704E-2</v>
      </c>
      <c r="Q233">
        <v>0.60294124834441398</v>
      </c>
      <c r="R233">
        <v>0.12965029218861199</v>
      </c>
      <c r="S233" t="s">
        <v>6059</v>
      </c>
      <c r="T233" t="s">
        <v>11650</v>
      </c>
      <c r="U233" t="s">
        <v>11650</v>
      </c>
      <c r="V233" t="s">
        <v>11650</v>
      </c>
      <c r="W233" t="s">
        <v>11880</v>
      </c>
      <c r="X233">
        <v>5</v>
      </c>
      <c r="Y233" t="s">
        <v>17643</v>
      </c>
      <c r="Z233" t="s">
        <v>23295</v>
      </c>
      <c r="AA233">
        <v>0.91556323923194283</v>
      </c>
      <c r="AB233" t="str">
        <f>HYPERLINK("Melting_Curves/meltCurve_B7Z9S8_ATP1B1.pdf", "Melting_Curves/meltCurve_B7Z9S8_ATP1B1.pdf")</f>
        <v>Melting_Curves/meltCurve_B7Z9S8_ATP1B1.pdf</v>
      </c>
    </row>
    <row r="234" spans="1:28" x14ac:dyDescent="0.25">
      <c r="A234" t="s">
        <v>238</v>
      </c>
      <c r="B234">
        <v>0.99996721820229495</v>
      </c>
      <c r="C234">
        <v>0.92839158123774901</v>
      </c>
      <c r="D234">
        <v>0.85314166935801095</v>
      </c>
      <c r="E234">
        <v>0.66588098190871503</v>
      </c>
      <c r="F234">
        <v>0.93963554376351699</v>
      </c>
      <c r="G234">
        <v>0.54061708050615298</v>
      </c>
      <c r="H234">
        <v>0.19916017091882801</v>
      </c>
      <c r="I234">
        <v>0.12084417467035601</v>
      </c>
      <c r="J234">
        <v>5.4570918738292097E-2</v>
      </c>
      <c r="K234">
        <v>3.4334664205943499E-2</v>
      </c>
      <c r="L234">
        <v>936.72908432081204</v>
      </c>
      <c r="M234">
        <v>16.4300184263566</v>
      </c>
      <c r="N234">
        <v>57.013270590098202</v>
      </c>
      <c r="O234">
        <v>56.188748381761002</v>
      </c>
      <c r="P234">
        <v>-7.3107074567080099E-2</v>
      </c>
      <c r="Q234">
        <v>0</v>
      </c>
      <c r="R234">
        <v>0.92064338399724599</v>
      </c>
      <c r="S234" t="s">
        <v>6060</v>
      </c>
      <c r="T234" t="s">
        <v>11650</v>
      </c>
      <c r="U234" t="s">
        <v>11650</v>
      </c>
      <c r="V234" t="s">
        <v>11650</v>
      </c>
      <c r="W234" t="s">
        <v>11881</v>
      </c>
      <c r="X234">
        <v>2</v>
      </c>
      <c r="Y234" t="s">
        <v>17644</v>
      </c>
      <c r="Z234" t="s">
        <v>23296</v>
      </c>
      <c r="AA234">
        <v>0.58196043237914385</v>
      </c>
      <c r="AB234" t="str">
        <f>HYPERLINK("Melting_Curves/meltCurve_B7ZBB8_PPP1R3G.pdf", "Melting_Curves/meltCurve_B7ZBB8_PPP1R3G.pdf")</f>
        <v>Melting_Curves/meltCurve_B7ZBB8_PPP1R3G.pdf</v>
      </c>
    </row>
    <row r="235" spans="1:28" x14ac:dyDescent="0.25">
      <c r="A235" t="s">
        <v>239</v>
      </c>
      <c r="B235">
        <v>0.99996721820229495</v>
      </c>
      <c r="C235">
        <v>0.96674667270221903</v>
      </c>
      <c r="D235">
        <v>0.91670229232795797</v>
      </c>
      <c r="E235">
        <v>0.60797839548136701</v>
      </c>
      <c r="F235">
        <v>0.290820126718352</v>
      </c>
      <c r="G235">
        <v>0.200300455932861</v>
      </c>
      <c r="H235">
        <v>0.123559630480908</v>
      </c>
      <c r="I235">
        <v>8.4445844868429695E-2</v>
      </c>
      <c r="J235">
        <v>6.4043453973993594E-2</v>
      </c>
      <c r="K235">
        <v>5.89659927718909E-2</v>
      </c>
      <c r="L235">
        <v>1092.95861747956</v>
      </c>
      <c r="M235">
        <v>21.6075484809624</v>
      </c>
      <c r="N235">
        <v>50.984439262169403</v>
      </c>
      <c r="O235">
        <v>50.154988948484302</v>
      </c>
      <c r="P235">
        <v>-9.9267029544034699E-2</v>
      </c>
      <c r="Q235">
        <v>7.8355900890320601E-2</v>
      </c>
      <c r="R235">
        <v>0.99613012304849602</v>
      </c>
      <c r="S235" t="s">
        <v>6061</v>
      </c>
      <c r="T235" t="s">
        <v>11650</v>
      </c>
      <c r="U235" t="s">
        <v>11650</v>
      </c>
      <c r="V235" t="s">
        <v>11650</v>
      </c>
      <c r="W235" t="s">
        <v>11882</v>
      </c>
      <c r="X235">
        <v>17</v>
      </c>
      <c r="Y235" t="s">
        <v>17645</v>
      </c>
      <c r="Z235" t="s">
        <v>23297</v>
      </c>
      <c r="AA235">
        <v>0.4144965045824609</v>
      </c>
      <c r="AB235" t="str">
        <f>HYPERLINK("Melting_Curves/meltCurve_B7ZC38_SH3GLB2.pdf", "Melting_Curves/meltCurve_B7ZC38_SH3GLB2.pdf")</f>
        <v>Melting_Curves/meltCurve_B7ZC38_SH3GLB2.pdf</v>
      </c>
    </row>
    <row r="236" spans="1:28" x14ac:dyDescent="0.25">
      <c r="A236" t="s">
        <v>240</v>
      </c>
      <c r="B236">
        <v>0.99996721820229495</v>
      </c>
      <c r="C236">
        <v>0.93996697209983604</v>
      </c>
      <c r="D236">
        <v>1.0865426817800099</v>
      </c>
      <c r="E236">
        <v>0.91841623119728</v>
      </c>
      <c r="F236">
        <v>0.47124865126920701</v>
      </c>
      <c r="G236">
        <v>0.42112057215823601</v>
      </c>
      <c r="H236">
        <v>0.23423762703963999</v>
      </c>
      <c r="I236">
        <v>0.105291904521482</v>
      </c>
      <c r="J236">
        <v>6.7617448502808E-2</v>
      </c>
      <c r="K236">
        <v>4.3979200044104098E-2</v>
      </c>
      <c r="L236">
        <v>923.31149257538095</v>
      </c>
      <c r="M236">
        <v>16.962857602876301</v>
      </c>
      <c r="N236">
        <v>54.758073172429299</v>
      </c>
      <c r="O236">
        <v>53.691763219034399</v>
      </c>
      <c r="P236">
        <v>-7.5186090041484299E-2</v>
      </c>
      <c r="Q236">
        <v>4.8126857277159402E-2</v>
      </c>
      <c r="R236">
        <v>0.96098495312544596</v>
      </c>
      <c r="S236" t="s">
        <v>6062</v>
      </c>
      <c r="T236" t="s">
        <v>11650</v>
      </c>
      <c r="U236" t="s">
        <v>11650</v>
      </c>
      <c r="V236" t="s">
        <v>11650</v>
      </c>
      <c r="W236" t="s">
        <v>11883</v>
      </c>
      <c r="X236">
        <v>7</v>
      </c>
      <c r="Y236" t="s">
        <v>17646</v>
      </c>
      <c r="Z236" t="s">
        <v>23298</v>
      </c>
      <c r="AA236">
        <v>0.52234507090981308</v>
      </c>
      <c r="AB236" t="str">
        <f>HYPERLINK("Melting_Curves/meltCurve_B7ZKK9_PPP2R5E.pdf", "Melting_Curves/meltCurve_B7ZKK9_PPP2R5E.pdf")</f>
        <v>Melting_Curves/meltCurve_B7ZKK9_PPP2R5E.pdf</v>
      </c>
    </row>
    <row r="237" spans="1:28" x14ac:dyDescent="0.25">
      <c r="A237" t="s">
        <v>241</v>
      </c>
      <c r="B237">
        <v>0.99996721820229495</v>
      </c>
      <c r="C237">
        <v>0.89282351157301298</v>
      </c>
      <c r="D237">
        <v>0.98390872384855099</v>
      </c>
      <c r="E237">
        <v>0.995313858710972</v>
      </c>
      <c r="F237">
        <v>1.66773884383111</v>
      </c>
      <c r="G237">
        <v>2.19496967642492</v>
      </c>
      <c r="H237">
        <v>1.5351560904499899</v>
      </c>
      <c r="I237">
        <v>1.10574395548799</v>
      </c>
      <c r="J237">
        <v>0.69995674961798904</v>
      </c>
      <c r="K237">
        <v>0.73957441387835599</v>
      </c>
      <c r="L237">
        <v>3386.46155777699</v>
      </c>
      <c r="M237">
        <v>50.919760278098401</v>
      </c>
      <c r="O237">
        <v>66.403505325407906</v>
      </c>
      <c r="P237">
        <v>-6.2592491914669104E-2</v>
      </c>
      <c r="Q237">
        <v>0.67349747291991402</v>
      </c>
      <c r="R237">
        <v>-9.8545388439895507E-2</v>
      </c>
      <c r="S237" t="s">
        <v>6063</v>
      </c>
      <c r="T237" t="s">
        <v>11650</v>
      </c>
      <c r="U237" t="s">
        <v>11650</v>
      </c>
      <c r="V237" t="s">
        <v>11650</v>
      </c>
      <c r="W237" t="s">
        <v>11884</v>
      </c>
      <c r="X237">
        <v>2</v>
      </c>
      <c r="Y237" t="s">
        <v>17647</v>
      </c>
      <c r="Z237" t="s">
        <v>23299</v>
      </c>
      <c r="AA237">
        <v>0.96164784021689231</v>
      </c>
      <c r="AB237" t="str">
        <f>HYPERLINK("Melting_Curves/meltCurve_B7ZKM0_SART3.pdf", "Melting_Curves/meltCurve_B7ZKM0_SART3.pdf")</f>
        <v>Melting_Curves/meltCurve_B7ZKM0_SART3.pdf</v>
      </c>
    </row>
    <row r="238" spans="1:28" x14ac:dyDescent="0.25">
      <c r="A238" t="s">
        <v>242</v>
      </c>
      <c r="B238">
        <v>0.99996721820229495</v>
      </c>
      <c r="C238">
        <v>0.93219180450830397</v>
      </c>
      <c r="D238">
        <v>1.01281365088292</v>
      </c>
      <c r="E238">
        <v>1.1107599865978799</v>
      </c>
      <c r="F238">
        <v>1.3251201520426299</v>
      </c>
      <c r="G238">
        <v>1.3404548653013599</v>
      </c>
      <c r="H238">
        <v>0.94110755252818301</v>
      </c>
      <c r="I238">
        <v>0.60626401115919404</v>
      </c>
      <c r="J238">
        <v>0.343665480703507</v>
      </c>
      <c r="K238">
        <v>0.30593541819197501</v>
      </c>
      <c r="L238">
        <v>3763.6932411320699</v>
      </c>
      <c r="M238">
        <v>59.083044359191703</v>
      </c>
      <c r="N238">
        <v>64.734458327763207</v>
      </c>
      <c r="O238">
        <v>63.628894144795403</v>
      </c>
      <c r="P238">
        <v>-0.16129470892700901</v>
      </c>
      <c r="Q238">
        <v>0.30518140562575902</v>
      </c>
      <c r="R238">
        <v>0.79939250572362297</v>
      </c>
      <c r="S238" t="s">
        <v>6064</v>
      </c>
      <c r="T238" t="s">
        <v>11650</v>
      </c>
      <c r="U238" t="s">
        <v>11650</v>
      </c>
      <c r="V238" t="s">
        <v>11650</v>
      </c>
      <c r="W238" t="s">
        <v>11885</v>
      </c>
      <c r="X238">
        <v>7</v>
      </c>
      <c r="Y238" t="s">
        <v>17648</v>
      </c>
      <c r="Z238" t="s">
        <v>23300</v>
      </c>
      <c r="AA238">
        <v>0.85537099899599045</v>
      </c>
      <c r="AB238" t="str">
        <f>HYPERLINK("Melting_Curves/meltCurve_B7ZKQ9_SCARB1.pdf", "Melting_Curves/meltCurve_B7ZKQ9_SCARB1.pdf")</f>
        <v>Melting_Curves/meltCurve_B7ZKQ9_SCARB1.pdf</v>
      </c>
    </row>
    <row r="239" spans="1:28" x14ac:dyDescent="0.25">
      <c r="A239" t="s">
        <v>243</v>
      </c>
      <c r="B239">
        <v>0.99996721820229495</v>
      </c>
      <c r="C239">
        <v>0.83636401602217703</v>
      </c>
      <c r="D239">
        <v>0.87708073899747896</v>
      </c>
      <c r="E239">
        <v>1.0283832789598699</v>
      </c>
      <c r="F239">
        <v>1.3085087838660101</v>
      </c>
      <c r="G239">
        <v>1.1145175349308201</v>
      </c>
      <c r="H239">
        <v>0.43962640034516798</v>
      </c>
      <c r="I239">
        <v>0.16542702155951</v>
      </c>
      <c r="J239">
        <v>0.14857579412885</v>
      </c>
      <c r="K239">
        <v>0.165574816578301</v>
      </c>
      <c r="L239">
        <v>12455.8488535367</v>
      </c>
      <c r="M239">
        <v>204.88884409060199</v>
      </c>
      <c r="N239">
        <v>60.907715306539103</v>
      </c>
      <c r="O239">
        <v>60.787413270151902</v>
      </c>
      <c r="P239">
        <v>-0.70794890641386898</v>
      </c>
      <c r="Q239">
        <v>0.15984922336746499</v>
      </c>
      <c r="R239">
        <v>0.91273766215269103</v>
      </c>
      <c r="S239" t="s">
        <v>6065</v>
      </c>
      <c r="T239" t="s">
        <v>11650</v>
      </c>
      <c r="U239" t="s">
        <v>11650</v>
      </c>
      <c r="V239" t="s">
        <v>11650</v>
      </c>
      <c r="W239" t="s">
        <v>11886</v>
      </c>
      <c r="X239">
        <v>4</v>
      </c>
      <c r="Y239" t="s">
        <v>17649</v>
      </c>
      <c r="Z239" t="s">
        <v>23301</v>
      </c>
      <c r="AA239">
        <v>0.74229684679462504</v>
      </c>
      <c r="AB239" t="str">
        <f>HYPERLINK("Melting_Curves/meltCurve_B7ZL88_COX18.pdf", "Melting_Curves/meltCurve_B7ZL88_COX18.pdf")</f>
        <v>Melting_Curves/meltCurve_B7ZL88_COX18.pdf</v>
      </c>
    </row>
    <row r="240" spans="1:28" x14ac:dyDescent="0.25">
      <c r="A240" t="s">
        <v>244</v>
      </c>
      <c r="B240">
        <v>0.99996721820229495</v>
      </c>
      <c r="C240">
        <v>1.0201529836388099</v>
      </c>
      <c r="D240">
        <v>0.90503718005072598</v>
      </c>
      <c r="E240">
        <v>0.73235695878957296</v>
      </c>
      <c r="F240">
        <v>0.64657653277041205</v>
      </c>
      <c r="G240">
        <v>0.70193196202986596</v>
      </c>
      <c r="H240">
        <v>0.41043723030537199</v>
      </c>
      <c r="I240">
        <v>0.218918003413098</v>
      </c>
      <c r="J240">
        <v>0.15024753636572</v>
      </c>
      <c r="K240">
        <v>0.169062928163838</v>
      </c>
      <c r="L240">
        <v>554.83720872947902</v>
      </c>
      <c r="M240">
        <v>9.5840112945424707</v>
      </c>
      <c r="N240">
        <v>57.891961039040503</v>
      </c>
      <c r="O240">
        <v>55.539830493268099</v>
      </c>
      <c r="P240">
        <v>-4.3164939189517103E-2</v>
      </c>
      <c r="Q240">
        <v>0</v>
      </c>
      <c r="R240">
        <v>0.95009510532609198</v>
      </c>
      <c r="S240" t="s">
        <v>6066</v>
      </c>
      <c r="T240" t="s">
        <v>11650</v>
      </c>
      <c r="U240" t="s">
        <v>11650</v>
      </c>
      <c r="V240" t="s">
        <v>11650</v>
      </c>
      <c r="W240" t="s">
        <v>11887</v>
      </c>
      <c r="X240">
        <v>13</v>
      </c>
      <c r="Y240" t="s">
        <v>17650</v>
      </c>
      <c r="Z240" t="s">
        <v>23302</v>
      </c>
      <c r="AA240">
        <v>0.60606830798111677</v>
      </c>
      <c r="AB240" t="str">
        <f>HYPERLINK("Melting_Curves/meltCurve_B7ZLZ2_EDEM3.pdf", "Melting_Curves/meltCurve_B7ZLZ2_EDEM3.pdf")</f>
        <v>Melting_Curves/meltCurve_B7ZLZ2_EDEM3.pdf</v>
      </c>
    </row>
    <row r="241" spans="1:28" x14ac:dyDescent="0.25">
      <c r="A241" t="s">
        <v>245</v>
      </c>
      <c r="B241">
        <v>0.99996721820229495</v>
      </c>
      <c r="C241">
        <v>0.84081121876228304</v>
      </c>
      <c r="D241">
        <v>0.59041950978929403</v>
      </c>
      <c r="E241">
        <v>0.46211910900046499</v>
      </c>
      <c r="F241">
        <v>0.46604163878367699</v>
      </c>
      <c r="G241">
        <v>0.410951409871537</v>
      </c>
      <c r="H241">
        <v>0.23673195103887401</v>
      </c>
      <c r="I241">
        <v>0.157103041954051</v>
      </c>
      <c r="J241">
        <v>8.6072897148023297E-2</v>
      </c>
      <c r="K241">
        <v>7.4871367750432002E-2</v>
      </c>
      <c r="L241">
        <v>396.48964339039401</v>
      </c>
      <c r="M241">
        <v>7.7864238817606299</v>
      </c>
      <c r="N241">
        <v>50.920628652711201</v>
      </c>
      <c r="O241">
        <v>47.889284952441898</v>
      </c>
      <c r="P241">
        <v>-4.0698900437087897E-2</v>
      </c>
      <c r="Q241">
        <v>0</v>
      </c>
      <c r="R241">
        <v>0.94742212222839395</v>
      </c>
      <c r="S241" t="s">
        <v>6067</v>
      </c>
      <c r="T241" t="s">
        <v>11650</v>
      </c>
      <c r="U241" t="s">
        <v>11650</v>
      </c>
      <c r="V241" t="s">
        <v>11650</v>
      </c>
      <c r="W241" t="s">
        <v>11888</v>
      </c>
      <c r="X241">
        <v>7</v>
      </c>
      <c r="Y241" t="s">
        <v>17651</v>
      </c>
      <c r="Z241" t="s">
        <v>23303</v>
      </c>
      <c r="AA241">
        <v>0.41937688762002429</v>
      </c>
      <c r="AB241" t="str">
        <f>HYPERLINK("Melting_Curves/meltCurve_B7ZMI4_MPDZ.pdf", "Melting_Curves/meltCurve_B7ZMI4_MPDZ.pdf")</f>
        <v>Melting_Curves/meltCurve_B7ZMI4_MPDZ.pdf</v>
      </c>
    </row>
    <row r="242" spans="1:28" x14ac:dyDescent="0.25">
      <c r="A242" t="s">
        <v>246</v>
      </c>
      <c r="B242">
        <v>0.99996721820229495</v>
      </c>
      <c r="C242">
        <v>1.0753720058752001</v>
      </c>
      <c r="D242">
        <v>0.97068306731445397</v>
      </c>
      <c r="E242">
        <v>0.99391028334281994</v>
      </c>
      <c r="F242">
        <v>0.62221299114340001</v>
      </c>
      <c r="G242">
        <v>0.463378709896962</v>
      </c>
      <c r="H242">
        <v>0.293707598952758</v>
      </c>
      <c r="I242">
        <v>0.233293831807212</v>
      </c>
      <c r="J242">
        <v>0.173316477212166</v>
      </c>
      <c r="K242">
        <v>0.148881526849308</v>
      </c>
      <c r="L242">
        <v>1056.5026078278299</v>
      </c>
      <c r="M242">
        <v>19.2589821524558</v>
      </c>
      <c r="N242">
        <v>56.006764534731303</v>
      </c>
      <c r="O242">
        <v>54.276470312447003</v>
      </c>
      <c r="P242">
        <v>-7.4232529618698001E-2</v>
      </c>
      <c r="Q242">
        <v>0.16321072301657799</v>
      </c>
      <c r="R242">
        <v>0.97763285787038101</v>
      </c>
      <c r="S242" t="s">
        <v>6068</v>
      </c>
      <c r="T242" t="s">
        <v>11650</v>
      </c>
      <c r="U242" t="s">
        <v>11650</v>
      </c>
      <c r="V242" t="s">
        <v>11650</v>
      </c>
      <c r="W242" t="s">
        <v>11889</v>
      </c>
      <c r="X242">
        <v>17</v>
      </c>
      <c r="Y242" t="s">
        <v>17652</v>
      </c>
      <c r="Z242" t="s">
        <v>23304</v>
      </c>
      <c r="AA242">
        <v>0.58946335996784616</v>
      </c>
      <c r="AB242" t="str">
        <f>HYPERLINK("Melting_Curves/meltCurve_B8ZZD4_TAX1BP1.pdf", "Melting_Curves/meltCurve_B8ZZD4_TAX1BP1.pdf")</f>
        <v>Melting_Curves/meltCurve_B8ZZD4_TAX1BP1.pdf</v>
      </c>
    </row>
    <row r="243" spans="1:28" x14ac:dyDescent="0.25">
      <c r="A243" t="s">
        <v>247</v>
      </c>
      <c r="B243">
        <v>0.99996721820229495</v>
      </c>
      <c r="C243">
        <v>0.99239585307883005</v>
      </c>
      <c r="D243">
        <v>0.96161529650831001</v>
      </c>
      <c r="E243">
        <v>0.96091043538947796</v>
      </c>
      <c r="F243">
        <v>1.0526356295335</v>
      </c>
      <c r="G243">
        <v>1.12616283905005</v>
      </c>
      <c r="H243">
        <v>0.76437791005684996</v>
      </c>
      <c r="I243">
        <v>0.474774312117132</v>
      </c>
      <c r="J243">
        <v>0.30064726291271898</v>
      </c>
      <c r="K243">
        <v>0.33354775961877697</v>
      </c>
      <c r="L243">
        <v>2959.9032248041899</v>
      </c>
      <c r="M243">
        <v>47.7010190318206</v>
      </c>
      <c r="N243">
        <v>63.373559267890599</v>
      </c>
      <c r="O243">
        <v>61.9423891320791</v>
      </c>
      <c r="P243">
        <v>-0.131837633948935</v>
      </c>
      <c r="Q243">
        <v>0.31520711276665703</v>
      </c>
      <c r="R243">
        <v>0.96868615156034898</v>
      </c>
      <c r="S243" t="s">
        <v>6069</v>
      </c>
      <c r="T243" t="s">
        <v>11650</v>
      </c>
      <c r="U243" t="s">
        <v>11650</v>
      </c>
      <c r="V243" t="s">
        <v>11650</v>
      </c>
      <c r="W243" t="s">
        <v>11890</v>
      </c>
      <c r="X243">
        <v>2</v>
      </c>
      <c r="Y243" t="s">
        <v>17653</v>
      </c>
      <c r="Z243" t="s">
        <v>23305</v>
      </c>
      <c r="AA243">
        <v>0.82044069167350397</v>
      </c>
      <c r="AB243" t="str">
        <f>HYPERLINK("Melting_Curves/meltCurve_B8ZZF5_EVA1A.pdf", "Melting_Curves/meltCurve_B8ZZF5_EVA1A.pdf")</f>
        <v>Melting_Curves/meltCurve_B8ZZF5_EVA1A.pdf</v>
      </c>
    </row>
    <row r="244" spans="1:28" x14ac:dyDescent="0.25">
      <c r="A244" t="s">
        <v>248</v>
      </c>
      <c r="B244">
        <v>0.99996721820229495</v>
      </c>
      <c r="C244">
        <v>1.02148972407425</v>
      </c>
      <c r="D244">
        <v>0.85110293075888799</v>
      </c>
      <c r="E244">
        <v>0.860254128092652</v>
      </c>
      <c r="F244">
        <v>1.0101563779245499</v>
      </c>
      <c r="G244">
        <v>0.88680756987790699</v>
      </c>
      <c r="H244">
        <v>0.56939114078132202</v>
      </c>
      <c r="I244">
        <v>0.45367622558991899</v>
      </c>
      <c r="J244">
        <v>0.39692709211180599</v>
      </c>
      <c r="K244">
        <v>0.25687716579701703</v>
      </c>
      <c r="L244">
        <v>1262.9339215702701</v>
      </c>
      <c r="M244">
        <v>20.7598933340368</v>
      </c>
      <c r="N244">
        <v>62.912069574288502</v>
      </c>
      <c r="O244">
        <v>60.2792322196279</v>
      </c>
      <c r="P244">
        <v>-6.4745605099673004E-2</v>
      </c>
      <c r="Q244">
        <v>0.24802974315302301</v>
      </c>
      <c r="R244">
        <v>0.93289764318862101</v>
      </c>
      <c r="S244" t="s">
        <v>6070</v>
      </c>
      <c r="T244" t="s">
        <v>11650</v>
      </c>
      <c r="U244" t="s">
        <v>11650</v>
      </c>
      <c r="V244" t="s">
        <v>11650</v>
      </c>
      <c r="W244" t="s">
        <v>11891</v>
      </c>
      <c r="X244">
        <v>3</v>
      </c>
      <c r="Y244" t="s">
        <v>17654</v>
      </c>
      <c r="Z244" t="s">
        <v>23306</v>
      </c>
      <c r="AA244">
        <v>0.77525430288599817</v>
      </c>
      <c r="AB244" t="str">
        <f>HYPERLINK("Melting_Curves/meltCurve_B8ZZJ1_FAM126A.pdf", "Melting_Curves/meltCurve_B8ZZJ1_FAM126A.pdf")</f>
        <v>Melting_Curves/meltCurve_B8ZZJ1_FAM126A.pdf</v>
      </c>
    </row>
    <row r="245" spans="1:28" x14ac:dyDescent="0.25">
      <c r="A245" t="s">
        <v>249</v>
      </c>
      <c r="B245">
        <v>0.99996721820229495</v>
      </c>
      <c r="C245">
        <v>0.87935919651845795</v>
      </c>
      <c r="D245">
        <v>0.98987182771807602</v>
      </c>
      <c r="E245">
        <v>1.5821457254370801</v>
      </c>
      <c r="F245">
        <v>1.7377078236000401</v>
      </c>
      <c r="G245">
        <v>1.2435064752972</v>
      </c>
      <c r="H245">
        <v>1.0234848226751001</v>
      </c>
      <c r="I245">
        <v>0.74175417486375705</v>
      </c>
      <c r="J245">
        <v>0.27261252537957398</v>
      </c>
      <c r="K245">
        <v>0.61411789705297803</v>
      </c>
      <c r="L245">
        <v>15000</v>
      </c>
      <c r="M245">
        <v>234.230662985919</v>
      </c>
      <c r="N245">
        <v>64.640495181611797</v>
      </c>
      <c r="O245">
        <v>64.034744648206996</v>
      </c>
      <c r="P245">
        <v>-0.509025054507527</v>
      </c>
      <c r="Q245">
        <v>0.44336404736608598</v>
      </c>
      <c r="R245">
        <v>0.40295079373818699</v>
      </c>
      <c r="S245" t="s">
        <v>6071</v>
      </c>
      <c r="T245" t="s">
        <v>11650</v>
      </c>
      <c r="U245" t="s">
        <v>11650</v>
      </c>
      <c r="V245" t="s">
        <v>11650</v>
      </c>
      <c r="W245" t="s">
        <v>11892</v>
      </c>
      <c r="X245">
        <v>3</v>
      </c>
      <c r="Y245" t="s">
        <v>17655</v>
      </c>
      <c r="Z245" t="s">
        <v>23307</v>
      </c>
      <c r="AA245">
        <v>0.889475830051354</v>
      </c>
      <c r="AB245" t="str">
        <f>HYPERLINK("Melting_Curves/meltCurve_B8ZZK4_RPL31.pdf", "Melting_Curves/meltCurve_B8ZZK4_RPL31.pdf")</f>
        <v>Melting_Curves/meltCurve_B8ZZK4_RPL31.pdf</v>
      </c>
    </row>
    <row r="246" spans="1:28" x14ac:dyDescent="0.25">
      <c r="A246" t="s">
        <v>250</v>
      </c>
      <c r="B246">
        <v>0.99996721820229495</v>
      </c>
      <c r="C246">
        <v>0.80214411848758405</v>
      </c>
      <c r="D246">
        <v>0.88380340940707702</v>
      </c>
      <c r="E246">
        <v>0.76082204988833901</v>
      </c>
      <c r="F246">
        <v>0.49265130491523901</v>
      </c>
      <c r="G246">
        <v>0.46868811312515402</v>
      </c>
      <c r="H246">
        <v>0.30098205534556399</v>
      </c>
      <c r="I246">
        <v>0.144143632059205</v>
      </c>
      <c r="J246">
        <v>7.5583734881619E-2</v>
      </c>
      <c r="K246">
        <v>2.71035534525269E-2</v>
      </c>
      <c r="L246">
        <v>556.400314593075</v>
      </c>
      <c r="M246">
        <v>10.2273856551219</v>
      </c>
      <c r="N246">
        <v>54.402985513383904</v>
      </c>
      <c r="O246">
        <v>52.4461218992722</v>
      </c>
      <c r="P246">
        <v>-4.8773625473808098E-2</v>
      </c>
      <c r="Q246">
        <v>0</v>
      </c>
      <c r="R246">
        <v>0.95955245550232005</v>
      </c>
      <c r="S246" t="s">
        <v>6072</v>
      </c>
      <c r="T246" t="s">
        <v>11650</v>
      </c>
      <c r="U246" t="s">
        <v>11650</v>
      </c>
      <c r="V246" t="s">
        <v>11650</v>
      </c>
      <c r="W246" t="s">
        <v>11893</v>
      </c>
      <c r="X246">
        <v>1</v>
      </c>
      <c r="Y246" t="s">
        <v>17656</v>
      </c>
      <c r="Z246" t="s">
        <v>23308</v>
      </c>
      <c r="AA246">
        <v>0.5082342696705433</v>
      </c>
      <c r="AB246" t="str">
        <f>HYPERLINK("Melting_Curves/meltCurve_B8ZZN3_STK16.pdf", "Melting_Curves/meltCurve_B8ZZN3_STK16.pdf")</f>
        <v>Melting_Curves/meltCurve_B8ZZN3_STK16.pdf</v>
      </c>
    </row>
    <row r="247" spans="1:28" x14ac:dyDescent="0.25">
      <c r="A247" t="s">
        <v>251</v>
      </c>
      <c r="B247">
        <v>0.99996721820229495</v>
      </c>
      <c r="C247">
        <v>0.83405278923551396</v>
      </c>
      <c r="D247">
        <v>0.64963775656048595</v>
      </c>
      <c r="E247">
        <v>0.55329896822043101</v>
      </c>
      <c r="F247">
        <v>0.69474609808222898</v>
      </c>
      <c r="G247">
        <v>0.55294539335585102</v>
      </c>
      <c r="H247">
        <v>0.3883862939962</v>
      </c>
      <c r="I247">
        <v>0.50025364792899596</v>
      </c>
      <c r="J247">
        <v>0.41591567675847002</v>
      </c>
      <c r="K247">
        <v>0.23064548102994101</v>
      </c>
      <c r="L247">
        <v>262.83920265414002</v>
      </c>
      <c r="M247">
        <v>4.6555506211887199</v>
      </c>
      <c r="N247">
        <v>57.974946368772301</v>
      </c>
      <c r="O247">
        <v>48.416444555456103</v>
      </c>
      <c r="P247">
        <v>-2.2836789895062101E-2</v>
      </c>
      <c r="Q247">
        <v>5.73735318355462E-2</v>
      </c>
      <c r="R247">
        <v>0.83433807494369905</v>
      </c>
      <c r="S247" t="s">
        <v>6073</v>
      </c>
      <c r="T247" t="s">
        <v>11650</v>
      </c>
      <c r="U247" t="s">
        <v>11650</v>
      </c>
      <c r="V247" t="s">
        <v>11650</v>
      </c>
      <c r="W247" t="s">
        <v>11894</v>
      </c>
      <c r="X247">
        <v>3</v>
      </c>
      <c r="Y247" t="s">
        <v>17657</v>
      </c>
      <c r="Z247" t="s">
        <v>23309</v>
      </c>
      <c r="AA247">
        <v>0.57631337287036044</v>
      </c>
      <c r="AB247" t="str">
        <f>HYPERLINK("Melting_Curves/meltCurve_B8ZZN6_SUMO1.pdf", "Melting_Curves/meltCurve_B8ZZN6_SUMO1.pdf")</f>
        <v>Melting_Curves/meltCurve_B8ZZN6_SUMO1.pdf</v>
      </c>
    </row>
    <row r="248" spans="1:28" x14ac:dyDescent="0.25">
      <c r="A248" t="s">
        <v>252</v>
      </c>
      <c r="B248">
        <v>0.99996721820229495</v>
      </c>
      <c r="C248">
        <v>1.0675887174699501</v>
      </c>
      <c r="D248">
        <v>0.93347583278697799</v>
      </c>
      <c r="E248">
        <v>1.0565832408067499</v>
      </c>
      <c r="F248">
        <v>1.6267593250950501</v>
      </c>
      <c r="G248">
        <v>1.90987173337911</v>
      </c>
      <c r="H248">
        <v>1.4380782420056299</v>
      </c>
      <c r="I248">
        <v>2.2300126215433398</v>
      </c>
      <c r="J248">
        <v>1.92808374682087</v>
      </c>
      <c r="K248">
        <v>1.4694751565903501</v>
      </c>
      <c r="L248">
        <v>12602.9339429509</v>
      </c>
      <c r="M248">
        <v>250</v>
      </c>
      <c r="O248">
        <v>50.408486444563302</v>
      </c>
      <c r="P248">
        <v>0.61993500867100704</v>
      </c>
      <c r="Q248">
        <v>1.5</v>
      </c>
      <c r="R248">
        <v>0.50541706506622797</v>
      </c>
      <c r="S248" t="s">
        <v>6074</v>
      </c>
      <c r="T248" t="s">
        <v>11650</v>
      </c>
      <c r="U248" t="s">
        <v>11650</v>
      </c>
      <c r="V248" t="s">
        <v>11650</v>
      </c>
      <c r="W248" t="s">
        <v>11895</v>
      </c>
      <c r="X248">
        <v>8</v>
      </c>
      <c r="Y248" t="s">
        <v>17658</v>
      </c>
      <c r="Z248" t="s">
        <v>23310</v>
      </c>
      <c r="AA248">
        <v>1.3264268345640899</v>
      </c>
      <c r="AB248" t="str">
        <f>HYPERLINK("Melting_Curves/meltCurve_B8ZZQ6_PTMA.pdf", "Melting_Curves/meltCurve_B8ZZQ6_PTMA.pdf")</f>
        <v>Melting_Curves/meltCurve_B8ZZQ6_PTMA.pdf</v>
      </c>
    </row>
    <row r="249" spans="1:28" x14ac:dyDescent="0.25">
      <c r="A249" t="s">
        <v>253</v>
      </c>
      <c r="B249">
        <v>0.99996721820229495</v>
      </c>
      <c r="C249">
        <v>1.0067640331963601</v>
      </c>
      <c r="D249">
        <v>0.90206484344582305</v>
      </c>
      <c r="E249">
        <v>0.79973610928175798</v>
      </c>
      <c r="F249">
        <v>0.611190428572297</v>
      </c>
      <c r="G249">
        <v>0.41419731927638098</v>
      </c>
      <c r="H249">
        <v>0.270043961221342</v>
      </c>
      <c r="I249">
        <v>0.19145286418971699</v>
      </c>
      <c r="J249">
        <v>0.15652017818418101</v>
      </c>
      <c r="K249">
        <v>0.14669796189541501</v>
      </c>
      <c r="L249">
        <v>738.14966206603003</v>
      </c>
      <c r="M249">
        <v>13.598915012198599</v>
      </c>
      <c r="N249">
        <v>55.174919295136597</v>
      </c>
      <c r="O249">
        <v>53.146618586625202</v>
      </c>
      <c r="P249">
        <v>-5.7646830167254803E-2</v>
      </c>
      <c r="Q249">
        <v>9.8963403878903705E-2</v>
      </c>
      <c r="R249">
        <v>0.998038256080922</v>
      </c>
      <c r="S249" t="s">
        <v>6075</v>
      </c>
      <c r="T249" t="s">
        <v>11650</v>
      </c>
      <c r="U249" t="s">
        <v>11650</v>
      </c>
      <c r="V249" t="s">
        <v>11650</v>
      </c>
      <c r="W249" t="s">
        <v>11896</v>
      </c>
      <c r="X249">
        <v>11</v>
      </c>
      <c r="Y249" t="s">
        <v>17659</v>
      </c>
      <c r="Z249" t="s">
        <v>23311</v>
      </c>
      <c r="AA249">
        <v>0.54817172082519272</v>
      </c>
      <c r="AB249" t="str">
        <f>HYPERLINK("Melting_Curves/meltCurve_B8ZZY2_AGFG1.pdf", "Melting_Curves/meltCurve_B8ZZY2_AGFG1.pdf")</f>
        <v>Melting_Curves/meltCurve_B8ZZY2_AGFG1.pdf</v>
      </c>
    </row>
    <row r="250" spans="1:28" x14ac:dyDescent="0.25">
      <c r="A250" t="s">
        <v>254</v>
      </c>
      <c r="B250">
        <v>0.99996721820229495</v>
      </c>
      <c r="C250">
        <v>1.1637445779753799</v>
      </c>
      <c r="D250">
        <v>1.1829519636864201</v>
      </c>
      <c r="E250">
        <v>1.3704403715070701</v>
      </c>
      <c r="F250">
        <v>1.28650727829361</v>
      </c>
      <c r="G250">
        <v>0.97055709945104596</v>
      </c>
      <c r="H250">
        <v>0.72752597846863698</v>
      </c>
      <c r="I250">
        <v>0.51162946041401802</v>
      </c>
      <c r="J250">
        <v>0.51428182657011701</v>
      </c>
      <c r="K250">
        <v>0.50769741132118396</v>
      </c>
      <c r="L250">
        <v>3968.5060725246099</v>
      </c>
      <c r="M250">
        <v>65.283491962644604</v>
      </c>
      <c r="O250">
        <v>60.731850636933402</v>
      </c>
      <c r="P250">
        <v>-0.13293770424295401</v>
      </c>
      <c r="Q250">
        <v>0.50532361615093802</v>
      </c>
      <c r="R250">
        <v>0.723244473155502</v>
      </c>
      <c r="S250" t="s">
        <v>6076</v>
      </c>
      <c r="T250" t="s">
        <v>11650</v>
      </c>
      <c r="U250" t="s">
        <v>11650</v>
      </c>
      <c r="V250" t="s">
        <v>11650</v>
      </c>
      <c r="W250" t="s">
        <v>11897</v>
      </c>
      <c r="X250">
        <v>3</v>
      </c>
      <c r="Y250" t="s">
        <v>17660</v>
      </c>
      <c r="Z250" t="s">
        <v>23312</v>
      </c>
      <c r="AA250">
        <v>0.84888714258194919</v>
      </c>
      <c r="AB250" t="str">
        <f>HYPERLINK("Melting_Curves/meltCurve_B9A018_USP39.pdf", "Melting_Curves/meltCurve_B9A018_USP39.pdf")</f>
        <v>Melting_Curves/meltCurve_B9A018_USP39.pdf</v>
      </c>
    </row>
    <row r="251" spans="1:28" x14ac:dyDescent="0.25">
      <c r="A251" t="s">
        <v>255</v>
      </c>
      <c r="B251">
        <v>0.99996721820229495</v>
      </c>
      <c r="C251">
        <v>0.97066208459756598</v>
      </c>
      <c r="D251">
        <v>1.13332471530521</v>
      </c>
      <c r="E251">
        <v>1.1241731550998499</v>
      </c>
      <c r="F251">
        <v>1.1686534060374101</v>
      </c>
      <c r="G251">
        <v>1.51384090887832</v>
      </c>
      <c r="H251">
        <v>1.0214388333712601</v>
      </c>
      <c r="I251">
        <v>0.74877991177129999</v>
      </c>
      <c r="J251">
        <v>0.50308485163707495</v>
      </c>
      <c r="K251">
        <v>0.317023829415637</v>
      </c>
      <c r="L251">
        <v>2894.3621922229399</v>
      </c>
      <c r="M251">
        <v>44.385081690531898</v>
      </c>
      <c r="N251">
        <v>66.618318823705806</v>
      </c>
      <c r="O251">
        <v>65.078308988593804</v>
      </c>
      <c r="P251">
        <v>-0.118617774870992</v>
      </c>
      <c r="Q251">
        <v>0.304321980676103</v>
      </c>
      <c r="R251">
        <v>0.69046309088339797</v>
      </c>
      <c r="S251" t="s">
        <v>6077</v>
      </c>
      <c r="T251" t="s">
        <v>11650</v>
      </c>
      <c r="U251" t="s">
        <v>11650</v>
      </c>
      <c r="V251" t="s">
        <v>11650</v>
      </c>
      <c r="W251" t="s">
        <v>11898</v>
      </c>
      <c r="X251">
        <v>2</v>
      </c>
      <c r="Y251" t="s">
        <v>17661</v>
      </c>
      <c r="Z251" t="s">
        <v>23313</v>
      </c>
      <c r="AA251">
        <v>0.8895354279401757</v>
      </c>
      <c r="AB251" t="str">
        <f>HYPERLINK("Melting_Curves/meltCurve_B9A054_RHBDD1.pdf", "Melting_Curves/meltCurve_B9A054_RHBDD1.pdf")</f>
        <v>Melting_Curves/meltCurve_B9A054_RHBDD1.pdf</v>
      </c>
    </row>
    <row r="252" spans="1:28" x14ac:dyDescent="0.25">
      <c r="A252" t="s">
        <v>256</v>
      </c>
      <c r="B252">
        <v>0.99996721820229495</v>
      </c>
      <c r="C252">
        <v>0.72866958836141404</v>
      </c>
      <c r="D252">
        <v>0.62689141503514301</v>
      </c>
      <c r="E252">
        <v>0.79621584215668495</v>
      </c>
      <c r="F252">
        <v>0.84520003241188701</v>
      </c>
      <c r="G252">
        <v>0.74769435233090498</v>
      </c>
      <c r="H252">
        <v>0.58170722934458896</v>
      </c>
      <c r="I252">
        <v>0.60733257855709499</v>
      </c>
      <c r="J252">
        <v>0.56186321508884096</v>
      </c>
      <c r="K252">
        <v>0.47263308152217798</v>
      </c>
      <c r="L252">
        <v>171.60889737228899</v>
      </c>
      <c r="M252">
        <v>2.3113478886413299</v>
      </c>
      <c r="O252">
        <v>47.998937932986003</v>
      </c>
      <c r="P252">
        <v>-1.27943774391172E-2</v>
      </c>
      <c r="Q252">
        <v>0</v>
      </c>
      <c r="R252">
        <v>0.59278473513764196</v>
      </c>
      <c r="S252" t="s">
        <v>6078</v>
      </c>
      <c r="T252" t="s">
        <v>11650</v>
      </c>
      <c r="U252" t="s">
        <v>11650</v>
      </c>
      <c r="V252" t="s">
        <v>11650</v>
      </c>
      <c r="W252" t="s">
        <v>11899</v>
      </c>
      <c r="X252">
        <v>2</v>
      </c>
      <c r="Y252" t="s">
        <v>17662</v>
      </c>
      <c r="Z252" t="s">
        <v>23314</v>
      </c>
      <c r="AA252">
        <v>0.69747533821130936</v>
      </c>
      <c r="AB252" t="str">
        <f>HYPERLINK("Melting_Curves/meltCurve_B9A057_COA5.pdf", "Melting_Curves/meltCurve_B9A057_COA5.pdf")</f>
        <v>Melting_Curves/meltCurve_B9A057_COA5.pdf</v>
      </c>
    </row>
    <row r="253" spans="1:28" x14ac:dyDescent="0.25">
      <c r="A253" t="s">
        <v>257</v>
      </c>
      <c r="B253">
        <v>0.99996721820229495</v>
      </c>
      <c r="C253">
        <v>0.76650694009925802</v>
      </c>
      <c r="D253">
        <v>0.83437033573045205</v>
      </c>
      <c r="E253">
        <v>1.26642213782313</v>
      </c>
      <c r="F253">
        <v>2.3773514319365199</v>
      </c>
      <c r="G253">
        <v>4.0735484167903104</v>
      </c>
      <c r="H253">
        <v>3.8059620219130101</v>
      </c>
      <c r="I253">
        <v>3.0650462751867602</v>
      </c>
      <c r="J253">
        <v>1.88670324324352</v>
      </c>
      <c r="K253">
        <v>1.16395718129054</v>
      </c>
      <c r="L253">
        <v>12493.420828730201</v>
      </c>
      <c r="M253">
        <v>250</v>
      </c>
      <c r="O253">
        <v>49.970486399581098</v>
      </c>
      <c r="P253">
        <v>0.62536915200297305</v>
      </c>
      <c r="Q253">
        <v>1.5</v>
      </c>
      <c r="R253">
        <v>-0.110431443325647</v>
      </c>
      <c r="S253" t="s">
        <v>6079</v>
      </c>
      <c r="T253" t="s">
        <v>11650</v>
      </c>
      <c r="U253" t="s">
        <v>11650</v>
      </c>
      <c r="V253" t="s">
        <v>11650</v>
      </c>
      <c r="W253" t="s">
        <v>11900</v>
      </c>
      <c r="X253">
        <v>23</v>
      </c>
      <c r="Y253" t="s">
        <v>17663</v>
      </c>
      <c r="Z253" t="s">
        <v>23315</v>
      </c>
      <c r="AA253">
        <v>1.333728093233099</v>
      </c>
      <c r="AB253" t="str">
        <f>HYPERLINK("Melting_Curves/meltCurve_B9A067_IMMT.pdf", "Melting_Curves/meltCurve_B9A067_IMMT.pdf")</f>
        <v>Melting_Curves/meltCurve_B9A067_IMMT.pdf</v>
      </c>
    </row>
    <row r="254" spans="1:28" x14ac:dyDescent="0.25">
      <c r="A254" t="s">
        <v>258</v>
      </c>
      <c r="B254">
        <v>0.99996721820229495</v>
      </c>
      <c r="C254">
        <v>0.67161957826332697</v>
      </c>
      <c r="D254">
        <v>0.29196124001513102</v>
      </c>
      <c r="E254">
        <v>0.32576448227750898</v>
      </c>
      <c r="F254">
        <v>1.04685171700977</v>
      </c>
      <c r="G254">
        <v>0.40354079701369799</v>
      </c>
      <c r="H254">
        <v>0.152715771465708</v>
      </c>
      <c r="I254">
        <v>5.9171081964421897E-2</v>
      </c>
      <c r="J254">
        <v>3.2575006575826002E-2</v>
      </c>
      <c r="K254">
        <v>3.22873611626142E-2</v>
      </c>
      <c r="L254">
        <v>325.30177426054303</v>
      </c>
      <c r="M254">
        <v>6.5238804254402902</v>
      </c>
      <c r="N254">
        <v>49.863233853661797</v>
      </c>
      <c r="O254">
        <v>45.799847105664</v>
      </c>
      <c r="P254">
        <v>-3.5696168486116397E-2</v>
      </c>
      <c r="Q254">
        <v>0</v>
      </c>
      <c r="R254">
        <v>0.50627558486143798</v>
      </c>
      <c r="S254" t="s">
        <v>6080</v>
      </c>
      <c r="T254" t="s">
        <v>11650</v>
      </c>
      <c r="U254" t="s">
        <v>11650</v>
      </c>
      <c r="V254" t="s">
        <v>11650</v>
      </c>
      <c r="W254" t="s">
        <v>11901</v>
      </c>
      <c r="X254">
        <v>3</v>
      </c>
      <c r="Y254" t="s">
        <v>17664</v>
      </c>
      <c r="Z254" t="s">
        <v>23316</v>
      </c>
      <c r="AA254">
        <v>0.40338654300898708</v>
      </c>
      <c r="AB254" t="str">
        <f>HYPERLINK("Melting_Curves/meltCurve_B9EGH5_PLCB2.pdf", "Melting_Curves/meltCurve_B9EGH5_PLCB2.pdf")</f>
        <v>Melting_Curves/meltCurve_B9EGH5_PLCB2.pdf</v>
      </c>
    </row>
    <row r="255" spans="1:28" x14ac:dyDescent="0.25">
      <c r="A255" t="s">
        <v>259</v>
      </c>
      <c r="B255">
        <v>0.99996721820229495</v>
      </c>
      <c r="C255">
        <v>1.0259776273039101</v>
      </c>
      <c r="D255">
        <v>0.96017666791276002</v>
      </c>
      <c r="E255">
        <v>1.0106997801484701</v>
      </c>
      <c r="F255">
        <v>1.2368558033416299</v>
      </c>
      <c r="G255">
        <v>1.3057361692631799</v>
      </c>
      <c r="H255">
        <v>0.94660398739659801</v>
      </c>
      <c r="I255">
        <v>0.66272610284088396</v>
      </c>
      <c r="J255">
        <v>0.51928028111748004</v>
      </c>
      <c r="K255">
        <v>0.54557382967017698</v>
      </c>
      <c r="L255">
        <v>4258.9417823798804</v>
      </c>
      <c r="M255">
        <v>67.523865696696006</v>
      </c>
      <c r="O255">
        <v>63.017880433346498</v>
      </c>
      <c r="P255">
        <v>-0.126096417864062</v>
      </c>
      <c r="Q255">
        <v>0.52927298465540695</v>
      </c>
      <c r="R255">
        <v>0.76269493317772696</v>
      </c>
      <c r="S255" t="s">
        <v>6081</v>
      </c>
      <c r="T255" t="s">
        <v>11650</v>
      </c>
      <c r="U255" t="s">
        <v>11650</v>
      </c>
      <c r="V255" t="s">
        <v>11650</v>
      </c>
      <c r="W255" t="s">
        <v>11902</v>
      </c>
      <c r="X255">
        <v>3</v>
      </c>
      <c r="Y255" t="s">
        <v>17665</v>
      </c>
      <c r="Z255" t="s">
        <v>23317</v>
      </c>
      <c r="AA255">
        <v>0.89200410094568883</v>
      </c>
      <c r="AB255" t="str">
        <f>HYPERLINK("Melting_Curves/meltCurve_C0H5Y7_BAK1.pdf", "Melting_Curves/meltCurve_C0H5Y7_BAK1.pdf")</f>
        <v>Melting_Curves/meltCurve_C0H5Y7_BAK1.pdf</v>
      </c>
    </row>
    <row r="256" spans="1:28" x14ac:dyDescent="0.25">
      <c r="A256" t="s">
        <v>260</v>
      </c>
      <c r="B256">
        <v>0.99996721820229495</v>
      </c>
      <c r="C256">
        <v>1.0190326676325401</v>
      </c>
      <c r="D256">
        <v>1.1713093365326099</v>
      </c>
      <c r="E256">
        <v>1.8982960186639399</v>
      </c>
      <c r="F256">
        <v>3.5008074076264499</v>
      </c>
      <c r="G256">
        <v>2.3447724524377902</v>
      </c>
      <c r="H256">
        <v>1.32014167653277</v>
      </c>
      <c r="I256">
        <v>1.12085114604494</v>
      </c>
      <c r="J256">
        <v>0.960839743570993</v>
      </c>
      <c r="K256">
        <v>0.67615674068383702</v>
      </c>
      <c r="L256">
        <v>15000</v>
      </c>
      <c r="M256">
        <v>221.89619388599499</v>
      </c>
      <c r="O256">
        <v>67.593684054176606</v>
      </c>
      <c r="P256">
        <v>-0.26590940981439998</v>
      </c>
      <c r="Q256">
        <v>0.67599629857896504</v>
      </c>
      <c r="R256">
        <v>-0.36393832791997399</v>
      </c>
      <c r="S256" t="s">
        <v>6082</v>
      </c>
      <c r="T256" t="s">
        <v>11650</v>
      </c>
      <c r="U256" t="s">
        <v>11650</v>
      </c>
      <c r="V256" t="s">
        <v>11650</v>
      </c>
      <c r="W256" t="s">
        <v>11903</v>
      </c>
      <c r="X256">
        <v>10</v>
      </c>
      <c r="Y256" t="s">
        <v>17666</v>
      </c>
      <c r="Z256" t="s">
        <v>23318</v>
      </c>
      <c r="AA256">
        <v>0.97411784237759447</v>
      </c>
      <c r="AB256" t="str">
        <f>HYPERLINK("Melting_Curves/meltCurve_C4AMC7_WASH3P.pdf", "Melting_Curves/meltCurve_C4AMC7_WASH3P.pdf")</f>
        <v>Melting_Curves/meltCurve_C4AMC7_WASH3P.pdf</v>
      </c>
    </row>
    <row r="257" spans="1:28" x14ac:dyDescent="0.25">
      <c r="A257" t="s">
        <v>261</v>
      </c>
      <c r="B257">
        <v>0.99996721820229495</v>
      </c>
      <c r="C257">
        <v>0.81040932223823003</v>
      </c>
      <c r="D257">
        <v>0.70460006485391502</v>
      </c>
      <c r="E257">
        <v>0.614945479932547</v>
      </c>
      <c r="F257">
        <v>0.82249293535333001</v>
      </c>
      <c r="G257">
        <v>0.72670074957307695</v>
      </c>
      <c r="H257">
        <v>0.42999575350657199</v>
      </c>
      <c r="I257">
        <v>0.342620736075684</v>
      </c>
      <c r="J257">
        <v>0.38462292253133801</v>
      </c>
      <c r="K257">
        <v>0.24726668782033401</v>
      </c>
      <c r="L257">
        <v>306.17606258805301</v>
      </c>
      <c r="M257">
        <v>5.1357450841631502</v>
      </c>
      <c r="N257">
        <v>59.616698707579999</v>
      </c>
      <c r="O257">
        <v>52.352131495611403</v>
      </c>
      <c r="P257">
        <v>-2.4662080353023402E-2</v>
      </c>
      <c r="Q257">
        <v>0</v>
      </c>
      <c r="R257">
        <v>0.80712150564436003</v>
      </c>
      <c r="S257" t="s">
        <v>6083</v>
      </c>
      <c r="T257" t="s">
        <v>11650</v>
      </c>
      <c r="U257" t="s">
        <v>11650</v>
      </c>
      <c r="V257" t="s">
        <v>11650</v>
      </c>
      <c r="W257" t="s">
        <v>11904</v>
      </c>
      <c r="X257">
        <v>1</v>
      </c>
      <c r="Y257" t="s">
        <v>17667</v>
      </c>
      <c r="Z257" t="s">
        <v>23319</v>
      </c>
      <c r="AA257">
        <v>0.61419045972814668</v>
      </c>
      <c r="AB257" t="str">
        <f>HYPERLINK("Melting_Curves/meltCurve_C9IYC4_C3orf18.pdf", "Melting_Curves/meltCurve_C9IYC4_C3orf18.pdf")</f>
        <v>Melting_Curves/meltCurve_C9IYC4_C3orf18.pdf</v>
      </c>
    </row>
    <row r="258" spans="1:28" x14ac:dyDescent="0.25">
      <c r="A258" t="s">
        <v>262</v>
      </c>
      <c r="B258">
        <v>0.99996721820229495</v>
      </c>
      <c r="C258">
        <v>0.96292505171214904</v>
      </c>
      <c r="D258">
        <v>0.819358307910795</v>
      </c>
      <c r="E258">
        <v>0.21680270521440401</v>
      </c>
      <c r="F258">
        <v>0.177085011377107</v>
      </c>
      <c r="G258">
        <v>0.121680144645055</v>
      </c>
      <c r="H258">
        <v>8.7112718601204397E-2</v>
      </c>
      <c r="I258">
        <v>6.6628537314434494E-2</v>
      </c>
      <c r="J258">
        <v>5.91167038693661E-2</v>
      </c>
      <c r="K258">
        <v>4.8046848779086403E-2</v>
      </c>
      <c r="L258">
        <v>1653.4733569048699</v>
      </c>
      <c r="M258">
        <v>34.627386564218597</v>
      </c>
      <c r="N258">
        <v>48.006028598092797</v>
      </c>
      <c r="O258">
        <v>47.592044789417898</v>
      </c>
      <c r="P258">
        <v>-0.166585406492851</v>
      </c>
      <c r="Q258">
        <v>8.4180392457313194E-2</v>
      </c>
      <c r="R258">
        <v>0.99391120846626801</v>
      </c>
      <c r="S258" t="s">
        <v>6084</v>
      </c>
      <c r="T258" t="s">
        <v>11650</v>
      </c>
      <c r="U258" t="s">
        <v>11650</v>
      </c>
      <c r="V258" t="s">
        <v>11650</v>
      </c>
      <c r="W258" t="s">
        <v>11905</v>
      </c>
      <c r="X258">
        <v>4</v>
      </c>
      <c r="Y258" t="s">
        <v>17668</v>
      </c>
      <c r="Z258" t="s">
        <v>23320</v>
      </c>
      <c r="AA258">
        <v>0.32486048828842662</v>
      </c>
      <c r="AB258" t="str">
        <f>HYPERLINK("Melting_Curves/meltCurve_C9J0I9_ZC3HC1.pdf", "Melting_Curves/meltCurve_C9J0I9_ZC3HC1.pdf")</f>
        <v>Melting_Curves/meltCurve_C9J0I9_ZC3HC1.pdf</v>
      </c>
    </row>
    <row r="259" spans="1:28" x14ac:dyDescent="0.25">
      <c r="A259" t="s">
        <v>263</v>
      </c>
      <c r="B259">
        <v>0.99996721820229495</v>
      </c>
      <c r="C259">
        <v>0.92257460086619902</v>
      </c>
      <c r="D259">
        <v>0.94641896805773196</v>
      </c>
      <c r="E259">
        <v>1.3417349083044701</v>
      </c>
      <c r="F259">
        <v>1.78178158144805</v>
      </c>
      <c r="G259">
        <v>2.9928197297578301</v>
      </c>
      <c r="H259">
        <v>2.2158981123461299</v>
      </c>
      <c r="I259">
        <v>1.4025766543592499</v>
      </c>
      <c r="J259">
        <v>1.28357623780775</v>
      </c>
      <c r="K259">
        <v>1.09907708890397</v>
      </c>
      <c r="L259">
        <v>12461.5116090432</v>
      </c>
      <c r="M259">
        <v>250</v>
      </c>
      <c r="O259">
        <v>49.842856631648701</v>
      </c>
      <c r="P259">
        <v>0.62697048596129601</v>
      </c>
      <c r="Q259">
        <v>1.5</v>
      </c>
      <c r="R259">
        <v>0.22924365886890799</v>
      </c>
      <c r="S259" t="s">
        <v>6085</v>
      </c>
      <c r="T259" t="s">
        <v>11650</v>
      </c>
      <c r="U259" t="s">
        <v>11650</v>
      </c>
      <c r="V259" t="s">
        <v>11650</v>
      </c>
      <c r="W259" t="s">
        <v>11906</v>
      </c>
      <c r="X259">
        <v>2</v>
      </c>
      <c r="Y259" t="s">
        <v>17669</v>
      </c>
      <c r="Z259" t="s">
        <v>23321</v>
      </c>
      <c r="AA259">
        <v>1.3358554865459269</v>
      </c>
      <c r="AB259" t="str">
        <f>HYPERLINK("Melting_Curves/meltCurve_C9J0J0_CCDC126.pdf", "Melting_Curves/meltCurve_C9J0J0_CCDC126.pdf")</f>
        <v>Melting_Curves/meltCurve_C9J0J0_CCDC126.pdf</v>
      </c>
    </row>
    <row r="260" spans="1:28" x14ac:dyDescent="0.25">
      <c r="A260" t="s">
        <v>264</v>
      </c>
      <c r="B260">
        <v>0.99996721820229495</v>
      </c>
      <c r="C260">
        <v>0.85512963948570797</v>
      </c>
      <c r="D260">
        <v>0.78298349934414502</v>
      </c>
      <c r="E260">
        <v>0.62391955227997398</v>
      </c>
      <c r="F260">
        <v>0.32986501589075901</v>
      </c>
      <c r="G260">
        <v>0.30963897501654702</v>
      </c>
      <c r="H260">
        <v>0.17797201129003401</v>
      </c>
      <c r="I260">
        <v>8.6430208077413695E-2</v>
      </c>
      <c r="J260">
        <v>6.3598256909187897E-2</v>
      </c>
      <c r="K260">
        <v>5.6539409605573202E-2</v>
      </c>
      <c r="L260">
        <v>552.53691521221799</v>
      </c>
      <c r="M260">
        <v>10.753610194261</v>
      </c>
      <c r="N260">
        <v>51.381508803924099</v>
      </c>
      <c r="O260">
        <v>49.700344291423299</v>
      </c>
      <c r="P260">
        <v>-5.4112145650011302E-2</v>
      </c>
      <c r="Q260">
        <v>0</v>
      </c>
      <c r="R260">
        <v>0.98455618410657697</v>
      </c>
      <c r="S260" t="s">
        <v>6086</v>
      </c>
      <c r="T260" t="s">
        <v>11650</v>
      </c>
      <c r="U260" t="s">
        <v>11650</v>
      </c>
      <c r="V260" t="s">
        <v>11650</v>
      </c>
      <c r="W260" t="s">
        <v>11907</v>
      </c>
      <c r="X260">
        <v>11</v>
      </c>
      <c r="Y260" t="s">
        <v>17670</v>
      </c>
      <c r="Z260" t="s">
        <v>23322</v>
      </c>
      <c r="AA260">
        <v>0.41619118630412699</v>
      </c>
      <c r="AB260" t="str">
        <f>HYPERLINK("Melting_Curves/meltCurve_C9J0J7_PFN2.pdf", "Melting_Curves/meltCurve_C9J0J7_PFN2.pdf")</f>
        <v>Melting_Curves/meltCurve_C9J0J7_PFN2.pdf</v>
      </c>
    </row>
    <row r="261" spans="1:28" x14ac:dyDescent="0.25">
      <c r="A261" t="s">
        <v>265</v>
      </c>
      <c r="B261">
        <v>0.99996721820229495</v>
      </c>
      <c r="C261">
        <v>1.07792372674461</v>
      </c>
      <c r="D261">
        <v>1.0096626015750401</v>
      </c>
      <c r="E261">
        <v>0.93047756961130701</v>
      </c>
      <c r="F261">
        <v>0.95700639766875295</v>
      </c>
      <c r="G261">
        <v>0.66453091957244204</v>
      </c>
      <c r="H261">
        <v>0.22373980455065701</v>
      </c>
      <c r="I261">
        <v>0.151905206918347</v>
      </c>
      <c r="J261">
        <v>0.10437854869492801</v>
      </c>
      <c r="K261">
        <v>8.0387330601257301E-2</v>
      </c>
      <c r="L261">
        <v>1847.1623657303501</v>
      </c>
      <c r="M261">
        <v>31.899070714575</v>
      </c>
      <c r="N261">
        <v>58.264970134273597</v>
      </c>
      <c r="O261">
        <v>57.680315471840998</v>
      </c>
      <c r="P261">
        <v>-0.12593887180477201</v>
      </c>
      <c r="Q261">
        <v>8.9107453902694395E-2</v>
      </c>
      <c r="R261">
        <v>0.99324601043796201</v>
      </c>
      <c r="S261" t="s">
        <v>6087</v>
      </c>
      <c r="T261" t="s">
        <v>11650</v>
      </c>
      <c r="U261" t="s">
        <v>11650</v>
      </c>
      <c r="V261" t="s">
        <v>11650</v>
      </c>
      <c r="W261" t="s">
        <v>11908</v>
      </c>
      <c r="X261">
        <v>15</v>
      </c>
      <c r="Y261" t="s">
        <v>17671</v>
      </c>
      <c r="Z261" t="s">
        <v>23323</v>
      </c>
      <c r="AA261">
        <v>0.63821429503244231</v>
      </c>
      <c r="AB261" t="str">
        <f>HYPERLINK("Melting_Curves/meltCurve_C9J0K6_SRI.pdf", "Melting_Curves/meltCurve_C9J0K6_SRI.pdf")</f>
        <v>Melting_Curves/meltCurve_C9J0K6_SRI.pdf</v>
      </c>
    </row>
    <row r="262" spans="1:28" x14ac:dyDescent="0.25">
      <c r="A262" t="s">
        <v>266</v>
      </c>
      <c r="B262">
        <v>0.99996721820229495</v>
      </c>
      <c r="C262">
        <v>0.994353550683305</v>
      </c>
      <c r="D262">
        <v>1.0182069354179999</v>
      </c>
      <c r="E262">
        <v>1.1163468070915801</v>
      </c>
      <c r="F262">
        <v>1.4196581182065999</v>
      </c>
      <c r="G262">
        <v>1.1311015831698199</v>
      </c>
      <c r="H262">
        <v>0.48514452937665897</v>
      </c>
      <c r="I262">
        <v>0.16696378203826201</v>
      </c>
      <c r="J262">
        <v>0.18143904751472401</v>
      </c>
      <c r="K262">
        <v>0.133728013442942</v>
      </c>
      <c r="L262">
        <v>11460.341946296299</v>
      </c>
      <c r="M262">
        <v>188.33615641709901</v>
      </c>
      <c r="N262">
        <v>60.975973519152198</v>
      </c>
      <c r="O262">
        <v>60.843600294757103</v>
      </c>
      <c r="P262">
        <v>-0.64950853790378305</v>
      </c>
      <c r="Q262">
        <v>0.16068293186788701</v>
      </c>
      <c r="R262">
        <v>0.89749244349965396</v>
      </c>
      <c r="S262" t="s">
        <v>6088</v>
      </c>
      <c r="T262" t="s">
        <v>11650</v>
      </c>
      <c r="U262" t="s">
        <v>11650</v>
      </c>
      <c r="V262" t="s">
        <v>11650</v>
      </c>
      <c r="W262" t="s">
        <v>11909</v>
      </c>
      <c r="X262">
        <v>1</v>
      </c>
      <c r="Y262" t="s">
        <v>17672</v>
      </c>
      <c r="Z262" t="s">
        <v>23324</v>
      </c>
      <c r="AA262">
        <v>0.74417915322039829</v>
      </c>
      <c r="AB262" t="str">
        <f>HYPERLINK("Melting_Curves/meltCurve_C9J1D9_IL1RAP.pdf", "Melting_Curves/meltCurve_C9J1D9_IL1RAP.pdf")</f>
        <v>Melting_Curves/meltCurve_C9J1D9_IL1RAP.pdf</v>
      </c>
    </row>
    <row r="263" spans="1:28" x14ac:dyDescent="0.25">
      <c r="A263" t="s">
        <v>267</v>
      </c>
      <c r="B263">
        <v>0.99996721820229495</v>
      </c>
      <c r="C263">
        <v>1.04981634724492</v>
      </c>
      <c r="D263">
        <v>1.10106750891377</v>
      </c>
      <c r="E263">
        <v>1.1653503439385799</v>
      </c>
      <c r="F263">
        <v>1.52440342817559</v>
      </c>
      <c r="G263">
        <v>1.768314006597</v>
      </c>
      <c r="H263">
        <v>1.36467378481577</v>
      </c>
      <c r="I263">
        <v>0.88522760116525301</v>
      </c>
      <c r="J263">
        <v>0.64340202905861998</v>
      </c>
      <c r="K263">
        <v>0.80888912452502004</v>
      </c>
      <c r="L263">
        <v>15000</v>
      </c>
      <c r="M263">
        <v>234.04855504987799</v>
      </c>
      <c r="O263">
        <v>64.084586274700598</v>
      </c>
      <c r="P263">
        <v>-0.25004323981166199</v>
      </c>
      <c r="Q263">
        <v>0.72614370481962798</v>
      </c>
      <c r="R263">
        <v>-8.3766802103988295E-3</v>
      </c>
      <c r="S263" t="s">
        <v>6089</v>
      </c>
      <c r="T263" t="s">
        <v>11650</v>
      </c>
      <c r="U263" t="s">
        <v>11650</v>
      </c>
      <c r="V263" t="s">
        <v>11650</v>
      </c>
      <c r="W263" t="s">
        <v>11910</v>
      </c>
      <c r="X263">
        <v>9</v>
      </c>
      <c r="Y263" t="s">
        <v>17673</v>
      </c>
      <c r="Z263" t="s">
        <v>23325</v>
      </c>
      <c r="AA263">
        <v>0.94607875048157253</v>
      </c>
      <c r="AB263" t="str">
        <f>HYPERLINK("Melting_Curves/meltCurve_C9J1K8_MEGF9.pdf", "Melting_Curves/meltCurve_C9J1K8_MEGF9.pdf")</f>
        <v>Melting_Curves/meltCurve_C9J1K8_MEGF9.pdf</v>
      </c>
    </row>
    <row r="264" spans="1:28" x14ac:dyDescent="0.25">
      <c r="A264" t="s">
        <v>268</v>
      </c>
      <c r="B264">
        <v>0.99996721820229495</v>
      </c>
      <c r="C264">
        <v>0.81575706882238097</v>
      </c>
      <c r="D264">
        <v>0.75687195146113595</v>
      </c>
      <c r="E264">
        <v>1.0502901389045001</v>
      </c>
      <c r="F264">
        <v>1.2023394905621101</v>
      </c>
      <c r="G264">
        <v>1.0719817642098</v>
      </c>
      <c r="H264">
        <v>0.90755544995167003</v>
      </c>
      <c r="I264">
        <v>1.1044761985928999</v>
      </c>
      <c r="J264">
        <v>0.92753745452689096</v>
      </c>
      <c r="K264">
        <v>0.854229728987972</v>
      </c>
      <c r="L264">
        <v>15000</v>
      </c>
      <c r="M264">
        <v>223.86851155817601</v>
      </c>
      <c r="O264">
        <v>66.998266042786994</v>
      </c>
      <c r="P264">
        <v>-0.12178021426227199</v>
      </c>
      <c r="Q264">
        <v>0.85421685985337703</v>
      </c>
      <c r="R264">
        <v>9.5166662900426205E-2</v>
      </c>
      <c r="S264" t="s">
        <v>6090</v>
      </c>
      <c r="T264" t="s">
        <v>11650</v>
      </c>
      <c r="U264" t="s">
        <v>11650</v>
      </c>
      <c r="V264" t="s">
        <v>11650</v>
      </c>
      <c r="W264" t="s">
        <v>11911</v>
      </c>
      <c r="X264">
        <v>19</v>
      </c>
      <c r="Y264" t="s">
        <v>17674</v>
      </c>
      <c r="Z264" t="s">
        <v>23326</v>
      </c>
      <c r="AA264">
        <v>0.98546053146531443</v>
      </c>
      <c r="AB264" t="str">
        <f>HYPERLINK("Melting_Curves/meltCurve_C9J1R1_IKBKG.pdf", "Melting_Curves/meltCurve_C9J1R1_IKBKG.pdf")</f>
        <v>Melting_Curves/meltCurve_C9J1R1_IKBKG.pdf</v>
      </c>
    </row>
    <row r="265" spans="1:28" x14ac:dyDescent="0.25">
      <c r="A265" t="s">
        <v>269</v>
      </c>
      <c r="B265">
        <v>0.99996721820229495</v>
      </c>
      <c r="C265">
        <v>1.0985797131081001</v>
      </c>
      <c r="D265">
        <v>1.0153793184397699</v>
      </c>
      <c r="E265">
        <v>1.00549570394403</v>
      </c>
      <c r="F265">
        <v>0.99341856992495703</v>
      </c>
      <c r="G265">
        <v>0.70321096299200003</v>
      </c>
      <c r="H265">
        <v>0.29735801797260802</v>
      </c>
      <c r="I265">
        <v>0.169099347770895</v>
      </c>
      <c r="J265">
        <v>0.15141057877896</v>
      </c>
      <c r="K265">
        <v>9.8772517415913294E-2</v>
      </c>
      <c r="L265">
        <v>1853.51010520709</v>
      </c>
      <c r="M265">
        <v>31.7855977160295</v>
      </c>
      <c r="N265">
        <v>58.809474114978002</v>
      </c>
      <c r="O265">
        <v>58.083536185487098</v>
      </c>
      <c r="P265">
        <v>-0.120708332258801</v>
      </c>
      <c r="Q265">
        <v>0.117697211134109</v>
      </c>
      <c r="R265">
        <v>0.99259914577430497</v>
      </c>
      <c r="S265" t="s">
        <v>6091</v>
      </c>
      <c r="T265" t="s">
        <v>11650</v>
      </c>
      <c r="U265" t="s">
        <v>11650</v>
      </c>
      <c r="V265" t="s">
        <v>11650</v>
      </c>
      <c r="W265" t="s">
        <v>11912</v>
      </c>
      <c r="X265">
        <v>6</v>
      </c>
      <c r="Y265" t="s">
        <v>17675</v>
      </c>
      <c r="Z265" t="s">
        <v>23327</v>
      </c>
      <c r="AA265">
        <v>0.66152689226076222</v>
      </c>
      <c r="AB265" t="str">
        <f>HYPERLINK("Melting_Curves/meltCurve_C9J212_UBE2F.pdf", "Melting_Curves/meltCurve_C9J212_UBE2F.pdf")</f>
        <v>Melting_Curves/meltCurve_C9J212_UBE2F.pdf</v>
      </c>
    </row>
    <row r="266" spans="1:28" x14ac:dyDescent="0.25">
      <c r="A266" t="s">
        <v>270</v>
      </c>
      <c r="B266">
        <v>0.99996721820229495</v>
      </c>
      <c r="C266">
        <v>1.08486125287632</v>
      </c>
      <c r="D266">
        <v>0.97438393425492098</v>
      </c>
      <c r="E266">
        <v>0.55458781581433103</v>
      </c>
      <c r="F266">
        <v>0.46767793363886601</v>
      </c>
      <c r="G266">
        <v>0.47641268284958799</v>
      </c>
      <c r="H266">
        <v>0.37165468058065998</v>
      </c>
      <c r="I266">
        <v>0.204266137839097</v>
      </c>
      <c r="J266">
        <v>0.186782991076202</v>
      </c>
      <c r="K266">
        <v>0.13323313685603499</v>
      </c>
      <c r="L266">
        <v>713.37550864785896</v>
      </c>
      <c r="M266">
        <v>13.7854834734548</v>
      </c>
      <c r="N266">
        <v>53.477389712740298</v>
      </c>
      <c r="O266">
        <v>50.695830161906699</v>
      </c>
      <c r="P266">
        <v>-5.5764786439819601E-2</v>
      </c>
      <c r="Q266">
        <v>0.17981987672306901</v>
      </c>
      <c r="R266">
        <v>0.93162697918186999</v>
      </c>
      <c r="S266" t="s">
        <v>6092</v>
      </c>
      <c r="T266" t="s">
        <v>11650</v>
      </c>
      <c r="U266" t="s">
        <v>11650</v>
      </c>
      <c r="V266" t="s">
        <v>11650</v>
      </c>
      <c r="W266" t="s">
        <v>11913</v>
      </c>
      <c r="X266">
        <v>3</v>
      </c>
      <c r="Y266" t="s">
        <v>17676</v>
      </c>
      <c r="Z266" t="s">
        <v>23328</v>
      </c>
      <c r="AA266">
        <v>0.52203371305103718</v>
      </c>
      <c r="AB266" t="str">
        <f>HYPERLINK("Melting_Curves/meltCurve_C9J2P0_UBE2E1.pdf", "Melting_Curves/meltCurve_C9J2P0_UBE2E1.pdf")</f>
        <v>Melting_Curves/meltCurve_C9J2P0_UBE2E1.pdf</v>
      </c>
    </row>
    <row r="267" spans="1:28" x14ac:dyDescent="0.25">
      <c r="A267" t="s">
        <v>271</v>
      </c>
      <c r="B267">
        <v>0.99996721820229495</v>
      </c>
      <c r="C267">
        <v>1.04507056565488</v>
      </c>
      <c r="D267">
        <v>1.00407654435517</v>
      </c>
      <c r="E267">
        <v>0.99261786151668996</v>
      </c>
      <c r="F267">
        <v>0.59294318932446699</v>
      </c>
      <c r="G267">
        <v>0.48630452947587299</v>
      </c>
      <c r="H267">
        <v>0.33122393835818698</v>
      </c>
      <c r="I267">
        <v>0.19626691162589899</v>
      </c>
      <c r="J267">
        <v>0.15914721050584399</v>
      </c>
      <c r="K267">
        <v>0.109022669025824</v>
      </c>
      <c r="L267">
        <v>903.88102818465404</v>
      </c>
      <c r="M267">
        <v>16.264464723223998</v>
      </c>
      <c r="N267">
        <v>56.417666693259299</v>
      </c>
      <c r="O267">
        <v>54.754226924606101</v>
      </c>
      <c r="P267">
        <v>-6.6249455497770102E-2</v>
      </c>
      <c r="Q267">
        <v>0.107951958789317</v>
      </c>
      <c r="R267">
        <v>0.971702637352162</v>
      </c>
      <c r="S267" t="s">
        <v>6093</v>
      </c>
      <c r="T267" t="s">
        <v>11650</v>
      </c>
      <c r="U267" t="s">
        <v>11650</v>
      </c>
      <c r="V267" t="s">
        <v>11650</v>
      </c>
      <c r="W267" t="s">
        <v>11914</v>
      </c>
      <c r="X267">
        <v>5</v>
      </c>
      <c r="Y267" t="s">
        <v>17677</v>
      </c>
      <c r="Z267" t="s">
        <v>23329</v>
      </c>
      <c r="AA267">
        <v>0.58619246551163673</v>
      </c>
      <c r="AB267" t="str">
        <f>HYPERLINK("Melting_Curves/meltCurve_C9J2U4_TAMM41.pdf", "Melting_Curves/meltCurve_C9J2U4_TAMM41.pdf")</f>
        <v>Melting_Curves/meltCurve_C9J2U4_TAMM41.pdf</v>
      </c>
    </row>
    <row r="268" spans="1:28" x14ac:dyDescent="0.25">
      <c r="A268" t="s">
        <v>272</v>
      </c>
      <c r="B268">
        <v>0.99996721820229495</v>
      </c>
      <c r="C268">
        <v>0.84585094335870803</v>
      </c>
      <c r="D268">
        <v>0.71518274491397804</v>
      </c>
      <c r="E268">
        <v>0.758881524368614</v>
      </c>
      <c r="F268">
        <v>0.90268336176049802</v>
      </c>
      <c r="G268">
        <v>0.62061695599182198</v>
      </c>
      <c r="H268">
        <v>0.42025697760019998</v>
      </c>
      <c r="I268">
        <v>0.24948973623002199</v>
      </c>
      <c r="J268">
        <v>0.24755272810173001</v>
      </c>
      <c r="K268">
        <v>0.225391948740161</v>
      </c>
      <c r="L268">
        <v>464.06534203079798</v>
      </c>
      <c r="M268">
        <v>7.8931272169848796</v>
      </c>
      <c r="N268">
        <v>58.793597211311997</v>
      </c>
      <c r="O268">
        <v>55.378723658719302</v>
      </c>
      <c r="P268">
        <v>-3.5674863607957297E-2</v>
      </c>
      <c r="Q268">
        <v>0</v>
      </c>
      <c r="R268">
        <v>0.86994973874691905</v>
      </c>
      <c r="S268" t="s">
        <v>6094</v>
      </c>
      <c r="T268" t="s">
        <v>11650</v>
      </c>
      <c r="U268" t="s">
        <v>11650</v>
      </c>
      <c r="V268" t="s">
        <v>11650</v>
      </c>
      <c r="W268" t="s">
        <v>11915</v>
      </c>
      <c r="X268">
        <v>3</v>
      </c>
      <c r="Y268" t="s">
        <v>17678</v>
      </c>
      <c r="Z268" t="s">
        <v>23330</v>
      </c>
      <c r="AA268">
        <v>0.6223442590595758</v>
      </c>
      <c r="AB268" t="str">
        <f>HYPERLINK("Melting_Curves/meltCurve_C9J366_IQCJ_SCHIP1.pdf", "Melting_Curves/meltCurve_C9J366_IQCJ_SCHIP1.pdf")</f>
        <v>Melting_Curves/meltCurve_C9J366_IQCJ_SCHIP1.pdf</v>
      </c>
    </row>
    <row r="269" spans="1:28" x14ac:dyDescent="0.25">
      <c r="A269" t="s">
        <v>273</v>
      </c>
      <c r="B269">
        <v>0.99996721820229495</v>
      </c>
      <c r="C269">
        <v>0.99555595799066698</v>
      </c>
      <c r="D269">
        <v>0.97343628081389799</v>
      </c>
      <c r="E269">
        <v>0.90844402642881505</v>
      </c>
      <c r="F269">
        <v>0.70532391174598097</v>
      </c>
      <c r="G269">
        <v>0.58450727854594198</v>
      </c>
      <c r="H269">
        <v>0.292102945119666</v>
      </c>
      <c r="I269">
        <v>0.17939791866824101</v>
      </c>
      <c r="J269">
        <v>0.111626746445684</v>
      </c>
      <c r="K269">
        <v>7.0040299936665204E-2</v>
      </c>
      <c r="L269">
        <v>808.84587122242203</v>
      </c>
      <c r="M269">
        <v>14.08220974026</v>
      </c>
      <c r="N269">
        <v>57.437425417455998</v>
      </c>
      <c r="O269">
        <v>56.316378337020197</v>
      </c>
      <c r="P269">
        <v>-6.2521914272088502E-2</v>
      </c>
      <c r="Q269">
        <v>0</v>
      </c>
      <c r="R269">
        <v>0.99440103132575597</v>
      </c>
      <c r="S269" t="s">
        <v>6095</v>
      </c>
      <c r="T269" t="s">
        <v>11650</v>
      </c>
      <c r="U269" t="s">
        <v>11650</v>
      </c>
      <c r="V269" t="s">
        <v>11650</v>
      </c>
      <c r="W269" t="s">
        <v>11916</v>
      </c>
      <c r="X269">
        <v>9</v>
      </c>
      <c r="Y269" t="s">
        <v>17679</v>
      </c>
      <c r="Z269" t="s">
        <v>23331</v>
      </c>
      <c r="AA269">
        <v>0.59639562063064688</v>
      </c>
      <c r="AB269" t="str">
        <f>HYPERLINK("Melting_Curves/meltCurve_C9J5C3_PDCD10.pdf", "Melting_Curves/meltCurve_C9J5C3_PDCD10.pdf")</f>
        <v>Melting_Curves/meltCurve_C9J5C3_PDCD10.pdf</v>
      </c>
    </row>
    <row r="270" spans="1:28" x14ac:dyDescent="0.25">
      <c r="A270" t="s">
        <v>274</v>
      </c>
      <c r="B270">
        <v>0.99996721820229495</v>
      </c>
      <c r="C270">
        <v>0.87466951861694997</v>
      </c>
      <c r="D270">
        <v>0.45610136723175798</v>
      </c>
      <c r="E270">
        <v>0.48689859033356397</v>
      </c>
      <c r="F270">
        <v>1.08931103935174</v>
      </c>
      <c r="G270">
        <v>1.2328128661790201</v>
      </c>
      <c r="H270">
        <v>0.92841687120757099</v>
      </c>
      <c r="I270">
        <v>1.0449731269259599</v>
      </c>
      <c r="J270">
        <v>1.69914922148235</v>
      </c>
      <c r="K270">
        <v>0.68537063087570704</v>
      </c>
      <c r="L270">
        <v>13190.086777381201</v>
      </c>
      <c r="M270">
        <v>250</v>
      </c>
      <c r="O270">
        <v>52.756970790550398</v>
      </c>
      <c r="P270">
        <v>0.13996360209171799</v>
      </c>
      <c r="Q270">
        <v>1.1181448905532401</v>
      </c>
      <c r="R270">
        <v>4.3534877604373003E-2</v>
      </c>
      <c r="S270" t="s">
        <v>6096</v>
      </c>
      <c r="T270" t="s">
        <v>11650</v>
      </c>
      <c r="U270" t="s">
        <v>11650</v>
      </c>
      <c r="V270" t="s">
        <v>11650</v>
      </c>
      <c r="W270" t="s">
        <v>11917</v>
      </c>
      <c r="X270">
        <v>8</v>
      </c>
      <c r="Y270" t="s">
        <v>17680</v>
      </c>
      <c r="Z270" t="s">
        <v>23332</v>
      </c>
      <c r="AA270">
        <v>1.0678816240047091</v>
      </c>
      <c r="AB270" t="str">
        <f>HYPERLINK("Melting_Curves/meltCurve_C9J6A7_RPE.pdf", "Melting_Curves/meltCurve_C9J6A7_RPE.pdf")</f>
        <v>Melting_Curves/meltCurve_C9J6A7_RPE.pdf</v>
      </c>
    </row>
    <row r="271" spans="1:28" x14ac:dyDescent="0.25">
      <c r="A271" t="s">
        <v>275</v>
      </c>
      <c r="B271">
        <v>0.99996721820229495</v>
      </c>
      <c r="C271">
        <v>0.79855759949808902</v>
      </c>
      <c r="D271">
        <v>0.85090293021296604</v>
      </c>
      <c r="E271">
        <v>1.06977922740084</v>
      </c>
      <c r="F271">
        <v>1.32370810332339</v>
      </c>
      <c r="G271">
        <v>1.1405026117131201</v>
      </c>
      <c r="H271">
        <v>0.56889023570860398</v>
      </c>
      <c r="I271">
        <v>0.17713469455014</v>
      </c>
      <c r="J271">
        <v>0</v>
      </c>
      <c r="K271">
        <v>4.6723829640538797E-2</v>
      </c>
      <c r="L271">
        <v>3395.8803158097799</v>
      </c>
      <c r="M271">
        <v>55.355763638872801</v>
      </c>
      <c r="N271">
        <v>61.433624832080802</v>
      </c>
      <c r="O271">
        <v>61.266557060395002</v>
      </c>
      <c r="P271">
        <v>-0.21735020144009901</v>
      </c>
      <c r="Q271">
        <v>3.7766614176667802E-2</v>
      </c>
      <c r="R271">
        <v>0.90148310714050695</v>
      </c>
      <c r="S271" t="s">
        <v>6097</v>
      </c>
      <c r="T271" t="s">
        <v>11650</v>
      </c>
      <c r="U271" t="s">
        <v>11650</v>
      </c>
      <c r="V271" t="s">
        <v>11650</v>
      </c>
      <c r="W271" t="s">
        <v>11918</v>
      </c>
      <c r="X271">
        <v>6</v>
      </c>
      <c r="Y271" t="s">
        <v>17681</v>
      </c>
      <c r="Z271" t="s">
        <v>23333</v>
      </c>
      <c r="AA271">
        <v>0.72451323312262317</v>
      </c>
      <c r="AB271" t="str">
        <f>HYPERLINK("Melting_Curves/meltCurve_C9J6N9_UFD1L.pdf", "Melting_Curves/meltCurve_C9J6N9_UFD1L.pdf")</f>
        <v>Melting_Curves/meltCurve_C9J6N9_UFD1L.pdf</v>
      </c>
    </row>
    <row r="272" spans="1:28" x14ac:dyDescent="0.25">
      <c r="A272" t="s">
        <v>276</v>
      </c>
      <c r="B272">
        <v>0.99996721820229495</v>
      </c>
      <c r="C272">
        <v>0.93256663691929298</v>
      </c>
      <c r="D272">
        <v>0.82618797173458203</v>
      </c>
      <c r="E272">
        <v>0.63590969853951596</v>
      </c>
      <c r="F272">
        <v>0.47437917233999199</v>
      </c>
      <c r="G272">
        <v>0.44064064207211601</v>
      </c>
      <c r="H272">
        <v>0.22006407296849201</v>
      </c>
      <c r="I272">
        <v>0.143759926823636</v>
      </c>
      <c r="J272">
        <v>8.0530495266144295E-2</v>
      </c>
      <c r="K272">
        <v>6.8319848827012697E-2</v>
      </c>
      <c r="L272">
        <v>534.42185178911905</v>
      </c>
      <c r="M272">
        <v>10.019224244961899</v>
      </c>
      <c r="N272">
        <v>53.339642842356398</v>
      </c>
      <c r="O272">
        <v>51.345403556436999</v>
      </c>
      <c r="P272">
        <v>-4.8807006410371001E-2</v>
      </c>
      <c r="Q272">
        <v>0</v>
      </c>
      <c r="R272">
        <v>0.98704664922135699</v>
      </c>
      <c r="S272" t="s">
        <v>6098</v>
      </c>
      <c r="T272" t="s">
        <v>11650</v>
      </c>
      <c r="U272" t="s">
        <v>11650</v>
      </c>
      <c r="V272" t="s">
        <v>11650</v>
      </c>
      <c r="W272" t="s">
        <v>11919</v>
      </c>
      <c r="X272">
        <v>2</v>
      </c>
      <c r="Y272" t="s">
        <v>17682</v>
      </c>
      <c r="Z272" t="s">
        <v>23334</v>
      </c>
      <c r="AA272">
        <v>0.47748599124853791</v>
      </c>
      <c r="AB272" t="str">
        <f>HYPERLINK("Melting_Curves/meltCurve_C9J6Q8_TMEM98.pdf", "Melting_Curves/meltCurve_C9J6Q8_TMEM98.pdf")</f>
        <v>Melting_Curves/meltCurve_C9J6Q8_TMEM98.pdf</v>
      </c>
    </row>
    <row r="273" spans="1:28" x14ac:dyDescent="0.25">
      <c r="A273" t="s">
        <v>277</v>
      </c>
      <c r="B273">
        <v>0.99996721820229495</v>
      </c>
      <c r="C273">
        <v>0.75320341005065095</v>
      </c>
      <c r="D273">
        <v>0.82318800399136705</v>
      </c>
      <c r="E273">
        <v>0.62909313044605797</v>
      </c>
      <c r="F273">
        <v>0.54819148834484299</v>
      </c>
      <c r="G273">
        <v>0.15365360997414099</v>
      </c>
      <c r="H273">
        <v>5.9215522303872302E-2</v>
      </c>
      <c r="I273">
        <v>0</v>
      </c>
      <c r="J273">
        <v>0</v>
      </c>
      <c r="K273">
        <v>2.7335567442605499E-2</v>
      </c>
      <c r="L273">
        <v>707.77352710495904</v>
      </c>
      <c r="M273">
        <v>13.686395153687</v>
      </c>
      <c r="N273">
        <v>51.713655742560398</v>
      </c>
      <c r="O273">
        <v>50.647113375089802</v>
      </c>
      <c r="P273">
        <v>-6.7567392580224803E-2</v>
      </c>
      <c r="Q273">
        <v>0</v>
      </c>
      <c r="R273">
        <v>0.95089402782047106</v>
      </c>
      <c r="S273" t="s">
        <v>6099</v>
      </c>
      <c r="T273" t="s">
        <v>11650</v>
      </c>
      <c r="U273" t="s">
        <v>11650</v>
      </c>
      <c r="V273" t="s">
        <v>11650</v>
      </c>
      <c r="W273" t="s">
        <v>11907</v>
      </c>
      <c r="X273">
        <v>8</v>
      </c>
      <c r="Y273" t="s">
        <v>17670</v>
      </c>
      <c r="Z273" t="s">
        <v>23335</v>
      </c>
      <c r="AA273">
        <v>0.41640133106152138</v>
      </c>
      <c r="AB273" t="str">
        <f>HYPERLINK("Melting_Curves/meltCurve_C9J712_PFN2.pdf", "Melting_Curves/meltCurve_C9J712_PFN2.pdf")</f>
        <v>Melting_Curves/meltCurve_C9J712_PFN2.pdf</v>
      </c>
    </row>
    <row r="274" spans="1:28" x14ac:dyDescent="0.25">
      <c r="A274" t="s">
        <v>278</v>
      </c>
      <c r="B274">
        <v>0.99996721820229495</v>
      </c>
      <c r="C274">
        <v>0.69857443491478999</v>
      </c>
      <c r="D274">
        <v>0.71733740793275402</v>
      </c>
      <c r="E274">
        <v>0.97843757453985203</v>
      </c>
      <c r="F274">
        <v>0.83262991279782805</v>
      </c>
      <c r="G274">
        <v>0.53650525507972802</v>
      </c>
      <c r="H274">
        <v>0.34578357737177401</v>
      </c>
      <c r="I274">
        <v>0.22929377005312199</v>
      </c>
      <c r="J274">
        <v>9.3724225723911606E-2</v>
      </c>
      <c r="K274">
        <v>0.12487122498307</v>
      </c>
      <c r="L274">
        <v>733.62162477120899</v>
      </c>
      <c r="M274">
        <v>12.659893546326099</v>
      </c>
      <c r="N274">
        <v>57.948482921878302</v>
      </c>
      <c r="O274">
        <v>56.559655845776902</v>
      </c>
      <c r="P274">
        <v>-5.5969106925284402E-2</v>
      </c>
      <c r="Q274">
        <v>0</v>
      </c>
      <c r="R274">
        <v>0.84467760215152599</v>
      </c>
      <c r="S274" t="s">
        <v>6100</v>
      </c>
      <c r="T274" t="s">
        <v>11650</v>
      </c>
      <c r="U274" t="s">
        <v>11650</v>
      </c>
      <c r="V274" t="s">
        <v>11650</v>
      </c>
      <c r="W274" t="s">
        <v>11920</v>
      </c>
      <c r="X274">
        <v>1</v>
      </c>
      <c r="Y274" t="s">
        <v>17683</v>
      </c>
      <c r="Z274" t="s">
        <v>23336</v>
      </c>
      <c r="AA274">
        <v>0.61161411561210888</v>
      </c>
      <c r="AB274" t="str">
        <f>HYPERLINK("Melting_Curves/meltCurve_C9J719_EBP.pdf", "Melting_Curves/meltCurve_C9J719_EBP.pdf")</f>
        <v>Melting_Curves/meltCurve_C9J719_EBP.pdf</v>
      </c>
    </row>
    <row r="275" spans="1:28" x14ac:dyDescent="0.25">
      <c r="A275" t="s">
        <v>279</v>
      </c>
      <c r="B275">
        <v>0.99996721820229495</v>
      </c>
      <c r="C275">
        <v>0.97536879681154798</v>
      </c>
      <c r="D275">
        <v>0.793741839154263</v>
      </c>
      <c r="E275">
        <v>1.30325941796786</v>
      </c>
      <c r="F275">
        <v>0.39751723192333799</v>
      </c>
      <c r="G275">
        <v>0.32879255812711999</v>
      </c>
      <c r="H275">
        <v>0.21558499481502699</v>
      </c>
      <c r="I275">
        <v>0.14502562734706101</v>
      </c>
      <c r="J275">
        <v>0.154864798309827</v>
      </c>
      <c r="K275">
        <v>0.15263603653167299</v>
      </c>
      <c r="L275">
        <v>13191.0591932836</v>
      </c>
      <c r="M275">
        <v>250</v>
      </c>
      <c r="N275">
        <v>52.871815526360898</v>
      </c>
      <c r="O275">
        <v>52.760860202093703</v>
      </c>
      <c r="P275">
        <v>-0.94840592057364803</v>
      </c>
      <c r="Q275">
        <v>0.19938060574515501</v>
      </c>
      <c r="R275">
        <v>0.90476562288879003</v>
      </c>
      <c r="S275" t="s">
        <v>6101</v>
      </c>
      <c r="T275" t="s">
        <v>11650</v>
      </c>
      <c r="U275" t="s">
        <v>11650</v>
      </c>
      <c r="V275" t="s">
        <v>11650</v>
      </c>
      <c r="W275" t="s">
        <v>11921</v>
      </c>
      <c r="X275">
        <v>3</v>
      </c>
      <c r="Y275" t="s">
        <v>17684</v>
      </c>
      <c r="Z275" t="s">
        <v>23337</v>
      </c>
      <c r="AA275">
        <v>0.54009792721387084</v>
      </c>
      <c r="AB275" t="str">
        <f>HYPERLINK("Melting_Curves/meltCurve_C9J7I2_C16orf62.pdf", "Melting_Curves/meltCurve_C9J7I2_C16orf62.pdf")</f>
        <v>Melting_Curves/meltCurve_C9J7I2_C16orf62.pdf</v>
      </c>
    </row>
    <row r="276" spans="1:28" x14ac:dyDescent="0.25">
      <c r="A276" t="s">
        <v>280</v>
      </c>
      <c r="B276">
        <v>0.99996721820229495</v>
      </c>
      <c r="C276">
        <v>1.02178322898074</v>
      </c>
      <c r="D276">
        <v>1.1470522626569799</v>
      </c>
      <c r="E276">
        <v>1.20036110856933</v>
      </c>
      <c r="F276">
        <v>1.46203581482705</v>
      </c>
      <c r="G276">
        <v>1.5408269675014901</v>
      </c>
      <c r="H276">
        <v>0.93334051340463997</v>
      </c>
      <c r="I276">
        <v>0.36553364009914502</v>
      </c>
      <c r="J276">
        <v>0.22014194520671701</v>
      </c>
      <c r="K276">
        <v>0.148753772811553</v>
      </c>
      <c r="L276">
        <v>4791.4116395820902</v>
      </c>
      <c r="M276">
        <v>76.078527685841493</v>
      </c>
      <c r="N276">
        <v>63.349258404557098</v>
      </c>
      <c r="O276">
        <v>62.936340775831702</v>
      </c>
      <c r="P276">
        <v>-0.24806016868481701</v>
      </c>
      <c r="Q276">
        <v>0.17916409275793199</v>
      </c>
      <c r="R276">
        <v>0.74251573704431495</v>
      </c>
      <c r="S276" t="s">
        <v>6102</v>
      </c>
      <c r="T276" t="s">
        <v>11650</v>
      </c>
      <c r="U276" t="s">
        <v>11650</v>
      </c>
      <c r="V276" t="s">
        <v>11650</v>
      </c>
      <c r="W276" t="s">
        <v>11922</v>
      </c>
      <c r="X276">
        <v>5</v>
      </c>
      <c r="Y276" t="s">
        <v>17685</v>
      </c>
      <c r="Z276" t="s">
        <v>23338</v>
      </c>
      <c r="AA276">
        <v>0.80888716602576161</v>
      </c>
      <c r="AB276" t="str">
        <f>HYPERLINK("Melting_Curves/meltCurve_C9J7K9_PLSCR1.pdf", "Melting_Curves/meltCurve_C9J7K9_PLSCR1.pdf")</f>
        <v>Melting_Curves/meltCurve_C9J7K9_PLSCR1.pdf</v>
      </c>
    </row>
    <row r="277" spans="1:28" x14ac:dyDescent="0.25">
      <c r="A277" t="s">
        <v>281</v>
      </c>
      <c r="B277">
        <v>0.99996721820229495</v>
      </c>
      <c r="C277">
        <v>0.879766679762926</v>
      </c>
      <c r="D277">
        <v>0.78604000935499097</v>
      </c>
      <c r="E277">
        <v>0.78506928252533703</v>
      </c>
      <c r="F277">
        <v>0.60448370034292698</v>
      </c>
      <c r="G277">
        <v>0.42466869358610798</v>
      </c>
      <c r="H277">
        <v>0.34631006554209698</v>
      </c>
      <c r="I277">
        <v>0.21750499162307399</v>
      </c>
      <c r="J277">
        <v>0.14487224436419099</v>
      </c>
      <c r="K277">
        <v>0.103692794686808</v>
      </c>
      <c r="L277">
        <v>494.90394973561098</v>
      </c>
      <c r="M277">
        <v>8.9439479910332</v>
      </c>
      <c r="N277">
        <v>55.3339476195789</v>
      </c>
      <c r="O277">
        <v>52.777556626810998</v>
      </c>
      <c r="P277">
        <v>-4.2397750402224203E-2</v>
      </c>
      <c r="Q277">
        <v>0</v>
      </c>
      <c r="R277">
        <v>0.98230513273516595</v>
      </c>
      <c r="S277" t="s">
        <v>6103</v>
      </c>
      <c r="T277" t="s">
        <v>11650</v>
      </c>
      <c r="U277" t="s">
        <v>11650</v>
      </c>
      <c r="V277" t="s">
        <v>11650</v>
      </c>
      <c r="W277" t="s">
        <v>11923</v>
      </c>
      <c r="X277">
        <v>2</v>
      </c>
      <c r="Y277" t="s">
        <v>17686</v>
      </c>
      <c r="Z277" t="s">
        <v>23339</v>
      </c>
      <c r="AA277">
        <v>0.53593853094077426</v>
      </c>
      <c r="AB277" t="str">
        <f>HYPERLINK("Melting_Curves/meltCurve_C9J8B8_HDAC10.pdf", "Melting_Curves/meltCurve_C9J8B8_HDAC10.pdf")</f>
        <v>Melting_Curves/meltCurve_C9J8B8_HDAC10.pdf</v>
      </c>
    </row>
    <row r="278" spans="1:28" x14ac:dyDescent="0.25">
      <c r="A278" t="s">
        <v>282</v>
      </c>
      <c r="B278">
        <v>0.99996721820229495</v>
      </c>
      <c r="C278">
        <v>1.05923176220341</v>
      </c>
      <c r="D278">
        <v>0.90074430524342797</v>
      </c>
      <c r="E278">
        <v>0.55752954899069895</v>
      </c>
      <c r="F278">
        <v>0.33960102863451103</v>
      </c>
      <c r="G278">
        <v>0.25856769651154798</v>
      </c>
      <c r="H278">
        <v>0.10964520149324</v>
      </c>
      <c r="I278">
        <v>6.4616428449228699E-2</v>
      </c>
      <c r="J278">
        <v>3.9006966083632098E-2</v>
      </c>
      <c r="K278">
        <v>3.2532433292113902E-2</v>
      </c>
      <c r="L278">
        <v>904.47404564979604</v>
      </c>
      <c r="M278">
        <v>17.773892359755902</v>
      </c>
      <c r="N278">
        <v>51.193056545104398</v>
      </c>
      <c r="O278">
        <v>50.256747311021499</v>
      </c>
      <c r="P278">
        <v>-8.3974193898362803E-2</v>
      </c>
      <c r="Q278">
        <v>5.0281256572182097E-2</v>
      </c>
      <c r="R278">
        <v>0.98678549879212796</v>
      </c>
      <c r="S278" t="s">
        <v>6104</v>
      </c>
      <c r="T278" t="s">
        <v>11650</v>
      </c>
      <c r="U278" t="s">
        <v>11650</v>
      </c>
      <c r="V278" t="s">
        <v>11650</v>
      </c>
      <c r="W278" t="s">
        <v>11924</v>
      </c>
      <c r="X278">
        <v>16</v>
      </c>
      <c r="Y278" t="s">
        <v>17687</v>
      </c>
      <c r="Z278" t="s">
        <v>23340</v>
      </c>
      <c r="AA278">
        <v>0.41135300351989912</v>
      </c>
      <c r="AB278" t="str">
        <f>HYPERLINK("Melting_Curves/meltCurve_C9J9K3_RPSA.pdf", "Melting_Curves/meltCurve_C9J9K3_RPSA.pdf")</f>
        <v>Melting_Curves/meltCurve_C9J9K3_RPSA.pdf</v>
      </c>
    </row>
    <row r="279" spans="1:28" x14ac:dyDescent="0.25">
      <c r="A279" t="s">
        <v>283</v>
      </c>
      <c r="B279">
        <v>0.99996721820229495</v>
      </c>
      <c r="C279">
        <v>0.99130673562914395</v>
      </c>
      <c r="D279">
        <v>0.78192846665093396</v>
      </c>
      <c r="E279">
        <v>0.46930086298371498</v>
      </c>
      <c r="F279">
        <v>0.30882361180116402</v>
      </c>
      <c r="G279">
        <v>0.26195474669699398</v>
      </c>
      <c r="H279">
        <v>0.16834786608462601</v>
      </c>
      <c r="I279">
        <v>0.12681788222023299</v>
      </c>
      <c r="J279">
        <v>8.25457615506454E-2</v>
      </c>
      <c r="K279">
        <v>7.3321785311975404E-2</v>
      </c>
      <c r="L279">
        <v>816.90086293158197</v>
      </c>
      <c r="M279">
        <v>16.568589512770899</v>
      </c>
      <c r="N279">
        <v>50.013666298132698</v>
      </c>
      <c r="O279">
        <v>48.602752945092597</v>
      </c>
      <c r="P279">
        <v>-7.6304285993237297E-2</v>
      </c>
      <c r="Q279">
        <v>0.104728950558213</v>
      </c>
      <c r="R279">
        <v>0.98881685088628402</v>
      </c>
      <c r="S279" t="s">
        <v>6105</v>
      </c>
      <c r="T279" t="s">
        <v>11650</v>
      </c>
      <c r="U279" t="s">
        <v>11650</v>
      </c>
      <c r="V279" t="s">
        <v>11650</v>
      </c>
      <c r="W279" t="s">
        <v>11925</v>
      </c>
      <c r="X279">
        <v>13</v>
      </c>
      <c r="Y279" t="s">
        <v>17688</v>
      </c>
      <c r="Z279" t="s">
        <v>23341</v>
      </c>
      <c r="AA279">
        <v>0.40050572631658371</v>
      </c>
      <c r="AB279" t="str">
        <f>HYPERLINK("Melting_Curves/meltCurve_C9JA08_NMD3.pdf", "Melting_Curves/meltCurve_C9JA08_NMD3.pdf")</f>
        <v>Melting_Curves/meltCurve_C9JA08_NMD3.pdf</v>
      </c>
    </row>
    <row r="280" spans="1:28" x14ac:dyDescent="0.25">
      <c r="A280" t="s">
        <v>284</v>
      </c>
      <c r="B280">
        <v>0.99996721820229495</v>
      </c>
      <c r="C280">
        <v>0.78794044963336296</v>
      </c>
      <c r="D280">
        <v>0.93140802738285999</v>
      </c>
      <c r="E280">
        <v>1.13439048290752</v>
      </c>
      <c r="F280">
        <v>1.6435839085481401</v>
      </c>
      <c r="G280">
        <v>1.69059132436273</v>
      </c>
      <c r="H280">
        <v>1.03669952619698</v>
      </c>
      <c r="I280">
        <v>0.420077526605102</v>
      </c>
      <c r="J280">
        <v>0.26109122421508402</v>
      </c>
      <c r="K280">
        <v>0.30322124349832302</v>
      </c>
      <c r="L280">
        <v>15000</v>
      </c>
      <c r="M280">
        <v>235.81109391171</v>
      </c>
      <c r="N280">
        <v>63.835141610518797</v>
      </c>
      <c r="O280">
        <v>63.605663330544999</v>
      </c>
      <c r="P280">
        <v>-0.66533673102211799</v>
      </c>
      <c r="Q280">
        <v>0.28215108869920102</v>
      </c>
      <c r="R280">
        <v>0.57575762905068895</v>
      </c>
      <c r="S280" t="s">
        <v>6106</v>
      </c>
      <c r="T280" t="s">
        <v>11650</v>
      </c>
      <c r="U280" t="s">
        <v>11650</v>
      </c>
      <c r="V280" t="s">
        <v>11650</v>
      </c>
      <c r="W280" t="s">
        <v>11926</v>
      </c>
      <c r="X280">
        <v>5</v>
      </c>
      <c r="Y280" t="s">
        <v>17689</v>
      </c>
      <c r="Z280" t="s">
        <v>23342</v>
      </c>
      <c r="AA280">
        <v>0.8471939698837132</v>
      </c>
      <c r="AB280" t="str">
        <f>HYPERLINK("Melting_Curves/meltCurve_C9JA28_SSR3.pdf", "Melting_Curves/meltCurve_C9JA28_SSR3.pdf")</f>
        <v>Melting_Curves/meltCurve_C9JA28_SSR3.pdf</v>
      </c>
    </row>
    <row r="281" spans="1:28" x14ac:dyDescent="0.25">
      <c r="A281" t="s">
        <v>285</v>
      </c>
      <c r="B281">
        <v>0.99996721820229495</v>
      </c>
      <c r="C281">
        <v>0.96326721655757097</v>
      </c>
      <c r="D281">
        <v>0.95335384668291201</v>
      </c>
      <c r="E281">
        <v>1.14943631087738</v>
      </c>
      <c r="F281">
        <v>1.6876777426371701</v>
      </c>
      <c r="G281">
        <v>1.1081293154206999</v>
      </c>
      <c r="H281">
        <v>0.66454856485297897</v>
      </c>
      <c r="I281">
        <v>0.67569304099559702</v>
      </c>
      <c r="J281">
        <v>0.80225335136501796</v>
      </c>
      <c r="K281">
        <v>1.0016715627264701</v>
      </c>
      <c r="L281">
        <v>14731.607335278701</v>
      </c>
      <c r="M281">
        <v>250</v>
      </c>
      <c r="O281">
        <v>58.922658459156203</v>
      </c>
      <c r="P281">
        <v>-0.226947171810957</v>
      </c>
      <c r="Q281">
        <v>0.78604270923236197</v>
      </c>
      <c r="R281">
        <v>0.23862826875763499</v>
      </c>
      <c r="S281" t="s">
        <v>6107</v>
      </c>
      <c r="T281" t="s">
        <v>11650</v>
      </c>
      <c r="U281" t="s">
        <v>11650</v>
      </c>
      <c r="V281" t="s">
        <v>11650</v>
      </c>
      <c r="W281" t="s">
        <v>11927</v>
      </c>
      <c r="X281">
        <v>12</v>
      </c>
      <c r="Y281" t="s">
        <v>17690</v>
      </c>
      <c r="Z281" t="s">
        <v>23343</v>
      </c>
      <c r="AA281">
        <v>0.92104642047607432</v>
      </c>
      <c r="AB281" t="str">
        <f>HYPERLINK("Melting_Curves/meltCurve_C9JAB2_SRSF7.pdf", "Melting_Curves/meltCurve_C9JAB2_SRSF7.pdf")</f>
        <v>Melting_Curves/meltCurve_C9JAB2_SRSF7.pdf</v>
      </c>
    </row>
    <row r="282" spans="1:28" x14ac:dyDescent="0.25">
      <c r="A282" t="s">
        <v>286</v>
      </c>
      <c r="B282">
        <v>0.99996721820229495</v>
      </c>
      <c r="C282">
        <v>0.97289179917980595</v>
      </c>
      <c r="D282">
        <v>0.90668824816235605</v>
      </c>
      <c r="E282">
        <v>0.88525808012770002</v>
      </c>
      <c r="F282">
        <v>0.96172558538860298</v>
      </c>
      <c r="G282">
        <v>0.75085728855066103</v>
      </c>
      <c r="H282">
        <v>0.52162779114462798</v>
      </c>
      <c r="I282">
        <v>0.52429556394907695</v>
      </c>
      <c r="J282">
        <v>0.44691322507289999</v>
      </c>
      <c r="K282">
        <v>0.36618945189646701</v>
      </c>
      <c r="L282">
        <v>776.46655965725301</v>
      </c>
      <c r="M282">
        <v>13.0785779086762</v>
      </c>
      <c r="N282">
        <v>63.737527389899498</v>
      </c>
      <c r="O282">
        <v>58.032777682103401</v>
      </c>
      <c r="P282">
        <v>-3.9673002340762799E-2</v>
      </c>
      <c r="Q282">
        <v>0.29596710420292899</v>
      </c>
      <c r="R282">
        <v>0.95748185515467799</v>
      </c>
      <c r="S282" t="s">
        <v>6108</v>
      </c>
      <c r="T282" t="s">
        <v>11650</v>
      </c>
      <c r="U282" t="s">
        <v>11650</v>
      </c>
      <c r="V282" t="s">
        <v>11650</v>
      </c>
      <c r="W282" t="s">
        <v>11928</v>
      </c>
      <c r="X282">
        <v>13</v>
      </c>
      <c r="Y282" t="s">
        <v>17691</v>
      </c>
      <c r="Z282" t="s">
        <v>23344</v>
      </c>
      <c r="AA282">
        <v>0.75587746394773225</v>
      </c>
      <c r="AB282" t="str">
        <f>HYPERLINK("Melting_Curves/meltCurve_C9JB13_BSDC1.pdf", "Melting_Curves/meltCurve_C9JB13_BSDC1.pdf")</f>
        <v>Melting_Curves/meltCurve_C9JB13_BSDC1.pdf</v>
      </c>
    </row>
    <row r="283" spans="1:28" x14ac:dyDescent="0.25">
      <c r="A283" t="s">
        <v>287</v>
      </c>
      <c r="B283">
        <v>0.99996721820229495</v>
      </c>
      <c r="C283">
        <v>1.17997497078142</v>
      </c>
      <c r="D283">
        <v>1.2479423730232999</v>
      </c>
      <c r="E283">
        <v>1.50656383704289</v>
      </c>
      <c r="F283">
        <v>1.8245968819349601</v>
      </c>
      <c r="G283">
        <v>2.7784978195113901</v>
      </c>
      <c r="H283">
        <v>2.4324955344286399</v>
      </c>
      <c r="I283">
        <v>1.6245635926138799</v>
      </c>
      <c r="J283">
        <v>1.19039518025383</v>
      </c>
      <c r="K283">
        <v>1.3921730205779499</v>
      </c>
      <c r="L283">
        <v>1385.7499681525801</v>
      </c>
      <c r="M283">
        <v>30.830589026334199</v>
      </c>
      <c r="O283">
        <v>44.759425962793003</v>
      </c>
      <c r="P283">
        <v>8.6101358366156705E-2</v>
      </c>
      <c r="Q283">
        <v>1.5</v>
      </c>
      <c r="R283">
        <v>8.51781110122279E-2</v>
      </c>
      <c r="S283" t="s">
        <v>6109</v>
      </c>
      <c r="T283" t="s">
        <v>11650</v>
      </c>
      <c r="U283" t="s">
        <v>11650</v>
      </c>
      <c r="V283" t="s">
        <v>11650</v>
      </c>
      <c r="W283" t="s">
        <v>11929</v>
      </c>
      <c r="X283">
        <v>2</v>
      </c>
      <c r="Y283" t="s">
        <v>17692</v>
      </c>
      <c r="Z283" t="s">
        <v>23345</v>
      </c>
      <c r="AA283">
        <v>1.414517473139244</v>
      </c>
      <c r="AB283" t="str">
        <f>HYPERLINK("Melting_Curves/meltCurve_C9JBB3_TFPI.pdf", "Melting_Curves/meltCurve_C9JBB3_TFPI.pdf")</f>
        <v>Melting_Curves/meltCurve_C9JBB3_TFPI.pdf</v>
      </c>
    </row>
    <row r="284" spans="1:28" x14ac:dyDescent="0.25">
      <c r="A284" t="s">
        <v>288</v>
      </c>
      <c r="B284">
        <v>0.99996721820229495</v>
      </c>
      <c r="C284">
        <v>0.87167468610513898</v>
      </c>
      <c r="D284">
        <v>1.0982529965513499</v>
      </c>
      <c r="E284">
        <v>1.1499435692989599</v>
      </c>
      <c r="F284">
        <v>1.4409264111517699</v>
      </c>
      <c r="G284">
        <v>1.1528504647286999</v>
      </c>
      <c r="H284">
        <v>0.89484945423432605</v>
      </c>
      <c r="I284">
        <v>0.483405184231258</v>
      </c>
      <c r="J284">
        <v>0.207916577121982</v>
      </c>
      <c r="K284">
        <v>0.35802209155345799</v>
      </c>
      <c r="L284">
        <v>3977.6217435785702</v>
      </c>
      <c r="M284">
        <v>63.217572317178004</v>
      </c>
      <c r="N284">
        <v>63.754165217129099</v>
      </c>
      <c r="O284">
        <v>62.856712053185497</v>
      </c>
      <c r="P284">
        <v>-0.18066954057706699</v>
      </c>
      <c r="Q284">
        <v>0.28144756139994698</v>
      </c>
      <c r="R284">
        <v>0.79989405725485596</v>
      </c>
      <c r="S284" t="s">
        <v>6110</v>
      </c>
      <c r="T284" t="s">
        <v>11650</v>
      </c>
      <c r="U284" t="s">
        <v>11650</v>
      </c>
      <c r="V284" t="s">
        <v>11650</v>
      </c>
      <c r="W284" t="s">
        <v>11930</v>
      </c>
      <c r="X284">
        <v>3</v>
      </c>
      <c r="Y284" t="s">
        <v>17693</v>
      </c>
      <c r="Z284" t="s">
        <v>23346</v>
      </c>
      <c r="AA284">
        <v>0.83160486426537739</v>
      </c>
      <c r="AB284" t="str">
        <f>HYPERLINK("Melting_Curves/meltCurve_C9JBG5_SIDT2.pdf", "Melting_Curves/meltCurve_C9JBG5_SIDT2.pdf")</f>
        <v>Melting_Curves/meltCurve_C9JBG5_SIDT2.pdf</v>
      </c>
    </row>
    <row r="285" spans="1:28" x14ac:dyDescent="0.25">
      <c r="A285" t="s">
        <v>289</v>
      </c>
      <c r="B285">
        <v>0.99996721820229495</v>
      </c>
      <c r="C285">
        <v>0.79062303344310703</v>
      </c>
      <c r="D285">
        <v>0.92469170517413801</v>
      </c>
      <c r="E285">
        <v>1.2917752073859501</v>
      </c>
      <c r="F285">
        <v>2.0289118199755198</v>
      </c>
      <c r="G285">
        <v>2.2911351701916698</v>
      </c>
      <c r="H285">
        <v>1.42742918926491</v>
      </c>
      <c r="I285">
        <v>0.78427319253375605</v>
      </c>
      <c r="J285">
        <v>0.56945844623266195</v>
      </c>
      <c r="K285">
        <v>0.444556772745136</v>
      </c>
      <c r="L285">
        <v>15000</v>
      </c>
      <c r="M285">
        <v>234.12380534873401</v>
      </c>
      <c r="O285">
        <v>64.063991699536402</v>
      </c>
      <c r="P285">
        <v>-0.45042592141016802</v>
      </c>
      <c r="Q285">
        <v>0.50699447424299704</v>
      </c>
      <c r="R285">
        <v>8.7213113478844306E-2</v>
      </c>
      <c r="S285" t="s">
        <v>6111</v>
      </c>
      <c r="T285" t="s">
        <v>11650</v>
      </c>
      <c r="U285" t="s">
        <v>11650</v>
      </c>
      <c r="V285" t="s">
        <v>11650</v>
      </c>
      <c r="W285" t="s">
        <v>11931</v>
      </c>
      <c r="X285">
        <v>1</v>
      </c>
      <c r="Y285" t="s">
        <v>17694</v>
      </c>
      <c r="Z285" t="s">
        <v>23347</v>
      </c>
      <c r="AA285">
        <v>0.90259053479448959</v>
      </c>
      <c r="AB285" t="str">
        <f>HYPERLINK("Melting_Curves/meltCurve_C9JBL1_SPCS1.pdf", "Melting_Curves/meltCurve_C9JBL1_SPCS1.pdf")</f>
        <v>Melting_Curves/meltCurve_C9JBL1_SPCS1.pdf</v>
      </c>
    </row>
    <row r="286" spans="1:28" x14ac:dyDescent="0.25">
      <c r="A286" t="s">
        <v>290</v>
      </c>
      <c r="B286">
        <v>0.99996721820229495</v>
      </c>
      <c r="C286">
        <v>1.2185238315437199</v>
      </c>
      <c r="D286">
        <v>1.0951802782734501</v>
      </c>
      <c r="E286">
        <v>1.06484409949262</v>
      </c>
      <c r="F286">
        <v>1.33147311648226</v>
      </c>
      <c r="G286">
        <v>1.23708897869576</v>
      </c>
      <c r="H286">
        <v>0.70424580471545695</v>
      </c>
      <c r="I286">
        <v>0.58000863986597795</v>
      </c>
      <c r="J286">
        <v>0.52948977426339705</v>
      </c>
      <c r="K286">
        <v>0.40023972905521399</v>
      </c>
      <c r="L286">
        <v>5878.5152888725597</v>
      </c>
      <c r="M286">
        <v>96.711937215541198</v>
      </c>
      <c r="O286">
        <v>60.7577958802447</v>
      </c>
      <c r="P286">
        <v>-0.198529163728632</v>
      </c>
      <c r="Q286">
        <v>0.50110847471078401</v>
      </c>
      <c r="R286">
        <v>0.75629359123782003</v>
      </c>
      <c r="S286" t="s">
        <v>6112</v>
      </c>
      <c r="T286" t="s">
        <v>11650</v>
      </c>
      <c r="U286" t="s">
        <v>11650</v>
      </c>
      <c r="V286" t="s">
        <v>11650</v>
      </c>
      <c r="W286" t="s">
        <v>11932</v>
      </c>
      <c r="X286">
        <v>4</v>
      </c>
      <c r="Y286" t="s">
        <v>17695</v>
      </c>
      <c r="Z286" t="s">
        <v>23348</v>
      </c>
      <c r="AA286">
        <v>0.84709257783546466</v>
      </c>
      <c r="AB286" t="str">
        <f>HYPERLINK("Melting_Curves/meltCurve_C9JCC6_DRAP1.pdf", "Melting_Curves/meltCurve_C9JCC6_DRAP1.pdf")</f>
        <v>Melting_Curves/meltCurve_C9JCC6_DRAP1.pdf</v>
      </c>
    </row>
    <row r="287" spans="1:28" x14ac:dyDescent="0.25">
      <c r="A287" t="s">
        <v>291</v>
      </c>
      <c r="B287">
        <v>0.99996721820229495</v>
      </c>
      <c r="C287">
        <v>1.0542391925155801</v>
      </c>
      <c r="D287">
        <v>1.0574769212764199</v>
      </c>
      <c r="E287">
        <v>1.08951021588478</v>
      </c>
      <c r="F287">
        <v>1.33134839688905</v>
      </c>
      <c r="G287">
        <v>1.8113582022569401</v>
      </c>
      <c r="H287">
        <v>1.46752387825997</v>
      </c>
      <c r="I287">
        <v>1.46211826874982</v>
      </c>
      <c r="J287">
        <v>1.3921827818102701</v>
      </c>
      <c r="K287">
        <v>0.89155558300409998</v>
      </c>
      <c r="L287">
        <v>2951.2855707455101</v>
      </c>
      <c r="M287">
        <v>57.678155388238899</v>
      </c>
      <c r="O287">
        <v>51.106768650805698</v>
      </c>
      <c r="P287">
        <v>0.113249271765735</v>
      </c>
      <c r="Q287">
        <v>1.40138603570424</v>
      </c>
      <c r="R287">
        <v>0.38883503785147</v>
      </c>
      <c r="S287" t="s">
        <v>6113</v>
      </c>
      <c r="T287" t="s">
        <v>11650</v>
      </c>
      <c r="U287" t="s">
        <v>11650</v>
      </c>
      <c r="V287" t="s">
        <v>11650</v>
      </c>
      <c r="W287" t="s">
        <v>11933</v>
      </c>
      <c r="X287">
        <v>2</v>
      </c>
      <c r="Y287" t="s">
        <v>17696</v>
      </c>
      <c r="Z287" t="s">
        <v>23349</v>
      </c>
      <c r="AA287">
        <v>1.2512812927265931</v>
      </c>
      <c r="AB287" t="str">
        <f>HYPERLINK("Melting_Curves/meltCurve_C9JCN8_FOSL2.pdf", "Melting_Curves/meltCurve_C9JCN8_FOSL2.pdf")</f>
        <v>Melting_Curves/meltCurve_C9JCN8_FOSL2.pdf</v>
      </c>
    </row>
    <row r="288" spans="1:28" x14ac:dyDescent="0.25">
      <c r="A288" t="s">
        <v>292</v>
      </c>
      <c r="B288">
        <v>0.99996721820229495</v>
      </c>
      <c r="C288">
        <v>0.961285484082532</v>
      </c>
      <c r="D288">
        <v>0.94242013837365501</v>
      </c>
      <c r="E288">
        <v>1.22223375376929</v>
      </c>
      <c r="F288">
        <v>1.7470308782345001</v>
      </c>
      <c r="G288">
        <v>3.6440976391053002</v>
      </c>
      <c r="H288">
        <v>2.7548768176790301</v>
      </c>
      <c r="I288">
        <v>0.51747944341175001</v>
      </c>
      <c r="J288">
        <v>0.59293465056426098</v>
      </c>
      <c r="K288">
        <v>0.51732919978672998</v>
      </c>
      <c r="L288">
        <v>12511.152170018901</v>
      </c>
      <c r="M288">
        <v>250</v>
      </c>
      <c r="O288">
        <v>50.041398235466502</v>
      </c>
      <c r="P288">
        <v>0.62448285178640695</v>
      </c>
      <c r="Q288">
        <v>1.5</v>
      </c>
      <c r="R288">
        <v>8.1929321605338598E-2</v>
      </c>
      <c r="S288" t="s">
        <v>6114</v>
      </c>
      <c r="T288" t="s">
        <v>11650</v>
      </c>
      <c r="U288" t="s">
        <v>11650</v>
      </c>
      <c r="V288" t="s">
        <v>11650</v>
      </c>
      <c r="W288" t="s">
        <v>11934</v>
      </c>
      <c r="X288">
        <v>7</v>
      </c>
      <c r="Y288" t="s">
        <v>17476</v>
      </c>
      <c r="Z288" t="s">
        <v>23350</v>
      </c>
      <c r="AA288">
        <v>1.3325459415773899</v>
      </c>
      <c r="AB288" t="str">
        <f>HYPERLINK("Melting_Curves/meltCurve_C9JDS9_TUBA4A.pdf", "Melting_Curves/meltCurve_C9JDS9_TUBA4A.pdf")</f>
        <v>Melting_Curves/meltCurve_C9JDS9_TUBA4A.pdf</v>
      </c>
    </row>
    <row r="289" spans="1:28" x14ac:dyDescent="0.25">
      <c r="A289" t="s">
        <v>293</v>
      </c>
      <c r="B289">
        <v>0.99996721820229495</v>
      </c>
      <c r="C289">
        <v>0.90739374043607202</v>
      </c>
      <c r="D289">
        <v>1.0656522593614599</v>
      </c>
      <c r="E289">
        <v>1.0631232063842799</v>
      </c>
      <c r="F289">
        <v>1.05932750314002</v>
      </c>
      <c r="G289">
        <v>0.96256660406232397</v>
      </c>
      <c r="H289">
        <v>0.61618244868141703</v>
      </c>
      <c r="I289">
        <v>0.47495147050557701</v>
      </c>
      <c r="J289">
        <v>0.32339500955494499</v>
      </c>
      <c r="K289">
        <v>0.23776187038875601</v>
      </c>
      <c r="L289">
        <v>1717.8401407055801</v>
      </c>
      <c r="M289">
        <v>27.9149060189315</v>
      </c>
      <c r="N289">
        <v>63.007902954841001</v>
      </c>
      <c r="O289">
        <v>61.225257734907103</v>
      </c>
      <c r="P289">
        <v>-8.6715194326211303E-2</v>
      </c>
      <c r="Q289">
        <v>0.23924335238726699</v>
      </c>
      <c r="R289">
        <v>0.97067455150399495</v>
      </c>
      <c r="S289" t="s">
        <v>6115</v>
      </c>
      <c r="T289" t="s">
        <v>11650</v>
      </c>
      <c r="U289" t="s">
        <v>11650</v>
      </c>
      <c r="V289" t="s">
        <v>11650</v>
      </c>
      <c r="W289" t="s">
        <v>11935</v>
      </c>
      <c r="X289">
        <v>4</v>
      </c>
      <c r="Y289" t="s">
        <v>17697</v>
      </c>
      <c r="Z289" t="s">
        <v>23351</v>
      </c>
      <c r="AA289">
        <v>0.78947252283779912</v>
      </c>
      <c r="AB289" t="str">
        <f>HYPERLINK("Melting_Curves/meltCurve_C9JE12_TMUB1.pdf", "Melting_Curves/meltCurve_C9JE12_TMUB1.pdf")</f>
        <v>Melting_Curves/meltCurve_C9JE12_TMUB1.pdf</v>
      </c>
    </row>
    <row r="290" spans="1:28" x14ac:dyDescent="0.25">
      <c r="A290" t="s">
        <v>294</v>
      </c>
      <c r="B290">
        <v>0.99996721820229495</v>
      </c>
      <c r="C290">
        <v>0.93342261648446401</v>
      </c>
      <c r="D290">
        <v>0.82313134289927603</v>
      </c>
      <c r="E290">
        <v>0.72732283830628097</v>
      </c>
      <c r="F290">
        <v>0.744154900470267</v>
      </c>
      <c r="G290">
        <v>0.640564504554193</v>
      </c>
      <c r="H290">
        <v>0.45595092817261301</v>
      </c>
      <c r="I290">
        <v>0.41291725677417701</v>
      </c>
      <c r="J290">
        <v>0.403456993742079</v>
      </c>
      <c r="K290">
        <v>0.32740754166866498</v>
      </c>
      <c r="L290">
        <v>360.302483211386</v>
      </c>
      <c r="M290">
        <v>6.0348028025370102</v>
      </c>
      <c r="N290">
        <v>60.8846223292486</v>
      </c>
      <c r="O290">
        <v>54.140108211181698</v>
      </c>
      <c r="P290">
        <v>-2.6411532484893498E-2</v>
      </c>
      <c r="Q290">
        <v>5.5212060415302203E-2</v>
      </c>
      <c r="R290">
        <v>0.97347224342022298</v>
      </c>
      <c r="S290" t="s">
        <v>6116</v>
      </c>
      <c r="T290" t="s">
        <v>11650</v>
      </c>
      <c r="U290" t="s">
        <v>11650</v>
      </c>
      <c r="V290" t="s">
        <v>11650</v>
      </c>
      <c r="W290" t="s">
        <v>11936</v>
      </c>
      <c r="X290">
        <v>10</v>
      </c>
      <c r="Y290" t="s">
        <v>17698</v>
      </c>
      <c r="Z290" t="s">
        <v>23352</v>
      </c>
      <c r="AA290">
        <v>0.64774390407376781</v>
      </c>
      <c r="AB290" t="str">
        <f>HYPERLINK("Melting_Curves/meltCurve_C9JE98_NCOR2.pdf", "Melting_Curves/meltCurve_C9JE98_NCOR2.pdf")</f>
        <v>Melting_Curves/meltCurve_C9JE98_NCOR2.pdf</v>
      </c>
    </row>
    <row r="291" spans="1:28" x14ac:dyDescent="0.25">
      <c r="A291" t="s">
        <v>295</v>
      </c>
      <c r="B291">
        <v>0.99996721820229495</v>
      </c>
      <c r="C291">
        <v>0.97157777873301499</v>
      </c>
      <c r="D291">
        <v>0.82228228935222603</v>
      </c>
      <c r="E291">
        <v>0.560409167163747</v>
      </c>
      <c r="F291">
        <v>0.41969421323014</v>
      </c>
      <c r="G291">
        <v>0.24754978596956301</v>
      </c>
      <c r="H291">
        <v>0.14207904887162501</v>
      </c>
      <c r="I291">
        <v>9.7218313422681696E-2</v>
      </c>
      <c r="J291">
        <v>5.2791793617053898E-2</v>
      </c>
      <c r="K291">
        <v>6.8573123950861098E-2</v>
      </c>
      <c r="L291">
        <v>694.241645884435</v>
      </c>
      <c r="M291">
        <v>13.575798480755701</v>
      </c>
      <c r="N291">
        <v>51.4437186324379</v>
      </c>
      <c r="O291">
        <v>50.066860579321997</v>
      </c>
      <c r="P291">
        <v>-6.5172468293162505E-2</v>
      </c>
      <c r="Q291">
        <v>3.8732517246706601E-2</v>
      </c>
      <c r="R291">
        <v>0.99684452580696103</v>
      </c>
      <c r="S291" t="s">
        <v>6117</v>
      </c>
      <c r="T291" t="s">
        <v>11650</v>
      </c>
      <c r="U291" t="s">
        <v>11650</v>
      </c>
      <c r="V291" t="s">
        <v>11650</v>
      </c>
      <c r="W291" t="s">
        <v>11937</v>
      </c>
      <c r="X291">
        <v>5</v>
      </c>
      <c r="Y291" t="s">
        <v>17699</v>
      </c>
      <c r="Z291" t="s">
        <v>23353</v>
      </c>
      <c r="AA291">
        <v>0.42153586764688339</v>
      </c>
      <c r="AB291" t="str">
        <f>HYPERLINK("Melting_Curves/meltCurve_C9JEL3_EIF4E2.pdf", "Melting_Curves/meltCurve_C9JEL3_EIF4E2.pdf")</f>
        <v>Melting_Curves/meltCurve_C9JEL3_EIF4E2.pdf</v>
      </c>
    </row>
    <row r="292" spans="1:28" x14ac:dyDescent="0.25">
      <c r="A292" t="s">
        <v>296</v>
      </c>
      <c r="B292">
        <v>0.99996721820229495</v>
      </c>
      <c r="C292">
        <v>0.93560088215052195</v>
      </c>
      <c r="D292">
        <v>0.95222329276779605</v>
      </c>
      <c r="E292">
        <v>1.0738414356661501</v>
      </c>
      <c r="F292">
        <v>0.87548220504885799</v>
      </c>
      <c r="G292">
        <v>0.76542904731168104</v>
      </c>
      <c r="H292">
        <v>0.34344594225523001</v>
      </c>
      <c r="I292">
        <v>0.23947081295700201</v>
      </c>
      <c r="J292">
        <v>0.23901086766729401</v>
      </c>
      <c r="K292">
        <v>0.14542394532497399</v>
      </c>
      <c r="L292">
        <v>1616.7410047170899</v>
      </c>
      <c r="M292">
        <v>27.628549001338101</v>
      </c>
      <c r="N292">
        <v>59.398302703791302</v>
      </c>
      <c r="O292">
        <v>58.2130567657086</v>
      </c>
      <c r="P292">
        <v>-9.8703130045863396E-2</v>
      </c>
      <c r="Q292">
        <v>0.16814176904460201</v>
      </c>
      <c r="R292">
        <v>0.97990648149554604</v>
      </c>
      <c r="S292" t="s">
        <v>6118</v>
      </c>
      <c r="T292" t="s">
        <v>11650</v>
      </c>
      <c r="U292" t="s">
        <v>11650</v>
      </c>
      <c r="V292" t="s">
        <v>11650</v>
      </c>
      <c r="W292" t="s">
        <v>11938</v>
      </c>
      <c r="X292">
        <v>9</v>
      </c>
      <c r="Y292" t="s">
        <v>17700</v>
      </c>
      <c r="Z292" t="s">
        <v>23354</v>
      </c>
      <c r="AA292">
        <v>0.68772937855837712</v>
      </c>
      <c r="AB292" t="str">
        <f>HYPERLINK("Melting_Curves/meltCurve_C9JEX3_MTMR2.pdf", "Melting_Curves/meltCurve_C9JEX3_MTMR2.pdf")</f>
        <v>Melting_Curves/meltCurve_C9JEX3_MTMR2.pdf</v>
      </c>
    </row>
    <row r="293" spans="1:28" x14ac:dyDescent="0.25">
      <c r="A293" t="s">
        <v>297</v>
      </c>
      <c r="B293">
        <v>0.99996721820229495</v>
      </c>
      <c r="C293">
        <v>1.04226392266435</v>
      </c>
      <c r="D293">
        <v>0.96463079385857298</v>
      </c>
      <c r="E293">
        <v>0.90527863445173795</v>
      </c>
      <c r="F293">
        <v>1.0585441934345601</v>
      </c>
      <c r="G293">
        <v>1.06401254932182</v>
      </c>
      <c r="H293">
        <v>0.714862197506407</v>
      </c>
      <c r="I293">
        <v>0.67338576016534202</v>
      </c>
      <c r="J293">
        <v>0.85650790273095301</v>
      </c>
      <c r="K293">
        <v>0.62985088856523497</v>
      </c>
      <c r="L293">
        <v>12373.831887009001</v>
      </c>
      <c r="M293">
        <v>208.619978809061</v>
      </c>
      <c r="O293">
        <v>59.307334298798096</v>
      </c>
      <c r="P293">
        <v>-0.24761020496168001</v>
      </c>
      <c r="Q293">
        <v>0.71843346473394498</v>
      </c>
      <c r="R293">
        <v>0.80295829864826895</v>
      </c>
      <c r="S293" t="s">
        <v>6119</v>
      </c>
      <c r="T293" t="s">
        <v>11650</v>
      </c>
      <c r="U293" t="s">
        <v>11650</v>
      </c>
      <c r="V293" t="s">
        <v>11650</v>
      </c>
      <c r="W293" t="s">
        <v>11939</v>
      </c>
      <c r="X293">
        <v>7</v>
      </c>
      <c r="Y293" t="s">
        <v>17701</v>
      </c>
      <c r="Z293" t="s">
        <v>23355</v>
      </c>
      <c r="AA293">
        <v>0.89973668714661081</v>
      </c>
      <c r="AB293" t="str">
        <f>HYPERLINK("Melting_Curves/meltCurve_C9JEZ4_CDC42EP3.pdf", "Melting_Curves/meltCurve_C9JEZ4_CDC42EP3.pdf")</f>
        <v>Melting_Curves/meltCurve_C9JEZ4_CDC42EP3.pdf</v>
      </c>
    </row>
    <row r="294" spans="1:28" x14ac:dyDescent="0.25">
      <c r="A294" t="s">
        <v>298</v>
      </c>
      <c r="B294">
        <v>0.99996721820229495</v>
      </c>
      <c r="C294">
        <v>1.09727583146389</v>
      </c>
      <c r="D294">
        <v>1.0363261176549801</v>
      </c>
      <c r="E294">
        <v>0.91420508891772301</v>
      </c>
      <c r="F294">
        <v>0.39387956152175602</v>
      </c>
      <c r="G294">
        <v>0.29005636647732902</v>
      </c>
      <c r="H294">
        <v>0.18127030111240899</v>
      </c>
      <c r="I294">
        <v>0.102268723145384</v>
      </c>
      <c r="J294">
        <v>8.4120762610218905E-2</v>
      </c>
      <c r="K294">
        <v>6.2493913083726899E-2</v>
      </c>
      <c r="L294">
        <v>2240.5081883860398</v>
      </c>
      <c r="M294">
        <v>42.954400574340703</v>
      </c>
      <c r="N294">
        <v>52.545687002784497</v>
      </c>
      <c r="O294">
        <v>52.047482421272903</v>
      </c>
      <c r="P294">
        <v>-0.17843597286896901</v>
      </c>
      <c r="Q294">
        <v>0.13516393589838899</v>
      </c>
      <c r="R294">
        <v>0.97611125424070799</v>
      </c>
      <c r="S294" t="s">
        <v>6120</v>
      </c>
      <c r="T294" t="s">
        <v>11650</v>
      </c>
      <c r="U294" t="s">
        <v>11650</v>
      </c>
      <c r="V294" t="s">
        <v>11650</v>
      </c>
      <c r="W294" t="s">
        <v>11940</v>
      </c>
      <c r="X294">
        <v>4</v>
      </c>
      <c r="Y294" t="s">
        <v>17702</v>
      </c>
      <c r="Z294" t="s">
        <v>23356</v>
      </c>
      <c r="AA294">
        <v>0.48841568060977619</v>
      </c>
      <c r="AB294" t="str">
        <f>HYPERLINK("Melting_Curves/meltCurve_C9JF58_OSCP1.pdf", "Melting_Curves/meltCurve_C9JF58_OSCP1.pdf")</f>
        <v>Melting_Curves/meltCurve_C9JF58_OSCP1.pdf</v>
      </c>
    </row>
    <row r="295" spans="1:28" x14ac:dyDescent="0.25">
      <c r="A295" t="s">
        <v>299</v>
      </c>
      <c r="B295">
        <v>0.99996721820229495</v>
      </c>
      <c r="C295">
        <v>0.95606139262104195</v>
      </c>
      <c r="D295">
        <v>1.0653781415825101</v>
      </c>
      <c r="E295">
        <v>1.15356116032634</v>
      </c>
      <c r="F295">
        <v>1.50198354096858</v>
      </c>
      <c r="G295">
        <v>1.78488455814153</v>
      </c>
      <c r="H295">
        <v>1.29781475833736</v>
      </c>
      <c r="I295">
        <v>0.76429928373881795</v>
      </c>
      <c r="J295">
        <v>0.53161763828066</v>
      </c>
      <c r="K295">
        <v>0.494673617754331</v>
      </c>
      <c r="L295">
        <v>15000</v>
      </c>
      <c r="M295">
        <v>234.31135226529301</v>
      </c>
      <c r="O295">
        <v>64.012721237441795</v>
      </c>
      <c r="P295">
        <v>-0.445527382728438</v>
      </c>
      <c r="Q295">
        <v>0.51313634917360496</v>
      </c>
      <c r="R295">
        <v>0.33590433322464602</v>
      </c>
      <c r="S295" t="s">
        <v>6121</v>
      </c>
      <c r="T295" t="s">
        <v>11650</v>
      </c>
      <c r="U295" t="s">
        <v>11650</v>
      </c>
      <c r="V295" t="s">
        <v>11650</v>
      </c>
      <c r="W295" t="s">
        <v>11941</v>
      </c>
      <c r="X295">
        <v>3</v>
      </c>
      <c r="Y295" t="s">
        <v>17703</v>
      </c>
      <c r="Z295" t="s">
        <v>23357</v>
      </c>
      <c r="AA295">
        <v>0.90297167490521157</v>
      </c>
      <c r="AB295" t="str">
        <f>HYPERLINK("Melting_Curves/meltCurve_C9JFB2_YIPF1.pdf", "Melting_Curves/meltCurve_C9JFB2_YIPF1.pdf")</f>
        <v>Melting_Curves/meltCurve_C9JFB2_YIPF1.pdf</v>
      </c>
    </row>
    <row r="296" spans="1:28" x14ac:dyDescent="0.25">
      <c r="A296" t="s">
        <v>300</v>
      </c>
      <c r="B296">
        <v>0.99996721820229495</v>
      </c>
      <c r="C296">
        <v>1.09702326742166</v>
      </c>
      <c r="D296">
        <v>1.30890861412154</v>
      </c>
      <c r="E296">
        <v>1.86060570606478</v>
      </c>
      <c r="F296">
        <v>2.84947335094899</v>
      </c>
      <c r="G296">
        <v>1.6429869684823999</v>
      </c>
      <c r="H296">
        <v>0.41344847291491799</v>
      </c>
      <c r="I296">
        <v>0.21774564531180901</v>
      </c>
      <c r="J296">
        <v>0.15734102619832699</v>
      </c>
      <c r="K296">
        <v>0.103247663124848</v>
      </c>
      <c r="L296">
        <v>11724.077537111099</v>
      </c>
      <c r="M296">
        <v>193.034684221215</v>
      </c>
      <c r="N296">
        <v>60.856652042391403</v>
      </c>
      <c r="O296">
        <v>60.729082577602099</v>
      </c>
      <c r="P296">
        <v>-0.66796803544935801</v>
      </c>
      <c r="Q296">
        <v>0.15942389756623501</v>
      </c>
      <c r="R296">
        <v>0.34067640992475801</v>
      </c>
      <c r="S296" t="s">
        <v>6122</v>
      </c>
      <c r="T296" t="s">
        <v>11650</v>
      </c>
      <c r="U296" t="s">
        <v>11650</v>
      </c>
      <c r="V296" t="s">
        <v>11650</v>
      </c>
      <c r="W296" t="s">
        <v>11942</v>
      </c>
      <c r="X296">
        <v>10</v>
      </c>
      <c r="Y296" t="s">
        <v>17704</v>
      </c>
      <c r="Z296" t="s">
        <v>23358</v>
      </c>
      <c r="AA296">
        <v>0.74056921972181311</v>
      </c>
      <c r="AB296" t="str">
        <f>HYPERLINK("Melting_Curves/meltCurve_C9JFE4_GPS1.pdf", "Melting_Curves/meltCurve_C9JFE4_GPS1.pdf")</f>
        <v>Melting_Curves/meltCurve_C9JFE4_GPS1.pdf</v>
      </c>
    </row>
    <row r="297" spans="1:28" x14ac:dyDescent="0.25">
      <c r="A297" t="s">
        <v>301</v>
      </c>
      <c r="B297">
        <v>0.99996721820229495</v>
      </c>
      <c r="C297">
        <v>0.60074330132228104</v>
      </c>
      <c r="D297">
        <v>0.58067992767621202</v>
      </c>
      <c r="E297">
        <v>0.52560752314358905</v>
      </c>
      <c r="F297">
        <v>0.49916950470825</v>
      </c>
      <c r="G297">
        <v>0.327103979482675</v>
      </c>
      <c r="H297">
        <v>0.265927018124682</v>
      </c>
      <c r="I297">
        <v>0.206992654746608</v>
      </c>
      <c r="J297">
        <v>0.24265257765175299</v>
      </c>
      <c r="K297">
        <v>0.230921323300769</v>
      </c>
      <c r="L297">
        <v>372.94833531147299</v>
      </c>
      <c r="M297">
        <v>7.8544784034093</v>
      </c>
      <c r="N297">
        <v>49.849997713500898</v>
      </c>
      <c r="O297">
        <v>44.6997289437357</v>
      </c>
      <c r="P297">
        <v>-3.7134686396573802E-2</v>
      </c>
      <c r="Q297">
        <v>0.15569036837327199</v>
      </c>
      <c r="R297">
        <v>0.89220577727949302</v>
      </c>
      <c r="S297" t="s">
        <v>6123</v>
      </c>
      <c r="T297" t="s">
        <v>11650</v>
      </c>
      <c r="U297" t="s">
        <v>11650</v>
      </c>
      <c r="V297" t="s">
        <v>11650</v>
      </c>
      <c r="W297" t="s">
        <v>11943</v>
      </c>
      <c r="X297">
        <v>15</v>
      </c>
      <c r="Y297" t="s">
        <v>17705</v>
      </c>
      <c r="Z297" t="s">
        <v>23359</v>
      </c>
      <c r="AA297">
        <v>0.43215496618981358</v>
      </c>
      <c r="AB297" t="str">
        <f>HYPERLINK("Melting_Curves/meltCurve_C9JFK9_BAG3.pdf", "Melting_Curves/meltCurve_C9JFK9_BAG3.pdf")</f>
        <v>Melting_Curves/meltCurve_C9JFK9_BAG3.pdf</v>
      </c>
    </row>
    <row r="298" spans="1:28" x14ac:dyDescent="0.25">
      <c r="A298" t="s">
        <v>302</v>
      </c>
      <c r="B298">
        <v>0.99996721820229495</v>
      </c>
      <c r="C298">
        <v>0.71803528499987801</v>
      </c>
      <c r="D298">
        <v>0.61636732384192705</v>
      </c>
      <c r="E298">
        <v>0.54511931365325605</v>
      </c>
      <c r="F298">
        <v>0.38377266051262898</v>
      </c>
      <c r="G298">
        <v>0.59865757560558697</v>
      </c>
      <c r="H298">
        <v>0.48151288348374699</v>
      </c>
      <c r="I298">
        <v>0.23012200396651</v>
      </c>
      <c r="J298">
        <v>0.118543539507227</v>
      </c>
      <c r="K298">
        <v>6.8340760561853606E-2</v>
      </c>
      <c r="L298">
        <v>308.85403334722298</v>
      </c>
      <c r="M298">
        <v>5.8768231615656497</v>
      </c>
      <c r="N298">
        <v>52.554590071945597</v>
      </c>
      <c r="O298">
        <v>47.431350305301699</v>
      </c>
      <c r="P298">
        <v>-3.1083412447409899E-2</v>
      </c>
      <c r="Q298">
        <v>0</v>
      </c>
      <c r="R298">
        <v>0.806348291769444</v>
      </c>
      <c r="S298" t="s">
        <v>6124</v>
      </c>
      <c r="T298" t="s">
        <v>11650</v>
      </c>
      <c r="U298" t="s">
        <v>11650</v>
      </c>
      <c r="V298" t="s">
        <v>11650</v>
      </c>
      <c r="W298" t="s">
        <v>11944</v>
      </c>
      <c r="X298">
        <v>8</v>
      </c>
      <c r="Y298" t="s">
        <v>17706</v>
      </c>
      <c r="Z298" t="s">
        <v>23360</v>
      </c>
      <c r="AA298">
        <v>0.47141347657647092</v>
      </c>
      <c r="AB298" t="str">
        <f>HYPERLINK("Melting_Curves/meltCurve_C9JFR7_CYCS.pdf", "Melting_Curves/meltCurve_C9JFR7_CYCS.pdf")</f>
        <v>Melting_Curves/meltCurve_C9JFR7_CYCS.pdf</v>
      </c>
    </row>
    <row r="299" spans="1:28" x14ac:dyDescent="0.25">
      <c r="A299" t="s">
        <v>303</v>
      </c>
      <c r="B299">
        <v>0.99996721820229495</v>
      </c>
      <c r="C299">
        <v>1.08151149601015</v>
      </c>
      <c r="D299">
        <v>1.07675887091584</v>
      </c>
      <c r="E299">
        <v>1.02083029141058</v>
      </c>
      <c r="F299">
        <v>1.2899035427064001</v>
      </c>
      <c r="G299">
        <v>0.87309543507201803</v>
      </c>
      <c r="H299">
        <v>0.50608787916229403</v>
      </c>
      <c r="I299">
        <v>0.20756161054559</v>
      </c>
      <c r="J299">
        <v>0.120518278661</v>
      </c>
      <c r="K299">
        <v>0.103516526207677</v>
      </c>
      <c r="L299">
        <v>2203.3039572468101</v>
      </c>
      <c r="M299">
        <v>36.348971875387697</v>
      </c>
      <c r="N299">
        <v>60.969301669572502</v>
      </c>
      <c r="O299">
        <v>60.432722067938997</v>
      </c>
      <c r="P299">
        <v>-0.136064160953598</v>
      </c>
      <c r="Q299">
        <v>9.5137908638143906E-2</v>
      </c>
      <c r="R299">
        <v>0.94402378209603</v>
      </c>
      <c r="S299" t="s">
        <v>6125</v>
      </c>
      <c r="T299" t="s">
        <v>11650</v>
      </c>
      <c r="U299" t="s">
        <v>11650</v>
      </c>
      <c r="V299" t="s">
        <v>11650</v>
      </c>
      <c r="W299" t="s">
        <v>11945</v>
      </c>
      <c r="X299">
        <v>1</v>
      </c>
      <c r="Y299" t="s">
        <v>17707</v>
      </c>
      <c r="Z299" t="s">
        <v>23361</v>
      </c>
      <c r="AA299">
        <v>0.72099204584741861</v>
      </c>
      <c r="AB299" t="str">
        <f>HYPERLINK("Melting_Curves/meltCurve_C9JG41_ITM2C.pdf", "Melting_Curves/meltCurve_C9JG41_ITM2C.pdf")</f>
        <v>Melting_Curves/meltCurve_C9JG41_ITM2C.pdf</v>
      </c>
    </row>
    <row r="300" spans="1:28" x14ac:dyDescent="0.25">
      <c r="A300" t="s">
        <v>304</v>
      </c>
      <c r="B300">
        <v>0.99996721820229495</v>
      </c>
      <c r="C300">
        <v>0.93740982309215604</v>
      </c>
      <c r="D300">
        <v>0.88294880519801899</v>
      </c>
      <c r="E300">
        <v>0.90522796543363604</v>
      </c>
      <c r="F300">
        <v>1.0495927659544999</v>
      </c>
      <c r="G300">
        <v>0.894198771161273</v>
      </c>
      <c r="H300">
        <v>0.37447152234244102</v>
      </c>
      <c r="I300">
        <v>0.176486451355332</v>
      </c>
      <c r="J300">
        <v>0.109196387745378</v>
      </c>
      <c r="K300">
        <v>8.8937747230757605E-2</v>
      </c>
      <c r="L300">
        <v>2419.8788504766299</v>
      </c>
      <c r="M300">
        <v>40.451651745919499</v>
      </c>
      <c r="N300">
        <v>60.147031418434999</v>
      </c>
      <c r="O300">
        <v>59.675869719517898</v>
      </c>
      <c r="P300">
        <v>-0.15280422502305599</v>
      </c>
      <c r="Q300">
        <v>9.8310551257049003E-2</v>
      </c>
      <c r="R300">
        <v>0.97929529214510502</v>
      </c>
      <c r="S300" t="s">
        <v>6126</v>
      </c>
      <c r="T300" t="s">
        <v>11650</v>
      </c>
      <c r="U300" t="s">
        <v>11650</v>
      </c>
      <c r="V300" t="s">
        <v>11650</v>
      </c>
      <c r="W300" t="s">
        <v>11946</v>
      </c>
      <c r="X300">
        <v>8</v>
      </c>
      <c r="Y300" t="s">
        <v>17708</v>
      </c>
      <c r="Z300" t="s">
        <v>23362</v>
      </c>
      <c r="AA300">
        <v>0.69753781436634277</v>
      </c>
      <c r="AB300" t="str">
        <f>HYPERLINK("Melting_Curves/meltCurve_C9JG97_AAMP.pdf", "Melting_Curves/meltCurve_C9JG97_AAMP.pdf")</f>
        <v>Melting_Curves/meltCurve_C9JG97_AAMP.pdf</v>
      </c>
    </row>
    <row r="301" spans="1:28" x14ac:dyDescent="0.25">
      <c r="A301" t="s">
        <v>305</v>
      </c>
      <c r="B301">
        <v>0.99996721820229495</v>
      </c>
      <c r="C301">
        <v>0.70487064870654803</v>
      </c>
      <c r="D301">
        <v>0.41355518431322602</v>
      </c>
      <c r="E301">
        <v>0.36898531826453501</v>
      </c>
      <c r="F301">
        <v>0.309056108495185</v>
      </c>
      <c r="G301">
        <v>0.220074622713051</v>
      </c>
      <c r="H301">
        <v>0.159666327200401</v>
      </c>
      <c r="I301">
        <v>0.14443785346870699</v>
      </c>
      <c r="J301">
        <v>0.11693105286910201</v>
      </c>
      <c r="K301">
        <v>0.131670403522539</v>
      </c>
      <c r="L301">
        <v>675.84017175455904</v>
      </c>
      <c r="M301">
        <v>15.0100021946685</v>
      </c>
      <c r="N301">
        <v>46.157688476774801</v>
      </c>
      <c r="O301">
        <v>44.249488375491701</v>
      </c>
      <c r="P301">
        <v>-7.1755163314082701E-2</v>
      </c>
      <c r="Q301">
        <v>0.15394871574539301</v>
      </c>
      <c r="R301">
        <v>0.95273301824132495</v>
      </c>
      <c r="S301" t="s">
        <v>6127</v>
      </c>
      <c r="T301" t="s">
        <v>11650</v>
      </c>
      <c r="U301" t="s">
        <v>11650</v>
      </c>
      <c r="V301" t="s">
        <v>11650</v>
      </c>
      <c r="W301" t="s">
        <v>11947</v>
      </c>
      <c r="X301">
        <v>2</v>
      </c>
      <c r="Y301" t="s">
        <v>17709</v>
      </c>
      <c r="Z301" t="s">
        <v>23363</v>
      </c>
      <c r="AA301">
        <v>0.32275321189064138</v>
      </c>
      <c r="AB301" t="str">
        <f>HYPERLINK("Melting_Curves/meltCurve_C9JGY1_CBWD1.pdf", "Melting_Curves/meltCurve_C9JGY1_CBWD1.pdf")</f>
        <v>Melting_Curves/meltCurve_C9JGY1_CBWD1.pdf</v>
      </c>
    </row>
    <row r="302" spans="1:28" x14ac:dyDescent="0.25">
      <c r="A302" t="s">
        <v>306</v>
      </c>
      <c r="B302">
        <v>0.99996721820229495</v>
      </c>
      <c r="C302">
        <v>0.95418849595866995</v>
      </c>
      <c r="D302">
        <v>1.1444771766137201</v>
      </c>
      <c r="E302">
        <v>1.6363479518528701</v>
      </c>
      <c r="F302">
        <v>2.75715682733918</v>
      </c>
      <c r="G302">
        <v>4.1479399858286898</v>
      </c>
      <c r="H302">
        <v>3.2135852832021898</v>
      </c>
      <c r="I302">
        <v>1.39050626566587</v>
      </c>
      <c r="J302">
        <v>0.29831346616119703</v>
      </c>
      <c r="K302">
        <v>0.233908407953624</v>
      </c>
      <c r="L302">
        <v>15000</v>
      </c>
      <c r="M302">
        <v>226.22723293166899</v>
      </c>
      <c r="N302">
        <v>66.4890928595117</v>
      </c>
      <c r="O302">
        <v>66.299833197933097</v>
      </c>
      <c r="P302">
        <v>-0.65452316928269405</v>
      </c>
      <c r="Q302">
        <v>0.232722316438602</v>
      </c>
      <c r="R302">
        <v>-0.234741723199974</v>
      </c>
      <c r="S302" t="s">
        <v>6128</v>
      </c>
      <c r="T302" t="s">
        <v>11650</v>
      </c>
      <c r="U302" t="s">
        <v>11650</v>
      </c>
      <c r="V302" t="s">
        <v>11650</v>
      </c>
      <c r="W302" t="s">
        <v>11948</v>
      </c>
      <c r="X302">
        <v>25</v>
      </c>
      <c r="Y302" t="s">
        <v>17710</v>
      </c>
      <c r="Z302" t="s">
        <v>23364</v>
      </c>
      <c r="AA302">
        <v>0.90560632522699325</v>
      </c>
      <c r="AB302" t="str">
        <f>HYPERLINK("Melting_Curves/meltCurve_C9JIF9_APEH.pdf", "Melting_Curves/meltCurve_C9JIF9_APEH.pdf")</f>
        <v>Melting_Curves/meltCurve_C9JIF9_APEH.pdf</v>
      </c>
    </row>
    <row r="303" spans="1:28" x14ac:dyDescent="0.25">
      <c r="A303" t="s">
        <v>307</v>
      </c>
      <c r="B303">
        <v>0.99996721820229495</v>
      </c>
      <c r="C303">
        <v>1.2502421930466401</v>
      </c>
      <c r="D303">
        <v>1.3689593350182401</v>
      </c>
      <c r="E303">
        <v>2.0090904819406599</v>
      </c>
      <c r="F303">
        <v>1.6234110968140201</v>
      </c>
      <c r="G303">
        <v>1.77788348356381</v>
      </c>
      <c r="H303">
        <v>1.16968075931842</v>
      </c>
      <c r="I303">
        <v>0.65958590635140402</v>
      </c>
      <c r="J303">
        <v>0.26093412079890099</v>
      </c>
      <c r="K303">
        <v>0.42194659344258301</v>
      </c>
      <c r="L303">
        <v>15000</v>
      </c>
      <c r="M303">
        <v>234.44264119382501</v>
      </c>
      <c r="N303">
        <v>64.296497232042597</v>
      </c>
      <c r="O303">
        <v>63.976873437167399</v>
      </c>
      <c r="P303">
        <v>-0.60332708394220502</v>
      </c>
      <c r="Q303">
        <v>0.34143407348978899</v>
      </c>
      <c r="R303">
        <v>0.24868775636570201</v>
      </c>
      <c r="S303" t="s">
        <v>6129</v>
      </c>
      <c r="T303" t="s">
        <v>11650</v>
      </c>
      <c r="U303" t="s">
        <v>11650</v>
      </c>
      <c r="V303" t="s">
        <v>11650</v>
      </c>
      <c r="W303" t="s">
        <v>11949</v>
      </c>
      <c r="X303">
        <v>1</v>
      </c>
      <c r="Y303" t="s">
        <v>17711</v>
      </c>
      <c r="Z303" t="s">
        <v>23365</v>
      </c>
      <c r="AA303">
        <v>0.86796555293564626</v>
      </c>
      <c r="AB303" t="str">
        <f>HYPERLINK("Melting_Curves/meltCurve_C9JJV6_MYADM.pdf", "Melting_Curves/meltCurve_C9JJV6_MYADM.pdf")</f>
        <v>Melting_Curves/meltCurve_C9JJV6_MYADM.pdf</v>
      </c>
    </row>
    <row r="304" spans="1:28" x14ac:dyDescent="0.25">
      <c r="A304" t="s">
        <v>308</v>
      </c>
      <c r="B304">
        <v>0.99996721820229495</v>
      </c>
      <c r="C304">
        <v>1.1212195463469099</v>
      </c>
      <c r="D304">
        <v>1.0214860055177599</v>
      </c>
      <c r="E304">
        <v>0.85930261240811301</v>
      </c>
      <c r="F304">
        <v>0.65160856913226595</v>
      </c>
      <c r="G304">
        <v>0.61490330499416301</v>
      </c>
      <c r="H304">
        <v>0.38005661089054499</v>
      </c>
      <c r="I304">
        <v>0.39107555546336198</v>
      </c>
      <c r="J304">
        <v>0.16498321894725801</v>
      </c>
      <c r="K304">
        <v>0.177554158459344</v>
      </c>
      <c r="L304">
        <v>651.85924029257103</v>
      </c>
      <c r="M304">
        <v>11.269901217544399</v>
      </c>
      <c r="N304">
        <v>58.551397916148098</v>
      </c>
      <c r="O304">
        <v>56.109306068180501</v>
      </c>
      <c r="P304">
        <v>-4.7018647070958999E-2</v>
      </c>
      <c r="Q304">
        <v>6.3923239981042795E-2</v>
      </c>
      <c r="R304">
        <v>0.95602060711209602</v>
      </c>
      <c r="S304" t="s">
        <v>6130</v>
      </c>
      <c r="T304" t="s">
        <v>11650</v>
      </c>
      <c r="U304" t="s">
        <v>11650</v>
      </c>
      <c r="V304" t="s">
        <v>11650</v>
      </c>
      <c r="W304" t="s">
        <v>11950</v>
      </c>
      <c r="X304">
        <v>3</v>
      </c>
      <c r="Y304" t="s">
        <v>17712</v>
      </c>
      <c r="Z304" t="s">
        <v>23366</v>
      </c>
      <c r="AA304">
        <v>0.63255792042484282</v>
      </c>
      <c r="AB304" t="str">
        <f>HYPERLINK("Melting_Curves/meltCurve_C9JLU1_POLR2H.pdf", "Melting_Curves/meltCurve_C9JLU1_POLR2H.pdf")</f>
        <v>Melting_Curves/meltCurve_C9JLU1_POLR2H.pdf</v>
      </c>
    </row>
    <row r="305" spans="1:28" x14ac:dyDescent="0.25">
      <c r="A305" t="s">
        <v>309</v>
      </c>
      <c r="B305">
        <v>0.99996721820229495</v>
      </c>
      <c r="C305">
        <v>0.96663436103671196</v>
      </c>
      <c r="D305">
        <v>0.81678930964634</v>
      </c>
      <c r="E305">
        <v>0.46740235279757802</v>
      </c>
      <c r="F305">
        <v>0.33291841825576302</v>
      </c>
      <c r="G305">
        <v>0.358505834392705</v>
      </c>
      <c r="H305">
        <v>0.21595754850127899</v>
      </c>
      <c r="I305">
        <v>0.15557492019112101</v>
      </c>
      <c r="J305">
        <v>9.5549469242503904E-2</v>
      </c>
      <c r="K305">
        <v>8.44871590001086E-2</v>
      </c>
      <c r="L305">
        <v>730.611075630644</v>
      </c>
      <c r="M305">
        <v>14.734029758306599</v>
      </c>
      <c r="N305">
        <v>50.561253755606799</v>
      </c>
      <c r="O305">
        <v>48.700093089568199</v>
      </c>
      <c r="P305">
        <v>-6.6293508377762406E-2</v>
      </c>
      <c r="Q305">
        <v>0.123620598996736</v>
      </c>
      <c r="R305">
        <v>0.97268453916993602</v>
      </c>
      <c r="S305" t="s">
        <v>6131</v>
      </c>
      <c r="T305" t="s">
        <v>11650</v>
      </c>
      <c r="U305" t="s">
        <v>11650</v>
      </c>
      <c r="V305" t="s">
        <v>11650</v>
      </c>
      <c r="W305" t="s">
        <v>11951</v>
      </c>
      <c r="X305">
        <v>2</v>
      </c>
      <c r="Y305" t="s">
        <v>17713</v>
      </c>
      <c r="Z305" t="s">
        <v>23367</v>
      </c>
      <c r="AA305">
        <v>0.42555427989031902</v>
      </c>
      <c r="AB305" t="str">
        <f>HYPERLINK("Melting_Curves/meltCurve_C9JLV4_APAF1.pdf", "Melting_Curves/meltCurve_C9JLV4_APAF1.pdf")</f>
        <v>Melting_Curves/meltCurve_C9JLV4_APAF1.pdf</v>
      </c>
    </row>
    <row r="306" spans="1:28" x14ac:dyDescent="0.25">
      <c r="A306" t="s">
        <v>310</v>
      </c>
      <c r="B306">
        <v>0.99996721820229495</v>
      </c>
      <c r="C306">
        <v>0.70862614543670999</v>
      </c>
      <c r="D306">
        <v>0.75518284591355</v>
      </c>
      <c r="E306">
        <v>1.42836996981957</v>
      </c>
      <c r="F306">
        <v>1.6083566573738</v>
      </c>
      <c r="G306">
        <v>0.54955915491402296</v>
      </c>
      <c r="H306">
        <v>0.23271276865234899</v>
      </c>
      <c r="I306">
        <v>0.22051752984358799</v>
      </c>
      <c r="J306">
        <v>0.121420410439544</v>
      </c>
      <c r="K306">
        <v>0.14284793796203399</v>
      </c>
      <c r="L306">
        <v>14238.815172262999</v>
      </c>
      <c r="M306">
        <v>250</v>
      </c>
      <c r="N306">
        <v>57.056661722531203</v>
      </c>
      <c r="O306">
        <v>56.951615830487199</v>
      </c>
      <c r="P306">
        <v>-0.90057294621375905</v>
      </c>
      <c r="Q306">
        <v>0.17937464816433199</v>
      </c>
      <c r="R306">
        <v>0.72350393218081499</v>
      </c>
      <c r="S306" t="s">
        <v>6132</v>
      </c>
      <c r="T306" t="s">
        <v>11650</v>
      </c>
      <c r="U306" t="s">
        <v>11650</v>
      </c>
      <c r="V306" t="s">
        <v>11650</v>
      </c>
      <c r="W306" t="s">
        <v>11952</v>
      </c>
      <c r="X306">
        <v>1</v>
      </c>
      <c r="Y306" t="s">
        <v>17714</v>
      </c>
      <c r="Z306" t="s">
        <v>23368</v>
      </c>
      <c r="AA306">
        <v>0.64325389987449988</v>
      </c>
      <c r="AB306" t="str">
        <f>HYPERLINK("Melting_Curves/meltCurve_C9JM82_SEPT5.pdf", "Melting_Curves/meltCurve_C9JM82_SEPT5.pdf")</f>
        <v>Melting_Curves/meltCurve_C9JM82_SEPT5.pdf</v>
      </c>
    </row>
    <row r="307" spans="1:28" x14ac:dyDescent="0.25">
      <c r="A307" t="s">
        <v>311</v>
      </c>
      <c r="B307">
        <v>0.99996721820229495</v>
      </c>
      <c r="C307">
        <v>1.0168028912670699</v>
      </c>
      <c r="D307">
        <v>0.62511438351142801</v>
      </c>
      <c r="E307">
        <v>0.23831840858970299</v>
      </c>
      <c r="F307">
        <v>0.17438490107897101</v>
      </c>
      <c r="G307">
        <v>0.111176841068913</v>
      </c>
      <c r="H307">
        <v>6.86498137021542E-2</v>
      </c>
      <c r="I307">
        <v>5.32006730134192E-2</v>
      </c>
      <c r="J307">
        <v>4.2013156992852602E-2</v>
      </c>
      <c r="K307">
        <v>2.75528677242169E-2</v>
      </c>
      <c r="L307">
        <v>1206.70802055441</v>
      </c>
      <c r="M307">
        <v>25.638533482271999</v>
      </c>
      <c r="N307">
        <v>47.331483278523002</v>
      </c>
      <c r="O307">
        <v>46.782635198285398</v>
      </c>
      <c r="P307">
        <v>-0.12784051513730901</v>
      </c>
      <c r="Q307">
        <v>6.6928596981692595E-2</v>
      </c>
      <c r="R307">
        <v>0.98820232681283204</v>
      </c>
      <c r="S307" t="s">
        <v>6133</v>
      </c>
      <c r="T307" t="s">
        <v>11650</v>
      </c>
      <c r="U307" t="s">
        <v>11650</v>
      </c>
      <c r="V307" t="s">
        <v>11650</v>
      </c>
      <c r="W307" t="s">
        <v>11953</v>
      </c>
      <c r="X307">
        <v>3</v>
      </c>
      <c r="Y307" t="s">
        <v>17715</v>
      </c>
      <c r="Z307" t="s">
        <v>23369</v>
      </c>
      <c r="AA307">
        <v>0.29457565789648071</v>
      </c>
      <c r="AB307" t="str">
        <f>HYPERLINK("Melting_Curves/meltCurve_C9JN15_PPIG.pdf", "Melting_Curves/meltCurve_C9JN15_PPIG.pdf")</f>
        <v>Melting_Curves/meltCurve_C9JN15_PPIG.pdf</v>
      </c>
    </row>
    <row r="308" spans="1:28" x14ac:dyDescent="0.25">
      <c r="A308" t="s">
        <v>312</v>
      </c>
      <c r="B308">
        <v>0.99996721820229495</v>
      </c>
      <c r="C308">
        <v>0.912634106436643</v>
      </c>
      <c r="D308">
        <v>0.82323419591996705</v>
      </c>
      <c r="E308">
        <v>0.36676308500209998</v>
      </c>
      <c r="F308">
        <v>0.24510611343314501</v>
      </c>
      <c r="G308">
        <v>0.26034071817897197</v>
      </c>
      <c r="H308">
        <v>0.246445967604175</v>
      </c>
      <c r="I308">
        <v>0.150598430759532</v>
      </c>
      <c r="J308">
        <v>8.4977856856450595E-2</v>
      </c>
      <c r="K308">
        <v>7.4691824656257302E-2</v>
      </c>
      <c r="L308">
        <v>1089.25474586061</v>
      </c>
      <c r="M308">
        <v>22.618763752718301</v>
      </c>
      <c r="N308">
        <v>48.935433615474999</v>
      </c>
      <c r="O308">
        <v>47.7854485134784</v>
      </c>
      <c r="P308">
        <v>-0.10046016189278301</v>
      </c>
      <c r="Q308">
        <v>0.151069808782371</v>
      </c>
      <c r="R308">
        <v>0.97323467462313895</v>
      </c>
      <c r="S308" t="s">
        <v>6134</v>
      </c>
      <c r="T308" t="s">
        <v>11650</v>
      </c>
      <c r="U308" t="s">
        <v>11650</v>
      </c>
      <c r="V308" t="s">
        <v>11650</v>
      </c>
      <c r="W308" t="s">
        <v>11954</v>
      </c>
      <c r="X308">
        <v>1</v>
      </c>
      <c r="Y308" t="s">
        <v>17716</v>
      </c>
      <c r="Z308" t="s">
        <v>23370</v>
      </c>
      <c r="AA308">
        <v>0.39116956281585219</v>
      </c>
      <c r="AB308" t="str">
        <f>HYPERLINK("Melting_Curves/meltCurve_C9JNA8_IP6K1.pdf", "Melting_Curves/meltCurve_C9JNA8_IP6K1.pdf")</f>
        <v>Melting_Curves/meltCurve_C9JNA8_IP6K1.pdf</v>
      </c>
    </row>
    <row r="309" spans="1:28" x14ac:dyDescent="0.25">
      <c r="A309" t="s">
        <v>313</v>
      </c>
      <c r="B309">
        <v>0.99996721820229495</v>
      </c>
      <c r="C309">
        <v>1.07720275243929</v>
      </c>
      <c r="D309">
        <v>0.84933332888075197</v>
      </c>
      <c r="E309">
        <v>0.39316385558941502</v>
      </c>
      <c r="F309">
        <v>0.32248355668899398</v>
      </c>
      <c r="G309">
        <v>0.29722912840481402</v>
      </c>
      <c r="H309">
        <v>0.17548243925873</v>
      </c>
      <c r="I309">
        <v>0.13553132746895599</v>
      </c>
      <c r="J309">
        <v>9.5293784794536499E-2</v>
      </c>
      <c r="K309">
        <v>9.5661327170089502E-2</v>
      </c>
      <c r="L309">
        <v>1157.89638050484</v>
      </c>
      <c r="M309">
        <v>23.723941763997399</v>
      </c>
      <c r="N309">
        <v>49.574456850761102</v>
      </c>
      <c r="O309">
        <v>48.464284884309201</v>
      </c>
      <c r="P309">
        <v>-0.103573792280205</v>
      </c>
      <c r="Q309">
        <v>0.15367445062250501</v>
      </c>
      <c r="R309">
        <v>0.96919450043047595</v>
      </c>
      <c r="S309" t="s">
        <v>6135</v>
      </c>
      <c r="T309" t="s">
        <v>11650</v>
      </c>
      <c r="U309" t="s">
        <v>11650</v>
      </c>
      <c r="V309" t="s">
        <v>11650</v>
      </c>
      <c r="W309" t="s">
        <v>11955</v>
      </c>
      <c r="X309">
        <v>2</v>
      </c>
      <c r="Y309" t="s">
        <v>17717</v>
      </c>
      <c r="Z309" t="s">
        <v>23371</v>
      </c>
      <c r="AA309">
        <v>0.41047991589169769</v>
      </c>
      <c r="AB309" t="str">
        <f>HYPERLINK("Melting_Curves/meltCurve_C9JNE2_OARD1.pdf", "Melting_Curves/meltCurve_C9JNE2_OARD1.pdf")</f>
        <v>Melting_Curves/meltCurve_C9JNE2_OARD1.pdf</v>
      </c>
    </row>
    <row r="310" spans="1:28" x14ac:dyDescent="0.25">
      <c r="A310" t="s">
        <v>314</v>
      </c>
      <c r="B310">
        <v>0.99996721820229495</v>
      </c>
      <c r="C310">
        <v>1.0205104969379699</v>
      </c>
      <c r="D310">
        <v>0.89711738787712403</v>
      </c>
      <c r="E310">
        <v>0.74797423714115496</v>
      </c>
      <c r="F310">
        <v>0.65790868108637102</v>
      </c>
      <c r="G310">
        <v>0.523566976456035</v>
      </c>
      <c r="H310">
        <v>0.33369290615688701</v>
      </c>
      <c r="I310">
        <v>0.202514097678722</v>
      </c>
      <c r="J310">
        <v>0.163740248865234</v>
      </c>
      <c r="K310">
        <v>0.146565122189175</v>
      </c>
      <c r="L310">
        <v>566.75876749506006</v>
      </c>
      <c r="M310">
        <v>10.0176607899022</v>
      </c>
      <c r="N310">
        <v>56.575964819942001</v>
      </c>
      <c r="O310">
        <v>54.4601010292822</v>
      </c>
      <c r="P310">
        <v>-4.6008455037381303E-2</v>
      </c>
      <c r="Q310">
        <v>0</v>
      </c>
      <c r="R310">
        <v>0.99137816555396296</v>
      </c>
      <c r="S310" t="s">
        <v>6136</v>
      </c>
      <c r="T310" t="s">
        <v>11650</v>
      </c>
      <c r="U310" t="s">
        <v>11650</v>
      </c>
      <c r="V310" t="s">
        <v>11650</v>
      </c>
      <c r="W310" t="s">
        <v>11956</v>
      </c>
      <c r="X310">
        <v>1</v>
      </c>
      <c r="Y310" t="s">
        <v>17718</v>
      </c>
      <c r="Z310" t="s">
        <v>23372</v>
      </c>
      <c r="AA310">
        <v>0.57066278803990478</v>
      </c>
      <c r="AB310" t="str">
        <f>HYPERLINK("Melting_Curves/meltCurve_C9JP85_NRF1.pdf", "Melting_Curves/meltCurve_C9JP85_NRF1.pdf")</f>
        <v>Melting_Curves/meltCurve_C9JP85_NRF1.pdf</v>
      </c>
    </row>
    <row r="311" spans="1:28" x14ac:dyDescent="0.25">
      <c r="A311" t="s">
        <v>315</v>
      </c>
      <c r="B311">
        <v>0.99996721820229495</v>
      </c>
      <c r="C311">
        <v>0.73467055556074301</v>
      </c>
      <c r="D311">
        <v>0.79785506112649696</v>
      </c>
      <c r="E311">
        <v>1.04618156419369</v>
      </c>
      <c r="F311">
        <v>1.36416669141124</v>
      </c>
      <c r="G311">
        <v>1.18905794528955</v>
      </c>
      <c r="H311">
        <v>1.23696664556652</v>
      </c>
      <c r="I311">
        <v>1.3056916309359401</v>
      </c>
      <c r="J311">
        <v>0.84313820776013904</v>
      </c>
      <c r="K311">
        <v>1.00968678962514</v>
      </c>
      <c r="L311">
        <v>12544.265109210801</v>
      </c>
      <c r="M311">
        <v>250</v>
      </c>
      <c r="O311">
        <v>50.1738562921823</v>
      </c>
      <c r="P311">
        <v>0.196962534352425</v>
      </c>
      <c r="Q311">
        <v>1.1581178965564001</v>
      </c>
      <c r="R311">
        <v>0.29031988131298597</v>
      </c>
      <c r="S311" t="s">
        <v>6137</v>
      </c>
      <c r="T311" t="s">
        <v>11650</v>
      </c>
      <c r="U311" t="s">
        <v>11650</v>
      </c>
      <c r="V311" t="s">
        <v>11650</v>
      </c>
      <c r="W311" t="s">
        <v>11957</v>
      </c>
      <c r="X311">
        <v>3</v>
      </c>
      <c r="Y311" t="s">
        <v>17719</v>
      </c>
      <c r="Z311" t="s">
        <v>23373</v>
      </c>
      <c r="AA311">
        <v>1.1044647930540319</v>
      </c>
      <c r="AB311" t="str">
        <f>HYPERLINK("Melting_Curves/meltCurve_C9JPX5_STARD3NL.pdf", "Melting_Curves/meltCurve_C9JPX5_STARD3NL.pdf")</f>
        <v>Melting_Curves/meltCurve_C9JPX5_STARD3NL.pdf</v>
      </c>
    </row>
    <row r="312" spans="1:28" x14ac:dyDescent="0.25">
      <c r="A312" t="s">
        <v>316</v>
      </c>
      <c r="B312">
        <v>0.99996721820229495</v>
      </c>
      <c r="C312">
        <v>0.98707348809793405</v>
      </c>
      <c r="D312">
        <v>0.93823616869335802</v>
      </c>
      <c r="E312">
        <v>0.91787581206992297</v>
      </c>
      <c r="F312">
        <v>1.2108347671103299</v>
      </c>
      <c r="G312">
        <v>1.3180994547618501</v>
      </c>
      <c r="H312">
        <v>0.97942435868148603</v>
      </c>
      <c r="I312">
        <v>0.88011784054332998</v>
      </c>
      <c r="J312">
        <v>0.64901777751204404</v>
      </c>
      <c r="K312">
        <v>0.314563240621619</v>
      </c>
      <c r="L312">
        <v>2352.08466293127</v>
      </c>
      <c r="M312">
        <v>34.651844198791302</v>
      </c>
      <c r="N312">
        <v>68.207172710047502</v>
      </c>
      <c r="O312">
        <v>67.652749744502898</v>
      </c>
      <c r="P312">
        <v>-0.118180637163527</v>
      </c>
      <c r="Q312">
        <v>7.7080509030261896E-2</v>
      </c>
      <c r="R312">
        <v>0.77465370428838398</v>
      </c>
      <c r="S312" t="s">
        <v>6138</v>
      </c>
      <c r="T312" t="s">
        <v>11650</v>
      </c>
      <c r="U312" t="s">
        <v>11650</v>
      </c>
      <c r="V312" t="s">
        <v>11650</v>
      </c>
      <c r="W312" t="s">
        <v>11958</v>
      </c>
      <c r="X312">
        <v>10</v>
      </c>
      <c r="Y312" t="s">
        <v>17720</v>
      </c>
      <c r="Z312" t="s">
        <v>23374</v>
      </c>
      <c r="AA312">
        <v>0.91991256922318365</v>
      </c>
      <c r="AB312" t="str">
        <f>HYPERLINK("Melting_Curves/meltCurve_C9JQ41_CCDC58.pdf", "Melting_Curves/meltCurve_C9JQ41_CCDC58.pdf")</f>
        <v>Melting_Curves/meltCurve_C9JQ41_CCDC58.pdf</v>
      </c>
    </row>
    <row r="313" spans="1:28" x14ac:dyDescent="0.25">
      <c r="A313" t="s">
        <v>317</v>
      </c>
      <c r="B313">
        <v>0.99996721820229495</v>
      </c>
      <c r="C313">
        <v>0.96629239513502596</v>
      </c>
      <c r="D313">
        <v>0.88886015990967904</v>
      </c>
      <c r="E313">
        <v>0.95252502508082604</v>
      </c>
      <c r="F313">
        <v>1.2006179065165601</v>
      </c>
      <c r="G313">
        <v>0.97678154368634695</v>
      </c>
      <c r="H313">
        <v>0.66549644929473295</v>
      </c>
      <c r="I313">
        <v>0.377219561657619</v>
      </c>
      <c r="J313">
        <v>0.159970272586656</v>
      </c>
      <c r="K313">
        <v>0.12660138786251099</v>
      </c>
      <c r="L313">
        <v>2082.07710023135</v>
      </c>
      <c r="M313">
        <v>33.494989663425699</v>
      </c>
      <c r="N313">
        <v>62.591936809604903</v>
      </c>
      <c r="O313">
        <v>61.940536076083703</v>
      </c>
      <c r="P313">
        <v>-0.121264956661917</v>
      </c>
      <c r="Q313">
        <v>0.103007951793604</v>
      </c>
      <c r="R313">
        <v>0.95477309834668</v>
      </c>
      <c r="S313" t="s">
        <v>6139</v>
      </c>
      <c r="T313" t="s">
        <v>11650</v>
      </c>
      <c r="U313" t="s">
        <v>11650</v>
      </c>
      <c r="V313" t="s">
        <v>11650</v>
      </c>
      <c r="W313" t="s">
        <v>11959</v>
      </c>
      <c r="X313">
        <v>5</v>
      </c>
      <c r="Y313" t="s">
        <v>17721</v>
      </c>
      <c r="Z313" t="s">
        <v>23375</v>
      </c>
      <c r="AA313">
        <v>0.7693731768143246</v>
      </c>
      <c r="AB313" t="str">
        <f>HYPERLINK("Melting_Curves/meltCurve_C9JQB1_NME6.pdf", "Melting_Curves/meltCurve_C9JQB1_NME6.pdf")</f>
        <v>Melting_Curves/meltCurve_C9JQB1_NME6.pdf</v>
      </c>
    </row>
    <row r="314" spans="1:28" x14ac:dyDescent="0.25">
      <c r="A314" t="s">
        <v>318</v>
      </c>
      <c r="B314">
        <v>0.99996721820229495</v>
      </c>
      <c r="C314">
        <v>1.08322041585007</v>
      </c>
      <c r="D314">
        <v>0.96931718451103199</v>
      </c>
      <c r="E314">
        <v>0.69365860896971299</v>
      </c>
      <c r="F314">
        <v>0.37513345920693802</v>
      </c>
      <c r="G314">
        <v>0.256985117709216</v>
      </c>
      <c r="H314">
        <v>0.15119646032106299</v>
      </c>
      <c r="I314">
        <v>0.115734936479057</v>
      </c>
      <c r="J314">
        <v>7.7224791153860606E-2</v>
      </c>
      <c r="K314">
        <v>6.4259898943646698E-2</v>
      </c>
      <c r="L314">
        <v>1146.4415459909501</v>
      </c>
      <c r="M314">
        <v>22.253262941545302</v>
      </c>
      <c r="N314">
        <v>52.032119526895499</v>
      </c>
      <c r="O314">
        <v>51.107305735972801</v>
      </c>
      <c r="P314">
        <v>-9.8112743580636194E-2</v>
      </c>
      <c r="Q314">
        <v>9.8708402971577E-2</v>
      </c>
      <c r="R314">
        <v>0.98860317589526203</v>
      </c>
      <c r="S314" t="s">
        <v>6140</v>
      </c>
      <c r="T314" t="s">
        <v>11650</v>
      </c>
      <c r="U314" t="s">
        <v>11650</v>
      </c>
      <c r="V314" t="s">
        <v>11650</v>
      </c>
      <c r="W314" t="s">
        <v>11953</v>
      </c>
      <c r="X314">
        <v>10</v>
      </c>
      <c r="Y314" t="s">
        <v>17722</v>
      </c>
      <c r="Z314" t="s">
        <v>23376</v>
      </c>
      <c r="AA314">
        <v>0.45498116508809361</v>
      </c>
      <c r="AB314" t="str">
        <f>HYPERLINK("Melting_Curves/meltCurve_C9JQD4_PPIH.pdf", "Melting_Curves/meltCurve_C9JQD4_PPIH.pdf")</f>
        <v>Melting_Curves/meltCurve_C9JQD4_PPIH.pdf</v>
      </c>
    </row>
    <row r="315" spans="1:28" x14ac:dyDescent="0.25">
      <c r="A315" t="s">
        <v>319</v>
      </c>
      <c r="B315">
        <v>0.99996721820229495</v>
      </c>
      <c r="C315">
        <v>0.84718804033865402</v>
      </c>
      <c r="D315">
        <v>0.763066366412125</v>
      </c>
      <c r="E315">
        <v>0.96888645430821596</v>
      </c>
      <c r="F315">
        <v>0.61116502135555995</v>
      </c>
      <c r="G315">
        <v>0.53847862508257305</v>
      </c>
      <c r="H315">
        <v>0.39921838390298198</v>
      </c>
      <c r="I315">
        <v>0.30710820093714702</v>
      </c>
      <c r="J315">
        <v>0.27205935400995901</v>
      </c>
      <c r="K315">
        <v>0.26583577405335601</v>
      </c>
      <c r="L315">
        <v>427.82301907054898</v>
      </c>
      <c r="M315">
        <v>7.38100760855811</v>
      </c>
      <c r="N315">
        <v>58.165882380754802</v>
      </c>
      <c r="O315">
        <v>54.163867884832499</v>
      </c>
      <c r="P315">
        <v>-3.3685689636524199E-2</v>
      </c>
      <c r="Q315">
        <v>1.27266497542747E-2</v>
      </c>
      <c r="R315">
        <v>0.907808920914976</v>
      </c>
      <c r="S315" t="s">
        <v>6141</v>
      </c>
      <c r="T315" t="s">
        <v>11650</v>
      </c>
      <c r="U315" t="s">
        <v>11650</v>
      </c>
      <c r="V315" t="s">
        <v>11650</v>
      </c>
      <c r="W315" t="s">
        <v>11960</v>
      </c>
      <c r="X315">
        <v>5</v>
      </c>
      <c r="Y315" t="s">
        <v>17723</v>
      </c>
      <c r="Z315" t="s">
        <v>23377</v>
      </c>
      <c r="AA315">
        <v>0.60479173331482927</v>
      </c>
      <c r="AB315" t="str">
        <f>HYPERLINK("Melting_Curves/meltCurve_C9JQV3_STK11IP.pdf", "Melting_Curves/meltCurve_C9JQV3_STK11IP.pdf")</f>
        <v>Melting_Curves/meltCurve_C9JQV3_STK11IP.pdf</v>
      </c>
    </row>
    <row r="316" spans="1:28" x14ac:dyDescent="0.25">
      <c r="A316" t="s">
        <v>320</v>
      </c>
      <c r="B316">
        <v>0.99996721820229495</v>
      </c>
      <c r="C316">
        <v>0.86758140260555305</v>
      </c>
      <c r="D316">
        <v>0.99655350235895301</v>
      </c>
      <c r="E316">
        <v>0.87689346576438298</v>
      </c>
      <c r="F316">
        <v>0.65457306658027403</v>
      </c>
      <c r="G316">
        <v>0.56894082266928203</v>
      </c>
      <c r="H316">
        <v>0.31738834844949998</v>
      </c>
      <c r="I316">
        <v>0.17493342310101601</v>
      </c>
      <c r="J316">
        <v>0.14536054244483401</v>
      </c>
      <c r="K316">
        <v>0.113999440664258</v>
      </c>
      <c r="L316">
        <v>686.95148268307798</v>
      </c>
      <c r="M316">
        <v>12.0195529184421</v>
      </c>
      <c r="N316">
        <v>57.152828182463701</v>
      </c>
      <c r="O316">
        <v>55.639753013545203</v>
      </c>
      <c r="P316">
        <v>-5.4019067248076501E-2</v>
      </c>
      <c r="Q316">
        <v>0</v>
      </c>
      <c r="R316">
        <v>0.97758726358872094</v>
      </c>
      <c r="S316" t="s">
        <v>6142</v>
      </c>
      <c r="T316" t="s">
        <v>11650</v>
      </c>
      <c r="U316" t="s">
        <v>11650</v>
      </c>
      <c r="V316" t="s">
        <v>11650</v>
      </c>
      <c r="W316" t="s">
        <v>11961</v>
      </c>
      <c r="X316">
        <v>3</v>
      </c>
      <c r="Y316" t="s">
        <v>17724</v>
      </c>
      <c r="Z316" t="s">
        <v>23378</v>
      </c>
      <c r="AA316">
        <v>0.5880035253030933</v>
      </c>
      <c r="AB316" t="str">
        <f>HYPERLINK("Melting_Curves/meltCurve_C9JRY4_SEC22A.pdf", "Melting_Curves/meltCurve_C9JRY4_SEC22A.pdf")</f>
        <v>Melting_Curves/meltCurve_C9JRY4_SEC22A.pdf</v>
      </c>
    </row>
    <row r="317" spans="1:28" x14ac:dyDescent="0.25">
      <c r="A317" t="s">
        <v>321</v>
      </c>
      <c r="B317">
        <v>0.99996721820229495</v>
      </c>
      <c r="C317">
        <v>0.74213417109762903</v>
      </c>
      <c r="D317">
        <v>0.81690846782532001</v>
      </c>
      <c r="E317">
        <v>1.4450056479601401</v>
      </c>
      <c r="F317">
        <v>2.3310686070126398</v>
      </c>
      <c r="G317">
        <v>2.3321299925924199</v>
      </c>
      <c r="H317">
        <v>2.17540297533575</v>
      </c>
      <c r="I317">
        <v>1.98378975321547</v>
      </c>
      <c r="J317">
        <v>1.98312258584544</v>
      </c>
      <c r="K317">
        <v>1.8538150462179099</v>
      </c>
      <c r="L317">
        <v>12395.4563688669</v>
      </c>
      <c r="M317">
        <v>250</v>
      </c>
      <c r="O317">
        <v>49.578637155447602</v>
      </c>
      <c r="P317">
        <v>0.63031160330204306</v>
      </c>
      <c r="Q317">
        <v>1.5</v>
      </c>
      <c r="R317">
        <v>0.26595124791228297</v>
      </c>
      <c r="S317" t="s">
        <v>6143</v>
      </c>
      <c r="T317" t="s">
        <v>11650</v>
      </c>
      <c r="U317" t="s">
        <v>11650</v>
      </c>
      <c r="V317" t="s">
        <v>11650</v>
      </c>
      <c r="W317" t="s">
        <v>11962</v>
      </c>
      <c r="X317">
        <v>15</v>
      </c>
      <c r="Y317" t="s">
        <v>17725</v>
      </c>
      <c r="Z317" t="s">
        <v>23379</v>
      </c>
      <c r="AA317">
        <v>1.340259401076187</v>
      </c>
      <c r="AB317" t="str">
        <f>HYPERLINK("Melting_Curves/meltCurve_C9JRZ6_CHCHD3.pdf", "Melting_Curves/meltCurve_C9JRZ6_CHCHD3.pdf")</f>
        <v>Melting_Curves/meltCurve_C9JRZ6_CHCHD3.pdf</v>
      </c>
    </row>
    <row r="318" spans="1:28" x14ac:dyDescent="0.25">
      <c r="A318" t="s">
        <v>322</v>
      </c>
      <c r="B318">
        <v>0.99996721820229495</v>
      </c>
      <c r="C318">
        <v>1.0923324129893499</v>
      </c>
      <c r="D318">
        <v>1.2069557308852401</v>
      </c>
      <c r="E318">
        <v>1.1638864396980599</v>
      </c>
      <c r="F318">
        <v>1.5660729259741899</v>
      </c>
      <c r="G318">
        <v>1.8406444413379599</v>
      </c>
      <c r="H318">
        <v>1.3629506077406399</v>
      </c>
      <c r="I318">
        <v>0.98342779368120603</v>
      </c>
      <c r="J318">
        <v>0.44917111179819802</v>
      </c>
      <c r="K318">
        <v>0.37536565817107098</v>
      </c>
      <c r="L318">
        <v>8161.4220938504704</v>
      </c>
      <c r="M318">
        <v>123.82078442828301</v>
      </c>
      <c r="N318">
        <v>66.659729673741694</v>
      </c>
      <c r="O318">
        <v>65.895994427163004</v>
      </c>
      <c r="P318">
        <v>-0.293574482164914</v>
      </c>
      <c r="Q318">
        <v>0.37505219123561001</v>
      </c>
      <c r="R318">
        <v>0.321249530669307</v>
      </c>
      <c r="S318" t="s">
        <v>6144</v>
      </c>
      <c r="T318" t="s">
        <v>11650</v>
      </c>
      <c r="U318" t="s">
        <v>11650</v>
      </c>
      <c r="V318" t="s">
        <v>11650</v>
      </c>
      <c r="W318" t="s">
        <v>11963</v>
      </c>
      <c r="X318">
        <v>1</v>
      </c>
      <c r="Y318" t="s">
        <v>17726</v>
      </c>
      <c r="Z318" t="s">
        <v>23380</v>
      </c>
      <c r="AA318">
        <v>0.91515077654632337</v>
      </c>
      <c r="AB318" t="str">
        <f>HYPERLINK("Melting_Curves/meltCurve_C9JSZ2_SLC46A1.pdf", "Melting_Curves/meltCurve_C9JSZ2_SLC46A1.pdf")</f>
        <v>Melting_Curves/meltCurve_C9JSZ2_SLC46A1.pdf</v>
      </c>
    </row>
    <row r="319" spans="1:28" x14ac:dyDescent="0.25">
      <c r="A319" t="s">
        <v>323</v>
      </c>
      <c r="B319">
        <v>0.99996721820229495</v>
      </c>
      <c r="C319">
        <v>1.0064652728513099</v>
      </c>
      <c r="D319">
        <v>0.988387103569077</v>
      </c>
      <c r="E319">
        <v>0.73926056041449095</v>
      </c>
      <c r="F319">
        <v>0.419709310606037</v>
      </c>
      <c r="G319">
        <v>0.38727766736441099</v>
      </c>
      <c r="H319">
        <v>0.19492291270113299</v>
      </c>
      <c r="I319">
        <v>0.16985953859772099</v>
      </c>
      <c r="J319">
        <v>0.132233327597958</v>
      </c>
      <c r="K319">
        <v>0.12309040591569</v>
      </c>
      <c r="L319">
        <v>955.79383045607801</v>
      </c>
      <c r="M319">
        <v>18.339527678602298</v>
      </c>
      <c r="N319">
        <v>53.061578529768298</v>
      </c>
      <c r="O319">
        <v>51.508801588769799</v>
      </c>
      <c r="P319">
        <v>-7.6614187840449502E-2</v>
      </c>
      <c r="Q319">
        <v>0.13931829039868901</v>
      </c>
      <c r="R319">
        <v>0.98294012000514197</v>
      </c>
      <c r="S319" t="s">
        <v>6145</v>
      </c>
      <c r="T319" t="s">
        <v>11650</v>
      </c>
      <c r="U319" t="s">
        <v>11650</v>
      </c>
      <c r="V319" t="s">
        <v>11650</v>
      </c>
      <c r="W319" t="s">
        <v>11964</v>
      </c>
      <c r="X319">
        <v>1</v>
      </c>
      <c r="Y319" t="s">
        <v>17727</v>
      </c>
      <c r="Z319" t="s">
        <v>23381</v>
      </c>
      <c r="AA319">
        <v>0.50078755902365091</v>
      </c>
      <c r="AB319" t="str">
        <f>HYPERLINK("Melting_Curves/meltCurve_C9JUF0_EIF4A2.pdf", "Melting_Curves/meltCurve_C9JUF0_EIF4A2.pdf")</f>
        <v>Melting_Curves/meltCurve_C9JUF0_EIF4A2.pdf</v>
      </c>
    </row>
    <row r="320" spans="1:28" x14ac:dyDescent="0.25">
      <c r="A320" t="s">
        <v>324</v>
      </c>
      <c r="B320">
        <v>0.99996721820229495</v>
      </c>
      <c r="C320">
        <v>1.0491715832127499</v>
      </c>
      <c r="D320">
        <v>1.1537423207605799</v>
      </c>
      <c r="E320">
        <v>1.262196061622</v>
      </c>
      <c r="F320">
        <v>0.92519323608729698</v>
      </c>
      <c r="G320">
        <v>1.2815582810711199</v>
      </c>
      <c r="H320">
        <v>0.85185928025882796</v>
      </c>
      <c r="I320">
        <v>0.34468350360785699</v>
      </c>
      <c r="J320">
        <v>0.20234489975208</v>
      </c>
      <c r="K320">
        <v>0.111980389236747</v>
      </c>
      <c r="L320">
        <v>3678.8955715470502</v>
      </c>
      <c r="M320">
        <v>58.664451113662302</v>
      </c>
      <c r="N320">
        <v>63.079702166234</v>
      </c>
      <c r="O320">
        <v>62.638072147127097</v>
      </c>
      <c r="P320">
        <v>-0.200142920972181</v>
      </c>
      <c r="Q320">
        <v>0.145202232159409</v>
      </c>
      <c r="R320">
        <v>0.89350736294852195</v>
      </c>
      <c r="S320" t="s">
        <v>6146</v>
      </c>
      <c r="T320" t="s">
        <v>11650</v>
      </c>
      <c r="U320" t="s">
        <v>11650</v>
      </c>
      <c r="V320" t="s">
        <v>11650</v>
      </c>
      <c r="W320" t="s">
        <v>11965</v>
      </c>
      <c r="X320">
        <v>11</v>
      </c>
      <c r="Y320" t="s">
        <v>17728</v>
      </c>
      <c r="Z320" t="s">
        <v>23382</v>
      </c>
      <c r="AA320">
        <v>0.79393471262352766</v>
      </c>
      <c r="AB320" t="str">
        <f>HYPERLINK("Melting_Curves/meltCurve_C9JV49_HARS2.pdf", "Melting_Curves/meltCurve_C9JV49_HARS2.pdf")</f>
        <v>Melting_Curves/meltCurve_C9JV49_HARS2.pdf</v>
      </c>
    </row>
    <row r="321" spans="1:28" x14ac:dyDescent="0.25">
      <c r="A321" t="s">
        <v>325</v>
      </c>
      <c r="B321">
        <v>0.99996721820229495</v>
      </c>
      <c r="C321">
        <v>0.58520864846273002</v>
      </c>
      <c r="D321">
        <v>0.620714518174726</v>
      </c>
      <c r="E321">
        <v>1.1925320476813599</v>
      </c>
      <c r="F321">
        <v>1.1872903519281499</v>
      </c>
      <c r="G321">
        <v>0.53999863251699998</v>
      </c>
      <c r="H321">
        <v>0.553333582052424</v>
      </c>
      <c r="I321">
        <v>0.39145965639524299</v>
      </c>
      <c r="J321">
        <v>0.30159164175964598</v>
      </c>
      <c r="K321">
        <v>0.50169987299400398</v>
      </c>
      <c r="L321">
        <v>14164.687035049301</v>
      </c>
      <c r="M321">
        <v>250</v>
      </c>
      <c r="N321">
        <v>57.132216166201701</v>
      </c>
      <c r="O321">
        <v>56.655122470578704</v>
      </c>
      <c r="P321">
        <v>-0.621059052220999</v>
      </c>
      <c r="Q321">
        <v>0.43702117515650102</v>
      </c>
      <c r="R321">
        <v>0.54087376461501502</v>
      </c>
      <c r="S321" t="s">
        <v>6147</v>
      </c>
      <c r="T321" t="s">
        <v>11650</v>
      </c>
      <c r="U321" t="s">
        <v>11650</v>
      </c>
      <c r="V321" t="s">
        <v>11650</v>
      </c>
      <c r="W321" t="s">
        <v>11966</v>
      </c>
      <c r="X321">
        <v>1</v>
      </c>
      <c r="Y321" t="s">
        <v>17729</v>
      </c>
      <c r="Z321" t="s">
        <v>23383</v>
      </c>
      <c r="AA321">
        <v>0.74969457012487117</v>
      </c>
      <c r="AB321" t="str">
        <f>HYPERLINK("Melting_Curves/meltCurve_C9JVH1_VOPP1.pdf", "Melting_Curves/meltCurve_C9JVH1_VOPP1.pdf")</f>
        <v>Melting_Curves/meltCurve_C9JVH1_VOPP1.pdf</v>
      </c>
    </row>
    <row r="322" spans="1:28" x14ac:dyDescent="0.25">
      <c r="A322" t="s">
        <v>326</v>
      </c>
      <c r="B322">
        <v>0.99996721820229495</v>
      </c>
      <c r="C322">
        <v>1.0095255361998501</v>
      </c>
      <c r="D322">
        <v>0.991956148349739</v>
      </c>
      <c r="E322">
        <v>0.97043151445625897</v>
      </c>
      <c r="F322">
        <v>0.88287186910057802</v>
      </c>
      <c r="G322">
        <v>0.74386842595464597</v>
      </c>
      <c r="H322">
        <v>0.363920465963535</v>
      </c>
      <c r="I322">
        <v>0.17046885740971701</v>
      </c>
      <c r="J322">
        <v>0.101218839595038</v>
      </c>
      <c r="K322">
        <v>6.7741888969123407E-2</v>
      </c>
      <c r="L322">
        <v>1277.85609083847</v>
      </c>
      <c r="M322">
        <v>21.545233576773299</v>
      </c>
      <c r="N322">
        <v>59.434429268828303</v>
      </c>
      <c r="O322">
        <v>58.806517521997399</v>
      </c>
      <c r="P322">
        <v>-8.9582191049264501E-2</v>
      </c>
      <c r="Q322">
        <v>2.19851301409568E-2</v>
      </c>
      <c r="R322">
        <v>0.99727338411692001</v>
      </c>
      <c r="S322" t="s">
        <v>6148</v>
      </c>
      <c r="T322" t="s">
        <v>11650</v>
      </c>
      <c r="U322" t="s">
        <v>11650</v>
      </c>
      <c r="V322" t="s">
        <v>11650</v>
      </c>
      <c r="W322" t="s">
        <v>11967</v>
      </c>
      <c r="X322">
        <v>6</v>
      </c>
      <c r="Y322" t="s">
        <v>17730</v>
      </c>
      <c r="Z322" t="s">
        <v>23384</v>
      </c>
      <c r="AA322">
        <v>0.66047064255480126</v>
      </c>
      <c r="AB322" t="str">
        <f>HYPERLINK("Melting_Curves/meltCurve_C9JVN9_L2HGDH.pdf", "Melting_Curves/meltCurve_C9JVN9_L2HGDH.pdf")</f>
        <v>Melting_Curves/meltCurve_C9JVN9_L2HGDH.pdf</v>
      </c>
    </row>
    <row r="323" spans="1:28" x14ac:dyDescent="0.25">
      <c r="A323" t="s">
        <v>327</v>
      </c>
      <c r="B323">
        <v>0.99996721820229495</v>
      </c>
      <c r="C323">
        <v>0.98904092957011003</v>
      </c>
      <c r="D323">
        <v>1.2070644316464401</v>
      </c>
      <c r="E323">
        <v>1.2901732783108899</v>
      </c>
      <c r="F323">
        <v>2.00165652806814</v>
      </c>
      <c r="G323">
        <v>1.65741140073144</v>
      </c>
      <c r="H323">
        <v>1.22874515911703</v>
      </c>
      <c r="I323">
        <v>1.1127906944211501</v>
      </c>
      <c r="J323">
        <v>0.89437888633331297</v>
      </c>
      <c r="K323">
        <v>0.85348383971882202</v>
      </c>
      <c r="L323">
        <v>15000</v>
      </c>
      <c r="M323">
        <v>224.82748928526999</v>
      </c>
      <c r="O323">
        <v>66.712542380175705</v>
      </c>
      <c r="P323">
        <v>-0.12346402964410701</v>
      </c>
      <c r="Q323">
        <v>0.85345921570574301</v>
      </c>
      <c r="R323">
        <v>-0.402052379107116</v>
      </c>
      <c r="S323" t="s">
        <v>6149</v>
      </c>
      <c r="T323" t="s">
        <v>11650</v>
      </c>
      <c r="U323" t="s">
        <v>11650</v>
      </c>
      <c r="V323" t="s">
        <v>11650</v>
      </c>
      <c r="W323" t="s">
        <v>11968</v>
      </c>
      <c r="X323">
        <v>1</v>
      </c>
      <c r="Y323" t="s">
        <v>17731</v>
      </c>
      <c r="Z323" t="s">
        <v>23385</v>
      </c>
      <c r="AA323">
        <v>0.98398873394316222</v>
      </c>
      <c r="AB323" t="str">
        <f>HYPERLINK("Melting_Curves/meltCurve_C9JX83_MPHOSPH10.pdf", "Melting_Curves/meltCurve_C9JX83_MPHOSPH10.pdf")</f>
        <v>Melting_Curves/meltCurve_C9JX83_MPHOSPH10.pdf</v>
      </c>
    </row>
    <row r="324" spans="1:28" x14ac:dyDescent="0.25">
      <c r="A324" t="s">
        <v>328</v>
      </c>
      <c r="B324">
        <v>0.99996721820229495</v>
      </c>
      <c r="C324">
        <v>1.0286374125722999</v>
      </c>
      <c r="D324">
        <v>1.10773226509425</v>
      </c>
      <c r="E324">
        <v>1.08677746770716</v>
      </c>
      <c r="F324">
        <v>0.64576433949946099</v>
      </c>
      <c r="G324">
        <v>0.47678435647214201</v>
      </c>
      <c r="H324">
        <v>0.25705971821690998</v>
      </c>
      <c r="I324">
        <v>0.15021988671796899</v>
      </c>
      <c r="J324">
        <v>0.111492080289554</v>
      </c>
      <c r="K324">
        <v>8.9064136794791804E-2</v>
      </c>
      <c r="L324">
        <v>1178.7308778762499</v>
      </c>
      <c r="M324">
        <v>21.141451518109001</v>
      </c>
      <c r="N324">
        <v>56.325366084732899</v>
      </c>
      <c r="O324">
        <v>55.262841569358699</v>
      </c>
      <c r="P324">
        <v>-8.6419444696651901E-2</v>
      </c>
      <c r="Q324">
        <v>9.6436800189812905E-2</v>
      </c>
      <c r="R324">
        <v>0.96453386385599005</v>
      </c>
      <c r="S324" t="s">
        <v>6150</v>
      </c>
      <c r="T324" t="s">
        <v>11650</v>
      </c>
      <c r="U324" t="s">
        <v>11650</v>
      </c>
      <c r="V324" t="s">
        <v>11650</v>
      </c>
      <c r="W324" t="s">
        <v>11969</v>
      </c>
      <c r="X324">
        <v>6</v>
      </c>
      <c r="Y324" t="s">
        <v>17732</v>
      </c>
      <c r="Z324" t="s">
        <v>23386</v>
      </c>
      <c r="AA324">
        <v>0.58179297825185494</v>
      </c>
      <c r="AB324" t="str">
        <f>HYPERLINK("Melting_Curves/meltCurve_C9JXB8_RPL24.pdf", "Melting_Curves/meltCurve_C9JXB8_RPL24.pdf")</f>
        <v>Melting_Curves/meltCurve_C9JXB8_RPL24.pdf</v>
      </c>
    </row>
    <row r="325" spans="1:28" x14ac:dyDescent="0.25">
      <c r="A325" t="s">
        <v>329</v>
      </c>
      <c r="B325">
        <v>0.99996721820229495</v>
      </c>
      <c r="C325">
        <v>0.95675193676070502</v>
      </c>
      <c r="D325">
        <v>0.92660438322679695</v>
      </c>
      <c r="E325">
        <v>0.96012872221159895</v>
      </c>
      <c r="F325">
        <v>0.93544734042297595</v>
      </c>
      <c r="G325">
        <v>0.79613682579031897</v>
      </c>
      <c r="H325">
        <v>0.40744529831256998</v>
      </c>
      <c r="I325">
        <v>0.24843619103098599</v>
      </c>
      <c r="J325">
        <v>0.152776220867191</v>
      </c>
      <c r="K325">
        <v>0.156413554853887</v>
      </c>
      <c r="L325">
        <v>1540.90962466359</v>
      </c>
      <c r="M325">
        <v>25.954043076998499</v>
      </c>
      <c r="N325">
        <v>60.042222828466699</v>
      </c>
      <c r="O325">
        <v>59.021611517500901</v>
      </c>
      <c r="P325">
        <v>-9.6087030992846004E-2</v>
      </c>
      <c r="Q325">
        <v>0.125971371495461</v>
      </c>
      <c r="R325">
        <v>0.99171672377310005</v>
      </c>
      <c r="S325" t="s">
        <v>6151</v>
      </c>
      <c r="T325" t="s">
        <v>11650</v>
      </c>
      <c r="U325" t="s">
        <v>11650</v>
      </c>
      <c r="V325" t="s">
        <v>11650</v>
      </c>
      <c r="W325" t="s">
        <v>11970</v>
      </c>
      <c r="X325">
        <v>12</v>
      </c>
      <c r="Y325" t="s">
        <v>17733</v>
      </c>
      <c r="Z325" t="s">
        <v>23387</v>
      </c>
      <c r="AA325">
        <v>0.69697990177882418</v>
      </c>
      <c r="AB325" t="str">
        <f>HYPERLINK("Melting_Curves/meltCurve_C9JXK9_LPP.pdf", "Melting_Curves/meltCurve_C9JXK9_LPP.pdf")</f>
        <v>Melting_Curves/meltCurve_C9JXK9_LPP.pdf</v>
      </c>
    </row>
    <row r="326" spans="1:28" x14ac:dyDescent="0.25">
      <c r="A326" t="s">
        <v>330</v>
      </c>
      <c r="B326">
        <v>0.99996721820229495</v>
      </c>
      <c r="C326">
        <v>1.05503861545672</v>
      </c>
      <c r="D326">
        <v>0.96630899802550096</v>
      </c>
      <c r="E326">
        <v>0.92954724103611397</v>
      </c>
      <c r="F326">
        <v>1.2991599968406999</v>
      </c>
      <c r="G326">
        <v>1.2621386645660599</v>
      </c>
      <c r="H326">
        <v>0.78315901324544202</v>
      </c>
      <c r="I326">
        <v>0.42667387720071698</v>
      </c>
      <c r="J326">
        <v>0.31716214822859801</v>
      </c>
      <c r="K326">
        <v>0.194414177858026</v>
      </c>
      <c r="L326">
        <v>3019.25247749857</v>
      </c>
      <c r="M326">
        <v>48.367325452861401</v>
      </c>
      <c r="N326">
        <v>63.282076050988401</v>
      </c>
      <c r="O326">
        <v>62.316959630404199</v>
      </c>
      <c r="P326">
        <v>-0.147347934737038</v>
      </c>
      <c r="Q326">
        <v>0.240622350318279</v>
      </c>
      <c r="R326">
        <v>0.868168999231548</v>
      </c>
      <c r="S326" t="s">
        <v>6152</v>
      </c>
      <c r="T326" t="s">
        <v>11650</v>
      </c>
      <c r="U326" t="s">
        <v>11650</v>
      </c>
      <c r="V326" t="s">
        <v>11650</v>
      </c>
      <c r="W326" t="s">
        <v>11971</v>
      </c>
      <c r="X326">
        <v>2</v>
      </c>
      <c r="Y326" t="s">
        <v>17734</v>
      </c>
      <c r="Z326" t="s">
        <v>23388</v>
      </c>
      <c r="AA326">
        <v>0.81022267114854052</v>
      </c>
      <c r="AB326" t="str">
        <f>HYPERLINK("Melting_Curves/meltCurve_C9JYM0_POP7.pdf", "Melting_Curves/meltCurve_C9JYM0_POP7.pdf")</f>
        <v>Melting_Curves/meltCurve_C9JYM0_POP7.pdf</v>
      </c>
    </row>
    <row r="327" spans="1:28" x14ac:dyDescent="0.25">
      <c r="A327" t="s">
        <v>331</v>
      </c>
      <c r="B327">
        <v>0.99996721820229495</v>
      </c>
      <c r="C327">
        <v>0.86735931059745197</v>
      </c>
      <c r="D327">
        <v>1.1054338867581499</v>
      </c>
      <c r="E327">
        <v>1.0029188711845101</v>
      </c>
      <c r="F327">
        <v>0.97127211355754495</v>
      </c>
      <c r="G327">
        <v>0.89469238258164796</v>
      </c>
      <c r="H327">
        <v>0.74727470253462103</v>
      </c>
      <c r="I327">
        <v>1.0436100784731599</v>
      </c>
      <c r="J327">
        <v>0.83514799574917298</v>
      </c>
      <c r="K327">
        <v>0.84258040167257198</v>
      </c>
      <c r="L327">
        <v>2663.7308626806798</v>
      </c>
      <c r="M327">
        <v>48.823904583109602</v>
      </c>
      <c r="O327">
        <v>54.466645769336601</v>
      </c>
      <c r="P327">
        <v>-2.9275210398030101E-2</v>
      </c>
      <c r="Q327">
        <v>0.869365583979821</v>
      </c>
      <c r="R327">
        <v>0.31245000013917101</v>
      </c>
      <c r="S327" t="s">
        <v>6153</v>
      </c>
      <c r="T327" t="s">
        <v>11650</v>
      </c>
      <c r="U327" t="s">
        <v>11650</v>
      </c>
      <c r="V327" t="s">
        <v>11650</v>
      </c>
      <c r="W327" t="s">
        <v>11972</v>
      </c>
      <c r="X327">
        <v>1</v>
      </c>
      <c r="Y327" t="s">
        <v>17735</v>
      </c>
      <c r="Z327" t="s">
        <v>23389</v>
      </c>
      <c r="AA327">
        <v>0.93308740217739472</v>
      </c>
      <c r="AB327" t="str">
        <f>HYPERLINK("Melting_Curves/meltCurve_C9JYN0_SYPL1.pdf", "Melting_Curves/meltCurve_C9JYN0_SYPL1.pdf")</f>
        <v>Melting_Curves/meltCurve_C9JYN0_SYPL1.pdf</v>
      </c>
    </row>
    <row r="328" spans="1:28" x14ac:dyDescent="0.25">
      <c r="A328" t="s">
        <v>332</v>
      </c>
      <c r="B328">
        <v>0.99996721820229495</v>
      </c>
      <c r="C328">
        <v>1.3127250666705499</v>
      </c>
      <c r="D328">
        <v>1.42538324855469</v>
      </c>
      <c r="E328">
        <v>1.8662997785306299</v>
      </c>
      <c r="F328">
        <v>1.7456053441692301</v>
      </c>
      <c r="G328">
        <v>2.8651858831411801</v>
      </c>
      <c r="H328">
        <v>1.1234388733398799</v>
      </c>
      <c r="I328">
        <v>0.208706370430737</v>
      </c>
      <c r="J328">
        <v>7.1544967471803805E-2</v>
      </c>
      <c r="K328">
        <v>0.14867817264230401</v>
      </c>
      <c r="L328">
        <v>15000</v>
      </c>
      <c r="M328">
        <v>236.45613202365001</v>
      </c>
      <c r="N328">
        <v>63.503499166029897</v>
      </c>
      <c r="O328">
        <v>63.432176129860601</v>
      </c>
      <c r="P328">
        <v>-0.82934662612743804</v>
      </c>
      <c r="Q328">
        <v>0.11007152682196</v>
      </c>
      <c r="R328">
        <v>0.27185732912249899</v>
      </c>
      <c r="S328" t="s">
        <v>6154</v>
      </c>
      <c r="T328" t="s">
        <v>11650</v>
      </c>
      <c r="U328" t="s">
        <v>11650</v>
      </c>
      <c r="V328" t="s">
        <v>11650</v>
      </c>
      <c r="W328" t="s">
        <v>11973</v>
      </c>
      <c r="X328">
        <v>2</v>
      </c>
      <c r="Y328" t="s">
        <v>17736</v>
      </c>
      <c r="Z328" t="s">
        <v>23390</v>
      </c>
      <c r="AA328">
        <v>0.80541558171432281</v>
      </c>
      <c r="AB328" t="str">
        <f>HYPERLINK("Melting_Curves/meltCurve_C9JYY6_NRCAM.pdf", "Melting_Curves/meltCurve_C9JYY6_NRCAM.pdf")</f>
        <v>Melting_Curves/meltCurve_C9JYY6_NRCAM.pdf</v>
      </c>
    </row>
    <row r="329" spans="1:28" x14ac:dyDescent="0.25">
      <c r="A329" t="s">
        <v>333</v>
      </c>
      <c r="B329">
        <v>0.99996721820229495</v>
      </c>
      <c r="C329">
        <v>0.89572434097350995</v>
      </c>
      <c r="D329">
        <v>0.854438663258133</v>
      </c>
      <c r="E329">
        <v>0.63389422221896397</v>
      </c>
      <c r="F329">
        <v>0.35746830056418899</v>
      </c>
      <c r="G329">
        <v>0.251012757352857</v>
      </c>
      <c r="H329">
        <v>0.151288732914105</v>
      </c>
      <c r="I329">
        <v>7.7351725026859094E-2</v>
      </c>
      <c r="J329">
        <v>6.2769570019756499E-2</v>
      </c>
      <c r="K329">
        <v>3.60461684127244E-2</v>
      </c>
      <c r="L329">
        <v>695.56171311606295</v>
      </c>
      <c r="M329">
        <v>13.5295414269105</v>
      </c>
      <c r="N329">
        <v>51.585927381108803</v>
      </c>
      <c r="O329">
        <v>50.326415041265598</v>
      </c>
      <c r="P329">
        <v>-6.5708519935801998E-2</v>
      </c>
      <c r="Q329">
        <v>2.24723018307652E-2</v>
      </c>
      <c r="R329">
        <v>0.99380480759664802</v>
      </c>
      <c r="S329" t="s">
        <v>6155</v>
      </c>
      <c r="T329" t="s">
        <v>11650</v>
      </c>
      <c r="U329" t="s">
        <v>11650</v>
      </c>
      <c r="V329" t="s">
        <v>11650</v>
      </c>
      <c r="W329" t="s">
        <v>11974</v>
      </c>
      <c r="X329">
        <v>3</v>
      </c>
      <c r="Y329" t="s">
        <v>17737</v>
      </c>
      <c r="Z329" t="s">
        <v>23391</v>
      </c>
      <c r="AA329">
        <v>0.42043977387445047</v>
      </c>
      <c r="AB329" t="str">
        <f>HYPERLINK("Melting_Curves/meltCurve_C9JZB0_INPP5K.pdf", "Melting_Curves/meltCurve_C9JZB0_INPP5K.pdf")</f>
        <v>Melting_Curves/meltCurve_C9JZB0_INPP5K.pdf</v>
      </c>
    </row>
    <row r="330" spans="1:28" x14ac:dyDescent="0.25">
      <c r="A330" t="s">
        <v>334</v>
      </c>
      <c r="B330">
        <v>0.99996721820229495</v>
      </c>
      <c r="C330">
        <v>1.0702705809900299</v>
      </c>
      <c r="D330">
        <v>0.88205299697817796</v>
      </c>
      <c r="E330">
        <v>0.80061878832137101</v>
      </c>
      <c r="F330">
        <v>0.54350647007169695</v>
      </c>
      <c r="G330">
        <v>0.54660064600022495</v>
      </c>
      <c r="H330">
        <v>0.30915264044947099</v>
      </c>
      <c r="I330">
        <v>0.25306788646492301</v>
      </c>
      <c r="J330">
        <v>0.14046073989889599</v>
      </c>
      <c r="K330">
        <v>0.13104829051734301</v>
      </c>
      <c r="L330">
        <v>575.188161888492</v>
      </c>
      <c r="M330">
        <v>10.2609280726395</v>
      </c>
      <c r="N330">
        <v>56.244256842293098</v>
      </c>
      <c r="O330">
        <v>54.052216684987698</v>
      </c>
      <c r="P330">
        <v>-4.6678476588855003E-2</v>
      </c>
      <c r="Q330">
        <v>1.6867235254260201E-2</v>
      </c>
      <c r="R330">
        <v>0.97117445200846897</v>
      </c>
      <c r="S330" t="s">
        <v>6156</v>
      </c>
      <c r="T330" t="s">
        <v>11650</v>
      </c>
      <c r="U330" t="s">
        <v>11650</v>
      </c>
      <c r="V330" t="s">
        <v>11650</v>
      </c>
      <c r="W330" t="s">
        <v>11975</v>
      </c>
      <c r="X330">
        <v>3</v>
      </c>
      <c r="Y330" t="s">
        <v>17738</v>
      </c>
      <c r="Z330" t="s">
        <v>23392</v>
      </c>
      <c r="AA330">
        <v>0.56351740606322442</v>
      </c>
      <c r="AB330" t="str">
        <f>HYPERLINK("Melting_Curves/meltCurve_C9JZI1_RFC4.pdf", "Melting_Curves/meltCurve_C9JZI1_RFC4.pdf")</f>
        <v>Melting_Curves/meltCurve_C9JZI1_RFC4.pdf</v>
      </c>
    </row>
    <row r="331" spans="1:28" x14ac:dyDescent="0.25">
      <c r="A331" t="s">
        <v>335</v>
      </c>
      <c r="B331">
        <v>0.99996721820229495</v>
      </c>
      <c r="C331">
        <v>0.782881233498681</v>
      </c>
      <c r="D331">
        <v>0.32901063508683098</v>
      </c>
      <c r="E331">
        <v>0.208744504457191</v>
      </c>
      <c r="F331">
        <v>0.17103123482923399</v>
      </c>
      <c r="G331">
        <v>0.12343208246083601</v>
      </c>
      <c r="H331">
        <v>7.5898819779597795E-2</v>
      </c>
      <c r="I331">
        <v>3.0417631651300101E-2</v>
      </c>
      <c r="J331">
        <v>1.38888393242102E-2</v>
      </c>
      <c r="K331">
        <v>1.9935363243609699E-2</v>
      </c>
      <c r="L331">
        <v>1122.76141466184</v>
      </c>
      <c r="M331">
        <v>25.1025782712207</v>
      </c>
      <c r="N331">
        <v>45.017074852727397</v>
      </c>
      <c r="O331">
        <v>44.445986416279801</v>
      </c>
      <c r="P331">
        <v>-0.130653274765726</v>
      </c>
      <c r="Q331">
        <v>7.4686793226920997E-2</v>
      </c>
      <c r="R331">
        <v>0.97400616154184205</v>
      </c>
      <c r="S331" t="s">
        <v>6157</v>
      </c>
      <c r="T331" t="s">
        <v>11650</v>
      </c>
      <c r="U331" t="s">
        <v>11650</v>
      </c>
      <c r="V331" t="s">
        <v>11650</v>
      </c>
      <c r="W331" t="s">
        <v>11976</v>
      </c>
      <c r="X331">
        <v>2</v>
      </c>
      <c r="Y331" t="s">
        <v>17739</v>
      </c>
      <c r="Z331" t="s">
        <v>23393</v>
      </c>
      <c r="AA331">
        <v>0.22989679899620519</v>
      </c>
      <c r="AB331" t="str">
        <f>HYPERLINK("Melting_Curves/meltCurve_C9JZY3_PCBP4.pdf", "Melting_Curves/meltCurve_C9JZY3_PCBP4.pdf")</f>
        <v>Melting_Curves/meltCurve_C9JZY3_PCBP4.pdf</v>
      </c>
    </row>
    <row r="332" spans="1:28" x14ac:dyDescent="0.25">
      <c r="A332" t="s">
        <v>336</v>
      </c>
      <c r="B332">
        <v>0.99996721820229495</v>
      </c>
      <c r="C332">
        <v>0.99599857658379298</v>
      </c>
      <c r="D332">
        <v>0.917755677801119</v>
      </c>
      <c r="E332">
        <v>1.0749797054001</v>
      </c>
      <c r="F332">
        <v>0.84668463281251505</v>
      </c>
      <c r="G332">
        <v>0.54026888505049997</v>
      </c>
      <c r="H332">
        <v>0.323242735111331</v>
      </c>
      <c r="I332">
        <v>0.22078653106399701</v>
      </c>
      <c r="J332">
        <v>0.14315030920500599</v>
      </c>
      <c r="K332">
        <v>0.121320260886411</v>
      </c>
      <c r="L332">
        <v>1263.5205629066099</v>
      </c>
      <c r="M332">
        <v>22.138811823994001</v>
      </c>
      <c r="N332">
        <v>57.825071460358998</v>
      </c>
      <c r="O332">
        <v>56.613110215298398</v>
      </c>
      <c r="P332">
        <v>-8.5530732248158006E-2</v>
      </c>
      <c r="Q332">
        <v>0.125146383182484</v>
      </c>
      <c r="R332">
        <v>0.98419223424801305</v>
      </c>
      <c r="S332" t="s">
        <v>6158</v>
      </c>
      <c r="T332" t="s">
        <v>11650</v>
      </c>
      <c r="U332" t="s">
        <v>11650</v>
      </c>
      <c r="V332" t="s">
        <v>11650</v>
      </c>
      <c r="W332" t="s">
        <v>11977</v>
      </c>
      <c r="X332">
        <v>6</v>
      </c>
      <c r="Y332" t="s">
        <v>17740</v>
      </c>
      <c r="Z332" t="s">
        <v>23394</v>
      </c>
      <c r="AA332">
        <v>0.63239212426038516</v>
      </c>
      <c r="AB332" t="str">
        <f>HYPERLINK("Melting_Curves/meltCurve_C9JZY6_UBE2H.pdf", "Melting_Curves/meltCurve_C9JZY6_UBE2H.pdf")</f>
        <v>Melting_Curves/meltCurve_C9JZY6_UBE2H.pdf</v>
      </c>
    </row>
    <row r="333" spans="1:28" x14ac:dyDescent="0.25">
      <c r="A333" t="s">
        <v>337</v>
      </c>
      <c r="B333">
        <v>0.99996721820229495</v>
      </c>
      <c r="C333">
        <v>1.02245173715607</v>
      </c>
      <c r="D333">
        <v>1.0215765503685801</v>
      </c>
      <c r="E333">
        <v>0.96998325975981303</v>
      </c>
      <c r="F333">
        <v>0.93507069966226397</v>
      </c>
      <c r="G333">
        <v>0.78225779392343697</v>
      </c>
      <c r="H333">
        <v>0.51264486319536096</v>
      </c>
      <c r="I333">
        <v>0.39430032551385902</v>
      </c>
      <c r="J333">
        <v>0.326972706236966</v>
      </c>
      <c r="K333">
        <v>0.238208286884664</v>
      </c>
      <c r="L333">
        <v>1116.1723315984</v>
      </c>
      <c r="M333">
        <v>18.673727092476302</v>
      </c>
      <c r="N333">
        <v>61.5609727289144</v>
      </c>
      <c r="O333">
        <v>59.099519307358101</v>
      </c>
      <c r="P333">
        <v>-6.24566578979159E-2</v>
      </c>
      <c r="Q333">
        <v>0.20937025374797399</v>
      </c>
      <c r="R333">
        <v>0.99703148516751705</v>
      </c>
      <c r="S333" t="s">
        <v>6159</v>
      </c>
      <c r="T333" t="s">
        <v>11650</v>
      </c>
      <c r="U333" t="s">
        <v>11650</v>
      </c>
      <c r="V333" t="s">
        <v>11650</v>
      </c>
      <c r="W333" t="s">
        <v>11978</v>
      </c>
      <c r="X333">
        <v>25</v>
      </c>
      <c r="Y333" t="s">
        <v>17741</v>
      </c>
      <c r="Z333" t="s">
        <v>23395</v>
      </c>
      <c r="AA333">
        <v>0.73747600690159654</v>
      </c>
      <c r="AB333" t="str">
        <f>HYPERLINK("Melting_Curves/meltCurve_C9K0J5_RAPH1.pdf", "Melting_Curves/meltCurve_C9K0J5_RAPH1.pdf")</f>
        <v>Melting_Curves/meltCurve_C9K0J5_RAPH1.pdf</v>
      </c>
    </row>
    <row r="334" spans="1:28" x14ac:dyDescent="0.25">
      <c r="A334" t="s">
        <v>338</v>
      </c>
      <c r="B334">
        <v>0.99996721820229495</v>
      </c>
      <c r="C334">
        <v>1.1216214241431499</v>
      </c>
      <c r="D334">
        <v>0.81175755213831902</v>
      </c>
      <c r="E334">
        <v>0.49966182714417801</v>
      </c>
      <c r="F334">
        <v>0.50742786987823496</v>
      </c>
      <c r="G334">
        <v>0.38771864153829899</v>
      </c>
      <c r="H334">
        <v>0.22886921274991301</v>
      </c>
      <c r="I334">
        <v>0.15443803635631601</v>
      </c>
      <c r="J334">
        <v>0.156390281591926</v>
      </c>
      <c r="K334">
        <v>0.10375595462720701</v>
      </c>
      <c r="L334">
        <v>665.410586756714</v>
      </c>
      <c r="M334">
        <v>12.9722997629682</v>
      </c>
      <c r="N334">
        <v>52.3486196007592</v>
      </c>
      <c r="O334">
        <v>50.121640722740501</v>
      </c>
      <c r="P334">
        <v>-5.7278404846912601E-2</v>
      </c>
      <c r="Q334">
        <v>0.114921002945748</v>
      </c>
      <c r="R334">
        <v>0.94734176867795805</v>
      </c>
      <c r="S334" t="s">
        <v>6160</v>
      </c>
      <c r="T334" t="s">
        <v>11650</v>
      </c>
      <c r="U334" t="s">
        <v>11650</v>
      </c>
      <c r="V334" t="s">
        <v>11650</v>
      </c>
      <c r="W334" t="s">
        <v>11979</v>
      </c>
      <c r="X334">
        <v>3</v>
      </c>
      <c r="Y334" t="s">
        <v>17742</v>
      </c>
      <c r="Z334" t="s">
        <v>23396</v>
      </c>
      <c r="AA334">
        <v>0.47350265530473751</v>
      </c>
      <c r="AB334" t="str">
        <f>HYPERLINK("Melting_Curves/meltCurve_C9K0X5_SNUPN.pdf", "Melting_Curves/meltCurve_C9K0X5_SNUPN.pdf")</f>
        <v>Melting_Curves/meltCurve_C9K0X5_SNUPN.pdf</v>
      </c>
    </row>
    <row r="335" spans="1:28" x14ac:dyDescent="0.25">
      <c r="A335" t="s">
        <v>339</v>
      </c>
      <c r="B335">
        <v>0.99996721820229495</v>
      </c>
      <c r="C335">
        <v>0.78775524029199395</v>
      </c>
      <c r="D335">
        <v>0.56581148353497202</v>
      </c>
      <c r="E335">
        <v>0.41209261427129301</v>
      </c>
      <c r="F335">
        <v>0.706507598372205</v>
      </c>
      <c r="G335">
        <v>0.47092032237224701</v>
      </c>
      <c r="H335">
        <v>0.31526388933694799</v>
      </c>
      <c r="I335">
        <v>0.18369309516101201</v>
      </c>
      <c r="J335">
        <v>0.12473011439022499</v>
      </c>
      <c r="K335">
        <v>0.119993574967365</v>
      </c>
      <c r="L335">
        <v>335.41979957407898</v>
      </c>
      <c r="M335">
        <v>6.41026004623766</v>
      </c>
      <c r="N335">
        <v>52.325458646822398</v>
      </c>
      <c r="O335">
        <v>47.9293966314643</v>
      </c>
      <c r="P335">
        <v>-3.3521344098571597E-2</v>
      </c>
      <c r="Q335">
        <v>0</v>
      </c>
      <c r="R335">
        <v>0.83257541939387703</v>
      </c>
      <c r="S335" t="s">
        <v>6161</v>
      </c>
      <c r="T335" t="s">
        <v>11650</v>
      </c>
      <c r="U335" t="s">
        <v>11650</v>
      </c>
      <c r="V335" t="s">
        <v>11650</v>
      </c>
      <c r="W335" t="s">
        <v>11980</v>
      </c>
      <c r="X335">
        <v>4</v>
      </c>
      <c r="Y335" t="s">
        <v>17743</v>
      </c>
      <c r="Z335" t="s">
        <v>23397</v>
      </c>
      <c r="AA335">
        <v>0.46350839234570629</v>
      </c>
      <c r="AB335" t="str">
        <f>HYPERLINK("Melting_Curves/meltCurve_D0FY33_BTN3A3.pdf", "Melting_Curves/meltCurve_D0FY33_BTN3A3.pdf")</f>
        <v>Melting_Curves/meltCurve_D0FY33_BTN3A3.pdf</v>
      </c>
    </row>
    <row r="336" spans="1:28" x14ac:dyDescent="0.25">
      <c r="A336" t="s">
        <v>340</v>
      </c>
      <c r="B336">
        <v>0.99996721820229495</v>
      </c>
      <c r="C336">
        <v>0.963944955503797</v>
      </c>
      <c r="D336">
        <v>1.0656063808012</v>
      </c>
      <c r="E336">
        <v>1.2447904928049101</v>
      </c>
      <c r="F336">
        <v>1.54224236826459</v>
      </c>
      <c r="G336">
        <v>2.4809968562465299</v>
      </c>
      <c r="H336">
        <v>1.94726235818245</v>
      </c>
      <c r="I336">
        <v>1.4527776572804301</v>
      </c>
      <c r="J336">
        <v>1.33812123430609</v>
      </c>
      <c r="K336">
        <v>1.01068862965054</v>
      </c>
      <c r="L336">
        <v>12502.0840570733</v>
      </c>
      <c r="M336">
        <v>250</v>
      </c>
      <c r="O336">
        <v>50.005136041996103</v>
      </c>
      <c r="P336">
        <v>0.62493580699561602</v>
      </c>
      <c r="Q336">
        <v>1.5</v>
      </c>
      <c r="R336">
        <v>0.325784132727923</v>
      </c>
      <c r="S336" t="s">
        <v>6162</v>
      </c>
      <c r="T336" t="s">
        <v>11650</v>
      </c>
      <c r="U336" t="s">
        <v>11650</v>
      </c>
      <c r="V336" t="s">
        <v>11650</v>
      </c>
      <c r="W336" t="s">
        <v>11840</v>
      </c>
      <c r="X336">
        <v>2</v>
      </c>
      <c r="Y336" t="s">
        <v>17744</v>
      </c>
      <c r="Z336" t="s">
        <v>23398</v>
      </c>
      <c r="AA336">
        <v>1.3331505142692239</v>
      </c>
      <c r="AB336" t="str">
        <f>HYPERLINK("Melting_Curves/meltCurve_D3DPN2_SDC3.pdf", "Melting_Curves/meltCurve_D3DPN2_SDC3.pdf")</f>
        <v>Melting_Curves/meltCurve_D3DPN2_SDC3.pdf</v>
      </c>
    </row>
    <row r="337" spans="1:28" x14ac:dyDescent="0.25">
      <c r="A337" t="s">
        <v>341</v>
      </c>
      <c r="B337">
        <v>0.99996721820229495</v>
      </c>
      <c r="C337">
        <v>0.92581891344731804</v>
      </c>
      <c r="D337">
        <v>0.58504097061623395</v>
      </c>
      <c r="E337">
        <v>0.26990585538759199</v>
      </c>
      <c r="F337">
        <v>0.23869242413732</v>
      </c>
      <c r="G337">
        <v>0.19200277588439801</v>
      </c>
      <c r="H337">
        <v>0.121504206902339</v>
      </c>
      <c r="I337">
        <v>9.1508907591845406E-2</v>
      </c>
      <c r="J337">
        <v>6.9471410797267097E-2</v>
      </c>
      <c r="K337">
        <v>5.9478681239744001E-2</v>
      </c>
      <c r="L337">
        <v>953.09553666243301</v>
      </c>
      <c r="M337">
        <v>20.399593467950201</v>
      </c>
      <c r="N337">
        <v>47.269271770305501</v>
      </c>
      <c r="O337">
        <v>46.279276161522198</v>
      </c>
      <c r="P337">
        <v>-9.8597370559845604E-2</v>
      </c>
      <c r="Q337">
        <v>0.105300287494433</v>
      </c>
      <c r="R337">
        <v>0.98492433282743097</v>
      </c>
      <c r="S337" t="s">
        <v>6163</v>
      </c>
      <c r="T337" t="s">
        <v>11650</v>
      </c>
      <c r="U337" t="s">
        <v>11650</v>
      </c>
      <c r="V337" t="s">
        <v>11650</v>
      </c>
      <c r="W337" t="s">
        <v>11981</v>
      </c>
      <c r="X337">
        <v>29</v>
      </c>
      <c r="Y337" t="s">
        <v>17745</v>
      </c>
      <c r="Z337" t="s">
        <v>23399</v>
      </c>
      <c r="AA337">
        <v>0.31843679894107829</v>
      </c>
      <c r="AB337" t="str">
        <f>HYPERLINK("Melting_Curves/meltCurve_D3DQV9_EIF4G2.pdf", "Melting_Curves/meltCurve_D3DQV9_EIF4G2.pdf")</f>
        <v>Melting_Curves/meltCurve_D3DQV9_EIF4G2.pdf</v>
      </c>
    </row>
    <row r="338" spans="1:28" x14ac:dyDescent="0.25">
      <c r="A338" t="s">
        <v>342</v>
      </c>
      <c r="B338">
        <v>0.99996721820229495</v>
      </c>
      <c r="C338">
        <v>0.952730727137857</v>
      </c>
      <c r="D338">
        <v>0.61599620971028801</v>
      </c>
      <c r="E338">
        <v>0.35505638617789897</v>
      </c>
      <c r="F338">
        <v>0.52334751931159296</v>
      </c>
      <c r="G338">
        <v>0.520323812838002</v>
      </c>
      <c r="H338">
        <v>0.229302194457084</v>
      </c>
      <c r="I338">
        <v>0.11781410712962199</v>
      </c>
      <c r="J338">
        <v>0.12032389634152101</v>
      </c>
      <c r="K338">
        <v>7.2107438887970596E-2</v>
      </c>
      <c r="L338">
        <v>407.59382830268203</v>
      </c>
      <c r="M338">
        <v>7.9023615288496503</v>
      </c>
      <c r="N338">
        <v>51.578733895103099</v>
      </c>
      <c r="O338">
        <v>48.589260795045298</v>
      </c>
      <c r="P338">
        <v>-4.0707132974957198E-2</v>
      </c>
      <c r="Q338">
        <v>0</v>
      </c>
      <c r="R338">
        <v>0.87305884651084598</v>
      </c>
      <c r="S338" t="s">
        <v>6164</v>
      </c>
      <c r="T338" t="s">
        <v>11650</v>
      </c>
      <c r="U338" t="s">
        <v>11650</v>
      </c>
      <c r="V338" t="s">
        <v>11650</v>
      </c>
      <c r="W338" t="s">
        <v>11982</v>
      </c>
      <c r="X338">
        <v>2</v>
      </c>
      <c r="Y338" t="s">
        <v>17746</v>
      </c>
      <c r="Z338" t="s">
        <v>23400</v>
      </c>
      <c r="AA338">
        <v>0.43628380641199399</v>
      </c>
      <c r="AB338" t="str">
        <f>HYPERLINK("Melting_Curves/meltCurve_D3DR31_IFIT1.pdf", "Melting_Curves/meltCurve_D3DR31_IFIT1.pdf")</f>
        <v>Melting_Curves/meltCurve_D3DR31_IFIT1.pdf</v>
      </c>
    </row>
    <row r="339" spans="1:28" x14ac:dyDescent="0.25">
      <c r="A339" t="s">
        <v>343</v>
      </c>
      <c r="B339">
        <v>0.99996721820229495</v>
      </c>
      <c r="C339">
        <v>0.93048915243304797</v>
      </c>
      <c r="D339">
        <v>0.89122764449463798</v>
      </c>
      <c r="E339">
        <v>1.12509444447157</v>
      </c>
      <c r="F339">
        <v>1.1350446672021399</v>
      </c>
      <c r="G339">
        <v>0.68466031810519301</v>
      </c>
      <c r="H339">
        <v>0.37518818968712703</v>
      </c>
      <c r="I339">
        <v>0.19861891562312201</v>
      </c>
      <c r="J339">
        <v>9.1574905633158996E-2</v>
      </c>
      <c r="K339">
        <v>9.3308548275104694E-2</v>
      </c>
      <c r="L339">
        <v>1719.8551823932301</v>
      </c>
      <c r="M339">
        <v>29.161020491648099</v>
      </c>
      <c r="N339">
        <v>59.388651623587897</v>
      </c>
      <c r="O339">
        <v>58.702615836179199</v>
      </c>
      <c r="P339">
        <v>-0.112848397986603</v>
      </c>
      <c r="Q339">
        <v>9.1328448640770707E-2</v>
      </c>
      <c r="R339">
        <v>0.95723391428097304</v>
      </c>
      <c r="S339" t="s">
        <v>6165</v>
      </c>
      <c r="T339" t="s">
        <v>11650</v>
      </c>
      <c r="U339" t="s">
        <v>11650</v>
      </c>
      <c r="V339" t="s">
        <v>11650</v>
      </c>
      <c r="W339" t="s">
        <v>11983</v>
      </c>
      <c r="X339">
        <v>3</v>
      </c>
      <c r="Y339" t="s">
        <v>17747</v>
      </c>
      <c r="Z339" t="s">
        <v>23401</v>
      </c>
      <c r="AA339">
        <v>0.67222651919603271</v>
      </c>
      <c r="AB339" t="str">
        <f>HYPERLINK("Melting_Curves/meltCurve_D3YTB1_RPL32.pdf", "Melting_Curves/meltCurve_D3YTB1_RPL32.pdf")</f>
        <v>Melting_Curves/meltCurve_D3YTB1_RPL32.pdf</v>
      </c>
    </row>
    <row r="340" spans="1:28" x14ac:dyDescent="0.25">
      <c r="A340" t="s">
        <v>344</v>
      </c>
      <c r="B340">
        <v>0.99996721820229495</v>
      </c>
      <c r="C340">
        <v>0.97126448843202196</v>
      </c>
      <c r="D340">
        <v>0.92688728624931005</v>
      </c>
      <c r="E340">
        <v>0.76865798613039304</v>
      </c>
      <c r="F340">
        <v>0.77062005257561805</v>
      </c>
      <c r="G340">
        <v>0.42451769716761001</v>
      </c>
      <c r="H340">
        <v>0.22435967041140401</v>
      </c>
      <c r="I340">
        <v>0.16366409376254501</v>
      </c>
      <c r="J340">
        <v>0.127534065105844</v>
      </c>
      <c r="K340">
        <v>0.11819460132436201</v>
      </c>
      <c r="L340">
        <v>792.85043364883302</v>
      </c>
      <c r="M340">
        <v>14.2709295486108</v>
      </c>
      <c r="N340">
        <v>55.949203405203399</v>
      </c>
      <c r="O340">
        <v>54.500276961383697</v>
      </c>
      <c r="P340">
        <v>-6.2354439146247102E-2</v>
      </c>
      <c r="Q340">
        <v>4.7597567016259203E-2</v>
      </c>
      <c r="R340">
        <v>0.98762688825550604</v>
      </c>
      <c r="S340" t="s">
        <v>6166</v>
      </c>
      <c r="T340" t="s">
        <v>11650</v>
      </c>
      <c r="U340" t="s">
        <v>11650</v>
      </c>
      <c r="V340" t="s">
        <v>11650</v>
      </c>
      <c r="W340" t="s">
        <v>11984</v>
      </c>
      <c r="X340">
        <v>4</v>
      </c>
      <c r="Y340" t="s">
        <v>17748</v>
      </c>
      <c r="Z340" t="s">
        <v>23402</v>
      </c>
      <c r="AA340">
        <v>0.55988093251135573</v>
      </c>
      <c r="AB340" t="str">
        <f>HYPERLINK("Melting_Curves/meltCurve_D3YTG6_NDOR1.pdf", "Melting_Curves/meltCurve_D3YTG6_NDOR1.pdf")</f>
        <v>Melting_Curves/meltCurve_D3YTG6_NDOR1.pdf</v>
      </c>
    </row>
    <row r="341" spans="1:28" x14ac:dyDescent="0.25">
      <c r="A341" t="s">
        <v>345</v>
      </c>
      <c r="B341">
        <v>0.99996721820229495</v>
      </c>
      <c r="C341">
        <v>0.67576047631140002</v>
      </c>
      <c r="D341">
        <v>0.79134938501388297</v>
      </c>
      <c r="E341">
        <v>0.69199863122704797</v>
      </c>
      <c r="F341">
        <v>0.39219524181618398</v>
      </c>
      <c r="G341">
        <v>0.19033857478052499</v>
      </c>
      <c r="H341">
        <v>0.11871404107325501</v>
      </c>
      <c r="I341">
        <v>9.9380781034841104E-2</v>
      </c>
      <c r="J341">
        <v>6.3887569337139599E-2</v>
      </c>
      <c r="K341">
        <v>5.0675383102999502E-2</v>
      </c>
      <c r="L341">
        <v>544.41953414594502</v>
      </c>
      <c r="M341">
        <v>10.6582671155043</v>
      </c>
      <c r="N341">
        <v>51.079530204511101</v>
      </c>
      <c r="O341">
        <v>49.379860678452999</v>
      </c>
      <c r="P341">
        <v>-5.3981160656718097E-2</v>
      </c>
      <c r="Q341">
        <v>0</v>
      </c>
      <c r="R341">
        <v>0.93817121100888601</v>
      </c>
      <c r="S341" t="s">
        <v>6167</v>
      </c>
      <c r="T341" t="s">
        <v>11650</v>
      </c>
      <c r="U341" t="s">
        <v>11650</v>
      </c>
      <c r="V341" t="s">
        <v>11650</v>
      </c>
      <c r="W341" t="s">
        <v>11985</v>
      </c>
      <c r="X341">
        <v>4</v>
      </c>
      <c r="Y341" t="s">
        <v>17749</v>
      </c>
      <c r="Z341" t="s">
        <v>23403</v>
      </c>
      <c r="AA341">
        <v>0.4074386641929611</v>
      </c>
      <c r="AB341" t="str">
        <f>HYPERLINK("Melting_Curves/meltCurve_D3YTI9_TAPBP.pdf", "Melting_Curves/meltCurve_D3YTI9_TAPBP.pdf")</f>
        <v>Melting_Curves/meltCurve_D3YTI9_TAPBP.pdf</v>
      </c>
    </row>
    <row r="342" spans="1:28" x14ac:dyDescent="0.25">
      <c r="A342" t="s">
        <v>346</v>
      </c>
      <c r="B342">
        <v>0.99996721820229495</v>
      </c>
      <c r="C342">
        <v>0.93558967486114297</v>
      </c>
      <c r="D342">
        <v>0.91876379625263305</v>
      </c>
      <c r="E342">
        <v>0.97733879879139496</v>
      </c>
      <c r="F342">
        <v>0.88664033768005901</v>
      </c>
      <c r="G342">
        <v>0.66345501363195003</v>
      </c>
      <c r="H342">
        <v>0.29551070695563902</v>
      </c>
      <c r="I342">
        <v>0.193964519769627</v>
      </c>
      <c r="J342">
        <v>0.16504312546077099</v>
      </c>
      <c r="K342">
        <v>0.12465041539173501</v>
      </c>
      <c r="L342">
        <v>1367.90499736983</v>
      </c>
      <c r="M342">
        <v>23.627542807827599</v>
      </c>
      <c r="N342">
        <v>58.532291669363303</v>
      </c>
      <c r="O342">
        <v>57.484575212968899</v>
      </c>
      <c r="P342">
        <v>-9.1095590444060695E-2</v>
      </c>
      <c r="Q342">
        <v>0.113491694030947</v>
      </c>
      <c r="R342">
        <v>0.990222963675638</v>
      </c>
      <c r="S342" t="s">
        <v>6168</v>
      </c>
      <c r="T342" t="s">
        <v>11650</v>
      </c>
      <c r="U342" t="s">
        <v>11650</v>
      </c>
      <c r="V342" t="s">
        <v>11650</v>
      </c>
      <c r="W342" t="s">
        <v>11986</v>
      </c>
      <c r="X342">
        <v>20</v>
      </c>
      <c r="Y342" t="s">
        <v>17750</v>
      </c>
      <c r="Z342" t="s">
        <v>23404</v>
      </c>
      <c r="AA342">
        <v>0.65064605112780605</v>
      </c>
      <c r="AB342" t="str">
        <f>HYPERLINK("Melting_Curves/meltCurve_D6R938_CAMK2D.pdf", "Melting_Curves/meltCurve_D6R938_CAMK2D.pdf")</f>
        <v>Melting_Curves/meltCurve_D6R938_CAMK2D.pdf</v>
      </c>
    </row>
    <row r="343" spans="1:28" x14ac:dyDescent="0.25">
      <c r="A343" t="s">
        <v>347</v>
      </c>
      <c r="B343">
        <v>0.99996721820229495</v>
      </c>
      <c r="C343">
        <v>0.80999546367625896</v>
      </c>
      <c r="D343">
        <v>0.56862154750725002</v>
      </c>
      <c r="E343">
        <v>0.36613302331970599</v>
      </c>
      <c r="F343">
        <v>0.51366062869823503</v>
      </c>
      <c r="G343">
        <v>0.45473212026681298</v>
      </c>
      <c r="H343">
        <v>0.376740205783475</v>
      </c>
      <c r="I343">
        <v>0.54013820436248206</v>
      </c>
      <c r="J343">
        <v>0.63586958587545095</v>
      </c>
      <c r="K343">
        <v>0.41866417066080303</v>
      </c>
      <c r="L343">
        <v>1597.6269004338001</v>
      </c>
      <c r="M343">
        <v>36.585727105238902</v>
      </c>
      <c r="N343">
        <v>47.509399566994198</v>
      </c>
      <c r="O343">
        <v>43.538190435939697</v>
      </c>
      <c r="P343">
        <v>-0.11049272502551601</v>
      </c>
      <c r="Q343">
        <v>0.47404203125913202</v>
      </c>
      <c r="R343">
        <v>0.839589283210742</v>
      </c>
      <c r="S343" t="s">
        <v>6169</v>
      </c>
      <c r="T343" t="s">
        <v>11650</v>
      </c>
      <c r="U343" t="s">
        <v>11650</v>
      </c>
      <c r="V343" t="s">
        <v>11650</v>
      </c>
      <c r="W343" t="s">
        <v>11987</v>
      </c>
      <c r="X343">
        <v>4</v>
      </c>
      <c r="Y343" t="s">
        <v>17751</v>
      </c>
      <c r="Z343" t="s">
        <v>23405</v>
      </c>
      <c r="AA343">
        <v>0.54082551717942462</v>
      </c>
      <c r="AB343" t="str">
        <f>HYPERLINK("Melting_Curves/meltCurve_D6R991_MATR3.pdf", "Melting_Curves/meltCurve_D6R991_MATR3.pdf")</f>
        <v>Melting_Curves/meltCurve_D6R991_MATR3.pdf</v>
      </c>
    </row>
    <row r="344" spans="1:28" x14ac:dyDescent="0.25">
      <c r="A344" t="s">
        <v>348</v>
      </c>
      <c r="B344">
        <v>0.99996721820229495</v>
      </c>
      <c r="C344">
        <v>1.02663856895238</v>
      </c>
      <c r="D344">
        <v>0.98640717727460803</v>
      </c>
      <c r="E344">
        <v>0.92112752313225699</v>
      </c>
      <c r="F344">
        <v>1.1586497081031499</v>
      </c>
      <c r="G344">
        <v>1.12855725928666</v>
      </c>
      <c r="H344">
        <v>0.65081775364924499</v>
      </c>
      <c r="I344">
        <v>0.58156141222227398</v>
      </c>
      <c r="J344">
        <v>0.57184712743280397</v>
      </c>
      <c r="K344">
        <v>0.36234296248838899</v>
      </c>
      <c r="L344">
        <v>6909.1465972046699</v>
      </c>
      <c r="M344">
        <v>114.122744224914</v>
      </c>
      <c r="O344">
        <v>60.5227799291794</v>
      </c>
      <c r="P344">
        <v>-0.233540281753566</v>
      </c>
      <c r="Q344">
        <v>0.50458581490071197</v>
      </c>
      <c r="R344">
        <v>0.88245903765885203</v>
      </c>
      <c r="S344" t="s">
        <v>6170</v>
      </c>
      <c r="T344" t="s">
        <v>11650</v>
      </c>
      <c r="U344" t="s">
        <v>11650</v>
      </c>
      <c r="V344" t="s">
        <v>11650</v>
      </c>
      <c r="W344" t="s">
        <v>11988</v>
      </c>
      <c r="X344">
        <v>4</v>
      </c>
      <c r="Y344" t="s">
        <v>17752</v>
      </c>
      <c r="Z344" t="s">
        <v>23406</v>
      </c>
      <c r="AA344">
        <v>0.84405472631440615</v>
      </c>
      <c r="AB344" t="str">
        <f>HYPERLINK("Melting_Curves/meltCurve_D6R9X7_ERCC6.pdf", "Melting_Curves/meltCurve_D6R9X7_ERCC6.pdf")</f>
        <v>Melting_Curves/meltCurve_D6R9X7_ERCC6.pdf</v>
      </c>
    </row>
    <row r="345" spans="1:28" x14ac:dyDescent="0.25">
      <c r="A345" t="s">
        <v>349</v>
      </c>
      <c r="B345">
        <v>0.99996721820229495</v>
      </c>
      <c r="C345">
        <v>0.92263870762036004</v>
      </c>
      <c r="D345">
        <v>0.95078540344294804</v>
      </c>
      <c r="E345">
        <v>1.1858930963263901</v>
      </c>
      <c r="F345">
        <v>1.72385779665554</v>
      </c>
      <c r="G345">
        <v>2.3774683015760099</v>
      </c>
      <c r="H345">
        <v>2.66483381990236</v>
      </c>
      <c r="I345">
        <v>4.2174425050270399</v>
      </c>
      <c r="J345">
        <v>5.0770666070145403</v>
      </c>
      <c r="K345">
        <v>4.6137006844586397</v>
      </c>
      <c r="L345">
        <v>12526.227627373801</v>
      </c>
      <c r="M345">
        <v>250</v>
      </c>
      <c r="O345">
        <v>50.101703329100303</v>
      </c>
      <c r="P345">
        <v>0.62373127981711496</v>
      </c>
      <c r="Q345">
        <v>1.5</v>
      </c>
      <c r="R345">
        <v>-0.360725587803784</v>
      </c>
      <c r="S345" t="s">
        <v>6171</v>
      </c>
      <c r="T345" t="s">
        <v>11650</v>
      </c>
      <c r="U345" t="s">
        <v>11650</v>
      </c>
      <c r="V345" t="s">
        <v>11650</v>
      </c>
      <c r="W345" t="s">
        <v>11989</v>
      </c>
      <c r="X345">
        <v>3</v>
      </c>
      <c r="Y345" t="s">
        <v>17753</v>
      </c>
      <c r="Z345" t="s">
        <v>23407</v>
      </c>
      <c r="AA345">
        <v>1.3315408581726771</v>
      </c>
      <c r="AB345" t="str">
        <f>HYPERLINK("Melting_Curves/meltCurve_D6R9Z7_COX7C.pdf", "Melting_Curves/meltCurve_D6R9Z7_COX7C.pdf")</f>
        <v>Melting_Curves/meltCurve_D6R9Z7_COX7C.pdf</v>
      </c>
    </row>
    <row r="346" spans="1:28" x14ac:dyDescent="0.25">
      <c r="A346" t="s">
        <v>350</v>
      </c>
      <c r="B346">
        <v>0.99996721820229495</v>
      </c>
      <c r="C346">
        <v>1.1710432021269099</v>
      </c>
      <c r="D346">
        <v>1.52073631790689</v>
      </c>
      <c r="E346">
        <v>2.0659399431270402</v>
      </c>
      <c r="F346">
        <v>1.1905835692246101</v>
      </c>
      <c r="G346">
        <v>1.0794067641102001</v>
      </c>
      <c r="H346">
        <v>0.61375731037105097</v>
      </c>
      <c r="I346">
        <v>0.60187169400333096</v>
      </c>
      <c r="J346">
        <v>0.23554535973596399</v>
      </c>
      <c r="K346">
        <v>0.130639650242623</v>
      </c>
      <c r="L346">
        <v>1633.8848327094499</v>
      </c>
      <c r="M346">
        <v>25.645461783610202</v>
      </c>
      <c r="N346">
        <v>63.976613949578102</v>
      </c>
      <c r="O346">
        <v>63.326908399538397</v>
      </c>
      <c r="P346">
        <v>-9.6121545731237296E-2</v>
      </c>
      <c r="Q346">
        <v>5.0591574339772301E-2</v>
      </c>
      <c r="R346">
        <v>0.50898028328540001</v>
      </c>
      <c r="S346" t="s">
        <v>6172</v>
      </c>
      <c r="T346" t="s">
        <v>11650</v>
      </c>
      <c r="U346" t="s">
        <v>11650</v>
      </c>
      <c r="V346" t="s">
        <v>11650</v>
      </c>
      <c r="W346" t="s">
        <v>11990</v>
      </c>
      <c r="X346">
        <v>1</v>
      </c>
      <c r="Y346" t="s">
        <v>17754</v>
      </c>
      <c r="Z346" t="s">
        <v>23408</v>
      </c>
      <c r="AA346">
        <v>0.80131460107930463</v>
      </c>
      <c r="AB346" t="str">
        <f>HYPERLINK("Melting_Curves/meltCurve_D6RA26_PLRG1.pdf", "Melting_Curves/meltCurve_D6RA26_PLRG1.pdf")</f>
        <v>Melting_Curves/meltCurve_D6RA26_PLRG1.pdf</v>
      </c>
    </row>
    <row r="347" spans="1:28" x14ac:dyDescent="0.25">
      <c r="A347" t="s">
        <v>351</v>
      </c>
      <c r="B347">
        <v>0.99996721820229495</v>
      </c>
      <c r="C347">
        <v>1.0046929986225499</v>
      </c>
      <c r="D347">
        <v>1.02370926778653</v>
      </c>
      <c r="E347">
        <v>0.89884748295550998</v>
      </c>
      <c r="F347">
        <v>0.70384088038105297</v>
      </c>
      <c r="G347">
        <v>0.44070924863886701</v>
      </c>
      <c r="H347">
        <v>0.19115776968433601</v>
      </c>
      <c r="I347">
        <v>0.10842865529620099</v>
      </c>
      <c r="J347">
        <v>7.7563592713537396E-2</v>
      </c>
      <c r="K347">
        <v>7.1117548576803802E-2</v>
      </c>
      <c r="L347">
        <v>1032.5505560578899</v>
      </c>
      <c r="M347">
        <v>18.549483994092899</v>
      </c>
      <c r="N347">
        <v>55.917102701173299</v>
      </c>
      <c r="O347">
        <v>55.029809059410397</v>
      </c>
      <c r="P347">
        <v>-8.0888770439078703E-2</v>
      </c>
      <c r="Q347">
        <v>4.0167687032916698E-2</v>
      </c>
      <c r="R347">
        <v>0.99785884649549905</v>
      </c>
      <c r="S347" t="s">
        <v>6173</v>
      </c>
      <c r="T347" t="s">
        <v>11650</v>
      </c>
      <c r="U347" t="s">
        <v>11650</v>
      </c>
      <c r="V347" t="s">
        <v>11650</v>
      </c>
      <c r="W347" t="s">
        <v>11991</v>
      </c>
      <c r="X347">
        <v>3</v>
      </c>
      <c r="Y347" t="s">
        <v>17755</v>
      </c>
      <c r="Z347" t="s">
        <v>23409</v>
      </c>
      <c r="AA347">
        <v>0.55521314750883344</v>
      </c>
      <c r="AB347" t="str">
        <f>HYPERLINK("Melting_Curves/meltCurve_D6RB81_AMACR.pdf", "Melting_Curves/meltCurve_D6RB81_AMACR.pdf")</f>
        <v>Melting_Curves/meltCurve_D6RB81_AMACR.pdf</v>
      </c>
    </row>
    <row r="348" spans="1:28" x14ac:dyDescent="0.25">
      <c r="A348" t="s">
        <v>352</v>
      </c>
      <c r="B348">
        <v>0.99996721820229495</v>
      </c>
      <c r="C348">
        <v>1.08539310687109</v>
      </c>
      <c r="D348">
        <v>0.98493855652608597</v>
      </c>
      <c r="E348">
        <v>0.85122566093841701</v>
      </c>
      <c r="F348">
        <v>0.66671056314467103</v>
      </c>
      <c r="G348">
        <v>0.399181841304729</v>
      </c>
      <c r="H348">
        <v>0.189299988188534</v>
      </c>
      <c r="I348">
        <v>0.131121945761697</v>
      </c>
      <c r="J348">
        <v>0.104212977085133</v>
      </c>
      <c r="K348">
        <v>8.3252081508742803E-2</v>
      </c>
      <c r="L348">
        <v>984.59739266114696</v>
      </c>
      <c r="M348">
        <v>17.939949316591001</v>
      </c>
      <c r="N348">
        <v>55.315851085759697</v>
      </c>
      <c r="O348">
        <v>54.214657034968802</v>
      </c>
      <c r="P348">
        <v>-7.73123323562252E-2</v>
      </c>
      <c r="Q348">
        <v>6.5493254696397496E-2</v>
      </c>
      <c r="R348">
        <v>0.99400863055230904</v>
      </c>
      <c r="S348" t="s">
        <v>6174</v>
      </c>
      <c r="T348" t="s">
        <v>11650</v>
      </c>
      <c r="U348" t="s">
        <v>11650</v>
      </c>
      <c r="V348" t="s">
        <v>11650</v>
      </c>
      <c r="W348" t="s">
        <v>11992</v>
      </c>
      <c r="X348">
        <v>12</v>
      </c>
      <c r="Y348" t="s">
        <v>17756</v>
      </c>
      <c r="Z348" t="s">
        <v>23410</v>
      </c>
      <c r="AA348">
        <v>0.54369083032182275</v>
      </c>
      <c r="AB348" t="str">
        <f>HYPERLINK("Melting_Curves/meltCurve_D6RBW1_EIF4E.pdf", "Melting_Curves/meltCurve_D6RBW1_EIF4E.pdf")</f>
        <v>Melting_Curves/meltCurve_D6RBW1_EIF4E.pdf</v>
      </c>
    </row>
    <row r="349" spans="1:28" x14ac:dyDescent="0.25">
      <c r="A349" t="s">
        <v>353</v>
      </c>
      <c r="B349">
        <v>0.99996721820229495</v>
      </c>
      <c r="C349">
        <v>0.998947692569924</v>
      </c>
      <c r="D349">
        <v>1.00345644969839</v>
      </c>
      <c r="E349">
        <v>0.86275254963364301</v>
      </c>
      <c r="F349">
        <v>0.71022914407228399</v>
      </c>
      <c r="G349">
        <v>0.34099222650718303</v>
      </c>
      <c r="H349">
        <v>0.196165540287768</v>
      </c>
      <c r="I349">
        <v>0.133391007469703</v>
      </c>
      <c r="J349">
        <v>9.2548144699724999E-2</v>
      </c>
      <c r="K349">
        <v>6.7188621963324702E-2</v>
      </c>
      <c r="L349">
        <v>1102.7278140231399</v>
      </c>
      <c r="M349">
        <v>20.117584006554701</v>
      </c>
      <c r="N349">
        <v>55.235363867844399</v>
      </c>
      <c r="O349">
        <v>54.281136206863302</v>
      </c>
      <c r="P349">
        <v>-8.6068156567579504E-2</v>
      </c>
      <c r="Q349">
        <v>7.1115404291442405E-2</v>
      </c>
      <c r="R349">
        <v>0.99823144814646303</v>
      </c>
      <c r="S349" t="s">
        <v>6175</v>
      </c>
      <c r="T349" t="s">
        <v>11650</v>
      </c>
      <c r="U349" t="s">
        <v>11650</v>
      </c>
      <c r="V349" t="s">
        <v>11650</v>
      </c>
      <c r="W349" t="s">
        <v>11993</v>
      </c>
      <c r="X349">
        <v>9</v>
      </c>
      <c r="Y349" t="s">
        <v>17757</v>
      </c>
      <c r="Z349" t="s">
        <v>23411</v>
      </c>
      <c r="AA349">
        <v>0.54211736195815718</v>
      </c>
      <c r="AB349" t="str">
        <f>HYPERLINK("Melting_Curves/meltCurve_D6RCD0_HSD17B11.pdf", "Melting_Curves/meltCurve_D6RCD0_HSD17B11.pdf")</f>
        <v>Melting_Curves/meltCurve_D6RCD0_HSD17B11.pdf</v>
      </c>
    </row>
    <row r="350" spans="1:28" x14ac:dyDescent="0.25">
      <c r="A350" t="s">
        <v>354</v>
      </c>
      <c r="B350">
        <v>0.99996721820229495</v>
      </c>
      <c r="C350">
        <v>0.75814039782272902</v>
      </c>
      <c r="D350">
        <v>0.68362974392352305</v>
      </c>
      <c r="E350">
        <v>1.03843057855395</v>
      </c>
      <c r="F350">
        <v>0.70677089988861697</v>
      </c>
      <c r="G350">
        <v>0.361889558121338</v>
      </c>
      <c r="H350">
        <v>0.22311003498483101</v>
      </c>
      <c r="I350">
        <v>0.27808746425288899</v>
      </c>
      <c r="J350">
        <v>0.14344727671438401</v>
      </c>
      <c r="K350">
        <v>0.113794837281553</v>
      </c>
      <c r="L350">
        <v>601.05997228848003</v>
      </c>
      <c r="M350">
        <v>10.7083036897029</v>
      </c>
      <c r="N350">
        <v>56.130282429249299</v>
      </c>
      <c r="O350">
        <v>54.278976377509402</v>
      </c>
      <c r="P350">
        <v>-4.9339131051748003E-2</v>
      </c>
      <c r="Q350">
        <v>0</v>
      </c>
      <c r="R350">
        <v>0.83473984613687002</v>
      </c>
      <c r="S350" t="s">
        <v>6176</v>
      </c>
      <c r="T350" t="s">
        <v>11650</v>
      </c>
      <c r="U350" t="s">
        <v>11650</v>
      </c>
      <c r="V350" t="s">
        <v>11650</v>
      </c>
      <c r="W350" t="s">
        <v>11994</v>
      </c>
      <c r="X350">
        <v>4</v>
      </c>
      <c r="Y350" t="s">
        <v>17758</v>
      </c>
      <c r="Z350" t="s">
        <v>23412</v>
      </c>
      <c r="AA350">
        <v>0.55811669665337715</v>
      </c>
      <c r="AB350" t="str">
        <f>HYPERLINK("Melting_Curves/meltCurve_D6RCM8_TNFAIP8.pdf", "Melting_Curves/meltCurve_D6RCM8_TNFAIP8.pdf")</f>
        <v>Melting_Curves/meltCurve_D6RCM8_TNFAIP8.pdf</v>
      </c>
    </row>
    <row r="351" spans="1:28" x14ac:dyDescent="0.25">
      <c r="A351" t="s">
        <v>355</v>
      </c>
      <c r="B351">
        <v>0.99996721820229495</v>
      </c>
      <c r="C351">
        <v>0.98768409068823004</v>
      </c>
      <c r="D351">
        <v>0.85192188891743104</v>
      </c>
      <c r="E351">
        <v>0.53420010901876203</v>
      </c>
      <c r="F351">
        <v>0.59831236336715998</v>
      </c>
      <c r="G351">
        <v>0.56704030519576298</v>
      </c>
      <c r="H351">
        <v>0.39454220809447899</v>
      </c>
      <c r="I351">
        <v>0.39899321225105799</v>
      </c>
      <c r="J351">
        <v>0.34022536803093001</v>
      </c>
      <c r="K351">
        <v>0.26572355918985702</v>
      </c>
      <c r="L351">
        <v>531.07795051524101</v>
      </c>
      <c r="M351">
        <v>10.3992155903097</v>
      </c>
      <c r="N351">
        <v>55.667334064388797</v>
      </c>
      <c r="O351">
        <v>49.288872558650098</v>
      </c>
      <c r="P351">
        <v>-3.75600483153163E-2</v>
      </c>
      <c r="Q351">
        <v>0.288208861771234</v>
      </c>
      <c r="R351">
        <v>0.92973721601648895</v>
      </c>
      <c r="S351" t="s">
        <v>6177</v>
      </c>
      <c r="T351" t="s">
        <v>11650</v>
      </c>
      <c r="U351" t="s">
        <v>11650</v>
      </c>
      <c r="V351" t="s">
        <v>11650</v>
      </c>
      <c r="W351" t="s">
        <v>11995</v>
      </c>
      <c r="X351">
        <v>3</v>
      </c>
      <c r="Y351" t="s">
        <v>17759</v>
      </c>
      <c r="Z351" t="s">
        <v>23413</v>
      </c>
      <c r="AA351">
        <v>0.57886259417465102</v>
      </c>
      <c r="AB351" t="str">
        <f>HYPERLINK("Melting_Curves/meltCurve_D6RCP5_ARHGAP24.pdf", "Melting_Curves/meltCurve_D6RCP5_ARHGAP24.pdf")</f>
        <v>Melting_Curves/meltCurve_D6RCP5_ARHGAP24.pdf</v>
      </c>
    </row>
    <row r="352" spans="1:28" x14ac:dyDescent="0.25">
      <c r="A352" t="s">
        <v>356</v>
      </c>
      <c r="B352">
        <v>0.99996721820229495</v>
      </c>
      <c r="C352">
        <v>0.88390270603213905</v>
      </c>
      <c r="D352">
        <v>0.92845645759742701</v>
      </c>
      <c r="E352">
        <v>1.0109605902748</v>
      </c>
      <c r="F352">
        <v>1.2077575074896301</v>
      </c>
      <c r="G352">
        <v>1.0358271750363901</v>
      </c>
      <c r="H352">
        <v>0.86024183054551995</v>
      </c>
      <c r="I352">
        <v>0.67230384904919105</v>
      </c>
      <c r="J352">
        <v>0.64511496757623099</v>
      </c>
      <c r="K352">
        <v>0.417742501030897</v>
      </c>
      <c r="L352">
        <v>1511.9875209172801</v>
      </c>
      <c r="M352">
        <v>23.324684935233801</v>
      </c>
      <c r="N352">
        <v>68.538008773620604</v>
      </c>
      <c r="O352">
        <v>64.352623529430801</v>
      </c>
      <c r="P352">
        <v>-5.8106016449816299E-2</v>
      </c>
      <c r="Q352">
        <v>0.35875497445950899</v>
      </c>
      <c r="R352">
        <v>0.83499694034388605</v>
      </c>
      <c r="S352" t="s">
        <v>6178</v>
      </c>
      <c r="T352" t="s">
        <v>11650</v>
      </c>
      <c r="U352" t="s">
        <v>11650</v>
      </c>
      <c r="V352" t="s">
        <v>11650</v>
      </c>
      <c r="W352" t="s">
        <v>11996</v>
      </c>
      <c r="X352">
        <v>1</v>
      </c>
      <c r="Y352" t="s">
        <v>17760</v>
      </c>
      <c r="Z352" t="s">
        <v>23414</v>
      </c>
      <c r="AA352">
        <v>0.88530909454849982</v>
      </c>
      <c r="AB352" t="str">
        <f>HYPERLINK("Melting_Curves/meltCurve_D6RD47_RPS23.pdf", "Melting_Curves/meltCurve_D6RD47_RPS23.pdf")</f>
        <v>Melting_Curves/meltCurve_D6RD47_RPS23.pdf</v>
      </c>
    </row>
    <row r="353" spans="1:28" x14ac:dyDescent="0.25">
      <c r="A353" t="s">
        <v>357</v>
      </c>
      <c r="B353">
        <v>0.99996721820229495</v>
      </c>
      <c r="C353">
        <v>1.03114252377254</v>
      </c>
      <c r="D353">
        <v>0.94764132374640997</v>
      </c>
      <c r="E353">
        <v>0.82938524251400503</v>
      </c>
      <c r="F353">
        <v>0.79980003648702003</v>
      </c>
      <c r="G353">
        <v>0.62950175618822402</v>
      </c>
      <c r="H353">
        <v>0.314047751441144</v>
      </c>
      <c r="I353">
        <v>0.21203339269918201</v>
      </c>
      <c r="J353">
        <v>0.166459481919041</v>
      </c>
      <c r="K353">
        <v>0.12277643968721599</v>
      </c>
      <c r="L353">
        <v>758.62451661149203</v>
      </c>
      <c r="M353">
        <v>13.043258648208401</v>
      </c>
      <c r="N353">
        <v>58.216411959814202</v>
      </c>
      <c r="O353">
        <v>56.845968166887801</v>
      </c>
      <c r="P353">
        <v>-5.7025923748151901E-2</v>
      </c>
      <c r="Q353">
        <v>6.0371595675484304E-3</v>
      </c>
      <c r="R353">
        <v>0.98901523691828097</v>
      </c>
      <c r="S353" t="s">
        <v>6179</v>
      </c>
      <c r="T353" t="s">
        <v>11650</v>
      </c>
      <c r="U353" t="s">
        <v>11650</v>
      </c>
      <c r="V353" t="s">
        <v>11650</v>
      </c>
      <c r="W353" t="s">
        <v>11997</v>
      </c>
      <c r="X353">
        <v>3</v>
      </c>
      <c r="Y353" t="s">
        <v>17761</v>
      </c>
      <c r="Z353" t="s">
        <v>23415</v>
      </c>
      <c r="AA353">
        <v>0.62039167883734947</v>
      </c>
      <c r="AB353" t="str">
        <f>HYPERLINK("Melting_Curves/meltCurve_D6RDX3_ATG10.pdf", "Melting_Curves/meltCurve_D6RDX3_ATG10.pdf")</f>
        <v>Melting_Curves/meltCurve_D6RDX3_ATG10.pdf</v>
      </c>
    </row>
    <row r="354" spans="1:28" x14ac:dyDescent="0.25">
      <c r="A354" t="s">
        <v>358</v>
      </c>
      <c r="B354">
        <v>0.99996721820229495</v>
      </c>
      <c r="C354">
        <v>0.78649363251155602</v>
      </c>
      <c r="D354">
        <v>0.98119974309792002</v>
      </c>
      <c r="E354">
        <v>1.08499492404928</v>
      </c>
      <c r="F354">
        <v>1.6526533181699701</v>
      </c>
      <c r="G354">
        <v>1.6027356372013799</v>
      </c>
      <c r="H354">
        <v>1.31938139518918</v>
      </c>
      <c r="I354">
        <v>0.79997612897134096</v>
      </c>
      <c r="J354">
        <v>0.59975236625809403</v>
      </c>
      <c r="K354">
        <v>0.59937133605482895</v>
      </c>
      <c r="L354">
        <v>15000</v>
      </c>
      <c r="M354">
        <v>234.37288869905001</v>
      </c>
      <c r="O354">
        <v>63.995916639007604</v>
      </c>
      <c r="P354">
        <v>-0.36663869548698502</v>
      </c>
      <c r="Q354">
        <v>0.59955471847341202</v>
      </c>
      <c r="R354">
        <v>0.26614923762510501</v>
      </c>
      <c r="S354" t="s">
        <v>6180</v>
      </c>
      <c r="T354" t="s">
        <v>11650</v>
      </c>
      <c r="U354" t="s">
        <v>11650</v>
      </c>
      <c r="V354" t="s">
        <v>11650</v>
      </c>
      <c r="W354" t="s">
        <v>11998</v>
      </c>
      <c r="X354">
        <v>4</v>
      </c>
      <c r="Y354" t="s">
        <v>17762</v>
      </c>
      <c r="Z354" t="s">
        <v>23416</v>
      </c>
      <c r="AA354">
        <v>0.91996981679945233</v>
      </c>
      <c r="AB354" t="str">
        <f>HYPERLINK("Melting_Curves/meltCurve_D6RDX7_EMB.pdf", "Melting_Curves/meltCurve_D6RDX7_EMB.pdf")</f>
        <v>Melting_Curves/meltCurve_D6RDX7_EMB.pdf</v>
      </c>
    </row>
    <row r="355" spans="1:28" x14ac:dyDescent="0.25">
      <c r="A355" t="s">
        <v>359</v>
      </c>
      <c r="B355">
        <v>0.99996721820229495</v>
      </c>
      <c r="C355">
        <v>1.07142457606646</v>
      </c>
      <c r="D355">
        <v>0.961026698521384</v>
      </c>
      <c r="E355">
        <v>0.90598830002450603</v>
      </c>
      <c r="F355">
        <v>0.87892023003769404</v>
      </c>
      <c r="G355">
        <v>0.57965318575871605</v>
      </c>
      <c r="H355">
        <v>0.24588240063773401</v>
      </c>
      <c r="I355">
        <v>0.157293017632328</v>
      </c>
      <c r="J355">
        <v>0.123685899732197</v>
      </c>
      <c r="K355">
        <v>9.7292123400455094E-2</v>
      </c>
      <c r="L355">
        <v>1256.2394157542601</v>
      </c>
      <c r="M355">
        <v>21.932941790198001</v>
      </c>
      <c r="N355">
        <v>57.714923739299003</v>
      </c>
      <c r="O355">
        <v>56.806625860235897</v>
      </c>
      <c r="P355">
        <v>-8.9117799365899905E-2</v>
      </c>
      <c r="Q355">
        <v>7.6755653505743704E-2</v>
      </c>
      <c r="R355">
        <v>0.99272564366049698</v>
      </c>
      <c r="S355" t="s">
        <v>6181</v>
      </c>
      <c r="T355" t="s">
        <v>11650</v>
      </c>
      <c r="U355" t="s">
        <v>11650</v>
      </c>
      <c r="V355" t="s">
        <v>11650</v>
      </c>
      <c r="W355" t="s">
        <v>11999</v>
      </c>
      <c r="X355">
        <v>5</v>
      </c>
      <c r="Y355" t="s">
        <v>17763</v>
      </c>
      <c r="Z355" t="s">
        <v>23417</v>
      </c>
      <c r="AA355">
        <v>0.61835287831227503</v>
      </c>
      <c r="AB355" t="str">
        <f>HYPERLINK("Melting_Curves/meltCurve_D6RE84_ALG13.pdf", "Melting_Curves/meltCurve_D6RE84_ALG13.pdf")</f>
        <v>Melting_Curves/meltCurve_D6RE84_ALG13.pdf</v>
      </c>
    </row>
    <row r="356" spans="1:28" x14ac:dyDescent="0.25">
      <c r="A356" t="s">
        <v>360</v>
      </c>
      <c r="B356">
        <v>0.99996721820229495</v>
      </c>
      <c r="C356">
        <v>0.93888736796399097</v>
      </c>
      <c r="D356">
        <v>0.78592531939368304</v>
      </c>
      <c r="E356">
        <v>0.60049347330519198</v>
      </c>
      <c r="F356">
        <v>0.79810882112411197</v>
      </c>
      <c r="G356">
        <v>0.42095687035556301</v>
      </c>
      <c r="H356">
        <v>0.320018242678689</v>
      </c>
      <c r="I356">
        <v>5.8302399375139098E-2</v>
      </c>
      <c r="J356">
        <v>2.7152138685414901E-2</v>
      </c>
      <c r="K356">
        <v>0</v>
      </c>
      <c r="L356">
        <v>625.13817684975299</v>
      </c>
      <c r="M356">
        <v>11.391478257830199</v>
      </c>
      <c r="N356">
        <v>54.877704411976801</v>
      </c>
      <c r="O356">
        <v>53.268179041256303</v>
      </c>
      <c r="P356">
        <v>-5.3478628908422303E-2</v>
      </c>
      <c r="Q356">
        <v>0</v>
      </c>
      <c r="R356">
        <v>0.91895156965295499</v>
      </c>
      <c r="S356" t="s">
        <v>6182</v>
      </c>
      <c r="T356" t="s">
        <v>11650</v>
      </c>
      <c r="U356" t="s">
        <v>11650</v>
      </c>
      <c r="V356" t="s">
        <v>11650</v>
      </c>
      <c r="W356" t="s">
        <v>12000</v>
      </c>
      <c r="X356">
        <v>2</v>
      </c>
      <c r="Y356" t="s">
        <v>17764</v>
      </c>
      <c r="Z356" t="s">
        <v>23418</v>
      </c>
      <c r="AA356">
        <v>0.52057634443029532</v>
      </c>
      <c r="AB356" t="str">
        <f>HYPERLINK("Melting_Curves/meltCurve_D6REB5_IDUA.pdf", "Melting_Curves/meltCurve_D6REB5_IDUA.pdf")</f>
        <v>Melting_Curves/meltCurve_D6REB5_IDUA.pdf</v>
      </c>
    </row>
    <row r="357" spans="1:28" x14ac:dyDescent="0.25">
      <c r="A357" t="s">
        <v>361</v>
      </c>
      <c r="B357">
        <v>0.99996721820229495</v>
      </c>
      <c r="C357">
        <v>0.67209430654314894</v>
      </c>
      <c r="D357">
        <v>1.0227486361620699</v>
      </c>
      <c r="E357">
        <v>1.33697764451982</v>
      </c>
      <c r="F357">
        <v>2.3327767261011001</v>
      </c>
      <c r="G357">
        <v>2.9242328897635601</v>
      </c>
      <c r="H357">
        <v>2.7017144570460201</v>
      </c>
      <c r="I357">
        <v>2.2932950836800599</v>
      </c>
      <c r="J357">
        <v>1.7725949663370399</v>
      </c>
      <c r="K357">
        <v>1.82584058287328</v>
      </c>
      <c r="S357" t="s">
        <v>6183</v>
      </c>
      <c r="T357" t="s">
        <v>11650</v>
      </c>
      <c r="U357" t="s">
        <v>11651</v>
      </c>
      <c r="V357" t="s">
        <v>11650</v>
      </c>
      <c r="W357" t="s">
        <v>12001</v>
      </c>
      <c r="X357">
        <v>1</v>
      </c>
      <c r="Y357" t="s">
        <v>17765</v>
      </c>
      <c r="Z357" t="s">
        <v>23419</v>
      </c>
      <c r="AB357" t="str">
        <f>HYPERLINK("Melting_Curves/meltCurve_D6REL0_CDC42SE2.pdf", "Melting_Curves/meltCurve_D6REL0_CDC42SE2.pdf")</f>
        <v>Melting_Curves/meltCurve_D6REL0_CDC42SE2.pdf</v>
      </c>
    </row>
    <row r="358" spans="1:28" x14ac:dyDescent="0.25">
      <c r="A358" t="s">
        <v>362</v>
      </c>
      <c r="B358">
        <v>0.99996721820229495</v>
      </c>
      <c r="C358">
        <v>0.83276591610945105</v>
      </c>
      <c r="D358">
        <v>0.79344859301246196</v>
      </c>
      <c r="E358">
        <v>0.59231544384591195</v>
      </c>
      <c r="F358">
        <v>0.56893511802919705</v>
      </c>
      <c r="G358">
        <v>0.71243268320686604</v>
      </c>
      <c r="H358">
        <v>0.54765879973575005</v>
      </c>
      <c r="I358">
        <v>0.55316933393358003</v>
      </c>
      <c r="J358">
        <v>0.48081677830705899</v>
      </c>
      <c r="K358">
        <v>0.34273043176503698</v>
      </c>
      <c r="L358">
        <v>307.47766733194402</v>
      </c>
      <c r="M358">
        <v>5.90123026790552</v>
      </c>
      <c r="N358">
        <v>63.154495099937101</v>
      </c>
      <c r="O358">
        <v>47.060169815349397</v>
      </c>
      <c r="P358">
        <v>-2.1329324348238098E-2</v>
      </c>
      <c r="Q358">
        <v>0.32195497414849</v>
      </c>
      <c r="R358">
        <v>0.81630429566134</v>
      </c>
      <c r="S358" t="s">
        <v>6184</v>
      </c>
      <c r="T358" t="s">
        <v>11650</v>
      </c>
      <c r="U358" t="s">
        <v>11650</v>
      </c>
      <c r="V358" t="s">
        <v>11650</v>
      </c>
      <c r="W358" t="s">
        <v>12002</v>
      </c>
      <c r="X358">
        <v>1</v>
      </c>
      <c r="Y358" t="s">
        <v>17766</v>
      </c>
      <c r="Z358" t="s">
        <v>23420</v>
      </c>
      <c r="AA358">
        <v>0.6346042185734061</v>
      </c>
      <c r="AB358" t="str">
        <f>HYPERLINK("Melting_Curves/meltCurve_D6REP5_GRAMD3.pdf", "Melting_Curves/meltCurve_D6REP5_GRAMD3.pdf")</f>
        <v>Melting_Curves/meltCurve_D6REP5_GRAMD3.pdf</v>
      </c>
    </row>
    <row r="359" spans="1:28" x14ac:dyDescent="0.25">
      <c r="A359" t="s">
        <v>363</v>
      </c>
      <c r="B359">
        <v>0.99996721820229495</v>
      </c>
      <c r="C359">
        <v>1.0529402651440001</v>
      </c>
      <c r="D359">
        <v>0.9468021880834</v>
      </c>
      <c r="E359">
        <v>0.90461233435992106</v>
      </c>
      <c r="F359">
        <v>1.3057235343699001</v>
      </c>
      <c r="G359">
        <v>1.48215196652472</v>
      </c>
      <c r="H359">
        <v>1.0391425636118401</v>
      </c>
      <c r="I359">
        <v>0.56115231379671304</v>
      </c>
      <c r="J359">
        <v>0.54988780517349301</v>
      </c>
      <c r="K359">
        <v>0.35684888758702499</v>
      </c>
      <c r="L359">
        <v>15000</v>
      </c>
      <c r="M359">
        <v>235.77879535937799</v>
      </c>
      <c r="N359">
        <v>64.265530507024707</v>
      </c>
      <c r="O359">
        <v>63.614375397340503</v>
      </c>
      <c r="P359">
        <v>-0.50651214763129804</v>
      </c>
      <c r="Q359">
        <v>0.45336129373006001</v>
      </c>
      <c r="R359">
        <v>0.66801824726565595</v>
      </c>
      <c r="S359" t="s">
        <v>6185</v>
      </c>
      <c r="T359" t="s">
        <v>11650</v>
      </c>
      <c r="U359" t="s">
        <v>11650</v>
      </c>
      <c r="V359" t="s">
        <v>11650</v>
      </c>
      <c r="W359" t="s">
        <v>12003</v>
      </c>
      <c r="X359">
        <v>1</v>
      </c>
      <c r="Y359" t="s">
        <v>17767</v>
      </c>
      <c r="Z359" t="s">
        <v>23421</v>
      </c>
      <c r="AA359">
        <v>0.8837977017399794</v>
      </c>
      <c r="AB359" t="str">
        <f>HYPERLINK("Melting_Curves/meltCurve_D6RER8_SLC38A9.pdf", "Melting_Curves/meltCurve_D6RER8_SLC38A9.pdf")</f>
        <v>Melting_Curves/meltCurve_D6RER8_SLC38A9.pdf</v>
      </c>
    </row>
    <row r="360" spans="1:28" x14ac:dyDescent="0.25">
      <c r="A360" t="s">
        <v>364</v>
      </c>
      <c r="B360">
        <v>0.99996721820229495</v>
      </c>
      <c r="C360">
        <v>0.861917430430025</v>
      </c>
      <c r="D360">
        <v>0.90253921556210803</v>
      </c>
      <c r="E360">
        <v>0.78758736306496302</v>
      </c>
      <c r="F360">
        <v>0.47062877603515901</v>
      </c>
      <c r="G360">
        <v>0.32730499164018501</v>
      </c>
      <c r="H360">
        <v>0.14991766764287201</v>
      </c>
      <c r="I360">
        <v>9.85202926427306E-2</v>
      </c>
      <c r="J360">
        <v>7.5491099258196498E-2</v>
      </c>
      <c r="K360">
        <v>5.9912629651268597E-2</v>
      </c>
      <c r="L360">
        <v>728.15981173826799</v>
      </c>
      <c r="M360">
        <v>13.653401765970999</v>
      </c>
      <c r="N360">
        <v>53.443902992023602</v>
      </c>
      <c r="O360">
        <v>52.226682701379303</v>
      </c>
      <c r="P360">
        <v>-6.4442876439585101E-2</v>
      </c>
      <c r="Q360">
        <v>1.4121896878604601E-2</v>
      </c>
      <c r="R360">
        <v>0.98463517143106705</v>
      </c>
      <c r="S360" t="s">
        <v>6186</v>
      </c>
      <c r="T360" t="s">
        <v>11650</v>
      </c>
      <c r="U360" t="s">
        <v>11650</v>
      </c>
      <c r="V360" t="s">
        <v>11650</v>
      </c>
      <c r="W360" t="s">
        <v>12004</v>
      </c>
      <c r="X360">
        <v>30</v>
      </c>
      <c r="Y360" t="s">
        <v>17768</v>
      </c>
      <c r="Z360" t="s">
        <v>23422</v>
      </c>
      <c r="AA360">
        <v>0.47582891344318828</v>
      </c>
      <c r="AB360" t="str">
        <f>HYPERLINK("Melting_Curves/meltCurve_D6REX3_SEC31A.pdf", "Melting_Curves/meltCurve_D6REX3_SEC31A.pdf")</f>
        <v>Melting_Curves/meltCurve_D6REX3_SEC31A.pdf</v>
      </c>
    </row>
    <row r="361" spans="1:28" x14ac:dyDescent="0.25">
      <c r="A361" t="s">
        <v>365</v>
      </c>
      <c r="B361">
        <v>0.99996721820229495</v>
      </c>
      <c r="C361">
        <v>0.73416270309016096</v>
      </c>
      <c r="D361">
        <v>0.82225416500649495</v>
      </c>
      <c r="E361">
        <v>1.1077350497698699</v>
      </c>
      <c r="F361">
        <v>0.94695889162830305</v>
      </c>
      <c r="G361">
        <v>0.71339017250939396</v>
      </c>
      <c r="H361">
        <v>0.60748292249626301</v>
      </c>
      <c r="I361">
        <v>0.35253051185442802</v>
      </c>
      <c r="J361">
        <v>0.25641113715993402</v>
      </c>
      <c r="K361">
        <v>0.23161768716651701</v>
      </c>
      <c r="L361">
        <v>1040.70087659306</v>
      </c>
      <c r="M361">
        <v>17.1857807353386</v>
      </c>
      <c r="N361">
        <v>61.706028395425697</v>
      </c>
      <c r="O361">
        <v>59.753849054041702</v>
      </c>
      <c r="P361">
        <v>-6.2052630382837801E-2</v>
      </c>
      <c r="Q361">
        <v>0.137039158657109</v>
      </c>
      <c r="R361">
        <v>0.85346587183962797</v>
      </c>
      <c r="S361" t="s">
        <v>6187</v>
      </c>
      <c r="T361" t="s">
        <v>11650</v>
      </c>
      <c r="U361" t="s">
        <v>11650</v>
      </c>
      <c r="V361" t="s">
        <v>11650</v>
      </c>
      <c r="W361" t="s">
        <v>12005</v>
      </c>
      <c r="X361">
        <v>1</v>
      </c>
      <c r="Y361" t="s">
        <v>17769</v>
      </c>
      <c r="Z361" t="s">
        <v>23423</v>
      </c>
      <c r="AA361">
        <v>0.73380018314078166</v>
      </c>
      <c r="AB361" t="str">
        <f>HYPERLINK("Melting_Curves/meltCurve_D6REX7_SPRY1.pdf", "Melting_Curves/meltCurve_D6REX7_SPRY1.pdf")</f>
        <v>Melting_Curves/meltCurve_D6REX7_SPRY1.pdf</v>
      </c>
    </row>
    <row r="362" spans="1:28" x14ac:dyDescent="0.25">
      <c r="A362" t="s">
        <v>366</v>
      </c>
      <c r="B362">
        <v>0.99996721820229495</v>
      </c>
      <c r="C362">
        <v>0.86888583146315501</v>
      </c>
      <c r="D362">
        <v>0.96960040676743198</v>
      </c>
      <c r="E362">
        <v>0.73986947464324504</v>
      </c>
      <c r="F362">
        <v>0.39796290884558</v>
      </c>
      <c r="G362">
        <v>0.26706990779777301</v>
      </c>
      <c r="H362">
        <v>0.17846204086975301</v>
      </c>
      <c r="I362">
        <v>9.1571397326642504E-2</v>
      </c>
      <c r="J362">
        <v>7.07388778508036E-2</v>
      </c>
      <c r="K362">
        <v>6.6674308439316696E-2</v>
      </c>
      <c r="L362">
        <v>937.22757693850701</v>
      </c>
      <c r="M362">
        <v>17.9937040003623</v>
      </c>
      <c r="N362">
        <v>52.540398142544099</v>
      </c>
      <c r="O362">
        <v>51.455891452270798</v>
      </c>
      <c r="P362">
        <v>-8.1132874802171406E-2</v>
      </c>
      <c r="Q362">
        <v>7.1996233362060694E-2</v>
      </c>
      <c r="R362">
        <v>0.98206769529086402</v>
      </c>
      <c r="S362" t="s">
        <v>6188</v>
      </c>
      <c r="T362" t="s">
        <v>11650</v>
      </c>
      <c r="U362" t="s">
        <v>11650</v>
      </c>
      <c r="V362" t="s">
        <v>11650</v>
      </c>
      <c r="W362" t="s">
        <v>12006</v>
      </c>
      <c r="X362">
        <v>5</v>
      </c>
      <c r="Y362" t="s">
        <v>17770</v>
      </c>
      <c r="Z362" t="s">
        <v>23424</v>
      </c>
      <c r="AA362">
        <v>0.46130427854473038</v>
      </c>
      <c r="AB362" t="str">
        <f>HYPERLINK("Melting_Curves/meltCurve_D6RF48_STX18.pdf", "Melting_Curves/meltCurve_D6RF48_STX18.pdf")</f>
        <v>Melting_Curves/meltCurve_D6RF48_STX18.pdf</v>
      </c>
    </row>
    <row r="363" spans="1:28" x14ac:dyDescent="0.25">
      <c r="A363" t="s">
        <v>367</v>
      </c>
      <c r="B363">
        <v>0.99996721820229495</v>
      </c>
      <c r="C363">
        <v>0.65020311682401599</v>
      </c>
      <c r="D363">
        <v>0.58903333492797805</v>
      </c>
      <c r="E363">
        <v>0.615998907277995</v>
      </c>
      <c r="F363">
        <v>0.59226472748113701</v>
      </c>
      <c r="G363">
        <v>0.30779588711705402</v>
      </c>
      <c r="H363">
        <v>0.237259011336489</v>
      </c>
      <c r="I363">
        <v>0.176727579826507</v>
      </c>
      <c r="J363">
        <v>0.13947309068883501</v>
      </c>
      <c r="K363">
        <v>0.13856856024474401</v>
      </c>
      <c r="L363">
        <v>346.31377738980802</v>
      </c>
      <c r="M363">
        <v>6.7367949750073901</v>
      </c>
      <c r="N363">
        <v>51.4063096705639</v>
      </c>
      <c r="O363">
        <v>47.445638587598502</v>
      </c>
      <c r="P363">
        <v>-3.5573145523810801E-2</v>
      </c>
      <c r="Q363">
        <v>0</v>
      </c>
      <c r="R363">
        <v>0.89907520431671395</v>
      </c>
      <c r="S363" t="s">
        <v>6189</v>
      </c>
      <c r="T363" t="s">
        <v>11650</v>
      </c>
      <c r="U363" t="s">
        <v>11650</v>
      </c>
      <c r="V363" t="s">
        <v>11650</v>
      </c>
      <c r="W363" t="s">
        <v>12007</v>
      </c>
      <c r="X363">
        <v>1</v>
      </c>
      <c r="Y363" t="s">
        <v>17771</v>
      </c>
      <c r="Z363" t="s">
        <v>23425</v>
      </c>
      <c r="AA363">
        <v>0.43923312929300729</v>
      </c>
      <c r="AB363" t="str">
        <f>HYPERLINK("Melting_Curves/meltCurve_D6RF92_CXCL6.pdf", "Melting_Curves/meltCurve_D6RF92_CXCL6.pdf")</f>
        <v>Melting_Curves/meltCurve_D6RF92_CXCL6.pdf</v>
      </c>
    </row>
    <row r="364" spans="1:28" x14ac:dyDescent="0.25">
      <c r="A364" t="s">
        <v>368</v>
      </c>
      <c r="B364">
        <v>0.99996721820229495</v>
      </c>
      <c r="C364">
        <v>1.0002219275028399</v>
      </c>
      <c r="D364">
        <v>0.94374355813820199</v>
      </c>
      <c r="E364">
        <v>0.82990630730968296</v>
      </c>
      <c r="F364">
        <v>0.65644353923700105</v>
      </c>
      <c r="G364">
        <v>0.37634294225836001</v>
      </c>
      <c r="H364">
        <v>0.14998821378702601</v>
      </c>
      <c r="I364">
        <v>0.10544266023042601</v>
      </c>
      <c r="J364">
        <v>9.7499288347761101E-2</v>
      </c>
      <c r="K364">
        <v>5.2791436264918903E-2</v>
      </c>
      <c r="L364">
        <v>920.15654055981804</v>
      </c>
      <c r="M364">
        <v>16.798113229524301</v>
      </c>
      <c r="N364">
        <v>54.988652158827001</v>
      </c>
      <c r="O364">
        <v>54.018736796815901</v>
      </c>
      <c r="P364">
        <v>-7.5317388921078005E-2</v>
      </c>
      <c r="Q364">
        <v>3.1251509140412297E-2</v>
      </c>
      <c r="R364">
        <v>0.99853503152893197</v>
      </c>
      <c r="S364" t="s">
        <v>6190</v>
      </c>
      <c r="T364" t="s">
        <v>11650</v>
      </c>
      <c r="U364" t="s">
        <v>11650</v>
      </c>
      <c r="V364" t="s">
        <v>11650</v>
      </c>
      <c r="W364" t="s">
        <v>12008</v>
      </c>
      <c r="X364">
        <v>5</v>
      </c>
      <c r="Y364" t="s">
        <v>17772</v>
      </c>
      <c r="Z364" t="s">
        <v>23426</v>
      </c>
      <c r="AA364">
        <v>0.52500937279027948</v>
      </c>
      <c r="AB364" t="str">
        <f>HYPERLINK("Melting_Curves/meltCurve_D6RFG8_DCK.pdf", "Melting_Curves/meltCurve_D6RFG8_DCK.pdf")</f>
        <v>Melting_Curves/meltCurve_D6RFG8_DCK.pdf</v>
      </c>
    </row>
    <row r="365" spans="1:28" x14ac:dyDescent="0.25">
      <c r="A365" t="s">
        <v>369</v>
      </c>
      <c r="B365">
        <v>0.99996721820229495</v>
      </c>
      <c r="C365">
        <v>1.03331930760615</v>
      </c>
      <c r="D365">
        <v>1.05181052123385</v>
      </c>
      <c r="E365">
        <v>1.33254591263674</v>
      </c>
      <c r="F365">
        <v>0.95473908979973598</v>
      </c>
      <c r="G365">
        <v>0.82747579273876204</v>
      </c>
      <c r="H365">
        <v>0.53326687395065697</v>
      </c>
      <c r="I365">
        <v>0.31815229762379799</v>
      </c>
      <c r="J365">
        <v>0.23441046304959101</v>
      </c>
      <c r="K365">
        <v>0.196659816345396</v>
      </c>
      <c r="L365">
        <v>1606.5214329195101</v>
      </c>
      <c r="M365">
        <v>26.6802891743651</v>
      </c>
      <c r="N365">
        <v>61.244943498640701</v>
      </c>
      <c r="O365">
        <v>59.878594018995301</v>
      </c>
      <c r="P365">
        <v>-9.1239719735279098E-2</v>
      </c>
      <c r="Q365">
        <v>0.180931306009216</v>
      </c>
      <c r="R365">
        <v>0.91723600589704202</v>
      </c>
      <c r="S365" t="s">
        <v>6191</v>
      </c>
      <c r="T365" t="s">
        <v>11650</v>
      </c>
      <c r="U365" t="s">
        <v>11650</v>
      </c>
      <c r="V365" t="s">
        <v>11650</v>
      </c>
      <c r="W365" t="s">
        <v>12009</v>
      </c>
      <c r="X365">
        <v>43</v>
      </c>
      <c r="Y365" t="s">
        <v>17773</v>
      </c>
      <c r="Z365" t="s">
        <v>23427</v>
      </c>
      <c r="AA365">
        <v>0.73839127534030569</v>
      </c>
      <c r="AB365" t="str">
        <f>HYPERLINK("Melting_Curves/meltCurve_D6RGG3_COL12A1.pdf", "Melting_Curves/meltCurve_D6RGG3_COL12A1.pdf")</f>
        <v>Melting_Curves/meltCurve_D6RGG3_COL12A1.pdf</v>
      </c>
    </row>
    <row r="366" spans="1:28" x14ac:dyDescent="0.25">
      <c r="A366" t="s">
        <v>370</v>
      </c>
      <c r="B366">
        <v>0.99996721820229495</v>
      </c>
      <c r="C366">
        <v>1.2768020355205401</v>
      </c>
      <c r="D366">
        <v>1.1231468642342199</v>
      </c>
      <c r="E366">
        <v>0.86420202686270697</v>
      </c>
      <c r="F366">
        <v>0.88626017034433502</v>
      </c>
      <c r="G366">
        <v>0.93568217644124596</v>
      </c>
      <c r="H366">
        <v>0.81874843941933895</v>
      </c>
      <c r="I366">
        <v>1.6072014710639699</v>
      </c>
      <c r="J366">
        <v>1.5371550044664899</v>
      </c>
      <c r="K366">
        <v>0.92057506174928305</v>
      </c>
      <c r="L366">
        <v>5012.6906374457403</v>
      </c>
      <c r="M366">
        <v>80.422795999927601</v>
      </c>
      <c r="O366">
        <v>62.290718574534402</v>
      </c>
      <c r="P366">
        <v>0.111022232477236</v>
      </c>
      <c r="Q366">
        <v>1.3439648508034301</v>
      </c>
      <c r="R366">
        <v>0.33026346877166102</v>
      </c>
      <c r="S366" t="s">
        <v>6192</v>
      </c>
      <c r="T366" t="s">
        <v>11650</v>
      </c>
      <c r="U366" t="s">
        <v>11650</v>
      </c>
      <c r="V366" t="s">
        <v>11650</v>
      </c>
      <c r="W366" t="s">
        <v>12010</v>
      </c>
      <c r="X366">
        <v>2</v>
      </c>
      <c r="Y366" t="s">
        <v>17774</v>
      </c>
      <c r="Z366" t="s">
        <v>23428</v>
      </c>
      <c r="AA366">
        <v>1.087586655335951</v>
      </c>
      <c r="AB366" t="str">
        <f>HYPERLINK("Melting_Curves/meltCurve_D6RH20_MRPS27.pdf", "Melting_Curves/meltCurve_D6RH20_MRPS27.pdf")</f>
        <v>Melting_Curves/meltCurve_D6RH20_MRPS27.pdf</v>
      </c>
    </row>
    <row r="367" spans="1:28" x14ac:dyDescent="0.25">
      <c r="A367" t="s">
        <v>371</v>
      </c>
      <c r="B367">
        <v>0.99996721820229495</v>
      </c>
      <c r="C367">
        <v>0.83264264488526596</v>
      </c>
      <c r="D367">
        <v>0.929845312905486</v>
      </c>
      <c r="E367">
        <v>0.89691948746892702</v>
      </c>
      <c r="F367">
        <v>1.0961035977760101</v>
      </c>
      <c r="G367">
        <v>0.77993431165193305</v>
      </c>
      <c r="H367">
        <v>0.53582674433889599</v>
      </c>
      <c r="I367">
        <v>0.37034746073964597</v>
      </c>
      <c r="J367">
        <v>0.180336564336464</v>
      </c>
      <c r="K367">
        <v>0.19884402885840699</v>
      </c>
      <c r="L367">
        <v>1357.0959303612699</v>
      </c>
      <c r="M367">
        <v>22.4239558411324</v>
      </c>
      <c r="N367">
        <v>61.415933612213102</v>
      </c>
      <c r="O367">
        <v>60.044776250256703</v>
      </c>
      <c r="P367">
        <v>-8.0339782669625298E-2</v>
      </c>
      <c r="Q367">
        <v>0.139512374747018</v>
      </c>
      <c r="R367">
        <v>0.93596953194811505</v>
      </c>
      <c r="S367" t="s">
        <v>6193</v>
      </c>
      <c r="T367" t="s">
        <v>11650</v>
      </c>
      <c r="U367" t="s">
        <v>11650</v>
      </c>
      <c r="V367" t="s">
        <v>11650</v>
      </c>
      <c r="W367" t="s">
        <v>12011</v>
      </c>
      <c r="X367">
        <v>2</v>
      </c>
      <c r="Y367" t="s">
        <v>17775</v>
      </c>
      <c r="Z367" t="s">
        <v>23429</v>
      </c>
      <c r="AA367">
        <v>0.73431319349659863</v>
      </c>
      <c r="AB367" t="str">
        <f>HYPERLINK("Melting_Curves/meltCurve_D6RHG7_SERINC5.pdf", "Melting_Curves/meltCurve_D6RHG7_SERINC5.pdf")</f>
        <v>Melting_Curves/meltCurve_D6RHG7_SERINC5.pdf</v>
      </c>
    </row>
    <row r="368" spans="1:28" x14ac:dyDescent="0.25">
      <c r="A368" t="s">
        <v>372</v>
      </c>
      <c r="B368">
        <v>0.99996721820229495</v>
      </c>
      <c r="C368">
        <v>1.0289363009090799</v>
      </c>
      <c r="D368">
        <v>1.1715177370610701</v>
      </c>
      <c r="E368">
        <v>1.7635372621027601</v>
      </c>
      <c r="F368">
        <v>1.6274806013865599</v>
      </c>
      <c r="G368">
        <v>1.36319627783745</v>
      </c>
      <c r="H368">
        <v>0.35383473295988299</v>
      </c>
      <c r="I368">
        <v>0.245525827669313</v>
      </c>
      <c r="J368">
        <v>0.19012726692562701</v>
      </c>
      <c r="K368">
        <v>0.123991072635057</v>
      </c>
      <c r="L368">
        <v>12906.953653241901</v>
      </c>
      <c r="M368">
        <v>212.94065245230999</v>
      </c>
      <c r="N368">
        <v>60.746120686688798</v>
      </c>
      <c r="O368">
        <v>60.607569080161497</v>
      </c>
      <c r="P368">
        <v>-0.71450720594842199</v>
      </c>
      <c r="Q368">
        <v>0.18654246628443899</v>
      </c>
      <c r="R368">
        <v>0.66490693715868199</v>
      </c>
      <c r="S368" t="s">
        <v>6194</v>
      </c>
      <c r="T368" t="s">
        <v>11650</v>
      </c>
      <c r="U368" t="s">
        <v>11650</v>
      </c>
      <c r="V368" t="s">
        <v>11650</v>
      </c>
      <c r="W368" t="s">
        <v>12012</v>
      </c>
      <c r="X368">
        <v>3</v>
      </c>
      <c r="Y368" t="s">
        <v>17776</v>
      </c>
      <c r="Z368" t="s">
        <v>23430</v>
      </c>
      <c r="AA368">
        <v>0.74558611248405737</v>
      </c>
      <c r="AB368" t="str">
        <f>HYPERLINK("Melting_Curves/meltCurve_D6RHI7_CCNH.pdf", "Melting_Curves/meltCurve_D6RHI7_CCNH.pdf")</f>
        <v>Melting_Curves/meltCurve_D6RHI7_CCNH.pdf</v>
      </c>
    </row>
    <row r="369" spans="1:28" x14ac:dyDescent="0.25">
      <c r="A369" t="s">
        <v>373</v>
      </c>
      <c r="B369">
        <v>0.99996721820229495</v>
      </c>
      <c r="C369">
        <v>1.02407035542708</v>
      </c>
      <c r="D369">
        <v>0.99050853918267601</v>
      </c>
      <c r="E369">
        <v>0.95745861838202395</v>
      </c>
      <c r="F369">
        <v>1.1945964899338899</v>
      </c>
      <c r="G369">
        <v>1.2008316850721701</v>
      </c>
      <c r="H369">
        <v>0.73943990436377705</v>
      </c>
      <c r="I369">
        <v>0.47875975372232799</v>
      </c>
      <c r="J369">
        <v>0.40601839696597197</v>
      </c>
      <c r="K369">
        <v>0.27038450802748298</v>
      </c>
      <c r="L369">
        <v>2869.4527425951301</v>
      </c>
      <c r="M369">
        <v>46.334644490317501</v>
      </c>
      <c r="N369">
        <v>63.420351017091001</v>
      </c>
      <c r="O369">
        <v>61.813855983134701</v>
      </c>
      <c r="P369">
        <v>-0.12521174964128201</v>
      </c>
      <c r="Q369">
        <v>0.33183368317284601</v>
      </c>
      <c r="R369">
        <v>0.90522406251045995</v>
      </c>
      <c r="S369" t="s">
        <v>6195</v>
      </c>
      <c r="T369" t="s">
        <v>11650</v>
      </c>
      <c r="U369" t="s">
        <v>11650</v>
      </c>
      <c r="V369" t="s">
        <v>11650</v>
      </c>
      <c r="W369" t="s">
        <v>12013</v>
      </c>
      <c r="X369">
        <v>5</v>
      </c>
      <c r="Y369" t="s">
        <v>17777</v>
      </c>
      <c r="Z369" t="s">
        <v>23431</v>
      </c>
      <c r="AA369">
        <v>0.8221746677975893</v>
      </c>
      <c r="AB369" t="str">
        <f>HYPERLINK("Melting_Curves/meltCurve_D6RHI9_RNASET2.pdf", "Melting_Curves/meltCurve_D6RHI9_RNASET2.pdf")</f>
        <v>Melting_Curves/meltCurve_D6RHI9_RNASET2.pdf</v>
      </c>
    </row>
    <row r="370" spans="1:28" x14ac:dyDescent="0.25">
      <c r="A370" t="s">
        <v>374</v>
      </c>
      <c r="B370">
        <v>0.99996721820229495</v>
      </c>
      <c r="C370">
        <v>0.84364289308354901</v>
      </c>
      <c r="D370">
        <v>0.92505666152131705</v>
      </c>
      <c r="E370">
        <v>1.0752736639007201</v>
      </c>
      <c r="F370">
        <v>2.1928969752510401</v>
      </c>
      <c r="G370">
        <v>4.5680598847445504</v>
      </c>
      <c r="H370">
        <v>3.3316069931114298</v>
      </c>
      <c r="I370">
        <v>2.3643842695157899</v>
      </c>
      <c r="J370">
        <v>1.59332488927055</v>
      </c>
      <c r="K370">
        <v>0.55033069285686997</v>
      </c>
      <c r="L370">
        <v>12586.501123370999</v>
      </c>
      <c r="M370">
        <v>250</v>
      </c>
      <c r="O370">
        <v>50.342783090136798</v>
      </c>
      <c r="P370">
        <v>0.62074439216623301</v>
      </c>
      <c r="Q370">
        <v>1.5</v>
      </c>
      <c r="R370">
        <v>-1.66088162770262E-3</v>
      </c>
      <c r="S370" t="s">
        <v>6196</v>
      </c>
      <c r="T370" t="s">
        <v>11650</v>
      </c>
      <c r="U370" t="s">
        <v>11650</v>
      </c>
      <c r="V370" t="s">
        <v>11650</v>
      </c>
      <c r="W370" t="s">
        <v>12014</v>
      </c>
      <c r="X370">
        <v>2</v>
      </c>
      <c r="Y370" t="s">
        <v>17778</v>
      </c>
      <c r="Z370" t="s">
        <v>23432</v>
      </c>
      <c r="AA370">
        <v>1.3275224135481021</v>
      </c>
      <c r="AB370" t="str">
        <f>HYPERLINK("Melting_Curves/meltCurve_D6RIE3_COX7A2.pdf", "Melting_Curves/meltCurve_D6RIE3_COX7A2.pdf")</f>
        <v>Melting_Curves/meltCurve_D6RIE3_COX7A2.pdf</v>
      </c>
    </row>
    <row r="371" spans="1:28" x14ac:dyDescent="0.25">
      <c r="A371" t="s">
        <v>375</v>
      </c>
      <c r="B371">
        <v>0.99996721820229495</v>
      </c>
      <c r="C371">
        <v>0.81778367751386905</v>
      </c>
      <c r="D371">
        <v>0.69390292362015205</v>
      </c>
      <c r="E371">
        <v>0.80888288543387199</v>
      </c>
      <c r="F371">
        <v>1.10816533912024</v>
      </c>
      <c r="G371">
        <v>0.90972759355663602</v>
      </c>
      <c r="H371">
        <v>0.69796288109953697</v>
      </c>
      <c r="I371">
        <v>0.62292509561843301</v>
      </c>
      <c r="J371">
        <v>0.51188623513126197</v>
      </c>
      <c r="K371">
        <v>0.446192517539239</v>
      </c>
      <c r="L371">
        <v>556.24103121234396</v>
      </c>
      <c r="M371">
        <v>8.1572801132159896</v>
      </c>
      <c r="N371">
        <v>68.189521916827601</v>
      </c>
      <c r="O371">
        <v>64.458891056097201</v>
      </c>
      <c r="P371">
        <v>-3.1670791016488502E-2</v>
      </c>
      <c r="Q371">
        <v>0</v>
      </c>
      <c r="R371">
        <v>0.54646623069573397</v>
      </c>
      <c r="S371" t="s">
        <v>6197</v>
      </c>
      <c r="T371" t="s">
        <v>11650</v>
      </c>
      <c r="U371" t="s">
        <v>11650</v>
      </c>
      <c r="V371" t="s">
        <v>11650</v>
      </c>
      <c r="W371" t="s">
        <v>12015</v>
      </c>
      <c r="X371">
        <v>10</v>
      </c>
      <c r="Y371" t="s">
        <v>17779</v>
      </c>
      <c r="Z371" t="s">
        <v>23433</v>
      </c>
      <c r="AA371">
        <v>0.81623440982755924</v>
      </c>
      <c r="AB371" t="str">
        <f>HYPERLINK("Melting_Curves/meltCurve_D6RIF6_SLAIN2.pdf", "Melting_Curves/meltCurve_D6RIF6_SLAIN2.pdf")</f>
        <v>Melting_Curves/meltCurve_D6RIF6_SLAIN2.pdf</v>
      </c>
    </row>
    <row r="372" spans="1:28" x14ac:dyDescent="0.25">
      <c r="A372" t="s">
        <v>376</v>
      </c>
      <c r="B372">
        <v>0.99996721820229495</v>
      </c>
      <c r="C372">
        <v>1.0124106466684</v>
      </c>
      <c r="D372">
        <v>1.0466897551079799</v>
      </c>
      <c r="E372">
        <v>1.1194239588202699</v>
      </c>
      <c r="F372">
        <v>1.4317500820904501</v>
      </c>
      <c r="G372">
        <v>1.5606893852030499</v>
      </c>
      <c r="H372">
        <v>1.2718778378153699</v>
      </c>
      <c r="I372">
        <v>1.17442511714244</v>
      </c>
      <c r="J372">
        <v>0.94245219312765205</v>
      </c>
      <c r="K372">
        <v>0.87797744872922601</v>
      </c>
      <c r="L372">
        <v>957.30305509766401</v>
      </c>
      <c r="M372">
        <v>7.0808868934438101</v>
      </c>
      <c r="Q372">
        <v>0.36794487941945703</v>
      </c>
      <c r="R372">
        <v>-0.476934620069357</v>
      </c>
      <c r="S372" t="s">
        <v>6198</v>
      </c>
      <c r="T372" t="s">
        <v>11650</v>
      </c>
      <c r="U372" t="s">
        <v>11650</v>
      </c>
      <c r="V372" t="s">
        <v>11650</v>
      </c>
      <c r="W372" t="s">
        <v>12016</v>
      </c>
      <c r="X372">
        <v>1</v>
      </c>
      <c r="Y372" t="s">
        <v>17780</v>
      </c>
      <c r="Z372" t="s">
        <v>23434</v>
      </c>
      <c r="AA372">
        <v>0.99987049998872324</v>
      </c>
      <c r="AB372" t="str">
        <f>HYPERLINK("Melting_Curves/meltCurve_D6RIU2_CLDND1.pdf", "Melting_Curves/meltCurve_D6RIU2_CLDND1.pdf")</f>
        <v>Melting_Curves/meltCurve_D6RIU2_CLDND1.pdf</v>
      </c>
    </row>
    <row r="373" spans="1:28" x14ac:dyDescent="0.25">
      <c r="A373" t="s">
        <v>377</v>
      </c>
      <c r="B373">
        <v>0.99996721820229495</v>
      </c>
      <c r="C373">
        <v>0.97045990232256096</v>
      </c>
      <c r="D373">
        <v>1.0581999408524101</v>
      </c>
      <c r="E373">
        <v>1.06345068735677</v>
      </c>
      <c r="F373">
        <v>1.24389269023316</v>
      </c>
      <c r="G373">
        <v>1.2086845931089401</v>
      </c>
      <c r="H373">
        <v>0.736678960474486</v>
      </c>
      <c r="I373">
        <v>0.126570818161725</v>
      </c>
      <c r="J373">
        <v>0.112124344254385</v>
      </c>
      <c r="K373">
        <v>6.3797185100082796E-2</v>
      </c>
      <c r="L373">
        <v>5548.6297039257497</v>
      </c>
      <c r="M373">
        <v>90.0540156627074</v>
      </c>
      <c r="N373">
        <v>61.750895317960897</v>
      </c>
      <c r="O373">
        <v>61.5841187257545</v>
      </c>
      <c r="P373">
        <v>-0.33259442849781801</v>
      </c>
      <c r="Q373">
        <v>9.0211557484637897E-2</v>
      </c>
      <c r="R373">
        <v>0.94430136776597495</v>
      </c>
      <c r="S373" t="s">
        <v>6199</v>
      </c>
      <c r="T373" t="s">
        <v>11650</v>
      </c>
      <c r="U373" t="s">
        <v>11650</v>
      </c>
      <c r="V373" t="s">
        <v>11650</v>
      </c>
      <c r="W373" t="s">
        <v>12017</v>
      </c>
      <c r="X373">
        <v>2</v>
      </c>
      <c r="Y373" t="s">
        <v>17781</v>
      </c>
      <c r="Z373" t="s">
        <v>23435</v>
      </c>
      <c r="AA373">
        <v>0.74645654498473557</v>
      </c>
      <c r="AB373" t="str">
        <f>HYPERLINK("Melting_Curves/meltCurve_D6RIZ4_MFSD10.pdf", "Melting_Curves/meltCurve_D6RIZ4_MFSD10.pdf")</f>
        <v>Melting_Curves/meltCurve_D6RIZ4_MFSD10.pdf</v>
      </c>
    </row>
    <row r="374" spans="1:28" x14ac:dyDescent="0.25">
      <c r="A374" t="s">
        <v>378</v>
      </c>
      <c r="B374">
        <v>0.99996721820229495</v>
      </c>
      <c r="C374">
        <v>1.0694866420020299</v>
      </c>
      <c r="D374">
        <v>1.33813927697224</v>
      </c>
      <c r="E374">
        <v>2.3169398025351802</v>
      </c>
      <c r="F374">
        <v>1.44326151916717</v>
      </c>
      <c r="G374">
        <v>0.62366875420812495</v>
      </c>
      <c r="H374">
        <v>0.100006102117827</v>
      </c>
      <c r="I374">
        <v>0</v>
      </c>
      <c r="J374">
        <v>0</v>
      </c>
      <c r="K374">
        <v>0</v>
      </c>
      <c r="L374">
        <v>5830.5008350770604</v>
      </c>
      <c r="M374">
        <v>101.819388383345</v>
      </c>
      <c r="N374">
        <v>57.291342256669303</v>
      </c>
      <c r="O374">
        <v>57.2410891460231</v>
      </c>
      <c r="P374">
        <v>-0.43384167022578102</v>
      </c>
      <c r="Q374">
        <v>2.4407085338267999E-2</v>
      </c>
      <c r="R374">
        <v>0.62975733613996399</v>
      </c>
      <c r="S374" t="s">
        <v>6200</v>
      </c>
      <c r="T374" t="s">
        <v>11650</v>
      </c>
      <c r="U374" t="s">
        <v>11650</v>
      </c>
      <c r="V374" t="s">
        <v>11650</v>
      </c>
      <c r="W374" t="s">
        <v>12018</v>
      </c>
      <c r="X374">
        <v>1</v>
      </c>
      <c r="Y374" t="s">
        <v>17782</v>
      </c>
      <c r="Z374" t="s">
        <v>23436</v>
      </c>
      <c r="AA374">
        <v>0.5863929865493116</v>
      </c>
      <c r="AB374" t="str">
        <f>HYPERLINK("Melting_Curves/meltCurve_D6RJ98_PIK3R4.pdf", "Melting_Curves/meltCurve_D6RJ98_PIK3R4.pdf")</f>
        <v>Melting_Curves/meltCurve_D6RJ98_PIK3R4.pdf</v>
      </c>
    </row>
    <row r="375" spans="1:28" x14ac:dyDescent="0.25">
      <c r="A375" t="s">
        <v>379</v>
      </c>
      <c r="B375">
        <v>0.99996721820229495</v>
      </c>
      <c r="C375">
        <v>1.1088390929643299</v>
      </c>
      <c r="D375">
        <v>0.92688010863079695</v>
      </c>
      <c r="E375">
        <v>0.81659758764227197</v>
      </c>
      <c r="F375">
        <v>0.43660179479383998</v>
      </c>
      <c r="G375">
        <v>0.33146389163951301</v>
      </c>
      <c r="H375">
        <v>0.16260254362596699</v>
      </c>
      <c r="I375">
        <v>6.5990222995173001E-2</v>
      </c>
      <c r="J375">
        <v>5.6102020078586598E-2</v>
      </c>
      <c r="K375">
        <v>5.1535351823239102E-2</v>
      </c>
      <c r="L375">
        <v>949.846129349129</v>
      </c>
      <c r="M375">
        <v>17.8927540731978</v>
      </c>
      <c r="N375">
        <v>53.387038139346103</v>
      </c>
      <c r="O375">
        <v>52.435751988835499</v>
      </c>
      <c r="P375">
        <v>-8.1212356693621396E-2</v>
      </c>
      <c r="Q375">
        <v>4.8058064677591099E-2</v>
      </c>
      <c r="R375">
        <v>0.97959322028417894</v>
      </c>
      <c r="S375" t="s">
        <v>6201</v>
      </c>
      <c r="T375" t="s">
        <v>11650</v>
      </c>
      <c r="U375" t="s">
        <v>11650</v>
      </c>
      <c r="V375" t="s">
        <v>11650</v>
      </c>
      <c r="W375" t="s">
        <v>12019</v>
      </c>
      <c r="X375">
        <v>1</v>
      </c>
      <c r="Y375" t="s">
        <v>17783</v>
      </c>
      <c r="Z375" t="s">
        <v>23437</v>
      </c>
      <c r="AA375">
        <v>0.47898947656942881</v>
      </c>
      <c r="AB375" t="str">
        <f>HYPERLINK("Melting_Curves/meltCurve_E2QRD0_VWA8.pdf", "Melting_Curves/meltCurve_E2QRD0_VWA8.pdf")</f>
        <v>Melting_Curves/meltCurve_E2QRD0_VWA8.pdf</v>
      </c>
    </row>
    <row r="376" spans="1:28" x14ac:dyDescent="0.25">
      <c r="A376" t="s">
        <v>380</v>
      </c>
      <c r="B376">
        <v>0.99996721820229495</v>
      </c>
      <c r="C376">
        <v>0.83562973961933595</v>
      </c>
      <c r="D376">
        <v>0.87807177873218301</v>
      </c>
      <c r="E376">
        <v>0.983071712927305</v>
      </c>
      <c r="F376">
        <v>1.3497146448450299</v>
      </c>
      <c r="G376">
        <v>1.6179843938102101</v>
      </c>
      <c r="H376">
        <v>1.25641474274765</v>
      </c>
      <c r="I376">
        <v>0.97613142322810198</v>
      </c>
      <c r="J376">
        <v>0.73049458796760602</v>
      </c>
      <c r="K376">
        <v>0.58248514729781697</v>
      </c>
      <c r="L376">
        <v>5504.0800445068198</v>
      </c>
      <c r="M376">
        <v>82.7123566453959</v>
      </c>
      <c r="O376">
        <v>66.505979489955294</v>
      </c>
      <c r="P376">
        <v>-0.13191300700655101</v>
      </c>
      <c r="Q376">
        <v>0.57573445600290196</v>
      </c>
      <c r="R376">
        <v>0.28403764925701502</v>
      </c>
      <c r="S376" t="s">
        <v>6202</v>
      </c>
      <c r="T376" t="s">
        <v>11650</v>
      </c>
      <c r="U376" t="s">
        <v>11650</v>
      </c>
      <c r="V376" t="s">
        <v>11650</v>
      </c>
      <c r="W376" t="s">
        <v>12020</v>
      </c>
      <c r="X376">
        <v>5</v>
      </c>
      <c r="Y376" t="s">
        <v>17784</v>
      </c>
      <c r="Z376" t="s">
        <v>23438</v>
      </c>
      <c r="AA376">
        <v>0.95137374592960056</v>
      </c>
      <c r="AB376" t="str">
        <f>HYPERLINK("Melting_Curves/meltCurve_E2QRG8_REEP5.pdf", "Melting_Curves/meltCurve_E2QRG8_REEP5.pdf")</f>
        <v>Melting_Curves/meltCurve_E2QRG8_REEP5.pdf</v>
      </c>
    </row>
    <row r="377" spans="1:28" x14ac:dyDescent="0.25">
      <c r="A377" t="s">
        <v>381</v>
      </c>
      <c r="B377">
        <v>0.99996721820229495</v>
      </c>
      <c r="C377">
        <v>0.893351193112086</v>
      </c>
      <c r="D377">
        <v>0.82534732396177801</v>
      </c>
      <c r="E377">
        <v>0.50658808594152904</v>
      </c>
      <c r="F377">
        <v>0.54154904257705105</v>
      </c>
      <c r="G377">
        <v>0.47150135424522199</v>
      </c>
      <c r="H377">
        <v>0.37208931975510501</v>
      </c>
      <c r="I377">
        <v>0.26343949006343598</v>
      </c>
      <c r="J377">
        <v>0.18692909088135201</v>
      </c>
      <c r="K377">
        <v>0.149383076462312</v>
      </c>
      <c r="L377">
        <v>405.02011490099397</v>
      </c>
      <c r="M377">
        <v>7.55034541721668</v>
      </c>
      <c r="N377">
        <v>54.210136138779497</v>
      </c>
      <c r="O377">
        <v>50.267011140069698</v>
      </c>
      <c r="P377">
        <v>-3.61748581919469E-2</v>
      </c>
      <c r="Q377">
        <v>3.8001690898726501E-2</v>
      </c>
      <c r="R377">
        <v>0.95659491550655995</v>
      </c>
      <c r="S377" t="s">
        <v>6203</v>
      </c>
      <c r="T377" t="s">
        <v>11650</v>
      </c>
      <c r="U377" t="s">
        <v>11650</v>
      </c>
      <c r="V377" t="s">
        <v>11650</v>
      </c>
      <c r="W377" t="s">
        <v>12021</v>
      </c>
      <c r="X377">
        <v>1</v>
      </c>
      <c r="Y377" t="s">
        <v>17785</v>
      </c>
      <c r="Z377" t="s">
        <v>23439</v>
      </c>
      <c r="AA377">
        <v>0.51159403040738927</v>
      </c>
      <c r="AB377" t="str">
        <f>HYPERLINK("Melting_Curves/meltCurve_E5RFS7_FAM92A1.pdf", "Melting_Curves/meltCurve_E5RFS7_FAM92A1.pdf")</f>
        <v>Melting_Curves/meltCurve_E5RFS7_FAM92A1.pdf</v>
      </c>
    </row>
    <row r="378" spans="1:28" x14ac:dyDescent="0.25">
      <c r="A378" t="s">
        <v>382</v>
      </c>
      <c r="B378">
        <v>0.99996721820229495</v>
      </c>
      <c r="C378">
        <v>1.1122178221842001</v>
      </c>
      <c r="D378">
        <v>1.20592905488039</v>
      </c>
      <c r="E378">
        <v>1.12589724516971</v>
      </c>
      <c r="F378">
        <v>1.21095628644264</v>
      </c>
      <c r="G378">
        <v>1.3131557113141099</v>
      </c>
      <c r="H378">
        <v>0.65210057989043402</v>
      </c>
      <c r="I378">
        <v>0.296638045257275</v>
      </c>
      <c r="J378">
        <v>8.8077355451007505E-2</v>
      </c>
      <c r="K378">
        <v>6.2199700498461401E-2</v>
      </c>
      <c r="L378">
        <v>2995.7374577782098</v>
      </c>
      <c r="M378">
        <v>48.3349272299087</v>
      </c>
      <c r="N378">
        <v>62.195036277813202</v>
      </c>
      <c r="O378">
        <v>61.872917156477897</v>
      </c>
      <c r="P378">
        <v>-0.180190816549327</v>
      </c>
      <c r="Q378">
        <v>7.7361135996672201E-2</v>
      </c>
      <c r="R378">
        <v>0.89438958964902804</v>
      </c>
      <c r="S378" t="s">
        <v>6204</v>
      </c>
      <c r="T378" t="s">
        <v>11650</v>
      </c>
      <c r="U378" t="s">
        <v>11650</v>
      </c>
      <c r="V378" t="s">
        <v>11650</v>
      </c>
      <c r="W378" t="s">
        <v>12022</v>
      </c>
      <c r="X378">
        <v>1</v>
      </c>
      <c r="Y378" t="s">
        <v>17786</v>
      </c>
      <c r="Z378" t="s">
        <v>23440</v>
      </c>
      <c r="AA378">
        <v>0.75580176816311551</v>
      </c>
      <c r="AB378" t="str">
        <f>HYPERLINK("Melting_Curves/meltCurve_E5RFU2_EPHX2.pdf", "Melting_Curves/meltCurve_E5RFU2_EPHX2.pdf")</f>
        <v>Melting_Curves/meltCurve_E5RFU2_EPHX2.pdf</v>
      </c>
    </row>
    <row r="379" spans="1:28" x14ac:dyDescent="0.25">
      <c r="A379" t="s">
        <v>383</v>
      </c>
      <c r="B379">
        <v>0.99996721820229495</v>
      </c>
      <c r="C379">
        <v>1.0309680980451901</v>
      </c>
      <c r="D379">
        <v>1.05166632130348</v>
      </c>
      <c r="E379">
        <v>1.08406649708304</v>
      </c>
      <c r="F379">
        <v>1.2913215678595</v>
      </c>
      <c r="G379">
        <v>1.4109731066354301</v>
      </c>
      <c r="H379">
        <v>0.89759135101894105</v>
      </c>
      <c r="I379">
        <v>0.34006876292681398</v>
      </c>
      <c r="J379">
        <v>0.15201562561849499</v>
      </c>
      <c r="K379">
        <v>0.119287457624803</v>
      </c>
      <c r="L379">
        <v>4245.86624490343</v>
      </c>
      <c r="M379">
        <v>67.489755592273696</v>
      </c>
      <c r="N379">
        <v>63.1894293446029</v>
      </c>
      <c r="O379">
        <v>62.856112843173598</v>
      </c>
      <c r="P379">
        <v>-0.23393606450419399</v>
      </c>
      <c r="Q379">
        <v>0.128501471381256</v>
      </c>
      <c r="R379">
        <v>0.86334806668768205</v>
      </c>
      <c r="S379" t="s">
        <v>6205</v>
      </c>
      <c r="T379" t="s">
        <v>11650</v>
      </c>
      <c r="U379" t="s">
        <v>11650</v>
      </c>
      <c r="V379" t="s">
        <v>11650</v>
      </c>
      <c r="W379" t="s">
        <v>12023</v>
      </c>
      <c r="X379">
        <v>14</v>
      </c>
      <c r="Y379" t="s">
        <v>17787</v>
      </c>
      <c r="Z379" t="s">
        <v>23441</v>
      </c>
      <c r="AA379">
        <v>0.79535947967920928</v>
      </c>
      <c r="AB379" t="str">
        <f>HYPERLINK("Melting_Curves/meltCurve_E5RG17_TATDN1.pdf", "Melting_Curves/meltCurve_E5RG17_TATDN1.pdf")</f>
        <v>Melting_Curves/meltCurve_E5RG17_TATDN1.pdf</v>
      </c>
    </row>
    <row r="380" spans="1:28" x14ac:dyDescent="0.25">
      <c r="A380" t="s">
        <v>384</v>
      </c>
      <c r="B380">
        <v>0.99996721820229495</v>
      </c>
      <c r="C380">
        <v>1.1814605160916301</v>
      </c>
      <c r="D380">
        <v>1.19676900107807</v>
      </c>
      <c r="E380">
        <v>1.31056047711878</v>
      </c>
      <c r="F380">
        <v>1.36650435442108</v>
      </c>
      <c r="G380">
        <v>1.3904262790383699</v>
      </c>
      <c r="H380">
        <v>0.88700823387775396</v>
      </c>
      <c r="I380">
        <v>0.70739413895029502</v>
      </c>
      <c r="J380">
        <v>0.41881695655770002</v>
      </c>
      <c r="K380">
        <v>0.40532890030569901</v>
      </c>
      <c r="L380">
        <v>3046.0093373231598</v>
      </c>
      <c r="M380">
        <v>47.625398070170696</v>
      </c>
      <c r="N380">
        <v>65.932727367186502</v>
      </c>
      <c r="O380">
        <v>63.845183119137701</v>
      </c>
      <c r="P380">
        <v>-0.115632934726373</v>
      </c>
      <c r="Q380">
        <v>0.37994421437974402</v>
      </c>
      <c r="R380">
        <v>0.629119807360628</v>
      </c>
      <c r="S380" t="s">
        <v>6206</v>
      </c>
      <c r="T380" t="s">
        <v>11650</v>
      </c>
      <c r="U380" t="s">
        <v>11650</v>
      </c>
      <c r="V380" t="s">
        <v>11650</v>
      </c>
      <c r="W380" t="s">
        <v>12024</v>
      </c>
      <c r="X380">
        <v>1</v>
      </c>
      <c r="Y380" t="s">
        <v>17788</v>
      </c>
      <c r="Z380" t="s">
        <v>23442</v>
      </c>
      <c r="AA380">
        <v>0.87647564530423616</v>
      </c>
      <c r="AB380" t="str">
        <f>HYPERLINK("Melting_Curves/meltCurve_E5RG44_TRIQK.pdf", "Melting_Curves/meltCurve_E5RG44_TRIQK.pdf")</f>
        <v>Melting_Curves/meltCurve_E5RG44_TRIQK.pdf</v>
      </c>
    </row>
    <row r="381" spans="1:28" x14ac:dyDescent="0.25">
      <c r="A381" t="s">
        <v>385</v>
      </c>
      <c r="B381">
        <v>0.99996721820229495</v>
      </c>
      <c r="C381">
        <v>1.0172345640968301</v>
      </c>
      <c r="D381">
        <v>0.95572339938753503</v>
      </c>
      <c r="E381">
        <v>1.04274958063529</v>
      </c>
      <c r="F381">
        <v>1.80281250414426</v>
      </c>
      <c r="G381">
        <v>2.2642530270082499</v>
      </c>
      <c r="H381">
        <v>1.75489467916133</v>
      </c>
      <c r="I381">
        <v>2.41316268691864</v>
      </c>
      <c r="J381">
        <v>2.12295369903614</v>
      </c>
      <c r="K381">
        <v>1.3491031109013101</v>
      </c>
      <c r="L381">
        <v>12618.4623825246</v>
      </c>
      <c r="M381">
        <v>250</v>
      </c>
      <c r="O381">
        <v>50.470619587757703</v>
      </c>
      <c r="P381">
        <v>0.61917211087100099</v>
      </c>
      <c r="Q381">
        <v>1.5</v>
      </c>
      <c r="R381">
        <v>0.31965158724239701</v>
      </c>
      <c r="S381" t="s">
        <v>6207</v>
      </c>
      <c r="T381" t="s">
        <v>11650</v>
      </c>
      <c r="U381" t="s">
        <v>11650</v>
      </c>
      <c r="V381" t="s">
        <v>11650</v>
      </c>
      <c r="W381" t="s">
        <v>11869</v>
      </c>
      <c r="X381">
        <v>8</v>
      </c>
      <c r="Y381" t="s">
        <v>17789</v>
      </c>
      <c r="Z381" t="s">
        <v>23443</v>
      </c>
      <c r="AA381">
        <v>1.3253915507548371</v>
      </c>
      <c r="AB381" t="str">
        <f>HYPERLINK("Melting_Curves/meltCurve_E5RGX5_STMN2.pdf", "Melting_Curves/meltCurve_E5RGX5_STMN2.pdf")</f>
        <v>Melting_Curves/meltCurve_E5RGX5_STMN2.pdf</v>
      </c>
    </row>
    <row r="382" spans="1:28" x14ac:dyDescent="0.25">
      <c r="A382" t="s">
        <v>386</v>
      </c>
      <c r="B382">
        <v>0.99996721820229495</v>
      </c>
      <c r="C382">
        <v>0.75766505876735002</v>
      </c>
      <c r="D382">
        <v>0.91983341261986795</v>
      </c>
      <c r="E382">
        <v>0.89275395120696299</v>
      </c>
      <c r="F382">
        <v>0.90102037572910298</v>
      </c>
      <c r="G382">
        <v>0.65373749139177895</v>
      </c>
      <c r="H382">
        <v>0.452087243925334</v>
      </c>
      <c r="I382">
        <v>0.39271777339110697</v>
      </c>
      <c r="J382">
        <v>0.186360599486567</v>
      </c>
      <c r="K382">
        <v>0.15318929833867201</v>
      </c>
      <c r="L382">
        <v>706.03729715921702</v>
      </c>
      <c r="M382">
        <v>11.7081622095334</v>
      </c>
      <c r="N382">
        <v>60.302999311028401</v>
      </c>
      <c r="O382">
        <v>58.624421125790697</v>
      </c>
      <c r="P382">
        <v>-4.9941930009120998E-2</v>
      </c>
      <c r="Q382">
        <v>0</v>
      </c>
      <c r="R382">
        <v>0.92284797513987105</v>
      </c>
      <c r="S382" t="s">
        <v>6208</v>
      </c>
      <c r="T382" t="s">
        <v>11650</v>
      </c>
      <c r="U382" t="s">
        <v>11650</v>
      </c>
      <c r="V382" t="s">
        <v>11650</v>
      </c>
      <c r="W382" t="s">
        <v>12025</v>
      </c>
      <c r="X382">
        <v>3</v>
      </c>
      <c r="Y382" t="s">
        <v>17790</v>
      </c>
      <c r="Z382" t="s">
        <v>23444</v>
      </c>
      <c r="AA382">
        <v>0.67651130876222709</v>
      </c>
      <c r="AB382" t="str">
        <f>HYPERLINK("Melting_Curves/meltCurve_E5RGY0_DERL1.pdf", "Melting_Curves/meltCurve_E5RGY0_DERL1.pdf")</f>
        <v>Melting_Curves/meltCurve_E5RGY0_DERL1.pdf</v>
      </c>
    </row>
    <row r="383" spans="1:28" x14ac:dyDescent="0.25">
      <c r="A383" t="s">
        <v>387</v>
      </c>
      <c r="B383">
        <v>0.99996721820229495</v>
      </c>
      <c r="C383">
        <v>1.5242726075277699</v>
      </c>
      <c r="D383">
        <v>1.3662995332685901</v>
      </c>
      <c r="E383">
        <v>1.6193985084820199</v>
      </c>
      <c r="F383">
        <v>2.4739520426513102</v>
      </c>
      <c r="G383">
        <v>3.14634703356462</v>
      </c>
      <c r="H383">
        <v>2.8601313783449398</v>
      </c>
      <c r="I383">
        <v>2.0473398330991799</v>
      </c>
      <c r="J383">
        <v>2.0836854685878898</v>
      </c>
      <c r="K383">
        <v>0.91758379884100905</v>
      </c>
      <c r="L383">
        <v>10274.4191484084</v>
      </c>
      <c r="M383">
        <v>250</v>
      </c>
      <c r="O383">
        <v>41.095044226615997</v>
      </c>
      <c r="P383">
        <v>0.76043228099462401</v>
      </c>
      <c r="Q383">
        <v>1.5</v>
      </c>
      <c r="R383">
        <v>-0.26874121188605798</v>
      </c>
      <c r="S383" t="s">
        <v>6209</v>
      </c>
      <c r="T383" t="s">
        <v>11650</v>
      </c>
      <c r="U383" t="s">
        <v>11650</v>
      </c>
      <c r="V383" t="s">
        <v>11650</v>
      </c>
      <c r="W383" t="s">
        <v>12026</v>
      </c>
      <c r="X383">
        <v>1</v>
      </c>
      <c r="Y383" t="s">
        <v>17791</v>
      </c>
      <c r="Z383" t="s">
        <v>23445</v>
      </c>
      <c r="AA383">
        <v>1.4816666284851201</v>
      </c>
      <c r="AB383" t="str">
        <f>HYPERLINK("Melting_Curves/meltCurve_E5RHG5_SLC36A1.pdf", "Melting_Curves/meltCurve_E5RHG5_SLC36A1.pdf")</f>
        <v>Melting_Curves/meltCurve_E5RHG5_SLC36A1.pdf</v>
      </c>
    </row>
    <row r="384" spans="1:28" x14ac:dyDescent="0.25">
      <c r="A384" t="s">
        <v>388</v>
      </c>
      <c r="B384">
        <v>0.99996721820229495</v>
      </c>
      <c r="C384">
        <v>0.98424462039809302</v>
      </c>
      <c r="D384">
        <v>0.96470343821133597</v>
      </c>
      <c r="E384">
        <v>0.99255008440542203</v>
      </c>
      <c r="F384">
        <v>0.816899784891984</v>
      </c>
      <c r="G384">
        <v>0.32442823586783898</v>
      </c>
      <c r="H384">
        <v>0.130009690380821</v>
      </c>
      <c r="I384">
        <v>9.8635209357975401E-2</v>
      </c>
      <c r="J384">
        <v>6.8763470257990705E-2</v>
      </c>
      <c r="K384">
        <v>5.5369524828264197E-2</v>
      </c>
      <c r="L384">
        <v>1792.43313054494</v>
      </c>
      <c r="M384">
        <v>32.403644373152098</v>
      </c>
      <c r="N384">
        <v>55.5841371242403</v>
      </c>
      <c r="O384">
        <v>55.106388919849699</v>
      </c>
      <c r="P384">
        <v>-0.13636128276985901</v>
      </c>
      <c r="Q384">
        <v>7.2407810302297496E-2</v>
      </c>
      <c r="R384">
        <v>0.99845209715834604</v>
      </c>
      <c r="S384" t="s">
        <v>6210</v>
      </c>
      <c r="T384" t="s">
        <v>11650</v>
      </c>
      <c r="U384" t="s">
        <v>11650</v>
      </c>
      <c r="V384" t="s">
        <v>11650</v>
      </c>
      <c r="W384" t="s">
        <v>12027</v>
      </c>
      <c r="X384">
        <v>6</v>
      </c>
      <c r="Y384" t="s">
        <v>17792</v>
      </c>
      <c r="Z384" t="s">
        <v>23446</v>
      </c>
      <c r="AA384">
        <v>0.5512970129671626</v>
      </c>
      <c r="AB384" t="str">
        <f>HYPERLINK("Melting_Curves/meltCurve_E5RHG8_TCEB1.pdf", "Melting_Curves/meltCurve_E5RHG8_TCEB1.pdf")</f>
        <v>Melting_Curves/meltCurve_E5RHG8_TCEB1.pdf</v>
      </c>
    </row>
    <row r="385" spans="1:28" x14ac:dyDescent="0.25">
      <c r="A385" t="s">
        <v>389</v>
      </c>
      <c r="B385">
        <v>0.99996721820229495</v>
      </c>
      <c r="C385">
        <v>0.87823162924313203</v>
      </c>
      <c r="D385">
        <v>0.97320949503717302</v>
      </c>
      <c r="E385">
        <v>0.83523051675916005</v>
      </c>
      <c r="F385">
        <v>1.8359226750601501</v>
      </c>
      <c r="G385">
        <v>1.2225006581034801</v>
      </c>
      <c r="H385">
        <v>1.2248004060970199</v>
      </c>
      <c r="I385">
        <v>1.20792501833459</v>
      </c>
      <c r="J385">
        <v>1.79290483633937</v>
      </c>
      <c r="K385">
        <v>2.7502283740604998</v>
      </c>
      <c r="L385">
        <v>12847.2267273205</v>
      </c>
      <c r="M385">
        <v>250</v>
      </c>
      <c r="O385">
        <v>51.385618569743201</v>
      </c>
      <c r="P385">
        <v>0.60814681293959105</v>
      </c>
      <c r="Q385">
        <v>1.5</v>
      </c>
      <c r="R385">
        <v>0.360073586046667</v>
      </c>
      <c r="S385" t="s">
        <v>6211</v>
      </c>
      <c r="T385" t="s">
        <v>11650</v>
      </c>
      <c r="U385" t="s">
        <v>11650</v>
      </c>
      <c r="V385" t="s">
        <v>11650</v>
      </c>
      <c r="W385" t="s">
        <v>12028</v>
      </c>
      <c r="X385">
        <v>8</v>
      </c>
      <c r="Y385" t="s">
        <v>17793</v>
      </c>
      <c r="Z385" t="s">
        <v>23447</v>
      </c>
      <c r="AA385">
        <v>1.3101397914793811</v>
      </c>
      <c r="AB385" t="str">
        <f>HYPERLINK("Melting_Curves/meltCurve_E5RHG9_UQCRB.pdf", "Melting_Curves/meltCurve_E5RHG9_UQCRB.pdf")</f>
        <v>Melting_Curves/meltCurve_E5RHG9_UQCRB.pdf</v>
      </c>
    </row>
    <row r="386" spans="1:28" x14ac:dyDescent="0.25">
      <c r="A386" t="s">
        <v>390</v>
      </c>
      <c r="B386">
        <v>0.99996721820229495</v>
      </c>
      <c r="C386">
        <v>0.85721921420631997</v>
      </c>
      <c r="D386">
        <v>0.87360551721683299</v>
      </c>
      <c r="E386">
        <v>0.76442456645433898</v>
      </c>
      <c r="F386">
        <v>0.89843636772028401</v>
      </c>
      <c r="G386">
        <v>0.30614378779342999</v>
      </c>
      <c r="H386">
        <v>0.21233828438373201</v>
      </c>
      <c r="I386">
        <v>0.125615506082766</v>
      </c>
      <c r="J386">
        <v>4.5657420511193501E-2</v>
      </c>
      <c r="K386">
        <v>5.49162625234767E-2</v>
      </c>
      <c r="L386">
        <v>958.29996019853002</v>
      </c>
      <c r="M386">
        <v>17.183565785422299</v>
      </c>
      <c r="N386">
        <v>55.837654384928797</v>
      </c>
      <c r="O386">
        <v>55.029550978226503</v>
      </c>
      <c r="P386">
        <v>-7.7246739379797105E-2</v>
      </c>
      <c r="Q386">
        <v>1.0542670119943099E-2</v>
      </c>
      <c r="R386">
        <v>0.93644888245909097</v>
      </c>
      <c r="S386" t="s">
        <v>6212</v>
      </c>
      <c r="T386" t="s">
        <v>11650</v>
      </c>
      <c r="U386" t="s">
        <v>11650</v>
      </c>
      <c r="V386" t="s">
        <v>11650</v>
      </c>
      <c r="W386" t="s">
        <v>12029</v>
      </c>
      <c r="X386">
        <v>1</v>
      </c>
      <c r="Y386" t="s">
        <v>17794</v>
      </c>
      <c r="Z386" t="s">
        <v>23448</v>
      </c>
      <c r="AA386">
        <v>0.5462177709045335</v>
      </c>
      <c r="AB386" t="str">
        <f>HYPERLINK("Melting_Curves/meltCurve_E5RHW0_TMEM66.pdf", "Melting_Curves/meltCurve_E5RHW0_TMEM66.pdf")</f>
        <v>Melting_Curves/meltCurve_E5RHW0_TMEM66.pdf</v>
      </c>
    </row>
    <row r="387" spans="1:28" x14ac:dyDescent="0.25">
      <c r="A387" t="s">
        <v>391</v>
      </c>
      <c r="B387">
        <v>0.99996721820229495</v>
      </c>
      <c r="C387">
        <v>0.95805362201743405</v>
      </c>
      <c r="D387">
        <v>0.76182821249216603</v>
      </c>
      <c r="E387">
        <v>0.50426158534858501</v>
      </c>
      <c r="F387">
        <v>0.35631148066450202</v>
      </c>
      <c r="G387">
        <v>0.209698652444225</v>
      </c>
      <c r="H387">
        <v>0.14640106273207301</v>
      </c>
      <c r="I387">
        <v>0.12867853215180999</v>
      </c>
      <c r="J387">
        <v>9.3893617517771102E-2</v>
      </c>
      <c r="K387">
        <v>6.5404631155551396E-2</v>
      </c>
      <c r="L387">
        <v>728.41158308535398</v>
      </c>
      <c r="M387">
        <v>14.6503828017808</v>
      </c>
      <c r="N387">
        <v>50.308500221712599</v>
      </c>
      <c r="O387">
        <v>48.820822404164304</v>
      </c>
      <c r="P387">
        <v>-6.9117624581119599E-2</v>
      </c>
      <c r="Q387">
        <v>7.8793932267633704E-2</v>
      </c>
      <c r="R387">
        <v>0.99637857218142001</v>
      </c>
      <c r="S387" t="s">
        <v>6213</v>
      </c>
      <c r="T387" t="s">
        <v>11650</v>
      </c>
      <c r="U387" t="s">
        <v>11650</v>
      </c>
      <c r="V387" t="s">
        <v>11650</v>
      </c>
      <c r="W387" t="s">
        <v>12030</v>
      </c>
      <c r="X387">
        <v>4</v>
      </c>
      <c r="Y387" t="s">
        <v>17795</v>
      </c>
      <c r="Z387" t="s">
        <v>23449</v>
      </c>
      <c r="AA387">
        <v>0.40038069483822131</v>
      </c>
      <c r="AB387" t="str">
        <f>HYPERLINK("Melting_Curves/meltCurve_E5RIH5_TTI2.pdf", "Melting_Curves/meltCurve_E5RIH5_TTI2.pdf")</f>
        <v>Melting_Curves/meltCurve_E5RIH5_TTI2.pdf</v>
      </c>
    </row>
    <row r="388" spans="1:28" x14ac:dyDescent="0.25">
      <c r="A388" t="s">
        <v>392</v>
      </c>
      <c r="B388">
        <v>0.99996721820229495</v>
      </c>
      <c r="C388">
        <v>0.79454096732835999</v>
      </c>
      <c r="D388">
        <v>0.94766544669506003</v>
      </c>
      <c r="E388">
        <v>0.96347825455268399</v>
      </c>
      <c r="F388">
        <v>1.0285870158330399</v>
      </c>
      <c r="G388">
        <v>0.728056837754255</v>
      </c>
      <c r="H388">
        <v>0.41666912004193801</v>
      </c>
      <c r="I388">
        <v>0.29186557747715502</v>
      </c>
      <c r="J388">
        <v>0.21598126178431101</v>
      </c>
      <c r="K388">
        <v>0.16750098355161</v>
      </c>
      <c r="L388">
        <v>1519.2373367986299</v>
      </c>
      <c r="M388">
        <v>25.792470455971301</v>
      </c>
      <c r="N388">
        <v>59.906886631167701</v>
      </c>
      <c r="O388">
        <v>58.551701370311697</v>
      </c>
      <c r="P388">
        <v>-9.0794748315790194E-2</v>
      </c>
      <c r="Q388">
        <v>0.17555414926132501</v>
      </c>
      <c r="R388">
        <v>0.95135706133778597</v>
      </c>
      <c r="S388" t="s">
        <v>6214</v>
      </c>
      <c r="T388" t="s">
        <v>11650</v>
      </c>
      <c r="U388" t="s">
        <v>11650</v>
      </c>
      <c r="V388" t="s">
        <v>11650</v>
      </c>
      <c r="W388" t="s">
        <v>12031</v>
      </c>
      <c r="X388">
        <v>13</v>
      </c>
      <c r="Y388" t="s">
        <v>17796</v>
      </c>
      <c r="Z388" t="s">
        <v>23450</v>
      </c>
      <c r="AA388">
        <v>0.70156737331203944</v>
      </c>
      <c r="AB388" t="str">
        <f>HYPERLINK("Melting_Curves/meltCurve_E5RIP7_IMPA1.pdf", "Melting_Curves/meltCurve_E5RIP7_IMPA1.pdf")</f>
        <v>Melting_Curves/meltCurve_E5RIP7_IMPA1.pdf</v>
      </c>
    </row>
    <row r="389" spans="1:28" x14ac:dyDescent="0.25">
      <c r="A389" t="s">
        <v>393</v>
      </c>
      <c r="B389">
        <v>0.99996721820229495</v>
      </c>
      <c r="C389">
        <v>0.91880691107893997</v>
      </c>
      <c r="D389">
        <v>0.84619725777958399</v>
      </c>
      <c r="E389">
        <v>0.64350254054492895</v>
      </c>
      <c r="F389">
        <v>0.63965070081300701</v>
      </c>
      <c r="G389">
        <v>0.64397872083323304</v>
      </c>
      <c r="H389">
        <v>0.49042316286181897</v>
      </c>
      <c r="I389">
        <v>0.403459467420761</v>
      </c>
      <c r="J389">
        <v>0.29630405108981001</v>
      </c>
      <c r="K389">
        <v>0.19802601873620401</v>
      </c>
      <c r="L389">
        <v>364.96423510029899</v>
      </c>
      <c r="M389">
        <v>6.2070101159316904</v>
      </c>
      <c r="N389">
        <v>58.798734639484003</v>
      </c>
      <c r="O389">
        <v>53.5765863196727</v>
      </c>
      <c r="P389">
        <v>-2.9046332602257099E-2</v>
      </c>
      <c r="Q389">
        <v>0</v>
      </c>
      <c r="R389">
        <v>0.94926698474507898</v>
      </c>
      <c r="S389" t="s">
        <v>6215</v>
      </c>
      <c r="T389" t="s">
        <v>11650</v>
      </c>
      <c r="U389" t="s">
        <v>11650</v>
      </c>
      <c r="V389" t="s">
        <v>11650</v>
      </c>
      <c r="W389" t="s">
        <v>12032</v>
      </c>
      <c r="X389">
        <v>2</v>
      </c>
      <c r="Y389" t="s">
        <v>17797</v>
      </c>
      <c r="Z389" t="s">
        <v>23451</v>
      </c>
      <c r="AA389">
        <v>0.61012191489358614</v>
      </c>
      <c r="AB389" t="str">
        <f>HYPERLINK("Melting_Curves/meltCurve_E5RJ08_CHCHD7.pdf", "Melting_Curves/meltCurve_E5RJ08_CHCHD7.pdf")</f>
        <v>Melting_Curves/meltCurve_E5RJ08_CHCHD7.pdf</v>
      </c>
    </row>
    <row r="390" spans="1:28" x14ac:dyDescent="0.25">
      <c r="A390" t="s">
        <v>394</v>
      </c>
      <c r="B390">
        <v>0.99996721820229495</v>
      </c>
      <c r="C390">
        <v>0.88141674754289101</v>
      </c>
      <c r="D390">
        <v>1.1097112330307199</v>
      </c>
      <c r="E390">
        <v>1.19845097612966</v>
      </c>
      <c r="F390">
        <v>2.0430682927502399</v>
      </c>
      <c r="G390">
        <v>2.1326930870538998</v>
      </c>
      <c r="H390">
        <v>1.6098348300707199</v>
      </c>
      <c r="I390">
        <v>1.15563219840447</v>
      </c>
      <c r="J390">
        <v>0.910143010845339</v>
      </c>
      <c r="K390">
        <v>0.87191934903530299</v>
      </c>
      <c r="L390">
        <v>15000</v>
      </c>
      <c r="M390">
        <v>224.73284847000201</v>
      </c>
      <c r="O390">
        <v>66.740616160624697</v>
      </c>
      <c r="P390">
        <v>-0.10784318943134</v>
      </c>
      <c r="Q390">
        <v>0.87189193624536299</v>
      </c>
      <c r="R390">
        <v>-0.41022811437658802</v>
      </c>
      <c r="S390" t="s">
        <v>6216</v>
      </c>
      <c r="T390" t="s">
        <v>11650</v>
      </c>
      <c r="U390" t="s">
        <v>11650</v>
      </c>
      <c r="V390" t="s">
        <v>11650</v>
      </c>
      <c r="W390" t="s">
        <v>12033</v>
      </c>
      <c r="X390">
        <v>1</v>
      </c>
      <c r="Y390" t="s">
        <v>17798</v>
      </c>
      <c r="Z390" t="s">
        <v>23452</v>
      </c>
      <c r="AA390">
        <v>0.9861227204465427</v>
      </c>
      <c r="AB390" t="str">
        <f>HYPERLINK("Melting_Curves/meltCurve_E5RJ26_PSEN2.pdf", "Melting_Curves/meltCurve_E5RJ26_PSEN2.pdf")</f>
        <v>Melting_Curves/meltCurve_E5RJ26_PSEN2.pdf</v>
      </c>
    </row>
    <row r="391" spans="1:28" x14ac:dyDescent="0.25">
      <c r="A391" t="s">
        <v>395</v>
      </c>
      <c r="B391">
        <v>0.99996721820229495</v>
      </c>
      <c r="C391">
        <v>1.1039970802896399</v>
      </c>
      <c r="D391">
        <v>0.938074632943247</v>
      </c>
      <c r="E391">
        <v>0.66397528348731805</v>
      </c>
      <c r="F391">
        <v>0.80525932137205603</v>
      </c>
      <c r="G391">
        <v>0.81725267342739705</v>
      </c>
      <c r="H391">
        <v>0.68759955777705795</v>
      </c>
      <c r="I391">
        <v>0.50881752977264505</v>
      </c>
      <c r="J391">
        <v>0.47465796301131702</v>
      </c>
      <c r="K391">
        <v>0.27540427277630702</v>
      </c>
      <c r="L391">
        <v>447.57209729135297</v>
      </c>
      <c r="M391">
        <v>6.9106623877453304</v>
      </c>
      <c r="N391">
        <v>64.765440879404096</v>
      </c>
      <c r="O391">
        <v>59.994124507464001</v>
      </c>
      <c r="P391">
        <v>-2.8853206304180899E-2</v>
      </c>
      <c r="Q391">
        <v>0</v>
      </c>
      <c r="R391">
        <v>0.84203547427148295</v>
      </c>
      <c r="S391" t="s">
        <v>6217</v>
      </c>
      <c r="T391" t="s">
        <v>11650</v>
      </c>
      <c r="U391" t="s">
        <v>11650</v>
      </c>
      <c r="V391" t="s">
        <v>11650</v>
      </c>
      <c r="W391" t="s">
        <v>12034</v>
      </c>
      <c r="X391">
        <v>1</v>
      </c>
      <c r="Y391" t="s">
        <v>17799</v>
      </c>
      <c r="Z391" t="s">
        <v>23453</v>
      </c>
      <c r="AA391">
        <v>0.73790344816450115</v>
      </c>
      <c r="AB391" t="str">
        <f>HYPERLINK("Melting_Curves/meltCurve_E5RJ29_PSD3.pdf", "Melting_Curves/meltCurve_E5RJ29_PSD3.pdf")</f>
        <v>Melting_Curves/meltCurve_E5RJ29_PSD3.pdf</v>
      </c>
    </row>
    <row r="392" spans="1:28" x14ac:dyDescent="0.25">
      <c r="A392" t="s">
        <v>396</v>
      </c>
      <c r="B392">
        <v>0.99996721820229495</v>
      </c>
      <c r="C392">
        <v>1.1717557914516401</v>
      </c>
      <c r="D392">
        <v>1.0916946697397401</v>
      </c>
      <c r="E392">
        <v>1.10240922863393</v>
      </c>
      <c r="F392">
        <v>0.40085255592261398</v>
      </c>
      <c r="G392">
        <v>0.46813667119119501</v>
      </c>
      <c r="H392">
        <v>0.26290901581210802</v>
      </c>
      <c r="I392">
        <v>0.149382289606558</v>
      </c>
      <c r="J392">
        <v>2.3415420741493598E-2</v>
      </c>
      <c r="K392">
        <v>2.9320239949059201E-2</v>
      </c>
      <c r="L392">
        <v>1012.39845642983</v>
      </c>
      <c r="M392">
        <v>18.438864960447098</v>
      </c>
      <c r="N392">
        <v>55.250803505720903</v>
      </c>
      <c r="O392">
        <v>54.272110742602898</v>
      </c>
      <c r="P392">
        <v>-8.0320486236456004E-2</v>
      </c>
      <c r="Q392">
        <v>5.4395981256065998E-2</v>
      </c>
      <c r="R392">
        <v>0.90025825054326702</v>
      </c>
      <c r="S392" t="s">
        <v>6218</v>
      </c>
      <c r="T392" t="s">
        <v>11650</v>
      </c>
      <c r="U392" t="s">
        <v>11650</v>
      </c>
      <c r="V392" t="s">
        <v>11650</v>
      </c>
      <c r="W392" t="s">
        <v>12035</v>
      </c>
      <c r="X392">
        <v>3</v>
      </c>
      <c r="Y392" t="s">
        <v>17800</v>
      </c>
      <c r="Z392" t="s">
        <v>23454</v>
      </c>
      <c r="AA392">
        <v>0.53842843924858241</v>
      </c>
      <c r="AB392" t="str">
        <f>HYPERLINK("Melting_Curves/meltCurve_E5RJ52_AP3M2.pdf", "Melting_Curves/meltCurve_E5RJ52_AP3M2.pdf")</f>
        <v>Melting_Curves/meltCurve_E5RJ52_AP3M2.pdf</v>
      </c>
    </row>
    <row r="393" spans="1:28" x14ac:dyDescent="0.25">
      <c r="A393" t="s">
        <v>397</v>
      </c>
      <c r="B393">
        <v>0.99996721820229495</v>
      </c>
      <c r="C393">
        <v>0.89121494774849097</v>
      </c>
      <c r="D393">
        <v>0.83691402750891597</v>
      </c>
      <c r="E393">
        <v>0.47643897572500399</v>
      </c>
      <c r="F393">
        <v>0.34179520973599897</v>
      </c>
      <c r="G393">
        <v>0.22249165427562501</v>
      </c>
      <c r="H393">
        <v>0.16450529627017099</v>
      </c>
      <c r="I393">
        <v>0.118615119053836</v>
      </c>
      <c r="J393">
        <v>9.0785519352540797E-2</v>
      </c>
      <c r="K393">
        <v>7.7300579248096593E-2</v>
      </c>
      <c r="L393">
        <v>757.193701960064</v>
      </c>
      <c r="M393">
        <v>15.2570042613266</v>
      </c>
      <c r="N393">
        <v>50.268406880731497</v>
      </c>
      <c r="O393">
        <v>48.800074815407399</v>
      </c>
      <c r="P393">
        <v>-7.1276292245989303E-2</v>
      </c>
      <c r="Q393">
        <v>8.8167099152539299E-2</v>
      </c>
      <c r="R393">
        <v>0.99358018678013504</v>
      </c>
      <c r="S393" t="s">
        <v>6219</v>
      </c>
      <c r="T393" t="s">
        <v>11650</v>
      </c>
      <c r="U393" t="s">
        <v>11650</v>
      </c>
      <c r="V393" t="s">
        <v>11650</v>
      </c>
      <c r="W393" t="s">
        <v>12036</v>
      </c>
      <c r="X393">
        <v>4</v>
      </c>
      <c r="Y393" t="s">
        <v>17801</v>
      </c>
      <c r="Z393" t="s">
        <v>23455</v>
      </c>
      <c r="AA393">
        <v>0.40218318479246817</v>
      </c>
      <c r="AB393" t="str">
        <f>HYPERLINK("Melting_Curves/meltCurve_E5RJ99_ZFAND1.pdf", "Melting_Curves/meltCurve_E5RJ99_ZFAND1.pdf")</f>
        <v>Melting_Curves/meltCurve_E5RJ99_ZFAND1.pdf</v>
      </c>
    </row>
    <row r="394" spans="1:28" x14ac:dyDescent="0.25">
      <c r="A394" t="s">
        <v>398</v>
      </c>
      <c r="B394">
        <v>0.99996721820229495</v>
      </c>
      <c r="C394">
        <v>0.99277080650712102</v>
      </c>
      <c r="D394">
        <v>1.07663736695088</v>
      </c>
      <c r="E394">
        <v>1.63439849204117</v>
      </c>
      <c r="F394">
        <v>2.2613883605245699</v>
      </c>
      <c r="G394">
        <v>2.5363981735973198</v>
      </c>
      <c r="H394">
        <v>0.89850505023849403</v>
      </c>
      <c r="I394">
        <v>0.34416220880012</v>
      </c>
      <c r="J394">
        <v>0.23120792284330799</v>
      </c>
      <c r="K394">
        <v>0.20053619246266099</v>
      </c>
      <c r="L394">
        <v>4935.88909659821</v>
      </c>
      <c r="M394">
        <v>78.814981279864</v>
      </c>
      <c r="N394">
        <v>63.078050067523797</v>
      </c>
      <c r="O394">
        <v>62.585994064439802</v>
      </c>
      <c r="P394">
        <v>-0.246930199147327</v>
      </c>
      <c r="Q394">
        <v>0.21566331221823301</v>
      </c>
      <c r="R394">
        <v>0.25977080300167399</v>
      </c>
      <c r="S394" t="s">
        <v>6220</v>
      </c>
      <c r="T394" t="s">
        <v>11650</v>
      </c>
      <c r="U394" t="s">
        <v>11650</v>
      </c>
      <c r="V394" t="s">
        <v>11650</v>
      </c>
      <c r="W394" t="s">
        <v>12037</v>
      </c>
      <c r="X394">
        <v>7</v>
      </c>
      <c r="Y394" t="s">
        <v>17636</v>
      </c>
      <c r="Z394" t="s">
        <v>23456</v>
      </c>
      <c r="AA394">
        <v>0.80807983866379207</v>
      </c>
      <c r="AB394" t="str">
        <f>HYPERLINK("Melting_Curves/meltCurve_E5RJD2_DECR1.pdf", "Melting_Curves/meltCurve_E5RJD2_DECR1.pdf")</f>
        <v>Melting_Curves/meltCurve_E5RJD2_DECR1.pdf</v>
      </c>
    </row>
    <row r="395" spans="1:28" x14ac:dyDescent="0.25">
      <c r="A395" t="s">
        <v>399</v>
      </c>
      <c r="B395">
        <v>0.99996721820229495</v>
      </c>
      <c r="C395">
        <v>0.98359502130186505</v>
      </c>
      <c r="D395">
        <v>0.97095067855402595</v>
      </c>
      <c r="E395">
        <v>1.1588541597445301</v>
      </c>
      <c r="F395">
        <v>1.63860282339951</v>
      </c>
      <c r="G395">
        <v>1.8352370270998499</v>
      </c>
      <c r="H395">
        <v>1.5079310087779101</v>
      </c>
      <c r="I395">
        <v>1.2735351254321901</v>
      </c>
      <c r="J395">
        <v>0.90955611430808503</v>
      </c>
      <c r="K395">
        <v>0.56086220566800804</v>
      </c>
      <c r="L395">
        <v>15000</v>
      </c>
      <c r="M395">
        <v>222.53063277536199</v>
      </c>
      <c r="O395">
        <v>67.400986292789597</v>
      </c>
      <c r="P395">
        <v>-0.36255907504560902</v>
      </c>
      <c r="Q395">
        <v>0.56074638205251803</v>
      </c>
      <c r="R395">
        <v>-0.103364451783527</v>
      </c>
      <c r="S395" t="s">
        <v>6221</v>
      </c>
      <c r="T395" t="s">
        <v>11650</v>
      </c>
      <c r="U395" t="s">
        <v>11650</v>
      </c>
      <c r="V395" t="s">
        <v>11650</v>
      </c>
      <c r="W395" t="s">
        <v>12038</v>
      </c>
      <c r="X395">
        <v>18</v>
      </c>
      <c r="Y395" t="s">
        <v>17802</v>
      </c>
      <c r="Z395" t="s">
        <v>23457</v>
      </c>
      <c r="AA395">
        <v>0.9620901135036205</v>
      </c>
      <c r="AB395" t="str">
        <f>HYPERLINK("Melting_Curves/meltCurve_E5RJR5_SKP1.pdf", "Melting_Curves/meltCurve_E5RJR5_SKP1.pdf")</f>
        <v>Melting_Curves/meltCurve_E5RJR5_SKP1.pdf</v>
      </c>
    </row>
    <row r="396" spans="1:28" x14ac:dyDescent="0.25">
      <c r="A396" t="s">
        <v>400</v>
      </c>
      <c r="B396">
        <v>0.99996721820229495</v>
      </c>
      <c r="C396">
        <v>0.80324565662356895</v>
      </c>
      <c r="D396">
        <v>1.0550422371939401</v>
      </c>
      <c r="E396">
        <v>1.4651269737196699</v>
      </c>
      <c r="F396">
        <v>1.9346405430755</v>
      </c>
      <c r="G396">
        <v>2.0982310183388599</v>
      </c>
      <c r="H396">
        <v>1.42961700623659</v>
      </c>
      <c r="I396">
        <v>0.69255454194654598</v>
      </c>
      <c r="J396">
        <v>0.38047713455184201</v>
      </c>
      <c r="K396">
        <v>0.317957694423113</v>
      </c>
      <c r="L396">
        <v>15000</v>
      </c>
      <c r="M396">
        <v>234.264428779676</v>
      </c>
      <c r="N396">
        <v>64.359521374554902</v>
      </c>
      <c r="O396">
        <v>64.025541196489499</v>
      </c>
      <c r="P396">
        <v>-0.59530263358824398</v>
      </c>
      <c r="Q396">
        <v>0.34920425742926597</v>
      </c>
      <c r="R396">
        <v>0.241350952063733</v>
      </c>
      <c r="S396" t="s">
        <v>6222</v>
      </c>
      <c r="T396" t="s">
        <v>11650</v>
      </c>
      <c r="U396" t="s">
        <v>11650</v>
      </c>
      <c r="V396" t="s">
        <v>11650</v>
      </c>
      <c r="W396" t="s">
        <v>12039</v>
      </c>
      <c r="X396">
        <v>1</v>
      </c>
      <c r="Y396" t="s">
        <v>17803</v>
      </c>
      <c r="Z396" t="s">
        <v>23458</v>
      </c>
      <c r="AA396">
        <v>0.87057943818661743</v>
      </c>
      <c r="AB396" t="str">
        <f>HYPERLINK("Melting_Curves/meltCurve_E5RJW2_LYNX1.pdf", "Melting_Curves/meltCurve_E5RJW2_LYNX1.pdf")</f>
        <v>Melting_Curves/meltCurve_E5RJW2_LYNX1.pdf</v>
      </c>
    </row>
    <row r="397" spans="1:28" x14ac:dyDescent="0.25">
      <c r="A397" t="s">
        <v>401</v>
      </c>
      <c r="B397">
        <v>0.99996721820229495</v>
      </c>
      <c r="C397">
        <v>1.0415361966410801</v>
      </c>
      <c r="D397">
        <v>0.86772884374416903</v>
      </c>
      <c r="E397">
        <v>0.58139731576569098</v>
      </c>
      <c r="F397">
        <v>0.43362546544995001</v>
      </c>
      <c r="G397">
        <v>0.39022382067387901</v>
      </c>
      <c r="H397">
        <v>0.29136221806724899</v>
      </c>
      <c r="I397">
        <v>0.22676458472490499</v>
      </c>
      <c r="J397">
        <v>0.18024620851062501</v>
      </c>
      <c r="K397">
        <v>0.158292990285401</v>
      </c>
      <c r="L397">
        <v>780.05157958792802</v>
      </c>
      <c r="M397">
        <v>15.427953231480901</v>
      </c>
      <c r="N397">
        <v>52.218641512730798</v>
      </c>
      <c r="O397">
        <v>49.734295092145402</v>
      </c>
      <c r="P397">
        <v>-6.2542094675827206E-2</v>
      </c>
      <c r="Q397">
        <v>0.19361809657677301</v>
      </c>
      <c r="R397">
        <v>0.97830610982549404</v>
      </c>
      <c r="S397" t="s">
        <v>6223</v>
      </c>
      <c r="T397" t="s">
        <v>11650</v>
      </c>
      <c r="U397" t="s">
        <v>11650</v>
      </c>
      <c r="V397" t="s">
        <v>11650</v>
      </c>
      <c r="W397" t="s">
        <v>12040</v>
      </c>
      <c r="X397">
        <v>2</v>
      </c>
      <c r="Y397" t="s">
        <v>17804</v>
      </c>
      <c r="Z397" t="s">
        <v>23459</v>
      </c>
      <c r="AA397">
        <v>0.49548816016540331</v>
      </c>
      <c r="AB397" t="str">
        <f>HYPERLINK("Melting_Curves/meltCurve_E5RK28_SGK3.pdf", "Melting_Curves/meltCurve_E5RK28_SGK3.pdf")</f>
        <v>Melting_Curves/meltCurve_E5RK28_SGK3.pdf</v>
      </c>
    </row>
    <row r="398" spans="1:28" x14ac:dyDescent="0.25">
      <c r="A398" t="s">
        <v>402</v>
      </c>
      <c r="B398">
        <v>0.99996721820229495</v>
      </c>
      <c r="C398">
        <v>0.95975076930401404</v>
      </c>
      <c r="D398">
        <v>0.91680925557613002</v>
      </c>
      <c r="E398">
        <v>0.91301231865604104</v>
      </c>
      <c r="F398">
        <v>1.4141840278148501</v>
      </c>
      <c r="G398">
        <v>1.3808268435989699</v>
      </c>
      <c r="H398">
        <v>0.90763000947216499</v>
      </c>
      <c r="I398">
        <v>1.14720855520357</v>
      </c>
      <c r="J398">
        <v>0.92264261678232096</v>
      </c>
      <c r="K398">
        <v>0.54712312004988795</v>
      </c>
      <c r="L398">
        <v>15000</v>
      </c>
      <c r="M398">
        <v>222.30023110814</v>
      </c>
      <c r="O398">
        <v>67.470852871738003</v>
      </c>
      <c r="P398">
        <v>-0.37315357932804499</v>
      </c>
      <c r="Q398">
        <v>0.54697321215670902</v>
      </c>
      <c r="R398">
        <v>0.36644123270783202</v>
      </c>
      <c r="S398" t="s">
        <v>6224</v>
      </c>
      <c r="T398" t="s">
        <v>11650</v>
      </c>
      <c r="U398" t="s">
        <v>11650</v>
      </c>
      <c r="V398" t="s">
        <v>11650</v>
      </c>
      <c r="W398" t="s">
        <v>12041</v>
      </c>
      <c r="X398">
        <v>3</v>
      </c>
      <c r="Y398" t="s">
        <v>17805</v>
      </c>
      <c r="Z398" t="s">
        <v>23460</v>
      </c>
      <c r="AA398">
        <v>0.96195628222970575</v>
      </c>
      <c r="AB398" t="str">
        <f>HYPERLINK("Melting_Curves/meltCurve_E5RK82_CETN3.pdf", "Melting_Curves/meltCurve_E5RK82_CETN3.pdf")</f>
        <v>Melting_Curves/meltCurve_E5RK82_CETN3.pdf</v>
      </c>
    </row>
    <row r="399" spans="1:28" x14ac:dyDescent="0.25">
      <c r="A399" t="s">
        <v>403</v>
      </c>
      <c r="B399">
        <v>0.99996721820229495</v>
      </c>
      <c r="C399">
        <v>0.91482139326980905</v>
      </c>
      <c r="D399">
        <v>1.0010755361600101</v>
      </c>
      <c r="E399">
        <v>0.96472850411895805</v>
      </c>
      <c r="F399">
        <v>1.0000776423412401</v>
      </c>
      <c r="G399">
        <v>0.87993083249781201</v>
      </c>
      <c r="H399">
        <v>0.24925480319566901</v>
      </c>
      <c r="I399">
        <v>0.19142134213016099</v>
      </c>
      <c r="J399">
        <v>0.112576179107125</v>
      </c>
      <c r="K399">
        <v>0.130806442539322</v>
      </c>
      <c r="L399">
        <v>3162.2356595904698</v>
      </c>
      <c r="M399">
        <v>53.681787633029003</v>
      </c>
      <c r="N399">
        <v>59.264843155769299</v>
      </c>
      <c r="O399">
        <v>58.825475717150098</v>
      </c>
      <c r="P399">
        <v>-0.196564026740016</v>
      </c>
      <c r="Q399">
        <v>0.138406931394981</v>
      </c>
      <c r="R399">
        <v>0.99272782504018797</v>
      </c>
      <c r="S399" t="s">
        <v>6225</v>
      </c>
      <c r="T399" t="s">
        <v>11650</v>
      </c>
      <c r="U399" t="s">
        <v>11650</v>
      </c>
      <c r="V399" t="s">
        <v>11650</v>
      </c>
      <c r="W399" t="s">
        <v>12042</v>
      </c>
      <c r="X399">
        <v>1</v>
      </c>
      <c r="Y399" t="s">
        <v>17806</v>
      </c>
      <c r="Z399" t="s">
        <v>23461</v>
      </c>
      <c r="AA399">
        <v>0.68334433910438408</v>
      </c>
      <c r="AB399" t="str">
        <f>HYPERLINK("Melting_Curves/meltCurve_E7EM50_PIGG.pdf", "Melting_Curves/meltCurve_E7EM50_PIGG.pdf")</f>
        <v>Melting_Curves/meltCurve_E7EM50_PIGG.pdf</v>
      </c>
    </row>
    <row r="400" spans="1:28" x14ac:dyDescent="0.25">
      <c r="A400" t="s">
        <v>404</v>
      </c>
      <c r="B400">
        <v>0.99996721820229495</v>
      </c>
      <c r="C400">
        <v>1.0738389166064899</v>
      </c>
      <c r="D400">
        <v>1.13193361074499</v>
      </c>
      <c r="E400">
        <v>1.4242069361462899</v>
      </c>
      <c r="F400">
        <v>1.8086921105202201</v>
      </c>
      <c r="G400">
        <v>1.0010211751790701</v>
      </c>
      <c r="H400">
        <v>0.299093683539982</v>
      </c>
      <c r="I400">
        <v>0.17542414557890401</v>
      </c>
      <c r="J400">
        <v>0.112968064556154</v>
      </c>
      <c r="K400">
        <v>9.5616280988066002E-2</v>
      </c>
      <c r="L400">
        <v>5077.4608267902304</v>
      </c>
      <c r="M400">
        <v>84.618688775920802</v>
      </c>
      <c r="N400">
        <v>60.210345075120202</v>
      </c>
      <c r="O400">
        <v>59.970523165677101</v>
      </c>
      <c r="P400">
        <v>-0.30835425730913402</v>
      </c>
      <c r="Q400">
        <v>0.12585910135770501</v>
      </c>
      <c r="R400">
        <v>0.73781167985503904</v>
      </c>
      <c r="S400" t="s">
        <v>6226</v>
      </c>
      <c r="T400" t="s">
        <v>11650</v>
      </c>
      <c r="U400" t="s">
        <v>11650</v>
      </c>
      <c r="V400" t="s">
        <v>11650</v>
      </c>
      <c r="W400" t="s">
        <v>12043</v>
      </c>
      <c r="X400">
        <v>8</v>
      </c>
      <c r="Y400" t="s">
        <v>17807</v>
      </c>
      <c r="Z400" t="s">
        <v>23462</v>
      </c>
      <c r="AA400">
        <v>0.70954131511985685</v>
      </c>
      <c r="AB400" t="str">
        <f>HYPERLINK("Melting_Curves/meltCurve_E7EM64_COPS6.pdf", "Melting_Curves/meltCurve_E7EM64_COPS6.pdf")</f>
        <v>Melting_Curves/meltCurve_E7EM64_COPS6.pdf</v>
      </c>
    </row>
    <row r="401" spans="1:28" x14ac:dyDescent="0.25">
      <c r="A401" t="s">
        <v>405</v>
      </c>
      <c r="B401">
        <v>0.99996721820229495</v>
      </c>
      <c r="C401">
        <v>1.05927678740604</v>
      </c>
      <c r="D401">
        <v>1.0531567679188001</v>
      </c>
      <c r="E401">
        <v>1.03779823719537</v>
      </c>
      <c r="F401">
        <v>1.34816355998908</v>
      </c>
      <c r="G401">
        <v>1.4673014160254101</v>
      </c>
      <c r="H401">
        <v>0.82159522008104202</v>
      </c>
      <c r="I401">
        <v>0.29502050764217302</v>
      </c>
      <c r="J401">
        <v>0.137013392453118</v>
      </c>
      <c r="K401">
        <v>9.8738956435127298E-2</v>
      </c>
      <c r="L401">
        <v>3844.5713151376899</v>
      </c>
      <c r="M401">
        <v>61.498321553531603</v>
      </c>
      <c r="N401">
        <v>62.7766669342613</v>
      </c>
      <c r="O401">
        <v>62.449071201378999</v>
      </c>
      <c r="P401">
        <v>-0.218365030741797</v>
      </c>
      <c r="Q401">
        <v>0.113036885295472</v>
      </c>
      <c r="R401">
        <v>0.83705703121673702</v>
      </c>
      <c r="S401" t="s">
        <v>6227</v>
      </c>
      <c r="T401" t="s">
        <v>11650</v>
      </c>
      <c r="U401" t="s">
        <v>11650</v>
      </c>
      <c r="V401" t="s">
        <v>11650</v>
      </c>
      <c r="W401" t="s">
        <v>12044</v>
      </c>
      <c r="X401">
        <v>3</v>
      </c>
      <c r="Y401" t="s">
        <v>17808</v>
      </c>
      <c r="Z401" t="s">
        <v>23463</v>
      </c>
      <c r="AA401">
        <v>0.78026368360689069</v>
      </c>
      <c r="AB401" t="str">
        <f>HYPERLINK("Melting_Curves/meltCurve_E7EMA9_ATHL1.pdf", "Melting_Curves/meltCurve_E7EMA9_ATHL1.pdf")</f>
        <v>Melting_Curves/meltCurve_E7EMA9_ATHL1.pdf</v>
      </c>
    </row>
    <row r="402" spans="1:28" x14ac:dyDescent="0.25">
      <c r="A402" t="s">
        <v>406</v>
      </c>
      <c r="B402">
        <v>0.99996721820229495</v>
      </c>
      <c r="C402">
        <v>0.953169008891531</v>
      </c>
      <c r="D402">
        <v>0.87988571647292002</v>
      </c>
      <c r="E402">
        <v>0.958672299022441</v>
      </c>
      <c r="F402">
        <v>1.3347730203700801</v>
      </c>
      <c r="G402">
        <v>1.2794874618216301</v>
      </c>
      <c r="H402">
        <v>1.30482445969399</v>
      </c>
      <c r="I402">
        <v>1.06176134307435</v>
      </c>
      <c r="J402">
        <v>1.4249007750684499</v>
      </c>
      <c r="K402">
        <v>1.7502122039125401</v>
      </c>
      <c r="L402">
        <v>677.60074320516298</v>
      </c>
      <c r="M402">
        <v>11.731587382727</v>
      </c>
      <c r="O402">
        <v>56.157025242344901</v>
      </c>
      <c r="P402">
        <v>2.6120227834823401E-2</v>
      </c>
      <c r="Q402">
        <v>1.5</v>
      </c>
      <c r="R402">
        <v>0.58714741746518695</v>
      </c>
      <c r="S402" t="s">
        <v>6228</v>
      </c>
      <c r="T402" t="s">
        <v>11650</v>
      </c>
      <c r="U402" t="s">
        <v>11650</v>
      </c>
      <c r="V402" t="s">
        <v>11650</v>
      </c>
      <c r="W402" t="s">
        <v>12045</v>
      </c>
      <c r="X402">
        <v>4</v>
      </c>
      <c r="Y402" t="s">
        <v>17809</v>
      </c>
      <c r="Z402" t="s">
        <v>23464</v>
      </c>
      <c r="AA402">
        <v>1.197234835419426</v>
      </c>
      <c r="AB402" t="str">
        <f>HYPERLINK("Melting_Curves/meltCurve_E7EMB6_DNPEP.pdf", "Melting_Curves/meltCurve_E7EMB6_DNPEP.pdf")</f>
        <v>Melting_Curves/meltCurve_E7EMB6_DNPEP.pdf</v>
      </c>
    </row>
    <row r="403" spans="1:28" x14ac:dyDescent="0.25">
      <c r="A403" t="s">
        <v>407</v>
      </c>
      <c r="B403">
        <v>0.99996721820229495</v>
      </c>
      <c r="C403">
        <v>0.95559155757467096</v>
      </c>
      <c r="D403">
        <v>0.97518411538357597</v>
      </c>
      <c r="E403">
        <v>0.97965778339104403</v>
      </c>
      <c r="F403">
        <v>1.1862959239601301</v>
      </c>
      <c r="G403">
        <v>1.3637511598110299</v>
      </c>
      <c r="H403">
        <v>1.00417638281646</v>
      </c>
      <c r="I403">
        <v>0.74944036005791004</v>
      </c>
      <c r="J403">
        <v>0.46126977857588503</v>
      </c>
      <c r="K403">
        <v>0.39482521624338002</v>
      </c>
      <c r="L403">
        <v>4144.9574079949798</v>
      </c>
      <c r="M403">
        <v>64.395798089852605</v>
      </c>
      <c r="N403">
        <v>66.047546465743807</v>
      </c>
      <c r="O403">
        <v>64.304910858042604</v>
      </c>
      <c r="P403">
        <v>-0.149491957065116</v>
      </c>
      <c r="Q403">
        <v>0.40287638196484998</v>
      </c>
      <c r="R403">
        <v>0.78707918247570596</v>
      </c>
      <c r="S403" t="s">
        <v>6229</v>
      </c>
      <c r="T403" t="s">
        <v>11650</v>
      </c>
      <c r="U403" t="s">
        <v>11650</v>
      </c>
      <c r="V403" t="s">
        <v>11650</v>
      </c>
      <c r="W403" t="s">
        <v>12046</v>
      </c>
      <c r="X403">
        <v>12</v>
      </c>
      <c r="Y403" t="s">
        <v>17810</v>
      </c>
      <c r="Z403" t="s">
        <v>23465</v>
      </c>
      <c r="AA403">
        <v>0.88876129443260499</v>
      </c>
      <c r="AB403" t="str">
        <f>HYPERLINK("Melting_Curves/meltCurve_E7EMM4_ASAH1.pdf", "Melting_Curves/meltCurve_E7EMM4_ASAH1.pdf")</f>
        <v>Melting_Curves/meltCurve_E7EMM4_ASAH1.pdf</v>
      </c>
    </row>
    <row r="404" spans="1:28" x14ac:dyDescent="0.25">
      <c r="A404" t="s">
        <v>408</v>
      </c>
      <c r="B404">
        <v>0.99996721820229495</v>
      </c>
      <c r="C404">
        <v>0.87789673270688395</v>
      </c>
      <c r="D404">
        <v>1.00506772414846</v>
      </c>
      <c r="E404">
        <v>1.18672349098658</v>
      </c>
      <c r="F404">
        <v>1.3377380832037</v>
      </c>
      <c r="G404">
        <v>1.2578916577063399</v>
      </c>
      <c r="H404">
        <v>0.78555728539658798</v>
      </c>
      <c r="I404">
        <v>0.42831034920198702</v>
      </c>
      <c r="J404">
        <v>0.29454047891872598</v>
      </c>
      <c r="K404">
        <v>0.353265951380282</v>
      </c>
      <c r="L404">
        <v>3889.1151082094302</v>
      </c>
      <c r="M404">
        <v>62.890037506633803</v>
      </c>
      <c r="N404">
        <v>62.925012307074503</v>
      </c>
      <c r="O404">
        <v>61.777488268537603</v>
      </c>
      <c r="P404">
        <v>-0.17027188682760999</v>
      </c>
      <c r="Q404">
        <v>0.33096139067660002</v>
      </c>
      <c r="R404">
        <v>0.81938087774351798</v>
      </c>
      <c r="S404" t="s">
        <v>6230</v>
      </c>
      <c r="T404" t="s">
        <v>11650</v>
      </c>
      <c r="U404" t="s">
        <v>11650</v>
      </c>
      <c r="V404" t="s">
        <v>11650</v>
      </c>
      <c r="W404" t="s">
        <v>12047</v>
      </c>
      <c r="X404">
        <v>7</v>
      </c>
      <c r="Y404" t="s">
        <v>17811</v>
      </c>
      <c r="Z404" t="s">
        <v>23466</v>
      </c>
      <c r="AA404">
        <v>0.8191518724837844</v>
      </c>
      <c r="AB404" t="str">
        <f>HYPERLINK("Melting_Curves/meltCurve_E7EN73_KIAA0319L.pdf", "Melting_Curves/meltCurve_E7EN73_KIAA0319L.pdf")</f>
        <v>Melting_Curves/meltCurve_E7EN73_KIAA0319L.pdf</v>
      </c>
    </row>
    <row r="405" spans="1:28" x14ac:dyDescent="0.25">
      <c r="A405" t="s">
        <v>409</v>
      </c>
      <c r="B405">
        <v>0.99996721820229495</v>
      </c>
      <c r="C405">
        <v>0.98497275506664905</v>
      </c>
      <c r="D405">
        <v>1.1033378544454799</v>
      </c>
      <c r="E405">
        <v>1.1760781763511099</v>
      </c>
      <c r="F405">
        <v>1.0824309504732701</v>
      </c>
      <c r="G405">
        <v>0.67756961586131903</v>
      </c>
      <c r="H405">
        <v>0.38393119189942398</v>
      </c>
      <c r="I405">
        <v>0.23629486403768599</v>
      </c>
      <c r="J405">
        <v>0.151080284772141</v>
      </c>
      <c r="K405">
        <v>0.168974810867453</v>
      </c>
      <c r="L405">
        <v>1824.65737596135</v>
      </c>
      <c r="M405">
        <v>31.2459797021864</v>
      </c>
      <c r="N405">
        <v>59.175839786485703</v>
      </c>
      <c r="O405">
        <v>58.158917087430503</v>
      </c>
      <c r="P405">
        <v>-0.111659720009208</v>
      </c>
      <c r="Q405">
        <v>0.16866459701925099</v>
      </c>
      <c r="R405">
        <v>0.96051475639427397</v>
      </c>
      <c r="S405" t="s">
        <v>6231</v>
      </c>
      <c r="T405" t="s">
        <v>11650</v>
      </c>
      <c r="U405" t="s">
        <v>11650</v>
      </c>
      <c r="V405" t="s">
        <v>11650</v>
      </c>
      <c r="W405" t="s">
        <v>12048</v>
      </c>
      <c r="X405">
        <v>3</v>
      </c>
      <c r="Y405" t="s">
        <v>17812</v>
      </c>
      <c r="Z405" t="s">
        <v>23467</v>
      </c>
      <c r="AA405">
        <v>0.68353305647247287</v>
      </c>
      <c r="AB405" t="str">
        <f>HYPERLINK("Melting_Curves/meltCurve_E7ENA9_NCSTN.pdf", "Melting_Curves/meltCurve_E7ENA9_NCSTN.pdf")</f>
        <v>Melting_Curves/meltCurve_E7ENA9_NCSTN.pdf</v>
      </c>
    </row>
    <row r="406" spans="1:28" x14ac:dyDescent="0.25">
      <c r="A406" t="s">
        <v>410</v>
      </c>
      <c r="B406">
        <v>0.99996721820229495</v>
      </c>
      <c r="C406">
        <v>0.82175210868086801</v>
      </c>
      <c r="D406">
        <v>0.70496833597028796</v>
      </c>
      <c r="E406">
        <v>1.32213503831986</v>
      </c>
      <c r="F406">
        <v>2.6617552389085901</v>
      </c>
      <c r="G406">
        <v>1.79728190361232</v>
      </c>
      <c r="H406">
        <v>1.39032922103807</v>
      </c>
      <c r="I406">
        <v>2.06887037071635</v>
      </c>
      <c r="J406">
        <v>3.5543680701759799</v>
      </c>
      <c r="K406">
        <v>4.00653865583722</v>
      </c>
      <c r="L406">
        <v>12470.3018378531</v>
      </c>
      <c r="M406">
        <v>250</v>
      </c>
      <c r="O406">
        <v>49.878015948218803</v>
      </c>
      <c r="P406">
        <v>0.62652853883593396</v>
      </c>
      <c r="Q406">
        <v>1.5</v>
      </c>
      <c r="R406">
        <v>-5.2488363899585E-2</v>
      </c>
      <c r="S406" t="s">
        <v>6232</v>
      </c>
      <c r="T406" t="s">
        <v>11650</v>
      </c>
      <c r="U406" t="s">
        <v>11650</v>
      </c>
      <c r="V406" t="s">
        <v>11650</v>
      </c>
      <c r="W406" t="s">
        <v>12049</v>
      </c>
      <c r="X406">
        <v>1</v>
      </c>
      <c r="Y406" t="s">
        <v>17813</v>
      </c>
      <c r="Z406" t="s">
        <v>23468</v>
      </c>
      <c r="AA406">
        <v>1.3352694404385039</v>
      </c>
      <c r="AB406" t="str">
        <f>HYPERLINK("Melting_Curves/meltCurve_E7ENC2_RIMS1.pdf", "Melting_Curves/meltCurve_E7ENC2_RIMS1.pdf")</f>
        <v>Melting_Curves/meltCurve_E7ENC2_RIMS1.pdf</v>
      </c>
    </row>
    <row r="407" spans="1:28" x14ac:dyDescent="0.25">
      <c r="A407" t="s">
        <v>411</v>
      </c>
      <c r="B407">
        <v>0.99996721820229495</v>
      </c>
      <c r="C407">
        <v>0.66226483270467096</v>
      </c>
      <c r="D407">
        <v>0.67034948355869595</v>
      </c>
      <c r="E407">
        <v>0.85673814994688902</v>
      </c>
      <c r="F407">
        <v>0.90035017800516204</v>
      </c>
      <c r="G407">
        <v>1.10460869165722</v>
      </c>
      <c r="H407">
        <v>1.0428337011329001</v>
      </c>
      <c r="I407">
        <v>0.766961156495371</v>
      </c>
      <c r="J407">
        <v>0.78983418755569701</v>
      </c>
      <c r="K407">
        <v>0.63254563860371205</v>
      </c>
      <c r="L407">
        <v>24.263378951122998</v>
      </c>
      <c r="M407">
        <v>1.0000000000000001E-5</v>
      </c>
      <c r="Q407">
        <v>0.59479067416741604</v>
      </c>
      <c r="R407">
        <v>2.3289870889962E-3</v>
      </c>
      <c r="S407" t="s">
        <v>6233</v>
      </c>
      <c r="T407" t="s">
        <v>11650</v>
      </c>
      <c r="U407" t="s">
        <v>11650</v>
      </c>
      <c r="V407" t="s">
        <v>11650</v>
      </c>
      <c r="W407" t="s">
        <v>12050</v>
      </c>
      <c r="X407">
        <v>2</v>
      </c>
      <c r="Y407" t="s">
        <v>17814</v>
      </c>
      <c r="Z407" t="s">
        <v>23469</v>
      </c>
      <c r="AA407">
        <v>0.84241855255097631</v>
      </c>
      <c r="AB407" t="str">
        <f>HYPERLINK("Melting_Curves/meltCurve_E7ENF1_C12orf43.pdf", "Melting_Curves/meltCurve_E7ENF1_C12orf43.pdf")</f>
        <v>Melting_Curves/meltCurve_E7ENF1_C12orf43.pdf</v>
      </c>
    </row>
    <row r="408" spans="1:28" x14ac:dyDescent="0.25">
      <c r="A408" t="s">
        <v>412</v>
      </c>
      <c r="B408">
        <v>0.99996721820229495</v>
      </c>
      <c r="C408">
        <v>1.0461144080678</v>
      </c>
      <c r="D408">
        <v>1.00243080207373</v>
      </c>
      <c r="E408">
        <v>0.96990683753849005</v>
      </c>
      <c r="F408">
        <v>0.64157423223610899</v>
      </c>
      <c r="G408">
        <v>0.46818113263700001</v>
      </c>
      <c r="H408">
        <v>0.25642594788029699</v>
      </c>
      <c r="I408">
        <v>0.167526649029859</v>
      </c>
      <c r="J408">
        <v>0.124783979334503</v>
      </c>
      <c r="K408">
        <v>0.10234281435482601</v>
      </c>
      <c r="L408">
        <v>1000.64683680369</v>
      </c>
      <c r="M408">
        <v>18.035460086204999</v>
      </c>
      <c r="N408">
        <v>56.114140033771001</v>
      </c>
      <c r="O408">
        <v>54.8135763677097</v>
      </c>
      <c r="P408">
        <v>-7.4701744465039799E-2</v>
      </c>
      <c r="Q408">
        <v>9.1906857479110496E-2</v>
      </c>
      <c r="R408">
        <v>0.98747941017183805</v>
      </c>
      <c r="S408" t="s">
        <v>6234</v>
      </c>
      <c r="T408" t="s">
        <v>11650</v>
      </c>
      <c r="U408" t="s">
        <v>11650</v>
      </c>
      <c r="V408" t="s">
        <v>11650</v>
      </c>
      <c r="W408" t="s">
        <v>12051</v>
      </c>
      <c r="X408">
        <v>16</v>
      </c>
      <c r="Y408" t="s">
        <v>17815</v>
      </c>
      <c r="Z408" t="s">
        <v>23470</v>
      </c>
      <c r="AA408">
        <v>0.57426643920928178</v>
      </c>
      <c r="AB408" t="str">
        <f>HYPERLINK("Melting_Curves/meltCurve_E7ENK0_CALCOCO2.pdf", "Melting_Curves/meltCurve_E7ENK0_CALCOCO2.pdf")</f>
        <v>Melting_Curves/meltCurve_E7ENK0_CALCOCO2.pdf</v>
      </c>
    </row>
    <row r="409" spans="1:28" x14ac:dyDescent="0.25">
      <c r="A409" t="s">
        <v>413</v>
      </c>
      <c r="B409">
        <v>0.99996721820229495</v>
      </c>
      <c r="C409">
        <v>0.98402248654866098</v>
      </c>
      <c r="D409">
        <v>0.94398121808056901</v>
      </c>
      <c r="E409">
        <v>0.82913756241819503</v>
      </c>
      <c r="F409">
        <v>1.20944299026433</v>
      </c>
      <c r="G409">
        <v>0.85874380761495095</v>
      </c>
      <c r="H409">
        <v>0.56423073162454795</v>
      </c>
      <c r="I409">
        <v>0.45012488735621298</v>
      </c>
      <c r="J409">
        <v>0.49937019871710803</v>
      </c>
      <c r="K409">
        <v>0.36191108744721401</v>
      </c>
      <c r="L409">
        <v>2311.83269490158</v>
      </c>
      <c r="M409">
        <v>39.162993040169397</v>
      </c>
      <c r="N409">
        <v>62.099148646965503</v>
      </c>
      <c r="O409">
        <v>58.877771982628097</v>
      </c>
      <c r="P409">
        <v>-9.5154309856797598E-2</v>
      </c>
      <c r="Q409">
        <v>0.42778015249701901</v>
      </c>
      <c r="R409">
        <v>0.87622745354002296</v>
      </c>
      <c r="S409" t="s">
        <v>6235</v>
      </c>
      <c r="T409" t="s">
        <v>11650</v>
      </c>
      <c r="U409" t="s">
        <v>11650</v>
      </c>
      <c r="V409" t="s">
        <v>11650</v>
      </c>
      <c r="W409" t="s">
        <v>12052</v>
      </c>
      <c r="X409">
        <v>6</v>
      </c>
      <c r="Y409" t="s">
        <v>17816</v>
      </c>
      <c r="Z409" t="s">
        <v>23471</v>
      </c>
      <c r="AA409">
        <v>0.79312260262374024</v>
      </c>
      <c r="AB409" t="str">
        <f>HYPERLINK("Melting_Curves/meltCurve_E7EP72_C19orf25.pdf", "Melting_Curves/meltCurve_E7EP72_C19orf25.pdf")</f>
        <v>Melting_Curves/meltCurve_E7EP72_C19orf25.pdf</v>
      </c>
    </row>
    <row r="410" spans="1:28" x14ac:dyDescent="0.25">
      <c r="A410" t="s">
        <v>414</v>
      </c>
      <c r="B410">
        <v>0.99996721820229495</v>
      </c>
      <c r="C410">
        <v>0.80344515476970402</v>
      </c>
      <c r="D410">
        <v>0.91180058667859998</v>
      </c>
      <c r="E410">
        <v>1.0653754524604</v>
      </c>
      <c r="F410">
        <v>1.4578541852143501</v>
      </c>
      <c r="G410">
        <v>1.3887839869507901</v>
      </c>
      <c r="H410">
        <v>1.1866875402621999</v>
      </c>
      <c r="I410">
        <v>0.911577924724986</v>
      </c>
      <c r="J410">
        <v>0.66457043062158505</v>
      </c>
      <c r="K410">
        <v>0.76960537302325605</v>
      </c>
      <c r="L410">
        <v>15000</v>
      </c>
      <c r="M410">
        <v>233.586896468291</v>
      </c>
      <c r="O410">
        <v>64.211219281896703</v>
      </c>
      <c r="P410">
        <v>-0.25729808143781202</v>
      </c>
      <c r="Q410">
        <v>0.71708302288103898</v>
      </c>
      <c r="R410">
        <v>0.26790176362714202</v>
      </c>
      <c r="S410" t="s">
        <v>6236</v>
      </c>
      <c r="T410" t="s">
        <v>11650</v>
      </c>
      <c r="U410" t="s">
        <v>11650</v>
      </c>
      <c r="V410" t="s">
        <v>11650</v>
      </c>
      <c r="W410" t="s">
        <v>12053</v>
      </c>
      <c r="X410">
        <v>16</v>
      </c>
      <c r="Y410" t="s">
        <v>17817</v>
      </c>
      <c r="Z410" t="s">
        <v>23472</v>
      </c>
      <c r="AA410">
        <v>0.94548947851137266</v>
      </c>
      <c r="AB410" t="str">
        <f>HYPERLINK("Melting_Curves/meltCurve_E7EPC6_CD44.pdf", "Melting_Curves/meltCurve_E7EPC6_CD44.pdf")</f>
        <v>Melting_Curves/meltCurve_E7EPC6_CD44.pdf</v>
      </c>
    </row>
    <row r="411" spans="1:28" x14ac:dyDescent="0.25">
      <c r="A411" t="s">
        <v>415</v>
      </c>
      <c r="B411">
        <v>0.99996721820229495</v>
      </c>
      <c r="C411">
        <v>1.06950902542241</v>
      </c>
      <c r="D411">
        <v>0.97222975633090802</v>
      </c>
      <c r="E411">
        <v>0.92342101267019505</v>
      </c>
      <c r="F411">
        <v>0.60839622381367098</v>
      </c>
      <c r="G411">
        <v>0.417815167239525</v>
      </c>
      <c r="H411">
        <v>0.27394210736276398</v>
      </c>
      <c r="I411">
        <v>0.15786238484586201</v>
      </c>
      <c r="J411">
        <v>0.113945557657688</v>
      </c>
      <c r="K411">
        <v>8.9040422113044498E-2</v>
      </c>
      <c r="L411">
        <v>930.03628798093905</v>
      </c>
      <c r="M411">
        <v>16.913755455151399</v>
      </c>
      <c r="N411">
        <v>55.582318908006002</v>
      </c>
      <c r="O411">
        <v>54.235580633958698</v>
      </c>
      <c r="P411">
        <v>-7.1509450835088806E-2</v>
      </c>
      <c r="Q411">
        <v>8.2850155868391007E-2</v>
      </c>
      <c r="R411">
        <v>0.98719408031528899</v>
      </c>
      <c r="S411" t="s">
        <v>6237</v>
      </c>
      <c r="T411" t="s">
        <v>11650</v>
      </c>
      <c r="U411" t="s">
        <v>11650</v>
      </c>
      <c r="V411" t="s">
        <v>11650</v>
      </c>
      <c r="W411" t="s">
        <v>12054</v>
      </c>
      <c r="X411">
        <v>16</v>
      </c>
      <c r="Y411" t="s">
        <v>17818</v>
      </c>
      <c r="Z411" t="s">
        <v>23473</v>
      </c>
      <c r="AA411">
        <v>0.55642308672403251</v>
      </c>
      <c r="AB411" t="str">
        <f>HYPERLINK("Melting_Curves/meltCurve_E7EPD0_TOM1.pdf", "Melting_Curves/meltCurve_E7EPD0_TOM1.pdf")</f>
        <v>Melting_Curves/meltCurve_E7EPD0_TOM1.pdf</v>
      </c>
    </row>
    <row r="412" spans="1:28" x14ac:dyDescent="0.25">
      <c r="A412" t="s">
        <v>416</v>
      </c>
      <c r="B412">
        <v>0.99996721820229495</v>
      </c>
      <c r="C412">
        <v>0.97888482214405703</v>
      </c>
      <c r="D412">
        <v>0.41056036949288799</v>
      </c>
      <c r="E412">
        <v>0.21948183653228501</v>
      </c>
      <c r="F412">
        <v>0.22802032624697299</v>
      </c>
      <c r="G412">
        <v>0.197137053674137</v>
      </c>
      <c r="H412">
        <v>0.122630557653797</v>
      </c>
      <c r="I412">
        <v>8.4663784960535102E-2</v>
      </c>
      <c r="J412">
        <v>6.5704325025365606E-2</v>
      </c>
      <c r="K412">
        <v>5.1625884220420498E-2</v>
      </c>
      <c r="L412">
        <v>2454.45193169506</v>
      </c>
      <c r="M412">
        <v>54.097029359020901</v>
      </c>
      <c r="N412">
        <v>45.641638727471403</v>
      </c>
      <c r="O412">
        <v>45.309426433302903</v>
      </c>
      <c r="P412">
        <v>-0.25756703145361598</v>
      </c>
      <c r="Q412">
        <v>0.13709093621839799</v>
      </c>
      <c r="R412">
        <v>0.97145179122089897</v>
      </c>
      <c r="S412" t="s">
        <v>6238</v>
      </c>
      <c r="T412" t="s">
        <v>11650</v>
      </c>
      <c r="U412" t="s">
        <v>11650</v>
      </c>
      <c r="V412" t="s">
        <v>11650</v>
      </c>
      <c r="W412" t="s">
        <v>12055</v>
      </c>
      <c r="X412">
        <v>18</v>
      </c>
      <c r="Y412" t="s">
        <v>17819</v>
      </c>
      <c r="Z412" t="s">
        <v>23474</v>
      </c>
      <c r="AA412">
        <v>0.29307552941627701</v>
      </c>
      <c r="AB412" t="str">
        <f>HYPERLINK("Melting_Curves/meltCurve_E7EPL4_PDXDC1.pdf", "Melting_Curves/meltCurve_E7EPL4_PDXDC1.pdf")</f>
        <v>Melting_Curves/meltCurve_E7EPL4_PDXDC1.pdf</v>
      </c>
    </row>
    <row r="413" spans="1:28" x14ac:dyDescent="0.25">
      <c r="A413" t="s">
        <v>417</v>
      </c>
      <c r="B413">
        <v>0.99996721820229495</v>
      </c>
      <c r="C413">
        <v>0.90713815956818</v>
      </c>
      <c r="D413">
        <v>0.85473010039932396</v>
      </c>
      <c r="E413">
        <v>0.94824274554644306</v>
      </c>
      <c r="F413">
        <v>1.1569227419461201</v>
      </c>
      <c r="G413">
        <v>1.0245924477788699</v>
      </c>
      <c r="H413">
        <v>0.79213610702496895</v>
      </c>
      <c r="I413">
        <v>0.77682602864948702</v>
      </c>
      <c r="J413">
        <v>0.66144075863405505</v>
      </c>
      <c r="K413">
        <v>0.57708761586133095</v>
      </c>
      <c r="L413">
        <v>1561.2028892339999</v>
      </c>
      <c r="M413">
        <v>24.819417627966601</v>
      </c>
      <c r="O413">
        <v>62.498390885012199</v>
      </c>
      <c r="P413">
        <v>-4.3021695466323097E-2</v>
      </c>
      <c r="Q413">
        <v>0.56667001463731004</v>
      </c>
      <c r="R413">
        <v>0.75019022325515805</v>
      </c>
      <c r="S413" t="s">
        <v>6239</v>
      </c>
      <c r="T413" t="s">
        <v>11650</v>
      </c>
      <c r="U413" t="s">
        <v>11650</v>
      </c>
      <c r="V413" t="s">
        <v>11650</v>
      </c>
      <c r="W413" t="s">
        <v>12056</v>
      </c>
      <c r="X413">
        <v>50</v>
      </c>
      <c r="Y413" t="s">
        <v>17820</v>
      </c>
      <c r="Z413" t="s">
        <v>23475</v>
      </c>
      <c r="AA413">
        <v>0.89855243406241625</v>
      </c>
      <c r="AB413" t="str">
        <f>HYPERLINK("Melting_Curves/meltCurve_E7EPN9_PRRC2C.pdf", "Melting_Curves/meltCurve_E7EPN9_PRRC2C.pdf")</f>
        <v>Melting_Curves/meltCurve_E7EPN9_PRRC2C.pdf</v>
      </c>
    </row>
    <row r="414" spans="1:28" x14ac:dyDescent="0.25">
      <c r="A414" t="s">
        <v>418</v>
      </c>
      <c r="B414">
        <v>0.99996721820229495</v>
      </c>
      <c r="C414">
        <v>0.72644174053850197</v>
      </c>
      <c r="D414">
        <v>0.37195238688663501</v>
      </c>
      <c r="E414">
        <v>0.27937406146093302</v>
      </c>
      <c r="F414">
        <v>0.25958186856516902</v>
      </c>
      <c r="G414">
        <v>0.19977809160554699</v>
      </c>
      <c r="H414">
        <v>0.15193639324459099</v>
      </c>
      <c r="I414">
        <v>7.3882994758257894E-2</v>
      </c>
      <c r="J414">
        <v>4.8496946882969801E-2</v>
      </c>
      <c r="K414">
        <v>4.8017834765895898E-2</v>
      </c>
      <c r="L414">
        <v>800.54277098699799</v>
      </c>
      <c r="M414">
        <v>17.858282430764302</v>
      </c>
      <c r="N414">
        <v>45.485563440712802</v>
      </c>
      <c r="O414">
        <v>44.2767668791491</v>
      </c>
      <c r="P414">
        <v>-8.9359360119612499E-2</v>
      </c>
      <c r="Q414">
        <v>0.11383590609190999</v>
      </c>
      <c r="R414">
        <v>0.95162329956666403</v>
      </c>
      <c r="S414" t="s">
        <v>6240</v>
      </c>
      <c r="T414" t="s">
        <v>11650</v>
      </c>
      <c r="U414" t="s">
        <v>11650</v>
      </c>
      <c r="V414" t="s">
        <v>11650</v>
      </c>
      <c r="W414" t="s">
        <v>12057</v>
      </c>
      <c r="X414">
        <v>5</v>
      </c>
      <c r="Y414" t="s">
        <v>17821</v>
      </c>
      <c r="Z414" t="s">
        <v>23476</v>
      </c>
      <c r="AA414">
        <v>0.27628465337725472</v>
      </c>
      <c r="AB414" t="str">
        <f>HYPERLINK("Melting_Curves/meltCurve_E7EPP7_STXBP4.pdf", "Melting_Curves/meltCurve_E7EPP7_STXBP4.pdf")</f>
        <v>Melting_Curves/meltCurve_E7EPP7_STXBP4.pdf</v>
      </c>
    </row>
    <row r="415" spans="1:28" x14ac:dyDescent="0.25">
      <c r="A415" t="s">
        <v>419</v>
      </c>
      <c r="B415">
        <v>0.99996721820229495</v>
      </c>
      <c r="C415">
        <v>1.1095354311197501</v>
      </c>
      <c r="D415">
        <v>0.85578062256651399</v>
      </c>
      <c r="E415">
        <v>0.44612238507534302</v>
      </c>
      <c r="F415">
        <v>0.34479845410858601</v>
      </c>
      <c r="G415">
        <v>0.28744014915577698</v>
      </c>
      <c r="H415">
        <v>0.18570972497254301</v>
      </c>
      <c r="I415">
        <v>0.12137460125851</v>
      </c>
      <c r="J415">
        <v>9.1762302927924005E-2</v>
      </c>
      <c r="K415">
        <v>7.2608869705153997E-2</v>
      </c>
      <c r="L415">
        <v>1012.17007736441</v>
      </c>
      <c r="M415">
        <v>20.447786060991099</v>
      </c>
      <c r="N415">
        <v>50.250265972630899</v>
      </c>
      <c r="O415">
        <v>49.034072778534998</v>
      </c>
      <c r="P415">
        <v>-9.0545048861786007E-2</v>
      </c>
      <c r="Q415">
        <v>0.13151261147802701</v>
      </c>
      <c r="R415">
        <v>0.96717908649360895</v>
      </c>
      <c r="S415" t="s">
        <v>6241</v>
      </c>
      <c r="T415" t="s">
        <v>11650</v>
      </c>
      <c r="U415" t="s">
        <v>11650</v>
      </c>
      <c r="V415" t="s">
        <v>11650</v>
      </c>
      <c r="W415" t="s">
        <v>12058</v>
      </c>
      <c r="X415">
        <v>5</v>
      </c>
      <c r="Y415" t="s">
        <v>17822</v>
      </c>
      <c r="Z415" t="s">
        <v>23477</v>
      </c>
      <c r="AA415">
        <v>0.41813620048911149</v>
      </c>
      <c r="AB415" t="str">
        <f>HYPERLINK("Melting_Curves/meltCurve_E7EPR3_IFI16.pdf", "Melting_Curves/meltCurve_E7EPR3_IFI16.pdf")</f>
        <v>Melting_Curves/meltCurve_E7EPR3_IFI16.pdf</v>
      </c>
    </row>
    <row r="416" spans="1:28" x14ac:dyDescent="0.25">
      <c r="A416" t="s">
        <v>420</v>
      </c>
      <c r="B416">
        <v>0.99996721820229495</v>
      </c>
      <c r="C416">
        <v>0.90804050226167798</v>
      </c>
      <c r="D416">
        <v>0.98499321356827696</v>
      </c>
      <c r="E416">
        <v>0.77463353480423103</v>
      </c>
      <c r="F416">
        <v>0.72863756053606699</v>
      </c>
      <c r="G416">
        <v>0.69312397631717504</v>
      </c>
      <c r="H416">
        <v>0.57555432660984296</v>
      </c>
      <c r="I416">
        <v>0.48231860526069698</v>
      </c>
      <c r="J416">
        <v>0.31987229679213602</v>
      </c>
      <c r="K416">
        <v>0.452429828041786</v>
      </c>
      <c r="L416">
        <v>442.69936081148597</v>
      </c>
      <c r="M416">
        <v>7.5459486021339304</v>
      </c>
      <c r="N416">
        <v>63.0497875423548</v>
      </c>
      <c r="O416">
        <v>54.971526345552903</v>
      </c>
      <c r="P416">
        <v>-2.7352360329217101E-2</v>
      </c>
      <c r="Q416">
        <v>0.20408134674971301</v>
      </c>
      <c r="R416">
        <v>0.93634018025870003</v>
      </c>
      <c r="S416" t="s">
        <v>6242</v>
      </c>
      <c r="T416" t="s">
        <v>11650</v>
      </c>
      <c r="U416" t="s">
        <v>11650</v>
      </c>
      <c r="V416" t="s">
        <v>11650</v>
      </c>
      <c r="W416" t="s">
        <v>12059</v>
      </c>
      <c r="X416">
        <v>15</v>
      </c>
      <c r="Y416" t="s">
        <v>17823</v>
      </c>
      <c r="Z416" t="s">
        <v>23478</v>
      </c>
      <c r="AA416">
        <v>0.69539165732278285</v>
      </c>
      <c r="AB416" t="str">
        <f>HYPERLINK("Melting_Curves/meltCurve_E7EPS8_PTPRM.pdf", "Melting_Curves/meltCurve_E7EPS8_PTPRM.pdf")</f>
        <v>Melting_Curves/meltCurve_E7EPS8_PTPRM.pdf</v>
      </c>
    </row>
    <row r="417" spans="1:28" x14ac:dyDescent="0.25">
      <c r="A417" t="s">
        <v>421</v>
      </c>
      <c r="B417">
        <v>0.99996721820229495</v>
      </c>
      <c r="C417">
        <v>0.98603093492067195</v>
      </c>
      <c r="D417">
        <v>0.97760944670046002</v>
      </c>
      <c r="E417">
        <v>1.11060582750993</v>
      </c>
      <c r="F417">
        <v>2.3248642929464798</v>
      </c>
      <c r="G417">
        <v>1.52445146932659</v>
      </c>
      <c r="H417">
        <v>0.55842509463705403</v>
      </c>
      <c r="I417">
        <v>0.27514369990725801</v>
      </c>
      <c r="J417">
        <v>0.17303512765441201</v>
      </c>
      <c r="K417">
        <v>9.5069412095304298E-2</v>
      </c>
      <c r="L417">
        <v>6360.5446643976302</v>
      </c>
      <c r="M417">
        <v>104.40207172344</v>
      </c>
      <c r="N417">
        <v>61.182320753974999</v>
      </c>
      <c r="O417">
        <v>60.901204534311098</v>
      </c>
      <c r="P417">
        <v>-0.35207687583970398</v>
      </c>
      <c r="Q417">
        <v>0.17848738296577499</v>
      </c>
      <c r="R417">
        <v>0.50634516704381505</v>
      </c>
      <c r="S417" t="s">
        <v>6243</v>
      </c>
      <c r="T417" t="s">
        <v>11650</v>
      </c>
      <c r="U417" t="s">
        <v>11650</v>
      </c>
      <c r="V417" t="s">
        <v>11650</v>
      </c>
      <c r="W417" t="s">
        <v>12060</v>
      </c>
      <c r="X417">
        <v>8</v>
      </c>
      <c r="Y417" t="s">
        <v>17824</v>
      </c>
      <c r="Z417" t="s">
        <v>23479</v>
      </c>
      <c r="AA417">
        <v>0.75195683853388551</v>
      </c>
      <c r="AB417" t="str">
        <f>HYPERLINK("Melting_Curves/meltCurve_E7EPT4_NDUFV2.pdf", "Melting_Curves/meltCurve_E7EPT4_NDUFV2.pdf")</f>
        <v>Melting_Curves/meltCurve_E7EPT4_NDUFV2.pdf</v>
      </c>
    </row>
    <row r="418" spans="1:28" x14ac:dyDescent="0.25">
      <c r="A418" t="s">
        <v>422</v>
      </c>
      <c r="B418">
        <v>0.99996721820229495</v>
      </c>
      <c r="C418">
        <v>1.25953889519438</v>
      </c>
      <c r="D418">
        <v>1.1875021054461601</v>
      </c>
      <c r="E418">
        <v>0.97047243503455705</v>
      </c>
      <c r="F418">
        <v>1.07840725538851</v>
      </c>
      <c r="G418">
        <v>1.60596366992189</v>
      </c>
      <c r="H418">
        <v>1.23757871972091</v>
      </c>
      <c r="I418">
        <v>1.58804791109898</v>
      </c>
      <c r="J418">
        <v>1.5283819573852599</v>
      </c>
      <c r="K418">
        <v>1.0841499894615201</v>
      </c>
      <c r="L418">
        <v>435.85101746315797</v>
      </c>
      <c r="M418">
        <v>8.5287793561573597</v>
      </c>
      <c r="O418">
        <v>48.526473727014498</v>
      </c>
      <c r="P418">
        <v>1.9102404055468598E-2</v>
      </c>
      <c r="Q418">
        <v>1.4343638396335201</v>
      </c>
      <c r="R418">
        <v>0.252019878786096</v>
      </c>
      <c r="S418" t="s">
        <v>6244</v>
      </c>
      <c r="T418" t="s">
        <v>11650</v>
      </c>
      <c r="U418" t="s">
        <v>11650</v>
      </c>
      <c r="V418" t="s">
        <v>11650</v>
      </c>
      <c r="W418" t="s">
        <v>12061</v>
      </c>
      <c r="X418">
        <v>3</v>
      </c>
      <c r="Y418" t="s">
        <v>17825</v>
      </c>
      <c r="Z418" t="s">
        <v>23480</v>
      </c>
      <c r="AA418">
        <v>1.2521422354353471</v>
      </c>
      <c r="AB418" t="str">
        <f>HYPERLINK("Melting_Curves/meltCurve_E7EPV7_SNCA.pdf", "Melting_Curves/meltCurve_E7EPV7_SNCA.pdf")</f>
        <v>Melting_Curves/meltCurve_E7EPV7_SNCA.pdf</v>
      </c>
    </row>
    <row r="419" spans="1:28" x14ac:dyDescent="0.25">
      <c r="A419" t="s">
        <v>423</v>
      </c>
      <c r="B419">
        <v>0.99996721820229495</v>
      </c>
      <c r="C419">
        <v>0.90675785309956203</v>
      </c>
      <c r="D419">
        <v>0.88813269566222897</v>
      </c>
      <c r="E419">
        <v>0.68399461153043095</v>
      </c>
      <c r="F419">
        <v>0.71746041168714803</v>
      </c>
      <c r="G419">
        <v>0.55065630541493304</v>
      </c>
      <c r="H419">
        <v>0.34542370548916201</v>
      </c>
      <c r="I419">
        <v>0.25112557239968702</v>
      </c>
      <c r="J419">
        <v>0.244583524791704</v>
      </c>
      <c r="K419">
        <v>0.16058561076416</v>
      </c>
      <c r="L419">
        <v>475.92084332232298</v>
      </c>
      <c r="M419">
        <v>8.3419179226323905</v>
      </c>
      <c r="N419">
        <v>57.051749877855798</v>
      </c>
      <c r="O419">
        <v>54.055460513535898</v>
      </c>
      <c r="P419">
        <v>-3.8617672686468499E-2</v>
      </c>
      <c r="Q419">
        <v>0</v>
      </c>
      <c r="R419">
        <v>0.97993439761309598</v>
      </c>
      <c r="S419" t="s">
        <v>6245</v>
      </c>
      <c r="T419" t="s">
        <v>11650</v>
      </c>
      <c r="U419" t="s">
        <v>11650</v>
      </c>
      <c r="V419" t="s">
        <v>11650</v>
      </c>
      <c r="W419" t="s">
        <v>12062</v>
      </c>
      <c r="X419">
        <v>4</v>
      </c>
      <c r="Y419" t="s">
        <v>17826</v>
      </c>
      <c r="Z419" t="s">
        <v>23481</v>
      </c>
      <c r="AA419">
        <v>0.58090676668286201</v>
      </c>
      <c r="AB419" t="str">
        <f>HYPERLINK("Melting_Curves/meltCurve_E7EPY1_TNIP1.pdf", "Melting_Curves/meltCurve_E7EPY1_TNIP1.pdf")</f>
        <v>Melting_Curves/meltCurve_E7EPY1_TNIP1.pdf</v>
      </c>
    </row>
    <row r="420" spans="1:28" x14ac:dyDescent="0.25">
      <c r="A420" t="s">
        <v>424</v>
      </c>
      <c r="B420">
        <v>0.99996721820229495</v>
      </c>
      <c r="C420">
        <v>0.87625687575380895</v>
      </c>
      <c r="D420">
        <v>0.64585151335473401</v>
      </c>
      <c r="E420">
        <v>0.505733319089814</v>
      </c>
      <c r="F420">
        <v>0.26525390391055698</v>
      </c>
      <c r="G420">
        <v>0.14009362752104801</v>
      </c>
      <c r="H420">
        <v>6.8938682401023202E-2</v>
      </c>
      <c r="I420">
        <v>2.2218167183398599E-2</v>
      </c>
      <c r="J420">
        <v>0</v>
      </c>
      <c r="K420">
        <v>0</v>
      </c>
      <c r="L420">
        <v>651.45574516785598</v>
      </c>
      <c r="M420">
        <v>13.2561072472757</v>
      </c>
      <c r="N420">
        <v>49.143819723746198</v>
      </c>
      <c r="O420">
        <v>48.0658078010173</v>
      </c>
      <c r="P420">
        <v>-6.8958955293740701E-2</v>
      </c>
      <c r="Q420">
        <v>0</v>
      </c>
      <c r="R420">
        <v>0.990599285431217</v>
      </c>
      <c r="S420" t="s">
        <v>6246</v>
      </c>
      <c r="T420" t="s">
        <v>11650</v>
      </c>
      <c r="U420" t="s">
        <v>11650</v>
      </c>
      <c r="V420" t="s">
        <v>11650</v>
      </c>
      <c r="W420" t="s">
        <v>12063</v>
      </c>
      <c r="X420">
        <v>1</v>
      </c>
      <c r="Y420" t="s">
        <v>17827</v>
      </c>
      <c r="Z420" t="s">
        <v>23482</v>
      </c>
      <c r="AA420">
        <v>0.3355140700142808</v>
      </c>
      <c r="AB420" t="str">
        <f>HYPERLINK("Melting_Curves/meltCurve_E7EQ45_AP5M1.pdf", "Melting_Curves/meltCurve_E7EQ45_AP5M1.pdf")</f>
        <v>Melting_Curves/meltCurve_E7EQ45_AP5M1.pdf</v>
      </c>
    </row>
    <row r="421" spans="1:28" x14ac:dyDescent="0.25">
      <c r="A421" t="s">
        <v>425</v>
      </c>
      <c r="B421">
        <v>0.99996721820229495</v>
      </c>
      <c r="C421">
        <v>1.06129964959197</v>
      </c>
      <c r="D421">
        <v>1.1315669349783199</v>
      </c>
      <c r="E421">
        <v>1.2538551532694999</v>
      </c>
      <c r="F421">
        <v>0.53836163339619403</v>
      </c>
      <c r="G421">
        <v>0.387174761669555</v>
      </c>
      <c r="H421">
        <v>0.237015360743972</v>
      </c>
      <c r="I421">
        <v>0.18709614170056499</v>
      </c>
      <c r="J421">
        <v>0.116116248294257</v>
      </c>
      <c r="K421">
        <v>9.3769781366908805E-2</v>
      </c>
      <c r="L421">
        <v>13232.8673518798</v>
      </c>
      <c r="M421">
        <v>250</v>
      </c>
      <c r="N421">
        <v>53.042868250292003</v>
      </c>
      <c r="O421">
        <v>52.928087908019599</v>
      </c>
      <c r="P421">
        <v>-0.93967789372764499</v>
      </c>
      <c r="Q421">
        <v>0.20423442080745299</v>
      </c>
      <c r="R421">
        <v>0.92709548223137095</v>
      </c>
      <c r="S421" t="s">
        <v>6247</v>
      </c>
      <c r="T421" t="s">
        <v>11650</v>
      </c>
      <c r="U421" t="s">
        <v>11650</v>
      </c>
      <c r="V421" t="s">
        <v>11650</v>
      </c>
      <c r="W421" t="s">
        <v>12064</v>
      </c>
      <c r="X421">
        <v>10</v>
      </c>
      <c r="Y421" t="s">
        <v>17828</v>
      </c>
      <c r="Z421" t="s">
        <v>23483</v>
      </c>
      <c r="AA421">
        <v>0.54732228400908933</v>
      </c>
      <c r="AB421" t="str">
        <f>HYPERLINK("Melting_Curves/meltCurve_E7EQ69_NAA50.pdf", "Melting_Curves/meltCurve_E7EQ69_NAA50.pdf")</f>
        <v>Melting_Curves/meltCurve_E7EQ69_NAA50.pdf</v>
      </c>
    </row>
    <row r="422" spans="1:28" x14ac:dyDescent="0.25">
      <c r="A422" t="s">
        <v>426</v>
      </c>
      <c r="B422">
        <v>0.99996721820229495</v>
      </c>
      <c r="C422">
        <v>1.85210084559289</v>
      </c>
      <c r="D422">
        <v>1.7063115960664901</v>
      </c>
      <c r="E422">
        <v>1.2915167747488701</v>
      </c>
      <c r="F422">
        <v>2.8116420661592598</v>
      </c>
      <c r="G422">
        <v>1.74897928341354</v>
      </c>
      <c r="H422">
        <v>1.03240618540441</v>
      </c>
      <c r="I422">
        <v>3.2645138496102102</v>
      </c>
      <c r="J422">
        <v>0.72313033355620704</v>
      </c>
      <c r="K422">
        <v>3.1517870146804499</v>
      </c>
      <c r="L422">
        <v>10236.4552776643</v>
      </c>
      <c r="M422">
        <v>250</v>
      </c>
      <c r="O422">
        <v>40.9432022817549</v>
      </c>
      <c r="P422">
        <v>0.76325249095106495</v>
      </c>
      <c r="Q422">
        <v>1.5</v>
      </c>
      <c r="R422">
        <v>-0.13554699448718299</v>
      </c>
      <c r="S422" t="s">
        <v>6248</v>
      </c>
      <c r="T422" t="s">
        <v>11650</v>
      </c>
      <c r="U422" t="s">
        <v>11650</v>
      </c>
      <c r="V422" t="s">
        <v>11650</v>
      </c>
      <c r="W422" t="s">
        <v>12065</v>
      </c>
      <c r="X422">
        <v>1</v>
      </c>
      <c r="Y422" t="s">
        <v>17829</v>
      </c>
      <c r="Z422" t="s">
        <v>23484</v>
      </c>
      <c r="AA422">
        <v>1.4841933935134659</v>
      </c>
      <c r="AB422" t="str">
        <f>HYPERLINK("Melting_Curves/meltCurve_E7EQB3_TSEN34.pdf", "Melting_Curves/meltCurve_E7EQB3_TSEN34.pdf")</f>
        <v>Melting_Curves/meltCurve_E7EQB3_TSEN34.pdf</v>
      </c>
    </row>
    <row r="423" spans="1:28" x14ac:dyDescent="0.25">
      <c r="A423" t="s">
        <v>427</v>
      </c>
      <c r="B423">
        <v>0.99996721820229495</v>
      </c>
      <c r="C423">
        <v>0.97878038105690301</v>
      </c>
      <c r="D423">
        <v>1.0435708185625601</v>
      </c>
      <c r="E423">
        <v>0.79059030399839902</v>
      </c>
      <c r="F423">
        <v>1.1829568669672199</v>
      </c>
      <c r="G423">
        <v>1.05732423928325</v>
      </c>
      <c r="H423">
        <v>0.59882338523370204</v>
      </c>
      <c r="I423">
        <v>0.25125457453636502</v>
      </c>
      <c r="J423">
        <v>0.33786276594492998</v>
      </c>
      <c r="K423">
        <v>0.28723317746441301</v>
      </c>
      <c r="L423">
        <v>15000</v>
      </c>
      <c r="M423">
        <v>246.17015216009599</v>
      </c>
      <c r="N423">
        <v>61.151476668601397</v>
      </c>
      <c r="O423">
        <v>60.929442024661903</v>
      </c>
      <c r="P423">
        <v>-0.71500761701335402</v>
      </c>
      <c r="Q423">
        <v>0.29211539778149898</v>
      </c>
      <c r="R423">
        <v>0.92391182475452005</v>
      </c>
      <c r="S423" t="s">
        <v>6249</v>
      </c>
      <c r="T423" t="s">
        <v>11650</v>
      </c>
      <c r="U423" t="s">
        <v>11650</v>
      </c>
      <c r="V423" t="s">
        <v>11650</v>
      </c>
      <c r="W423" t="s">
        <v>12066</v>
      </c>
      <c r="X423">
        <v>1</v>
      </c>
      <c r="Y423" t="s">
        <v>17830</v>
      </c>
      <c r="Z423" t="s">
        <v>23485</v>
      </c>
      <c r="AA423">
        <v>0.78614268918738317</v>
      </c>
      <c r="AB423" t="str">
        <f>HYPERLINK("Melting_Curves/meltCurve_E7EQL8_TUBGCP6.pdf", "Melting_Curves/meltCurve_E7EQL8_TUBGCP6.pdf")</f>
        <v>Melting_Curves/meltCurve_E7EQL8_TUBGCP6.pdf</v>
      </c>
    </row>
    <row r="424" spans="1:28" x14ac:dyDescent="0.25">
      <c r="A424" t="s">
        <v>428</v>
      </c>
      <c r="B424">
        <v>0.99996721820229495</v>
      </c>
      <c r="C424">
        <v>0.75508996619392998</v>
      </c>
      <c r="D424">
        <v>0.84869200917809695</v>
      </c>
      <c r="E424">
        <v>1.1977154428605099</v>
      </c>
      <c r="F424">
        <v>1.56996656564579</v>
      </c>
      <c r="G424">
        <v>1.24562826894861</v>
      </c>
      <c r="H424">
        <v>1.0020761676719101</v>
      </c>
      <c r="I424">
        <v>0.61597205080559203</v>
      </c>
      <c r="J424">
        <v>0.31339317786860998</v>
      </c>
      <c r="K424">
        <v>0.249195814535069</v>
      </c>
      <c r="L424">
        <v>4861.1715938281404</v>
      </c>
      <c r="M424">
        <v>76.030493385782407</v>
      </c>
      <c r="N424">
        <v>64.591476440861797</v>
      </c>
      <c r="O424">
        <v>63.892939519615098</v>
      </c>
      <c r="P424">
        <v>-0.21760146590826701</v>
      </c>
      <c r="Q424">
        <v>0.268546371988792</v>
      </c>
      <c r="R424">
        <v>0.67087465133514501</v>
      </c>
      <c r="S424" t="s">
        <v>6250</v>
      </c>
      <c r="T424" t="s">
        <v>11650</v>
      </c>
      <c r="U424" t="s">
        <v>11650</v>
      </c>
      <c r="V424" t="s">
        <v>11650</v>
      </c>
      <c r="W424" t="s">
        <v>12067</v>
      </c>
      <c r="X424">
        <v>5</v>
      </c>
      <c r="Y424" t="s">
        <v>17831</v>
      </c>
      <c r="Z424" t="s">
        <v>23486</v>
      </c>
      <c r="AA424">
        <v>0.85303081064306163</v>
      </c>
      <c r="AB424" t="str">
        <f>HYPERLINK("Melting_Curves/meltCurve_E7EQR8_YIPF3.pdf", "Melting_Curves/meltCurve_E7EQR8_YIPF3.pdf")</f>
        <v>Melting_Curves/meltCurve_E7EQR8_YIPF3.pdf</v>
      </c>
    </row>
    <row r="425" spans="1:28" x14ac:dyDescent="0.25">
      <c r="A425" t="s">
        <v>429</v>
      </c>
      <c r="B425">
        <v>0.99996721820229495</v>
      </c>
      <c r="C425">
        <v>1.04148176303082</v>
      </c>
      <c r="D425">
        <v>1.0768276867812101</v>
      </c>
      <c r="E425">
        <v>1.21943240877216</v>
      </c>
      <c r="F425">
        <v>1.59381727387372</v>
      </c>
      <c r="G425">
        <v>1.62541726824066</v>
      </c>
      <c r="H425">
        <v>1.20882142956187</v>
      </c>
      <c r="I425">
        <v>1.1497704658043799</v>
      </c>
      <c r="J425">
        <v>0.87394718170129204</v>
      </c>
      <c r="K425">
        <v>0.70256524240489104</v>
      </c>
      <c r="L425">
        <v>15000</v>
      </c>
      <c r="M425">
        <v>223.57305770159601</v>
      </c>
      <c r="O425">
        <v>67.086790864117305</v>
      </c>
      <c r="P425">
        <v>-0.24783214457728001</v>
      </c>
      <c r="Q425">
        <v>0.70253546089854002</v>
      </c>
      <c r="R425">
        <v>-0.15825463658894501</v>
      </c>
      <c r="S425" t="s">
        <v>6251</v>
      </c>
      <c r="T425" t="s">
        <v>11650</v>
      </c>
      <c r="U425" t="s">
        <v>11650</v>
      </c>
      <c r="V425" t="s">
        <v>11650</v>
      </c>
      <c r="W425" t="s">
        <v>12068</v>
      </c>
      <c r="X425">
        <v>25</v>
      </c>
      <c r="Y425" t="s">
        <v>17832</v>
      </c>
      <c r="Z425" t="s">
        <v>23487</v>
      </c>
      <c r="AA425">
        <v>0.97121087996223021</v>
      </c>
      <c r="AB425" t="str">
        <f>HYPERLINK("Melting_Curves/meltCurve_E7EQT4_ACIN1.pdf", "Melting_Curves/meltCurve_E7EQT4_ACIN1.pdf")</f>
        <v>Melting_Curves/meltCurve_E7EQT4_ACIN1.pdf</v>
      </c>
    </row>
    <row r="426" spans="1:28" x14ac:dyDescent="0.25">
      <c r="A426" t="s">
        <v>430</v>
      </c>
      <c r="B426">
        <v>0.99996721820229495</v>
      </c>
      <c r="C426">
        <v>0.94481201322914299</v>
      </c>
      <c r="D426">
        <v>0.92297511877703498</v>
      </c>
      <c r="E426">
        <v>1.0270105987329201</v>
      </c>
      <c r="F426">
        <v>0.87260511072892999</v>
      </c>
      <c r="G426">
        <v>0.69841482071253602</v>
      </c>
      <c r="H426">
        <v>0.51577875317862398</v>
      </c>
      <c r="I426">
        <v>0.47196033861827902</v>
      </c>
      <c r="J426">
        <v>0.39391368605216398</v>
      </c>
      <c r="K426">
        <v>0.33279158193125902</v>
      </c>
      <c r="L426">
        <v>962.91704793030704</v>
      </c>
      <c r="M426">
        <v>16.584534997308701</v>
      </c>
      <c r="N426">
        <v>61.829300859634699</v>
      </c>
      <c r="O426">
        <v>57.236680183861203</v>
      </c>
      <c r="P426">
        <v>-4.9404504918322399E-2</v>
      </c>
      <c r="Q426">
        <v>0.31802565925434501</v>
      </c>
      <c r="R426">
        <v>0.97719920237726299</v>
      </c>
      <c r="S426" t="s">
        <v>6252</v>
      </c>
      <c r="T426" t="s">
        <v>11650</v>
      </c>
      <c r="U426" t="s">
        <v>11650</v>
      </c>
      <c r="V426" t="s">
        <v>11650</v>
      </c>
      <c r="W426" t="s">
        <v>12069</v>
      </c>
      <c r="X426">
        <v>8</v>
      </c>
      <c r="Y426" t="s">
        <v>17833</v>
      </c>
      <c r="Z426" t="s">
        <v>23488</v>
      </c>
      <c r="AA426">
        <v>0.73737389781126206</v>
      </c>
      <c r="AB426" t="str">
        <f>HYPERLINK("Melting_Curves/meltCurve_E7ER32_MKL1.pdf", "Melting_Curves/meltCurve_E7ER32_MKL1.pdf")</f>
        <v>Melting_Curves/meltCurve_E7ER32_MKL1.pdf</v>
      </c>
    </row>
    <row r="427" spans="1:28" x14ac:dyDescent="0.25">
      <c r="A427" t="s">
        <v>431</v>
      </c>
      <c r="B427">
        <v>0.99996721820229495</v>
      </c>
      <c r="C427">
        <v>0.95157036427380104</v>
      </c>
      <c r="D427">
        <v>0.83646027668011902</v>
      </c>
      <c r="E427">
        <v>0.56863681768841501</v>
      </c>
      <c r="F427">
        <v>0.54241338578859399</v>
      </c>
      <c r="G427">
        <v>0.48809397880129901</v>
      </c>
      <c r="H427">
        <v>0.319093302443752</v>
      </c>
      <c r="I427">
        <v>0.30625174724898602</v>
      </c>
      <c r="J427">
        <v>0.28388984390861299</v>
      </c>
      <c r="K427">
        <v>0.17333502581594201</v>
      </c>
      <c r="L427">
        <v>512.249777303982</v>
      </c>
      <c r="M427">
        <v>9.8718954559098897</v>
      </c>
      <c r="N427">
        <v>54.262558172250898</v>
      </c>
      <c r="O427">
        <v>49.895006052908897</v>
      </c>
      <c r="P427">
        <v>-4.08135634804042E-2</v>
      </c>
      <c r="Q427">
        <v>0.175293922726279</v>
      </c>
      <c r="R427">
        <v>0.96993431569739397</v>
      </c>
      <c r="S427" t="s">
        <v>6253</v>
      </c>
      <c r="T427" t="s">
        <v>11650</v>
      </c>
      <c r="U427" t="s">
        <v>11650</v>
      </c>
      <c r="V427" t="s">
        <v>11650</v>
      </c>
      <c r="W427" t="s">
        <v>12070</v>
      </c>
      <c r="X427">
        <v>5</v>
      </c>
      <c r="Y427" t="s">
        <v>17834</v>
      </c>
      <c r="Z427" t="s">
        <v>23489</v>
      </c>
      <c r="AA427">
        <v>0.53423852157794527</v>
      </c>
      <c r="AB427" t="str">
        <f>HYPERLINK("Melting_Curves/meltCurve_E7ER60_SYNJ2.pdf", "Melting_Curves/meltCurve_E7ER60_SYNJ2.pdf")</f>
        <v>Melting_Curves/meltCurve_E7ER60_SYNJ2.pdf</v>
      </c>
    </row>
    <row r="428" spans="1:28" x14ac:dyDescent="0.25">
      <c r="A428" t="s">
        <v>432</v>
      </c>
      <c r="B428">
        <v>0.99996721820229495</v>
      </c>
      <c r="C428">
        <v>0.75321118541823695</v>
      </c>
      <c r="D428">
        <v>0.99119708725636602</v>
      </c>
      <c r="E428">
        <v>1.14806485076221</v>
      </c>
      <c r="F428">
        <v>1.8645409987933601</v>
      </c>
      <c r="G428">
        <v>1.36948058855814</v>
      </c>
      <c r="H428">
        <v>1.0070691393353901</v>
      </c>
      <c r="I428">
        <v>0.60563235468767895</v>
      </c>
      <c r="J428">
        <v>0.39195442354967902</v>
      </c>
      <c r="K428">
        <v>0.471073003876184</v>
      </c>
      <c r="L428">
        <v>15000</v>
      </c>
      <c r="M428">
        <v>235.19254428790899</v>
      </c>
      <c r="N428">
        <v>64.321202411963895</v>
      </c>
      <c r="O428">
        <v>63.772920659662702</v>
      </c>
      <c r="P428">
        <v>-0.52414234779233904</v>
      </c>
      <c r="Q428">
        <v>0.43151109056422099</v>
      </c>
      <c r="R428">
        <v>0.44761651957084497</v>
      </c>
      <c r="S428" t="s">
        <v>6254</v>
      </c>
      <c r="T428" t="s">
        <v>11650</v>
      </c>
      <c r="U428" t="s">
        <v>11650</v>
      </c>
      <c r="V428" t="s">
        <v>11650</v>
      </c>
      <c r="W428" t="s">
        <v>12071</v>
      </c>
      <c r="X428">
        <v>3</v>
      </c>
      <c r="Y428" t="s">
        <v>17835</v>
      </c>
      <c r="Z428" t="s">
        <v>23490</v>
      </c>
      <c r="AA428">
        <v>0.88215842678420686</v>
      </c>
      <c r="AB428" t="str">
        <f>HYPERLINK("Melting_Curves/meltCurve_E7ER77_ERMP1.pdf", "Melting_Curves/meltCurve_E7ER77_ERMP1.pdf")</f>
        <v>Melting_Curves/meltCurve_E7ER77_ERMP1.pdf</v>
      </c>
    </row>
    <row r="429" spans="1:28" x14ac:dyDescent="0.25">
      <c r="A429" t="s">
        <v>433</v>
      </c>
      <c r="B429">
        <v>0.99996721820229495</v>
      </c>
      <c r="C429">
        <v>0.99835864278407604</v>
      </c>
      <c r="D429">
        <v>0.99809099454287897</v>
      </c>
      <c r="E429">
        <v>1.0726239020231301</v>
      </c>
      <c r="F429">
        <v>0.72806610310819697</v>
      </c>
      <c r="G429">
        <v>0.38286252214337302</v>
      </c>
      <c r="H429">
        <v>0.23051346201606801</v>
      </c>
      <c r="I429">
        <v>0.146731502449503</v>
      </c>
      <c r="J429">
        <v>0.11650257072033</v>
      </c>
      <c r="K429">
        <v>9.1640150380859195E-2</v>
      </c>
      <c r="L429">
        <v>1489.88171093746</v>
      </c>
      <c r="M429">
        <v>27.0030578198248</v>
      </c>
      <c r="N429">
        <v>55.746387461017001</v>
      </c>
      <c r="O429">
        <v>54.874597358816303</v>
      </c>
      <c r="P429">
        <v>-0.10814087262266101</v>
      </c>
      <c r="Q429">
        <v>0.12096907906872401</v>
      </c>
      <c r="R429">
        <v>0.98646735209368597</v>
      </c>
      <c r="S429" t="s">
        <v>6255</v>
      </c>
      <c r="T429" t="s">
        <v>11650</v>
      </c>
      <c r="U429" t="s">
        <v>11650</v>
      </c>
      <c r="V429" t="s">
        <v>11650</v>
      </c>
      <c r="W429" t="s">
        <v>12072</v>
      </c>
      <c r="X429">
        <v>37</v>
      </c>
      <c r="Y429" t="s">
        <v>17836</v>
      </c>
      <c r="Z429" t="s">
        <v>23491</v>
      </c>
      <c r="AA429">
        <v>0.57268828441571806</v>
      </c>
      <c r="AB429" t="str">
        <f>HYPERLINK("Melting_Curves/meltCurve_E7ER89_PAPSS2.pdf", "Melting_Curves/meltCurve_E7ER89_PAPSS2.pdf")</f>
        <v>Melting_Curves/meltCurve_E7ER89_PAPSS2.pdf</v>
      </c>
    </row>
    <row r="430" spans="1:28" x14ac:dyDescent="0.25">
      <c r="A430" t="s">
        <v>434</v>
      </c>
      <c r="B430">
        <v>0.99996721820229495</v>
      </c>
      <c r="C430">
        <v>0.99383012166540996</v>
      </c>
      <c r="D430">
        <v>0.89154559882213003</v>
      </c>
      <c r="E430">
        <v>0.65386329373054997</v>
      </c>
      <c r="F430">
        <v>0.54420560231834902</v>
      </c>
      <c r="G430">
        <v>0.50196368033179095</v>
      </c>
      <c r="H430">
        <v>0.31723547678394798</v>
      </c>
      <c r="I430">
        <v>0.27504566729211499</v>
      </c>
      <c r="J430">
        <v>0.24006901788728</v>
      </c>
      <c r="K430">
        <v>0.15024376446875201</v>
      </c>
      <c r="L430">
        <v>542.78610394720897</v>
      </c>
      <c r="M430">
        <v>10.108871736486901</v>
      </c>
      <c r="N430">
        <v>55.146799454450303</v>
      </c>
      <c r="O430">
        <v>51.719836502898502</v>
      </c>
      <c r="P430">
        <v>-4.3171673905292703E-2</v>
      </c>
      <c r="Q430">
        <v>0.116897896421799</v>
      </c>
      <c r="R430">
        <v>0.98041409402505797</v>
      </c>
      <c r="S430" t="s">
        <v>6256</v>
      </c>
      <c r="T430" t="s">
        <v>11650</v>
      </c>
      <c r="U430" t="s">
        <v>11650</v>
      </c>
      <c r="V430" t="s">
        <v>11650</v>
      </c>
      <c r="W430" t="s">
        <v>12073</v>
      </c>
      <c r="X430">
        <v>6</v>
      </c>
      <c r="Y430" t="s">
        <v>17837</v>
      </c>
      <c r="Z430" t="s">
        <v>23492</v>
      </c>
      <c r="AA430">
        <v>0.54756633234924712</v>
      </c>
      <c r="AB430" t="str">
        <f>HYPERLINK("Melting_Curves/meltCurve_E7ERB7_GMIP.pdf", "Melting_Curves/meltCurve_E7ERB7_GMIP.pdf")</f>
        <v>Melting_Curves/meltCurve_E7ERB7_GMIP.pdf</v>
      </c>
    </row>
    <row r="431" spans="1:28" x14ac:dyDescent="0.25">
      <c r="A431" t="s">
        <v>435</v>
      </c>
      <c r="B431">
        <v>0.99996721820229495</v>
      </c>
      <c r="C431">
        <v>0.65722508836448301</v>
      </c>
      <c r="D431">
        <v>0.99864686535277802</v>
      </c>
      <c r="E431">
        <v>1.28882389978241</v>
      </c>
      <c r="F431">
        <v>1.01279446105966</v>
      </c>
      <c r="G431">
        <v>0.44869301585661397</v>
      </c>
      <c r="H431">
        <v>0.178531140906071</v>
      </c>
      <c r="I431">
        <v>0.109820773943431</v>
      </c>
      <c r="J431">
        <v>8.7955750496963803E-2</v>
      </c>
      <c r="K431">
        <v>7.3682772691510107E-2</v>
      </c>
      <c r="L431">
        <v>3473.2152623874099</v>
      </c>
      <c r="M431">
        <v>61.394162124157901</v>
      </c>
      <c r="N431">
        <v>56.799766354450398</v>
      </c>
      <c r="O431">
        <v>56.512473044391001</v>
      </c>
      <c r="P431">
        <v>-0.24200724836288401</v>
      </c>
      <c r="Q431">
        <v>0.108943101109301</v>
      </c>
      <c r="R431">
        <v>0.89355686024216396</v>
      </c>
      <c r="S431" t="s">
        <v>6257</v>
      </c>
      <c r="T431" t="s">
        <v>11650</v>
      </c>
      <c r="U431" t="s">
        <v>11650</v>
      </c>
      <c r="V431" t="s">
        <v>11650</v>
      </c>
      <c r="W431" t="s">
        <v>12074</v>
      </c>
      <c r="X431">
        <v>9</v>
      </c>
      <c r="Y431" t="s">
        <v>17838</v>
      </c>
      <c r="Z431" t="s">
        <v>23493</v>
      </c>
      <c r="AA431">
        <v>0.60264658348204847</v>
      </c>
      <c r="AB431" t="str">
        <f>HYPERLINK("Melting_Curves/meltCurve_E7ERC6_ATP2C1.pdf", "Melting_Curves/meltCurve_E7ERC6_ATP2C1.pdf")</f>
        <v>Melting_Curves/meltCurve_E7ERC6_ATP2C1.pdf</v>
      </c>
    </row>
    <row r="432" spans="1:28" x14ac:dyDescent="0.25">
      <c r="A432" t="s">
        <v>436</v>
      </c>
      <c r="B432">
        <v>0.99996721820229495</v>
      </c>
      <c r="C432">
        <v>0.58035103741768901</v>
      </c>
      <c r="D432">
        <v>0.39595023129611001</v>
      </c>
      <c r="E432">
        <v>0.814385200379805</v>
      </c>
      <c r="F432">
        <v>0.56163664580374595</v>
      </c>
      <c r="G432">
        <v>0.26382188647718202</v>
      </c>
      <c r="H432">
        <v>0.30736152909687697</v>
      </c>
      <c r="I432">
        <v>0.33639347975796502</v>
      </c>
      <c r="J432">
        <v>0.29324984139396298</v>
      </c>
      <c r="K432">
        <v>0.29726013074872598</v>
      </c>
      <c r="L432">
        <v>291.81156769049301</v>
      </c>
      <c r="M432">
        <v>6.0733014434321202</v>
      </c>
      <c r="N432">
        <v>51.5689783074044</v>
      </c>
      <c r="O432">
        <v>43.618820381578097</v>
      </c>
      <c r="P432">
        <v>-2.8991150366232701E-2</v>
      </c>
      <c r="Q432">
        <v>0.16970982797193401</v>
      </c>
      <c r="R432">
        <v>0.60608827306494495</v>
      </c>
      <c r="S432" t="s">
        <v>6258</v>
      </c>
      <c r="T432" t="s">
        <v>11650</v>
      </c>
      <c r="U432" t="s">
        <v>11650</v>
      </c>
      <c r="V432" t="s">
        <v>11650</v>
      </c>
      <c r="W432" t="s">
        <v>12075</v>
      </c>
      <c r="X432">
        <v>17</v>
      </c>
      <c r="Y432" t="s">
        <v>17839</v>
      </c>
      <c r="Z432" t="s">
        <v>23494</v>
      </c>
      <c r="AA432">
        <v>0.47411764182033339</v>
      </c>
      <c r="AB432" t="str">
        <f>HYPERLINK("Melting_Curves/meltCurve_E7ERH1_TNS1.pdf", "Melting_Curves/meltCurve_E7ERH1_TNS1.pdf")</f>
        <v>Melting_Curves/meltCurve_E7ERH1_TNS1.pdf</v>
      </c>
    </row>
    <row r="433" spans="1:28" x14ac:dyDescent="0.25">
      <c r="A433" t="s">
        <v>437</v>
      </c>
      <c r="B433">
        <v>0.99996721820229495</v>
      </c>
      <c r="C433">
        <v>0.916966094021194</v>
      </c>
      <c r="D433">
        <v>0.90666920523090999</v>
      </c>
      <c r="E433">
        <v>0.58384758553136396</v>
      </c>
      <c r="F433">
        <v>0.35340382075205401</v>
      </c>
      <c r="G433">
        <v>0.279550105517689</v>
      </c>
      <c r="H433">
        <v>0.17873890719865501</v>
      </c>
      <c r="I433">
        <v>0.16095958698835899</v>
      </c>
      <c r="J433">
        <v>0.137218826019576</v>
      </c>
      <c r="K433">
        <v>0.13041459763044599</v>
      </c>
      <c r="L433">
        <v>909.492396247388</v>
      </c>
      <c r="M433">
        <v>18.089997052772201</v>
      </c>
      <c r="N433">
        <v>51.211733244722197</v>
      </c>
      <c r="O433">
        <v>49.673701218349301</v>
      </c>
      <c r="P433">
        <v>-7.8235109322352905E-2</v>
      </c>
      <c r="Q433">
        <v>0.14073215193029101</v>
      </c>
      <c r="R433">
        <v>0.99329390844782595</v>
      </c>
      <c r="S433" t="s">
        <v>6259</v>
      </c>
      <c r="T433" t="s">
        <v>11650</v>
      </c>
      <c r="U433" t="s">
        <v>11650</v>
      </c>
      <c r="V433" t="s">
        <v>11650</v>
      </c>
      <c r="W433" t="s">
        <v>12076</v>
      </c>
      <c r="X433">
        <v>26</v>
      </c>
      <c r="Y433" t="s">
        <v>17840</v>
      </c>
      <c r="Z433" t="s">
        <v>23495</v>
      </c>
      <c r="AA433">
        <v>0.44952618905850039</v>
      </c>
      <c r="AB433" t="str">
        <f>HYPERLINK("Melting_Curves/meltCurve_E7ERJ0_ITSN1.pdf", "Melting_Curves/meltCurve_E7ERJ0_ITSN1.pdf")</f>
        <v>Melting_Curves/meltCurve_E7ERJ0_ITSN1.pdf</v>
      </c>
    </row>
    <row r="434" spans="1:28" x14ac:dyDescent="0.25">
      <c r="A434" t="s">
        <v>438</v>
      </c>
      <c r="B434">
        <v>0.99996721820229495</v>
      </c>
      <c r="C434">
        <v>1.1156668224563799</v>
      </c>
      <c r="D434">
        <v>1.0335508411602701</v>
      </c>
      <c r="E434">
        <v>0.87737207847249898</v>
      </c>
      <c r="F434">
        <v>1.03820349890863</v>
      </c>
      <c r="G434">
        <v>0.867441623827793</v>
      </c>
      <c r="H434">
        <v>0.57924004241029303</v>
      </c>
      <c r="I434">
        <v>0.46869877998602499</v>
      </c>
      <c r="J434">
        <v>0.379650517315608</v>
      </c>
      <c r="K434">
        <v>0.23009765506013</v>
      </c>
      <c r="L434">
        <v>1171.95416581054</v>
      </c>
      <c r="M434">
        <v>19.072233761529802</v>
      </c>
      <c r="N434">
        <v>63.0893461197536</v>
      </c>
      <c r="O434">
        <v>60.784595833503801</v>
      </c>
      <c r="P434">
        <v>-6.3104181735252299E-2</v>
      </c>
      <c r="Q434">
        <v>0.19556112759255501</v>
      </c>
      <c r="R434">
        <v>0.95670055164575096</v>
      </c>
      <c r="S434" t="s">
        <v>6260</v>
      </c>
      <c r="T434" t="s">
        <v>11650</v>
      </c>
      <c r="U434" t="s">
        <v>11650</v>
      </c>
      <c r="V434" t="s">
        <v>11650</v>
      </c>
      <c r="W434" t="s">
        <v>12077</v>
      </c>
      <c r="X434">
        <v>7</v>
      </c>
      <c r="Y434" t="s">
        <v>17841</v>
      </c>
      <c r="Z434" t="s">
        <v>23496</v>
      </c>
      <c r="AA434">
        <v>0.77421919108440085</v>
      </c>
      <c r="AB434" t="str">
        <f>HYPERLINK("Melting_Curves/meltCurve_E7ERL6_MAST2.pdf", "Melting_Curves/meltCurve_E7ERL6_MAST2.pdf")</f>
        <v>Melting_Curves/meltCurve_E7ERL6_MAST2.pdf</v>
      </c>
    </row>
    <row r="435" spans="1:28" x14ac:dyDescent="0.25">
      <c r="A435" t="s">
        <v>439</v>
      </c>
      <c r="B435">
        <v>0.99996721820229495</v>
      </c>
      <c r="C435">
        <v>1.19315729824733</v>
      </c>
      <c r="D435">
        <v>1.1091657843779901</v>
      </c>
      <c r="E435">
        <v>1.08219332975657</v>
      </c>
      <c r="F435">
        <v>1.43266592481837</v>
      </c>
      <c r="G435">
        <v>2.0921387948815702</v>
      </c>
      <c r="H435">
        <v>1.6110218006319901</v>
      </c>
      <c r="I435">
        <v>1.7090501632849</v>
      </c>
      <c r="J435">
        <v>1.8227145191098899</v>
      </c>
      <c r="K435">
        <v>1.75304123118814</v>
      </c>
      <c r="L435">
        <v>3428.7512309009498</v>
      </c>
      <c r="M435">
        <v>66.866404537701001</v>
      </c>
      <c r="O435">
        <v>51.231848159269198</v>
      </c>
      <c r="P435">
        <v>0.163146673610193</v>
      </c>
      <c r="Q435">
        <v>1.5</v>
      </c>
      <c r="R435">
        <v>0.498805470601001</v>
      </c>
      <c r="S435" t="s">
        <v>6261</v>
      </c>
      <c r="T435" t="s">
        <v>11650</v>
      </c>
      <c r="U435" t="s">
        <v>11650</v>
      </c>
      <c r="V435" t="s">
        <v>11650</v>
      </c>
      <c r="W435" t="s">
        <v>12078</v>
      </c>
      <c r="X435">
        <v>5</v>
      </c>
      <c r="Y435" t="s">
        <v>17842</v>
      </c>
      <c r="Z435" t="s">
        <v>23497</v>
      </c>
      <c r="AA435">
        <v>1.3114085849818671</v>
      </c>
      <c r="AB435" t="str">
        <f>HYPERLINK("Melting_Curves/meltCurve_E7ERS3_ZC3H18.pdf", "Melting_Curves/meltCurve_E7ERS3_ZC3H18.pdf")</f>
        <v>Melting_Curves/meltCurve_E7ERS3_ZC3H18.pdf</v>
      </c>
    </row>
    <row r="436" spans="1:28" x14ac:dyDescent="0.25">
      <c r="A436" t="s">
        <v>440</v>
      </c>
      <c r="B436">
        <v>0.99996721820229495</v>
      </c>
      <c r="C436">
        <v>0.89425247184589196</v>
      </c>
      <c r="D436">
        <v>1.1601978133097299</v>
      </c>
      <c r="E436">
        <v>1.05122865570047</v>
      </c>
      <c r="F436">
        <v>1.92426701949667</v>
      </c>
      <c r="G436">
        <v>1.315886517781</v>
      </c>
      <c r="H436">
        <v>0.80506346087827996</v>
      </c>
      <c r="I436">
        <v>0.370404408675512</v>
      </c>
      <c r="J436">
        <v>0</v>
      </c>
      <c r="K436">
        <v>0.295921829578909</v>
      </c>
      <c r="L436">
        <v>3672.6084175819601</v>
      </c>
      <c r="M436">
        <v>58.7578406808368</v>
      </c>
      <c r="N436">
        <v>62.903156012787903</v>
      </c>
      <c r="O436">
        <v>62.431885526095499</v>
      </c>
      <c r="P436">
        <v>-0.19868333390741599</v>
      </c>
      <c r="Q436">
        <v>0.15557376370216999</v>
      </c>
      <c r="R436">
        <v>0.62379560796976896</v>
      </c>
      <c r="S436" t="s">
        <v>6262</v>
      </c>
      <c r="T436" t="s">
        <v>11650</v>
      </c>
      <c r="U436" t="s">
        <v>11650</v>
      </c>
      <c r="V436" t="s">
        <v>11650</v>
      </c>
      <c r="W436" t="s">
        <v>12079</v>
      </c>
      <c r="X436">
        <v>1</v>
      </c>
      <c r="Y436" t="s">
        <v>17843</v>
      </c>
      <c r="Z436" t="s">
        <v>23498</v>
      </c>
      <c r="AA436">
        <v>0.79062100680585468</v>
      </c>
      <c r="AB436" t="str">
        <f>HYPERLINK("Melting_Curves/meltCurve_E7ES21_HEPH.pdf", "Melting_Curves/meltCurve_E7ES21_HEPH.pdf")</f>
        <v>Melting_Curves/meltCurve_E7ES21_HEPH.pdf</v>
      </c>
    </row>
    <row r="437" spans="1:28" x14ac:dyDescent="0.25">
      <c r="A437" t="s">
        <v>441</v>
      </c>
      <c r="B437">
        <v>0.99996721820229495</v>
      </c>
      <c r="C437">
        <v>1.0082103098947499</v>
      </c>
      <c r="D437">
        <v>1.06091889998317</v>
      </c>
      <c r="E437">
        <v>1.0391838711919701</v>
      </c>
      <c r="F437">
        <v>1.09980000651191</v>
      </c>
      <c r="G437">
        <v>0.69462784067888494</v>
      </c>
      <c r="H437">
        <v>0.372217415397327</v>
      </c>
      <c r="I437">
        <v>0.29396070570808902</v>
      </c>
      <c r="J437">
        <v>0.23427316090245101</v>
      </c>
      <c r="K437">
        <v>0.18498846643026601</v>
      </c>
      <c r="L437">
        <v>2049.52563030083</v>
      </c>
      <c r="M437">
        <v>35.321340570234398</v>
      </c>
      <c r="N437">
        <v>59.0532300634314</v>
      </c>
      <c r="O437">
        <v>57.840088106135497</v>
      </c>
      <c r="P437">
        <v>-0.117606780358658</v>
      </c>
      <c r="Q437">
        <v>0.22965966977430799</v>
      </c>
      <c r="R437">
        <v>0.97986245547329398</v>
      </c>
      <c r="S437" t="s">
        <v>6263</v>
      </c>
      <c r="T437" t="s">
        <v>11650</v>
      </c>
      <c r="U437" t="s">
        <v>11650</v>
      </c>
      <c r="V437" t="s">
        <v>11650</v>
      </c>
      <c r="W437" t="s">
        <v>12080</v>
      </c>
      <c r="X437">
        <v>8</v>
      </c>
      <c r="Y437" t="s">
        <v>17844</v>
      </c>
      <c r="Z437" t="s">
        <v>23499</v>
      </c>
      <c r="AA437">
        <v>0.69632616600018482</v>
      </c>
      <c r="AB437" t="str">
        <f>HYPERLINK("Melting_Curves/meltCurve_E7ES35_TTC38.pdf", "Melting_Curves/meltCurve_E7ES35_TTC38.pdf")</f>
        <v>Melting_Curves/meltCurve_E7ES35_TTC38.pdf</v>
      </c>
    </row>
    <row r="438" spans="1:28" x14ac:dyDescent="0.25">
      <c r="A438" t="s">
        <v>442</v>
      </c>
      <c r="B438">
        <v>0.99996721820229495</v>
      </c>
      <c r="C438">
        <v>0.969175486006841</v>
      </c>
      <c r="D438">
        <v>1.0262061967368801</v>
      </c>
      <c r="E438">
        <v>0.72916744243766196</v>
      </c>
      <c r="F438">
        <v>0.37746661890666999</v>
      </c>
      <c r="G438">
        <v>0.312166990966253</v>
      </c>
      <c r="H438">
        <v>0.19937452654521001</v>
      </c>
      <c r="I438">
        <v>0.152107089091671</v>
      </c>
      <c r="J438">
        <v>0.119590399838987</v>
      </c>
      <c r="K438">
        <v>8.6993149006064599E-2</v>
      </c>
      <c r="L438">
        <v>1233.89763780814</v>
      </c>
      <c r="M438">
        <v>23.941572358826601</v>
      </c>
      <c r="N438">
        <v>52.276061949702502</v>
      </c>
      <c r="O438">
        <v>51.182346834473002</v>
      </c>
      <c r="P438">
        <v>-0.10017096095208</v>
      </c>
      <c r="Q438">
        <v>0.143430863408606</v>
      </c>
      <c r="R438">
        <v>0.98357952445127195</v>
      </c>
      <c r="S438" t="s">
        <v>6264</v>
      </c>
      <c r="T438" t="s">
        <v>11650</v>
      </c>
      <c r="U438" t="s">
        <v>11650</v>
      </c>
      <c r="V438" t="s">
        <v>11650</v>
      </c>
      <c r="W438" t="s">
        <v>12081</v>
      </c>
      <c r="X438">
        <v>24</v>
      </c>
      <c r="Y438" t="s">
        <v>17845</v>
      </c>
      <c r="Z438" t="s">
        <v>23500</v>
      </c>
      <c r="AA438">
        <v>0.4813267417288426</v>
      </c>
      <c r="AB438" t="str">
        <f>HYPERLINK("Melting_Curves/meltCurve_E7ES43_HSPA4L.pdf", "Melting_Curves/meltCurve_E7ES43_HSPA4L.pdf")</f>
        <v>Melting_Curves/meltCurve_E7ES43_HSPA4L.pdf</v>
      </c>
    </row>
    <row r="439" spans="1:28" x14ac:dyDescent="0.25">
      <c r="A439" t="s">
        <v>443</v>
      </c>
      <c r="B439">
        <v>0.99996721820229495</v>
      </c>
      <c r="C439">
        <v>1.0459907909227699</v>
      </c>
      <c r="D439">
        <v>1.1131300149482499</v>
      </c>
      <c r="E439">
        <v>1.27964336392394</v>
      </c>
      <c r="F439">
        <v>2.1178927195830899</v>
      </c>
      <c r="G439">
        <v>2.6506749035597901</v>
      </c>
      <c r="H439">
        <v>2.12962303469003</v>
      </c>
      <c r="I439">
        <v>1.22308313800165</v>
      </c>
      <c r="J439">
        <v>0.92770712470350203</v>
      </c>
      <c r="K439">
        <v>0.81064006255996501</v>
      </c>
      <c r="L439">
        <v>12488.0860627646</v>
      </c>
      <c r="M439">
        <v>250</v>
      </c>
      <c r="O439">
        <v>49.949150727052803</v>
      </c>
      <c r="P439">
        <v>0.62563630244062796</v>
      </c>
      <c r="Q439">
        <v>1.5</v>
      </c>
      <c r="R439">
        <v>0.16455646329972301</v>
      </c>
      <c r="S439" t="s">
        <v>6265</v>
      </c>
      <c r="T439" t="s">
        <v>11650</v>
      </c>
      <c r="U439" t="s">
        <v>11650</v>
      </c>
      <c r="V439" t="s">
        <v>11650</v>
      </c>
      <c r="W439" t="s">
        <v>12082</v>
      </c>
      <c r="X439">
        <v>1</v>
      </c>
      <c r="Y439" t="s">
        <v>17846</v>
      </c>
      <c r="Z439" t="s">
        <v>23501</v>
      </c>
      <c r="AA439">
        <v>1.3340837630223279</v>
      </c>
      <c r="AB439" t="str">
        <f>HYPERLINK("Melting_Curves/meltCurve_E7ES96_PSEN1.pdf", "Melting_Curves/meltCurve_E7ES96_PSEN1.pdf")</f>
        <v>Melting_Curves/meltCurve_E7ES96_PSEN1.pdf</v>
      </c>
    </row>
    <row r="440" spans="1:28" x14ac:dyDescent="0.25">
      <c r="A440" t="s">
        <v>444</v>
      </c>
      <c r="B440">
        <v>0.99996721820229495</v>
      </c>
      <c r="C440">
        <v>1.0543337958647301</v>
      </c>
      <c r="D440">
        <v>1.2390782186956799</v>
      </c>
      <c r="E440">
        <v>1.1185628275682999</v>
      </c>
      <c r="F440">
        <v>2.0579940881774301</v>
      </c>
      <c r="G440">
        <v>2.6337332080018601</v>
      </c>
      <c r="H440">
        <v>1.8624375534795701</v>
      </c>
      <c r="I440">
        <v>1.3141474447949</v>
      </c>
      <c r="J440">
        <v>1.1419529194859399</v>
      </c>
      <c r="K440">
        <v>0.985791716828752</v>
      </c>
      <c r="L440">
        <v>1462.54507018143</v>
      </c>
      <c r="M440">
        <v>31.150654537770901</v>
      </c>
      <c r="O440">
        <v>46.758482063726802</v>
      </c>
      <c r="P440">
        <v>8.3275878876597598E-2</v>
      </c>
      <c r="Q440">
        <v>1.5</v>
      </c>
      <c r="R440">
        <v>0.18014220493928201</v>
      </c>
      <c r="S440" t="s">
        <v>6266</v>
      </c>
      <c r="T440" t="s">
        <v>11650</v>
      </c>
      <c r="U440" t="s">
        <v>11650</v>
      </c>
      <c r="V440" t="s">
        <v>11650</v>
      </c>
      <c r="W440" t="s">
        <v>11840</v>
      </c>
      <c r="X440">
        <v>1</v>
      </c>
      <c r="Y440" t="s">
        <v>17847</v>
      </c>
      <c r="Z440" t="s">
        <v>23502</v>
      </c>
      <c r="AA440">
        <v>1.3813881093369189</v>
      </c>
      <c r="AB440" t="str">
        <f>HYPERLINK("Melting_Curves/meltCurve_E7ESK6_SDC2.pdf", "Melting_Curves/meltCurve_E7ESK6_SDC2.pdf")</f>
        <v>Melting_Curves/meltCurve_E7ESK6_SDC2.pdf</v>
      </c>
    </row>
    <row r="441" spans="1:28" x14ac:dyDescent="0.25">
      <c r="A441" t="s">
        <v>445</v>
      </c>
      <c r="B441">
        <v>0.99996721820229495</v>
      </c>
      <c r="C441">
        <v>0.92469986654651504</v>
      </c>
      <c r="D441">
        <v>1.1678422169679701</v>
      </c>
      <c r="E441">
        <v>1.5354471228155999</v>
      </c>
      <c r="F441">
        <v>2.1311470008081699</v>
      </c>
      <c r="G441">
        <v>2.22739122746402</v>
      </c>
      <c r="H441">
        <v>1.3724621507642401</v>
      </c>
      <c r="I441">
        <v>0.59819479477482695</v>
      </c>
      <c r="J441">
        <v>0.41537118963380998</v>
      </c>
      <c r="K441">
        <v>0.423961086925633</v>
      </c>
      <c r="L441">
        <v>15000</v>
      </c>
      <c r="M441">
        <v>235.185835028143</v>
      </c>
      <c r="N441">
        <v>64.279050074855206</v>
      </c>
      <c r="O441">
        <v>63.774739642571298</v>
      </c>
      <c r="P441">
        <v>-0.53504452806251102</v>
      </c>
      <c r="Q441">
        <v>0.41965339232300503</v>
      </c>
      <c r="R441">
        <v>0.136331687598687</v>
      </c>
      <c r="S441" t="s">
        <v>6267</v>
      </c>
      <c r="T441" t="s">
        <v>11650</v>
      </c>
      <c r="U441" t="s">
        <v>11650</v>
      </c>
      <c r="V441" t="s">
        <v>11650</v>
      </c>
      <c r="W441" t="s">
        <v>12083</v>
      </c>
      <c r="X441">
        <v>28</v>
      </c>
      <c r="Y441" t="s">
        <v>17848</v>
      </c>
      <c r="Z441" t="s">
        <v>23503</v>
      </c>
      <c r="AA441">
        <v>0.87973565740530324</v>
      </c>
      <c r="AB441" t="str">
        <f>HYPERLINK("Melting_Curves/meltCurve_E7ESP4_ITGA2.pdf", "Melting_Curves/meltCurve_E7ESP4_ITGA2.pdf")</f>
        <v>Melting_Curves/meltCurve_E7ESP4_ITGA2.pdf</v>
      </c>
    </row>
    <row r="442" spans="1:28" x14ac:dyDescent="0.25">
      <c r="A442" t="s">
        <v>446</v>
      </c>
      <c r="B442">
        <v>0.99996721820229495</v>
      </c>
      <c r="C442">
        <v>0.83677921439536296</v>
      </c>
      <c r="D442">
        <v>0.79618900329851205</v>
      </c>
      <c r="E442">
        <v>0.74924731665807498</v>
      </c>
      <c r="F442">
        <v>0.30974115738039099</v>
      </c>
      <c r="G442">
        <v>0.31413403142533403</v>
      </c>
      <c r="H442">
        <v>0.19388129150665301</v>
      </c>
      <c r="I442">
        <v>0.16937089428185501</v>
      </c>
      <c r="J442">
        <v>0.13383962692186299</v>
      </c>
      <c r="K442">
        <v>0.104521517574236</v>
      </c>
      <c r="L442">
        <v>617.11060522335504</v>
      </c>
      <c r="M442">
        <v>12.053274722727799</v>
      </c>
      <c r="N442">
        <v>51.934010990610801</v>
      </c>
      <c r="O442">
        <v>49.850395337215801</v>
      </c>
      <c r="P442">
        <v>-5.57179971805195E-2</v>
      </c>
      <c r="Q442">
        <v>7.8455885255978602E-2</v>
      </c>
      <c r="R442">
        <v>0.95461857532561101</v>
      </c>
      <c r="S442" t="s">
        <v>6268</v>
      </c>
      <c r="T442" t="s">
        <v>11650</v>
      </c>
      <c r="U442" t="s">
        <v>11650</v>
      </c>
      <c r="V442" t="s">
        <v>11650</v>
      </c>
      <c r="W442" t="s">
        <v>12084</v>
      </c>
      <c r="X442">
        <v>6</v>
      </c>
      <c r="Y442" t="s">
        <v>17849</v>
      </c>
      <c r="Z442" t="s">
        <v>23504</v>
      </c>
      <c r="AA442">
        <v>0.45196316395798047</v>
      </c>
      <c r="AB442" t="str">
        <f>HYPERLINK("Melting_Curves/meltCurve_E7ESZ7_NDUFA10.pdf", "Melting_Curves/meltCurve_E7ESZ7_NDUFA10.pdf")</f>
        <v>Melting_Curves/meltCurve_E7ESZ7_NDUFA10.pdf</v>
      </c>
    </row>
    <row r="443" spans="1:28" x14ac:dyDescent="0.25">
      <c r="A443" t="s">
        <v>447</v>
      </c>
      <c r="B443">
        <v>0.99996721820229495</v>
      </c>
      <c r="C443">
        <v>0.973942427357541</v>
      </c>
      <c r="D443">
        <v>1.0359675066044001</v>
      </c>
      <c r="E443">
        <v>1.0234119990556401</v>
      </c>
      <c r="F443">
        <v>1.34166336012988</v>
      </c>
      <c r="G443">
        <v>1.03142182593515</v>
      </c>
      <c r="H443">
        <v>0.79621404377380001</v>
      </c>
      <c r="I443">
        <v>0.5147376229274</v>
      </c>
      <c r="J443">
        <v>0.40068234625839899</v>
      </c>
      <c r="K443">
        <v>0.31491395530615601</v>
      </c>
      <c r="L443">
        <v>2480.1558260029001</v>
      </c>
      <c r="M443">
        <v>39.731851834169497</v>
      </c>
      <c r="N443">
        <v>64.173677320306894</v>
      </c>
      <c r="O443">
        <v>62.264853910400902</v>
      </c>
      <c r="P443">
        <v>-0.10673536508791701</v>
      </c>
      <c r="Q443">
        <v>0.330929995655108</v>
      </c>
      <c r="R443">
        <v>0.87409545466008898</v>
      </c>
      <c r="S443" t="s">
        <v>6269</v>
      </c>
      <c r="T443" t="s">
        <v>11650</v>
      </c>
      <c r="U443" t="s">
        <v>11650</v>
      </c>
      <c r="V443" t="s">
        <v>11650</v>
      </c>
      <c r="W443" t="s">
        <v>12085</v>
      </c>
      <c r="X443">
        <v>2</v>
      </c>
      <c r="Y443" t="s">
        <v>17850</v>
      </c>
      <c r="Z443" t="s">
        <v>23505</v>
      </c>
      <c r="AA443">
        <v>0.83329803175911221</v>
      </c>
      <c r="AB443" t="str">
        <f>HYPERLINK("Melting_Curves/meltCurve_E7ET40_PLAU.pdf", "Melting_Curves/meltCurve_E7ET40_PLAU.pdf")</f>
        <v>Melting_Curves/meltCurve_E7ET40_PLAU.pdf</v>
      </c>
    </row>
    <row r="444" spans="1:28" x14ac:dyDescent="0.25">
      <c r="A444" t="s">
        <v>448</v>
      </c>
      <c r="B444">
        <v>0.99996721820229495</v>
      </c>
      <c r="C444">
        <v>0.93182078742588803</v>
      </c>
      <c r="D444">
        <v>0.955967141237134</v>
      </c>
      <c r="E444">
        <v>1.1185336413818201</v>
      </c>
      <c r="F444">
        <v>1.3078970496492199</v>
      </c>
      <c r="G444">
        <v>0.95599575756459698</v>
      </c>
      <c r="H444">
        <v>0.635377567907494</v>
      </c>
      <c r="I444">
        <v>0.52278120284899998</v>
      </c>
      <c r="J444">
        <v>0.446191513568436</v>
      </c>
      <c r="K444">
        <v>0.42031938252602202</v>
      </c>
      <c r="L444">
        <v>2637.3292639852698</v>
      </c>
      <c r="M444">
        <v>43.770771565277499</v>
      </c>
      <c r="N444">
        <v>63.415185831450103</v>
      </c>
      <c r="O444">
        <v>60.127844509498999</v>
      </c>
      <c r="P444">
        <v>-0.101256100929371</v>
      </c>
      <c r="Q444">
        <v>0.443619387253886</v>
      </c>
      <c r="R444">
        <v>0.85703425497798502</v>
      </c>
      <c r="S444" t="s">
        <v>6270</v>
      </c>
      <c r="T444" t="s">
        <v>11650</v>
      </c>
      <c r="U444" t="s">
        <v>11650</v>
      </c>
      <c r="V444" t="s">
        <v>11650</v>
      </c>
      <c r="W444" t="s">
        <v>12086</v>
      </c>
      <c r="X444">
        <v>10</v>
      </c>
      <c r="Y444" t="s">
        <v>17851</v>
      </c>
      <c r="Z444" t="s">
        <v>23506</v>
      </c>
      <c r="AA444">
        <v>0.82108655623915561</v>
      </c>
      <c r="AB444" t="str">
        <f>HYPERLINK("Melting_Curves/meltCurve_E7ETA6_PCM1.pdf", "Melting_Curves/meltCurve_E7ETA6_PCM1.pdf")</f>
        <v>Melting_Curves/meltCurve_E7ETA6_PCM1.pdf</v>
      </c>
    </row>
    <row r="445" spans="1:28" x14ac:dyDescent="0.25">
      <c r="A445" t="s">
        <v>449</v>
      </c>
      <c r="B445">
        <v>0.99996721820229495</v>
      </c>
      <c r="C445">
        <v>1.27697838406474</v>
      </c>
      <c r="D445">
        <v>1.49873981419855</v>
      </c>
      <c r="E445">
        <v>1.4335494721042199</v>
      </c>
      <c r="F445">
        <v>1.48485856101508</v>
      </c>
      <c r="G445">
        <v>1.38564542063517</v>
      </c>
      <c r="H445">
        <v>1.2352354731421999</v>
      </c>
      <c r="I445">
        <v>0.94781642012507905</v>
      </c>
      <c r="J445">
        <v>0.998894865761907</v>
      </c>
      <c r="K445">
        <v>0.82143614739822102</v>
      </c>
      <c r="L445">
        <v>7669.1225087501898</v>
      </c>
      <c r="M445">
        <v>108.032765633876</v>
      </c>
      <c r="Q445">
        <v>0</v>
      </c>
      <c r="R445">
        <v>-0.72672504380529501</v>
      </c>
      <c r="S445" t="s">
        <v>6271</v>
      </c>
      <c r="T445" t="s">
        <v>11650</v>
      </c>
      <c r="U445" t="s">
        <v>11650</v>
      </c>
      <c r="V445" t="s">
        <v>11650</v>
      </c>
      <c r="W445" t="s">
        <v>12087</v>
      </c>
      <c r="X445">
        <v>1</v>
      </c>
      <c r="Y445" t="s">
        <v>17852</v>
      </c>
      <c r="Z445" t="s">
        <v>23507</v>
      </c>
      <c r="AA445">
        <v>0.99588896851758191</v>
      </c>
      <c r="AB445" t="str">
        <f>HYPERLINK("Melting_Curves/meltCurve_E7ETC6_PDPN.pdf", "Melting_Curves/meltCurve_E7ETC6_PDPN.pdf")</f>
        <v>Melting_Curves/meltCurve_E7ETC6_PDPN.pdf</v>
      </c>
    </row>
    <row r="446" spans="1:28" x14ac:dyDescent="0.25">
      <c r="A446" t="s">
        <v>450</v>
      </c>
      <c r="B446">
        <v>0.99996721820229495</v>
      </c>
      <c r="C446">
        <v>1.0058785310600999</v>
      </c>
      <c r="D446">
        <v>0.92043358927250796</v>
      </c>
      <c r="E446">
        <v>1.2633889538819101</v>
      </c>
      <c r="F446">
        <v>1.29277310637544</v>
      </c>
      <c r="G446">
        <v>0.87814976558737201</v>
      </c>
      <c r="H446">
        <v>0.54993825430379695</v>
      </c>
      <c r="I446">
        <v>0.31596140987479099</v>
      </c>
      <c r="J446">
        <v>0.19367753870558499</v>
      </c>
      <c r="K446">
        <v>0.21592006380970599</v>
      </c>
      <c r="L446">
        <v>2169.34124816229</v>
      </c>
      <c r="M446">
        <v>35.821789113195301</v>
      </c>
      <c r="N446">
        <v>61.416554907151202</v>
      </c>
      <c r="O446">
        <v>60.371479684884697</v>
      </c>
      <c r="P446">
        <v>-0.11915502834250601</v>
      </c>
      <c r="Q446">
        <v>0.19674134889730799</v>
      </c>
      <c r="R446">
        <v>0.891987411382408</v>
      </c>
      <c r="S446" t="s">
        <v>6272</v>
      </c>
      <c r="T446" t="s">
        <v>11650</v>
      </c>
      <c r="U446" t="s">
        <v>11650</v>
      </c>
      <c r="V446" t="s">
        <v>11650</v>
      </c>
      <c r="W446" t="s">
        <v>12088</v>
      </c>
      <c r="X446">
        <v>2</v>
      </c>
      <c r="Y446" t="s">
        <v>17853</v>
      </c>
      <c r="Z446" t="s">
        <v>23508</v>
      </c>
      <c r="AA446">
        <v>0.75090963154115731</v>
      </c>
      <c r="AB446" t="str">
        <f>HYPERLINK("Melting_Curves/meltCurve_E7ETK0_RPS24.pdf", "Melting_Curves/meltCurve_E7ETK0_RPS24.pdf")</f>
        <v>Melting_Curves/meltCurve_E7ETK0_RPS24.pdf</v>
      </c>
    </row>
    <row r="447" spans="1:28" x14ac:dyDescent="0.25">
      <c r="A447" t="s">
        <v>451</v>
      </c>
      <c r="B447">
        <v>0.99996721820229495</v>
      </c>
      <c r="C447">
        <v>1.0157875487729799</v>
      </c>
      <c r="D447">
        <v>0.991718587132425</v>
      </c>
      <c r="E447">
        <v>0.99431716563574202</v>
      </c>
      <c r="F447">
        <v>1.02988995555508</v>
      </c>
      <c r="G447">
        <v>1.0379313935197201</v>
      </c>
      <c r="H447">
        <v>0.54347449613108201</v>
      </c>
      <c r="I447">
        <v>0.45431457657026603</v>
      </c>
      <c r="J447">
        <v>0.32349856183458497</v>
      </c>
      <c r="K447">
        <v>0.23429252090116201</v>
      </c>
      <c r="L447">
        <v>2773.52543946273</v>
      </c>
      <c r="M447">
        <v>45.851084045435499</v>
      </c>
      <c r="N447">
        <v>61.774289228604403</v>
      </c>
      <c r="O447">
        <v>60.375127645104399</v>
      </c>
      <c r="P447">
        <v>-0.131520013932517</v>
      </c>
      <c r="Q447">
        <v>0.30727674365695801</v>
      </c>
      <c r="R447">
        <v>0.97579211820018597</v>
      </c>
      <c r="S447" t="s">
        <v>6273</v>
      </c>
      <c r="T447" t="s">
        <v>11650</v>
      </c>
      <c r="U447" t="s">
        <v>11650</v>
      </c>
      <c r="V447" t="s">
        <v>11650</v>
      </c>
      <c r="W447" t="s">
        <v>12089</v>
      </c>
      <c r="X447">
        <v>1</v>
      </c>
      <c r="Y447" t="s">
        <v>17854</v>
      </c>
      <c r="Z447" t="s">
        <v>23509</v>
      </c>
      <c r="AA447">
        <v>0.78251900098576244</v>
      </c>
      <c r="AB447" t="str">
        <f>HYPERLINK("Melting_Curves/meltCurve_E7ETU5_RBMS1.pdf", "Melting_Curves/meltCurve_E7ETU5_RBMS1.pdf")</f>
        <v>Melting_Curves/meltCurve_E7ETU5_RBMS1.pdf</v>
      </c>
    </row>
    <row r="448" spans="1:28" x14ac:dyDescent="0.25">
      <c r="A448" t="s">
        <v>452</v>
      </c>
      <c r="B448">
        <v>0.99996721820229495</v>
      </c>
      <c r="C448">
        <v>0.82957727414238602</v>
      </c>
      <c r="D448">
        <v>0.79581739536806695</v>
      </c>
      <c r="E448">
        <v>0.69074859580896597</v>
      </c>
      <c r="F448">
        <v>0.55568650137884801</v>
      </c>
      <c r="G448">
        <v>0.479935902958535</v>
      </c>
      <c r="H448">
        <v>0.39625646633391398</v>
      </c>
      <c r="I448">
        <v>0.25897527865400599</v>
      </c>
      <c r="J448">
        <v>0.13304376538818499</v>
      </c>
      <c r="K448">
        <v>0.25744982060274402</v>
      </c>
      <c r="L448">
        <v>383.576123022616</v>
      </c>
      <c r="M448">
        <v>6.9221896714333297</v>
      </c>
      <c r="N448">
        <v>55.412541572812401</v>
      </c>
      <c r="O448">
        <v>51.3422430489018</v>
      </c>
      <c r="P448">
        <v>-3.3771213361041802E-2</v>
      </c>
      <c r="Q448">
        <v>0</v>
      </c>
      <c r="R448">
        <v>0.964804559208993</v>
      </c>
      <c r="S448" t="s">
        <v>6274</v>
      </c>
      <c r="T448" t="s">
        <v>11650</v>
      </c>
      <c r="U448" t="s">
        <v>11650</v>
      </c>
      <c r="V448" t="s">
        <v>11650</v>
      </c>
      <c r="W448" t="s">
        <v>12090</v>
      </c>
      <c r="X448">
        <v>3</v>
      </c>
      <c r="Y448" t="s">
        <v>17855</v>
      </c>
      <c r="Z448" t="s">
        <v>23510</v>
      </c>
      <c r="AA448">
        <v>0.53698141410349731</v>
      </c>
      <c r="AB448" t="str">
        <f>HYPERLINK("Melting_Curves/meltCurve_E7ETW5_RCHY1.pdf", "Melting_Curves/meltCurve_E7ETW5_RCHY1.pdf")</f>
        <v>Melting_Curves/meltCurve_E7ETW5_RCHY1.pdf</v>
      </c>
    </row>
    <row r="449" spans="1:28" x14ac:dyDescent="0.25">
      <c r="A449" t="s">
        <v>453</v>
      </c>
      <c r="B449">
        <v>0.99996721820229495</v>
      </c>
      <c r="C449">
        <v>1.0581784413473001</v>
      </c>
      <c r="D449">
        <v>0.99765398239280001</v>
      </c>
      <c r="E449">
        <v>0.86461731721691504</v>
      </c>
      <c r="F449">
        <v>0.32460088043803098</v>
      </c>
      <c r="G449">
        <v>0.23671080990436899</v>
      </c>
      <c r="H449">
        <v>0.132130171474549</v>
      </c>
      <c r="I449">
        <v>8.9138355874142705E-2</v>
      </c>
      <c r="J449">
        <v>6.4428559914907896E-2</v>
      </c>
      <c r="K449">
        <v>5.71742793698993E-2</v>
      </c>
      <c r="L449">
        <v>2309.2102996092899</v>
      </c>
      <c r="M449">
        <v>44.593137002620502</v>
      </c>
      <c r="N449">
        <v>52.073546864563198</v>
      </c>
      <c r="O449">
        <v>51.680167915118297</v>
      </c>
      <c r="P449">
        <v>-0.192028132660505</v>
      </c>
      <c r="Q449">
        <v>0.109815238323134</v>
      </c>
      <c r="R449">
        <v>0.98707852910560601</v>
      </c>
      <c r="S449" t="s">
        <v>6275</v>
      </c>
      <c r="T449" t="s">
        <v>11650</v>
      </c>
      <c r="U449" t="s">
        <v>11650</v>
      </c>
      <c r="V449" t="s">
        <v>11650</v>
      </c>
      <c r="W449" t="s">
        <v>12091</v>
      </c>
      <c r="X449">
        <v>16</v>
      </c>
      <c r="Y449" t="s">
        <v>17856</v>
      </c>
      <c r="Z449" t="s">
        <v>23511</v>
      </c>
      <c r="AA449">
        <v>0.46203884244866461</v>
      </c>
      <c r="AB449" t="str">
        <f>HYPERLINK("Melting_Curves/meltCurve_E7ETZ4_BZW2.pdf", "Melting_Curves/meltCurve_E7ETZ4_BZW2.pdf")</f>
        <v>Melting_Curves/meltCurve_E7ETZ4_BZW2.pdf</v>
      </c>
    </row>
    <row r="450" spans="1:28" x14ac:dyDescent="0.25">
      <c r="A450" t="s">
        <v>454</v>
      </c>
      <c r="B450">
        <v>0.99996721820229495</v>
      </c>
      <c r="C450">
        <v>0.97364624598951899</v>
      </c>
      <c r="D450">
        <v>1.29773014584122</v>
      </c>
      <c r="E450">
        <v>1.3578594962069199</v>
      </c>
      <c r="F450">
        <v>1.90933590593681</v>
      </c>
      <c r="G450">
        <v>2.0773296117969502</v>
      </c>
      <c r="H450">
        <v>1.1648023685648401</v>
      </c>
      <c r="I450">
        <v>0.48144179243996699</v>
      </c>
      <c r="J450">
        <v>0.213338341205142</v>
      </c>
      <c r="K450">
        <v>0.292886704239185</v>
      </c>
      <c r="L450">
        <v>15000</v>
      </c>
      <c r="M450">
        <v>235.195134476611</v>
      </c>
      <c r="N450">
        <v>63.968746727066403</v>
      </c>
      <c r="O450">
        <v>63.772218425592598</v>
      </c>
      <c r="P450">
        <v>-0.68864671310130499</v>
      </c>
      <c r="Q450">
        <v>0.25310481327603102</v>
      </c>
      <c r="R450">
        <v>0.37225950824069698</v>
      </c>
      <c r="S450" t="s">
        <v>6276</v>
      </c>
      <c r="T450" t="s">
        <v>11650</v>
      </c>
      <c r="U450" t="s">
        <v>11650</v>
      </c>
      <c r="V450" t="s">
        <v>11650</v>
      </c>
      <c r="W450" t="s">
        <v>12092</v>
      </c>
      <c r="X450">
        <v>6</v>
      </c>
      <c r="Y450" t="s">
        <v>17857</v>
      </c>
      <c r="Z450" t="s">
        <v>23512</v>
      </c>
      <c r="AA450">
        <v>0.8451592543502211</v>
      </c>
      <c r="AB450" t="str">
        <f>HYPERLINK("Melting_Curves/meltCurve_E7EU05_CD36.pdf", "Melting_Curves/meltCurve_E7EU05_CD36.pdf")</f>
        <v>Melting_Curves/meltCurve_E7EU05_CD36.pdf</v>
      </c>
    </row>
    <row r="451" spans="1:28" x14ac:dyDescent="0.25">
      <c r="A451" t="s">
        <v>455</v>
      </c>
      <c r="B451">
        <v>0.99996721820229495</v>
      </c>
      <c r="C451">
        <v>1.0447858856147301</v>
      </c>
      <c r="D451">
        <v>1.1009980459277999</v>
      </c>
      <c r="E451">
        <v>1.14486642426271</v>
      </c>
      <c r="F451">
        <v>1.1673905141980701</v>
      </c>
      <c r="G451">
        <v>0.78349645420689096</v>
      </c>
      <c r="H451">
        <v>0.182293701073555</v>
      </c>
      <c r="I451">
        <v>0.121421024194848</v>
      </c>
      <c r="J451">
        <v>8.6692752209235002E-2</v>
      </c>
      <c r="K451">
        <v>7.3710828103078704E-2</v>
      </c>
      <c r="L451">
        <v>3092.0667446959401</v>
      </c>
      <c r="M451">
        <v>53.025390578518</v>
      </c>
      <c r="N451">
        <v>58.540545966737803</v>
      </c>
      <c r="O451">
        <v>58.230184533414601</v>
      </c>
      <c r="P451">
        <v>-0.20644895492686299</v>
      </c>
      <c r="Q451">
        <v>9.3147450952681898E-2</v>
      </c>
      <c r="R451">
        <v>0.97040775980563898</v>
      </c>
      <c r="S451" t="s">
        <v>6277</v>
      </c>
      <c r="T451" t="s">
        <v>11650</v>
      </c>
      <c r="U451" t="s">
        <v>11650</v>
      </c>
      <c r="V451" t="s">
        <v>11650</v>
      </c>
      <c r="W451" t="s">
        <v>12093</v>
      </c>
      <c r="X451">
        <v>46</v>
      </c>
      <c r="Y451" t="s">
        <v>17858</v>
      </c>
      <c r="Z451" t="s">
        <v>23513</v>
      </c>
      <c r="AA451">
        <v>0.64878440374362101</v>
      </c>
      <c r="AB451" t="str">
        <f>HYPERLINK("Melting_Curves/meltCurve_E7EU23_GDI2.pdf", "Melting_Curves/meltCurve_E7EU23_GDI2.pdf")</f>
        <v>Melting_Curves/meltCurve_E7EU23_GDI2.pdf</v>
      </c>
    </row>
    <row r="452" spans="1:28" x14ac:dyDescent="0.25">
      <c r="A452" t="s">
        <v>456</v>
      </c>
      <c r="B452">
        <v>0.99996721820229495</v>
      </c>
      <c r="C452">
        <v>1.0215628881134799</v>
      </c>
      <c r="D452">
        <v>0.99400678532627795</v>
      </c>
      <c r="E452">
        <v>0.85773874355746005</v>
      </c>
      <c r="F452">
        <v>0.48609737288751698</v>
      </c>
      <c r="G452">
        <v>0.38501342354569101</v>
      </c>
      <c r="H452">
        <v>0.247724385956654</v>
      </c>
      <c r="I452">
        <v>0.14479515871904899</v>
      </c>
      <c r="J452">
        <v>0.121770717648679</v>
      </c>
      <c r="K452">
        <v>9.57148927947582E-2</v>
      </c>
      <c r="L452">
        <v>957.31449622748005</v>
      </c>
      <c r="M452">
        <v>17.9134649835879</v>
      </c>
      <c r="N452">
        <v>54.209946288994999</v>
      </c>
      <c r="O452">
        <v>52.788417796727998</v>
      </c>
      <c r="P452">
        <v>-7.5322700163736697E-2</v>
      </c>
      <c r="Q452">
        <v>0.112183777958729</v>
      </c>
      <c r="R452">
        <v>0.98338225016427905</v>
      </c>
      <c r="S452" t="s">
        <v>6278</v>
      </c>
      <c r="T452" t="s">
        <v>11650</v>
      </c>
      <c r="U452" t="s">
        <v>11650</v>
      </c>
      <c r="V452" t="s">
        <v>11650</v>
      </c>
      <c r="W452" t="s">
        <v>12094</v>
      </c>
      <c r="X452">
        <v>4</v>
      </c>
      <c r="Y452" t="s">
        <v>17859</v>
      </c>
      <c r="Z452" t="s">
        <v>23514</v>
      </c>
      <c r="AA452">
        <v>0.52446942234647254</v>
      </c>
      <c r="AB452" t="str">
        <f>HYPERLINK("Melting_Curves/meltCurve_E7EU35_PITPNC1.pdf", "Melting_Curves/meltCurve_E7EU35_PITPNC1.pdf")</f>
        <v>Melting_Curves/meltCurve_E7EU35_PITPNC1.pdf</v>
      </c>
    </row>
    <row r="453" spans="1:28" x14ac:dyDescent="0.25">
      <c r="A453" t="s">
        <v>457</v>
      </c>
      <c r="B453">
        <v>0.99996721820229495</v>
      </c>
      <c r="C453">
        <v>0.91988112430586</v>
      </c>
      <c r="D453">
        <v>1.10967105791633</v>
      </c>
      <c r="E453">
        <v>1.5616901153868299</v>
      </c>
      <c r="F453">
        <v>1.6488646285164501</v>
      </c>
      <c r="G453">
        <v>0.91676481164727397</v>
      </c>
      <c r="H453">
        <v>0.27608473782242199</v>
      </c>
      <c r="I453">
        <v>0.18461484559347799</v>
      </c>
      <c r="J453">
        <v>7.6305083902615894E-2</v>
      </c>
      <c r="K453">
        <v>5.0015333416311002E-2</v>
      </c>
      <c r="L453">
        <v>3262.7317582854198</v>
      </c>
      <c r="M453">
        <v>54.806584384777203</v>
      </c>
      <c r="N453">
        <v>59.757849211301597</v>
      </c>
      <c r="O453">
        <v>59.452650090585102</v>
      </c>
      <c r="P453">
        <v>-0.208882818266832</v>
      </c>
      <c r="Q453">
        <v>9.3639621209326604E-2</v>
      </c>
      <c r="R453">
        <v>0.76106680863212395</v>
      </c>
      <c r="S453" t="s">
        <v>6279</v>
      </c>
      <c r="T453" t="s">
        <v>11650</v>
      </c>
      <c r="U453" t="s">
        <v>11650</v>
      </c>
      <c r="V453" t="s">
        <v>11650</v>
      </c>
      <c r="W453" t="s">
        <v>12095</v>
      </c>
      <c r="X453">
        <v>6</v>
      </c>
      <c r="Y453" t="s">
        <v>17860</v>
      </c>
      <c r="Z453" t="s">
        <v>23515</v>
      </c>
      <c r="AA453">
        <v>0.68569899332288886</v>
      </c>
      <c r="AB453" t="str">
        <f>HYPERLINK("Melting_Curves/meltCurve_E7EU96_CSNK2A1.pdf", "Melting_Curves/meltCurve_E7EU96_CSNK2A1.pdf")</f>
        <v>Melting_Curves/meltCurve_E7EU96_CSNK2A1.pdf</v>
      </c>
    </row>
    <row r="454" spans="1:28" x14ac:dyDescent="0.25">
      <c r="A454" t="s">
        <v>458</v>
      </c>
      <c r="B454">
        <v>0.99996721820229495</v>
      </c>
      <c r="C454">
        <v>0.98999969782689901</v>
      </c>
      <c r="D454">
        <v>0.865735266049519</v>
      </c>
      <c r="E454">
        <v>0.79893976616598705</v>
      </c>
      <c r="F454">
        <v>0.83314429610790897</v>
      </c>
      <c r="G454">
        <v>0.72645202778518903</v>
      </c>
      <c r="H454">
        <v>0.53159536988863798</v>
      </c>
      <c r="I454">
        <v>0.48429906717332999</v>
      </c>
      <c r="J454">
        <v>0.44566900893958999</v>
      </c>
      <c r="K454">
        <v>0.29101244806422799</v>
      </c>
      <c r="L454">
        <v>431.77369718206501</v>
      </c>
      <c r="M454">
        <v>6.82828987124741</v>
      </c>
      <c r="N454">
        <v>63.233064902127097</v>
      </c>
      <c r="O454">
        <v>58.475224144494</v>
      </c>
      <c r="P454">
        <v>-2.9252361008856101E-2</v>
      </c>
      <c r="Q454">
        <v>0</v>
      </c>
      <c r="R454">
        <v>0.96654879674425997</v>
      </c>
      <c r="S454" t="s">
        <v>6280</v>
      </c>
      <c r="T454" t="s">
        <v>11650</v>
      </c>
      <c r="U454" t="s">
        <v>11650</v>
      </c>
      <c r="V454" t="s">
        <v>11650</v>
      </c>
      <c r="W454" t="s">
        <v>12096</v>
      </c>
      <c r="X454">
        <v>12</v>
      </c>
      <c r="Y454" t="s">
        <v>17861</v>
      </c>
      <c r="Z454" t="s">
        <v>23516</v>
      </c>
      <c r="AA454">
        <v>0.70787121315643087</v>
      </c>
      <c r="AB454" t="str">
        <f>HYPERLINK("Melting_Curves/meltCurve_E7EUC6_NAV3.pdf", "Melting_Curves/meltCurve_E7EUC6_NAV3.pdf")</f>
        <v>Melting_Curves/meltCurve_E7EUC6_NAV3.pdf</v>
      </c>
    </row>
    <row r="455" spans="1:28" x14ac:dyDescent="0.25">
      <c r="A455" t="s">
        <v>459</v>
      </c>
      <c r="B455">
        <v>0.99996721820229495</v>
      </c>
      <c r="C455">
        <v>1.04275312532771</v>
      </c>
      <c r="D455">
        <v>1.0386083806467099</v>
      </c>
      <c r="E455">
        <v>0.99984764233541601</v>
      </c>
      <c r="F455">
        <v>1.2892161998542999</v>
      </c>
      <c r="G455">
        <v>1.5632957166174399</v>
      </c>
      <c r="H455">
        <v>1.18428731767163</v>
      </c>
      <c r="I455">
        <v>1.10678223660693</v>
      </c>
      <c r="J455">
        <v>1.0052723115348201</v>
      </c>
      <c r="K455">
        <v>0.75553096106459605</v>
      </c>
      <c r="L455">
        <v>15000</v>
      </c>
      <c r="M455">
        <v>213.157378774704</v>
      </c>
      <c r="Q455">
        <v>0</v>
      </c>
      <c r="R455">
        <v>-9.0635558533492103E-2</v>
      </c>
      <c r="S455" t="s">
        <v>6281</v>
      </c>
      <c r="T455" t="s">
        <v>11650</v>
      </c>
      <c r="U455" t="s">
        <v>11650</v>
      </c>
      <c r="V455" t="s">
        <v>11650</v>
      </c>
      <c r="W455" t="s">
        <v>12097</v>
      </c>
      <c r="X455">
        <v>4</v>
      </c>
      <c r="Y455" t="s">
        <v>17862</v>
      </c>
      <c r="Z455" t="s">
        <v>23517</v>
      </c>
      <c r="AA455">
        <v>0.99697759163827382</v>
      </c>
      <c r="AB455" t="str">
        <f>HYPERLINK("Melting_Curves/meltCurve_E7EUD0_DKK3.pdf", "Melting_Curves/meltCurve_E7EUD0_DKK3.pdf")</f>
        <v>Melting_Curves/meltCurve_E7EUD0_DKK3.pdf</v>
      </c>
    </row>
    <row r="456" spans="1:28" x14ac:dyDescent="0.25">
      <c r="A456" t="s">
        <v>460</v>
      </c>
      <c r="B456">
        <v>0.99996721820229495</v>
      </c>
      <c r="C456">
        <v>0.992315299983899</v>
      </c>
      <c r="D456">
        <v>0.98167072062750305</v>
      </c>
      <c r="E456">
        <v>0.62273244464277799</v>
      </c>
      <c r="F456">
        <v>0.296000948439887</v>
      </c>
      <c r="G456">
        <v>0.24609173559557901</v>
      </c>
      <c r="H456">
        <v>0.13358237577752799</v>
      </c>
      <c r="I456">
        <v>0.10209721312575901</v>
      </c>
      <c r="J456">
        <v>5.8719688521162598E-2</v>
      </c>
      <c r="K456">
        <v>4.9070383638860897E-2</v>
      </c>
      <c r="L456">
        <v>1229.3941480603901</v>
      </c>
      <c r="M456">
        <v>24.214274296436301</v>
      </c>
      <c r="N456">
        <v>51.2122579356204</v>
      </c>
      <c r="O456">
        <v>50.4289845784131</v>
      </c>
      <c r="P456">
        <v>-0.108751329544318</v>
      </c>
      <c r="Q456">
        <v>9.4065712215803607E-2</v>
      </c>
      <c r="R456">
        <v>0.98897335147461196</v>
      </c>
      <c r="S456" t="s">
        <v>6282</v>
      </c>
      <c r="T456" t="s">
        <v>11650</v>
      </c>
      <c r="U456" t="s">
        <v>11650</v>
      </c>
      <c r="V456" t="s">
        <v>11650</v>
      </c>
      <c r="W456" t="s">
        <v>12098</v>
      </c>
      <c r="X456">
        <v>5</v>
      </c>
      <c r="Y456" t="s">
        <v>17863</v>
      </c>
      <c r="Z456" t="s">
        <v>23518</v>
      </c>
      <c r="AA456">
        <v>0.42803497549634451</v>
      </c>
      <c r="AB456" t="str">
        <f>HYPERLINK("Melting_Curves/meltCurve_E7EUM5_NUP54.pdf", "Melting_Curves/meltCurve_E7EUM5_NUP54.pdf")</f>
        <v>Melting_Curves/meltCurve_E7EUM5_NUP54.pdf</v>
      </c>
    </row>
    <row r="457" spans="1:28" x14ac:dyDescent="0.25">
      <c r="A457" t="s">
        <v>461</v>
      </c>
      <c r="B457">
        <v>0.99996721820229495</v>
      </c>
      <c r="C457">
        <v>1.00557827645322</v>
      </c>
      <c r="D457">
        <v>1.08288677322285</v>
      </c>
      <c r="E457">
        <v>1.1608656306937799</v>
      </c>
      <c r="F457">
        <v>0.60682327910518197</v>
      </c>
      <c r="G457">
        <v>0.632918171127971</v>
      </c>
      <c r="H457">
        <v>0.32123982389462702</v>
      </c>
      <c r="I457">
        <v>0.21117811422688501</v>
      </c>
      <c r="J457">
        <v>0.16069366749462799</v>
      </c>
      <c r="K457">
        <v>0.12838194550701901</v>
      </c>
      <c r="L457">
        <v>1016.06131189216</v>
      </c>
      <c r="M457">
        <v>17.784425472051598</v>
      </c>
      <c r="N457">
        <v>57.865204246902998</v>
      </c>
      <c r="O457">
        <v>56.424417297327103</v>
      </c>
      <c r="P457">
        <v>-7.0852992056183506E-2</v>
      </c>
      <c r="Q457">
        <v>0.10086903167589099</v>
      </c>
      <c r="R457">
        <v>0.92608822704917604</v>
      </c>
      <c r="S457" t="s">
        <v>6283</v>
      </c>
      <c r="T457" t="s">
        <v>11650</v>
      </c>
      <c r="U457" t="s">
        <v>11650</v>
      </c>
      <c r="V457" t="s">
        <v>11650</v>
      </c>
      <c r="W457" t="s">
        <v>12099</v>
      </c>
      <c r="X457">
        <v>12</v>
      </c>
      <c r="Y457" t="s">
        <v>17864</v>
      </c>
      <c r="Z457" t="s">
        <v>23519</v>
      </c>
      <c r="AA457">
        <v>0.62667005658197916</v>
      </c>
      <c r="AB457" t="str">
        <f>HYPERLINK("Melting_Curves/meltCurve_E7EUY0_PRKDC.pdf", "Melting_Curves/meltCurve_E7EUY0_PRKDC.pdf")</f>
        <v>Melting_Curves/meltCurve_E7EUY0_PRKDC.pdf</v>
      </c>
    </row>
    <row r="458" spans="1:28" x14ac:dyDescent="0.25">
      <c r="A458" t="s">
        <v>462</v>
      </c>
      <c r="B458">
        <v>0.99996721820229495</v>
      </c>
      <c r="C458">
        <v>1.0542521042405599</v>
      </c>
      <c r="D458">
        <v>1.0908198584656299</v>
      </c>
      <c r="E458">
        <v>1.27594806664139</v>
      </c>
      <c r="F458">
        <v>3.1976737537259101</v>
      </c>
      <c r="G458">
        <v>6.0183242155907601</v>
      </c>
      <c r="H458">
        <v>2.69230925914384</v>
      </c>
      <c r="I458">
        <v>0.94217299852813297</v>
      </c>
      <c r="J458">
        <v>0.30087206590188098</v>
      </c>
      <c r="K458">
        <v>0.37645319638403302</v>
      </c>
      <c r="L458">
        <v>15000</v>
      </c>
      <c r="M458">
        <v>232.031761127126</v>
      </c>
      <c r="N458">
        <v>64.962858850461799</v>
      </c>
      <c r="O458">
        <v>64.641519907606707</v>
      </c>
      <c r="P458">
        <v>-0.59354554553957095</v>
      </c>
      <c r="Q458">
        <v>0.33857872004416301</v>
      </c>
      <c r="R458">
        <v>-0.19763247729967701</v>
      </c>
      <c r="S458" t="s">
        <v>6284</v>
      </c>
      <c r="T458" t="s">
        <v>11650</v>
      </c>
      <c r="U458" t="s">
        <v>11650</v>
      </c>
      <c r="V458" t="s">
        <v>11650</v>
      </c>
      <c r="W458" t="s">
        <v>12100</v>
      </c>
      <c r="X458">
        <v>1</v>
      </c>
      <c r="Y458" t="s">
        <v>17865</v>
      </c>
      <c r="Z458" t="s">
        <v>23520</v>
      </c>
      <c r="AA458">
        <v>0.88205256891777883</v>
      </c>
      <c r="AB458" t="str">
        <f>HYPERLINK("Melting_Curves/meltCurve_E7EUY3_PCCB.pdf", "Melting_Curves/meltCurve_E7EUY3_PCCB.pdf")</f>
        <v>Melting_Curves/meltCurve_E7EUY3_PCCB.pdf</v>
      </c>
    </row>
    <row r="459" spans="1:28" x14ac:dyDescent="0.25">
      <c r="A459" t="s">
        <v>463</v>
      </c>
      <c r="B459">
        <v>0.99996721820229495</v>
      </c>
      <c r="C459">
        <v>0.80392308644676902</v>
      </c>
      <c r="D459">
        <v>0.98506884433352504</v>
      </c>
      <c r="E459">
        <v>1.1764049515724899</v>
      </c>
      <c r="F459">
        <v>1.51368661041028</v>
      </c>
      <c r="G459">
        <v>1.2984053408068099</v>
      </c>
      <c r="H459">
        <v>0.44101546110201501</v>
      </c>
      <c r="I459">
        <v>0.219539476462318</v>
      </c>
      <c r="J459">
        <v>0.15069535081046401</v>
      </c>
      <c r="K459">
        <v>0.122179132912221</v>
      </c>
      <c r="L459">
        <v>9146.3550640445301</v>
      </c>
      <c r="M459">
        <v>150.64121197738601</v>
      </c>
      <c r="N459">
        <v>60.876756346969401</v>
      </c>
      <c r="O459">
        <v>60.705459631086498</v>
      </c>
      <c r="P459">
        <v>-0.51865299125373199</v>
      </c>
      <c r="Q459">
        <v>0.1639720593996</v>
      </c>
      <c r="R459">
        <v>0.81502052351637599</v>
      </c>
      <c r="S459" t="s">
        <v>6285</v>
      </c>
      <c r="T459" t="s">
        <v>11650</v>
      </c>
      <c r="U459" t="s">
        <v>11650</v>
      </c>
      <c r="V459" t="s">
        <v>11650</v>
      </c>
      <c r="W459" t="s">
        <v>12101</v>
      </c>
      <c r="X459">
        <v>15</v>
      </c>
      <c r="Y459" t="s">
        <v>17866</v>
      </c>
      <c r="Z459" t="s">
        <v>23521</v>
      </c>
      <c r="AA459">
        <v>0.74152696669970908</v>
      </c>
      <c r="AB459" t="str">
        <f>HYPERLINK("Melting_Curves/meltCurve_E7EV01_CAPN5.pdf", "Melting_Curves/meltCurve_E7EV01_CAPN5.pdf")</f>
        <v>Melting_Curves/meltCurve_E7EV01_CAPN5.pdf</v>
      </c>
    </row>
    <row r="460" spans="1:28" x14ac:dyDescent="0.25">
      <c r="A460" t="s">
        <v>464</v>
      </c>
      <c r="B460">
        <v>0.99996721820229495</v>
      </c>
      <c r="C460">
        <v>1.11862263432564</v>
      </c>
      <c r="D460">
        <v>1.1107185062459</v>
      </c>
      <c r="E460">
        <v>0.953134136184425</v>
      </c>
      <c r="F460">
        <v>1.34698166787794</v>
      </c>
      <c r="G460">
        <v>0.98565707482750398</v>
      </c>
      <c r="H460">
        <v>0.64111928347938696</v>
      </c>
      <c r="I460">
        <v>0.61739410819829899</v>
      </c>
      <c r="J460">
        <v>0.524601718410032</v>
      </c>
      <c r="K460">
        <v>0.41945349823999201</v>
      </c>
      <c r="L460">
        <v>2710.0757014927699</v>
      </c>
      <c r="M460">
        <v>45.0509408995797</v>
      </c>
      <c r="O460">
        <v>60.037637323047299</v>
      </c>
      <c r="P460">
        <v>-9.3813521210250606E-2</v>
      </c>
      <c r="Q460">
        <v>0.49991411715156397</v>
      </c>
      <c r="R460">
        <v>0.79849945983637904</v>
      </c>
      <c r="S460" t="s">
        <v>6286</v>
      </c>
      <c r="T460" t="s">
        <v>11650</v>
      </c>
      <c r="U460" t="s">
        <v>11650</v>
      </c>
      <c r="V460" t="s">
        <v>11650</v>
      </c>
      <c r="W460" t="s">
        <v>12102</v>
      </c>
      <c r="X460">
        <v>3</v>
      </c>
      <c r="Y460" t="s">
        <v>17867</v>
      </c>
      <c r="Z460" t="s">
        <v>23522</v>
      </c>
      <c r="AA460">
        <v>0.83748225609660742</v>
      </c>
      <c r="AB460" t="str">
        <f>HYPERLINK("Melting_Curves/meltCurve_E7EV05_ZFAND2B.pdf", "Melting_Curves/meltCurve_E7EV05_ZFAND2B.pdf")</f>
        <v>Melting_Curves/meltCurve_E7EV05_ZFAND2B.pdf</v>
      </c>
    </row>
    <row r="461" spans="1:28" x14ac:dyDescent="0.25">
      <c r="A461" t="s">
        <v>465</v>
      </c>
      <c r="B461">
        <v>0.99996721820229495</v>
      </c>
      <c r="C461">
        <v>1.12437470032688</v>
      </c>
      <c r="D461">
        <v>1.0406012223998</v>
      </c>
      <c r="E461">
        <v>0.99350027738745295</v>
      </c>
      <c r="F461">
        <v>1.1499191132422899</v>
      </c>
      <c r="G461">
        <v>1.0246541383548</v>
      </c>
      <c r="H461">
        <v>0.72343911849893505</v>
      </c>
      <c r="I461">
        <v>0.56063969968558003</v>
      </c>
      <c r="J461">
        <v>0.52868037185916705</v>
      </c>
      <c r="K461">
        <v>0.53186865502996095</v>
      </c>
      <c r="L461">
        <v>4776.9126558219396</v>
      </c>
      <c r="M461">
        <v>78.690328772780703</v>
      </c>
      <c r="O461">
        <v>60.6660364916807</v>
      </c>
      <c r="P461">
        <v>-0.15004802406422199</v>
      </c>
      <c r="Q461">
        <v>0.53728406142190499</v>
      </c>
      <c r="R461">
        <v>0.92929711675649895</v>
      </c>
      <c r="S461" t="s">
        <v>6287</v>
      </c>
      <c r="T461" t="s">
        <v>11650</v>
      </c>
      <c r="U461" t="s">
        <v>11650</v>
      </c>
      <c r="V461" t="s">
        <v>11650</v>
      </c>
      <c r="W461" t="s">
        <v>12103</v>
      </c>
      <c r="X461">
        <v>33</v>
      </c>
      <c r="Y461" t="s">
        <v>17868</v>
      </c>
      <c r="Z461" t="s">
        <v>23523</v>
      </c>
      <c r="AA461">
        <v>0.85713646234556085</v>
      </c>
      <c r="AB461" t="str">
        <f>HYPERLINK("Melting_Curves/meltCurve_E7EV71_LTBP1.pdf", "Melting_Curves/meltCurve_E7EV71_LTBP1.pdf")</f>
        <v>Melting_Curves/meltCurve_E7EV71_LTBP1.pdf</v>
      </c>
    </row>
    <row r="462" spans="1:28" x14ac:dyDescent="0.25">
      <c r="A462" t="s">
        <v>466</v>
      </c>
      <c r="B462">
        <v>0.99996721820229495</v>
      </c>
      <c r="C462">
        <v>1.0611240263842101</v>
      </c>
      <c r="D462">
        <v>0.96881639253428697</v>
      </c>
      <c r="E462">
        <v>0.938174868817787</v>
      </c>
      <c r="F462">
        <v>1.1229464018656099</v>
      </c>
      <c r="G462">
        <v>1.11582295705695</v>
      </c>
      <c r="H462">
        <v>0.88406920342435402</v>
      </c>
      <c r="I462">
        <v>0.68734356748699199</v>
      </c>
      <c r="J462">
        <v>0.54519463518018696</v>
      </c>
      <c r="K462">
        <v>0.38675279357651599</v>
      </c>
      <c r="L462">
        <v>2005.27562922877</v>
      </c>
      <c r="M462">
        <v>31.153417064076301</v>
      </c>
      <c r="N462">
        <v>67.116703849948095</v>
      </c>
      <c r="O462">
        <v>64.104282796017998</v>
      </c>
      <c r="P462">
        <v>-7.7706224803871002E-2</v>
      </c>
      <c r="Q462">
        <v>0.36042026172117703</v>
      </c>
      <c r="R462">
        <v>0.92419621493919202</v>
      </c>
      <c r="S462" t="s">
        <v>6288</v>
      </c>
      <c r="T462" t="s">
        <v>11650</v>
      </c>
      <c r="U462" t="s">
        <v>11650</v>
      </c>
      <c r="V462" t="s">
        <v>11650</v>
      </c>
      <c r="W462" t="s">
        <v>12104</v>
      </c>
      <c r="X462">
        <v>88</v>
      </c>
      <c r="Y462" t="s">
        <v>17869</v>
      </c>
      <c r="Z462" t="s">
        <v>23524</v>
      </c>
      <c r="AA462">
        <v>0.88023414383010035</v>
      </c>
      <c r="AB462" t="str">
        <f>HYPERLINK("Melting_Curves/meltCurve_E7EVA0_MAP4.pdf", "Melting_Curves/meltCurve_E7EVA0_MAP4.pdf")</f>
        <v>Melting_Curves/meltCurve_E7EVA0_MAP4.pdf</v>
      </c>
    </row>
    <row r="463" spans="1:28" x14ac:dyDescent="0.25">
      <c r="A463" t="s">
        <v>467</v>
      </c>
      <c r="B463">
        <v>0.99996721820229495</v>
      </c>
      <c r="C463">
        <v>0.97119177900328202</v>
      </c>
      <c r="D463">
        <v>1.0036439700936199</v>
      </c>
      <c r="E463">
        <v>1.08313852683418</v>
      </c>
      <c r="F463">
        <v>1.2711758533203299</v>
      </c>
      <c r="G463">
        <v>0.64079873774253304</v>
      </c>
      <c r="H463">
        <v>0.37380776050894299</v>
      </c>
      <c r="I463">
        <v>0.24460637662422799</v>
      </c>
      <c r="J463">
        <v>0.143128901934122</v>
      </c>
      <c r="K463">
        <v>0.11043900215097099</v>
      </c>
      <c r="L463">
        <v>1969.83623838268</v>
      </c>
      <c r="M463">
        <v>33.7741247935244</v>
      </c>
      <c r="N463">
        <v>58.984055516333598</v>
      </c>
      <c r="O463">
        <v>58.120496073547301</v>
      </c>
      <c r="P463">
        <v>-0.122410310097176</v>
      </c>
      <c r="Q463">
        <v>0.157400070202105</v>
      </c>
      <c r="R463">
        <v>0.93213900297554597</v>
      </c>
      <c r="S463" t="s">
        <v>6289</v>
      </c>
      <c r="T463" t="s">
        <v>11650</v>
      </c>
      <c r="U463" t="s">
        <v>11650</v>
      </c>
      <c r="V463" t="s">
        <v>11650</v>
      </c>
      <c r="W463" t="s">
        <v>12105</v>
      </c>
      <c r="X463">
        <v>17</v>
      </c>
      <c r="Y463" t="s">
        <v>17870</v>
      </c>
      <c r="Z463" t="s">
        <v>23525</v>
      </c>
      <c r="AA463">
        <v>0.67656932863731889</v>
      </c>
      <c r="AB463" t="str">
        <f>HYPERLINK("Melting_Curves/meltCurve_E7EVC7_ATG16L1.pdf", "Melting_Curves/meltCurve_E7EVC7_ATG16L1.pdf")</f>
        <v>Melting_Curves/meltCurve_E7EVC7_ATG16L1.pdf</v>
      </c>
    </row>
    <row r="464" spans="1:28" x14ac:dyDescent="0.25">
      <c r="A464" t="s">
        <v>468</v>
      </c>
      <c r="B464">
        <v>0.99996721820229495</v>
      </c>
      <c r="C464">
        <v>1.07749414219805</v>
      </c>
      <c r="D464">
        <v>1.0256882206776301</v>
      </c>
      <c r="E464">
        <v>0.91369924599649299</v>
      </c>
      <c r="F464">
        <v>1.0716987222652099</v>
      </c>
      <c r="G464">
        <v>0.83174403977419797</v>
      </c>
      <c r="H464">
        <v>0.24864200391414901</v>
      </c>
      <c r="I464">
        <v>0.14967239714039901</v>
      </c>
      <c r="J464">
        <v>0.107385275936832</v>
      </c>
      <c r="K464">
        <v>7.6272489919330597E-2</v>
      </c>
      <c r="L464">
        <v>2687.06774989631</v>
      </c>
      <c r="M464">
        <v>45.645335169613297</v>
      </c>
      <c r="N464">
        <v>59.160353477907499</v>
      </c>
      <c r="O464">
        <v>58.755739434869398</v>
      </c>
      <c r="P464">
        <v>-0.17463086079746201</v>
      </c>
      <c r="Q464">
        <v>0.10084543722969699</v>
      </c>
      <c r="R464">
        <v>0.98784166416744101</v>
      </c>
      <c r="S464" t="s">
        <v>6290</v>
      </c>
      <c r="T464" t="s">
        <v>11650</v>
      </c>
      <c r="U464" t="s">
        <v>11650</v>
      </c>
      <c r="V464" t="s">
        <v>11650</v>
      </c>
      <c r="W464" t="s">
        <v>12106</v>
      </c>
      <c r="X464">
        <v>6</v>
      </c>
      <c r="Y464" t="s">
        <v>17871</v>
      </c>
      <c r="Z464" t="s">
        <v>23526</v>
      </c>
      <c r="AA464">
        <v>0.66912975093831406</v>
      </c>
      <c r="AB464" t="str">
        <f>HYPERLINK("Melting_Curves/meltCurve_E7EVH9_HDHD1.pdf", "Melting_Curves/meltCurve_E7EVH9_HDHD1.pdf")</f>
        <v>Melting_Curves/meltCurve_E7EVH9_HDHD1.pdf</v>
      </c>
    </row>
    <row r="465" spans="1:28" x14ac:dyDescent="0.25">
      <c r="A465" t="s">
        <v>469</v>
      </c>
      <c r="B465">
        <v>0.99996721820229495</v>
      </c>
      <c r="C465">
        <v>1.0643547603346399</v>
      </c>
      <c r="D465">
        <v>1.2208562894680199</v>
      </c>
      <c r="E465">
        <v>1.50061891214863</v>
      </c>
      <c r="F465">
        <v>2.8034991895990502</v>
      </c>
      <c r="G465">
        <v>4.3400049035377997</v>
      </c>
      <c r="H465">
        <v>1.4597335299912499</v>
      </c>
      <c r="I465">
        <v>0.53677400497378902</v>
      </c>
      <c r="J465">
        <v>0.28831011542532498</v>
      </c>
      <c r="K465">
        <v>0.253257002298099</v>
      </c>
      <c r="L465">
        <v>15000</v>
      </c>
      <c r="M465">
        <v>234.92949627783901</v>
      </c>
      <c r="N465">
        <v>64.061607149572396</v>
      </c>
      <c r="O465">
        <v>63.8443160811672</v>
      </c>
      <c r="P465">
        <v>-0.67084105238821001</v>
      </c>
      <c r="Q465">
        <v>0.27077035816644601</v>
      </c>
      <c r="R465">
        <v>-5.0518051763707203E-2</v>
      </c>
      <c r="S465" t="s">
        <v>6291</v>
      </c>
      <c r="T465" t="s">
        <v>11650</v>
      </c>
      <c r="U465" t="s">
        <v>11650</v>
      </c>
      <c r="V465" t="s">
        <v>11650</v>
      </c>
      <c r="W465" t="s">
        <v>12107</v>
      </c>
      <c r="X465">
        <v>16</v>
      </c>
      <c r="Y465" t="s">
        <v>17872</v>
      </c>
      <c r="Z465" t="s">
        <v>23527</v>
      </c>
      <c r="AA465">
        <v>0.85057476410006083</v>
      </c>
      <c r="AB465" t="str">
        <f>HYPERLINK("Melting_Curves/meltCurve_E7EVZ2_YWHAZ.pdf", "Melting_Curves/meltCurve_E7EVZ2_YWHAZ.pdf")</f>
        <v>Melting_Curves/meltCurve_E7EVZ2_YWHAZ.pdf</v>
      </c>
    </row>
    <row r="466" spans="1:28" x14ac:dyDescent="0.25">
      <c r="A466" t="s">
        <v>470</v>
      </c>
      <c r="B466">
        <v>0.99996721820229495</v>
      </c>
      <c r="C466">
        <v>0.93385641979667799</v>
      </c>
      <c r="D466">
        <v>1.07210692831272</v>
      </c>
      <c r="E466">
        <v>1.35095881399187</v>
      </c>
      <c r="F466">
        <v>0.50385322298695201</v>
      </c>
      <c r="G466">
        <v>0.420795992403243</v>
      </c>
      <c r="H466">
        <v>0.27901156214664402</v>
      </c>
      <c r="I466">
        <v>0.21931264443956</v>
      </c>
      <c r="J466">
        <v>0.18197976388071899</v>
      </c>
      <c r="K466">
        <v>0.114934536228524</v>
      </c>
      <c r="L466">
        <v>13215.8838391318</v>
      </c>
      <c r="M466">
        <v>250</v>
      </c>
      <c r="N466">
        <v>53.004802632347598</v>
      </c>
      <c r="O466">
        <v>52.860146325423599</v>
      </c>
      <c r="P466">
        <v>-0.89480586941948204</v>
      </c>
      <c r="Q466">
        <v>0.243206806127825</v>
      </c>
      <c r="R466">
        <v>0.89394490274594895</v>
      </c>
      <c r="S466" t="s">
        <v>6292</v>
      </c>
      <c r="T466" t="s">
        <v>11650</v>
      </c>
      <c r="U466" t="s">
        <v>11650</v>
      </c>
      <c r="V466" t="s">
        <v>11650</v>
      </c>
      <c r="W466" t="s">
        <v>12108</v>
      </c>
      <c r="X466">
        <v>38</v>
      </c>
      <c r="Y466" t="s">
        <v>17873</v>
      </c>
      <c r="Z466" t="s">
        <v>23528</v>
      </c>
      <c r="AA466">
        <v>0.56777821760737779</v>
      </c>
      <c r="AB466" t="str">
        <f>HYPERLINK("Melting_Curves/meltCurve_E7EW20_MYO6.pdf", "Melting_Curves/meltCurve_E7EW20_MYO6.pdf")</f>
        <v>Melting_Curves/meltCurve_E7EW20_MYO6.pdf</v>
      </c>
    </row>
    <row r="467" spans="1:28" x14ac:dyDescent="0.25">
      <c r="A467" t="s">
        <v>471</v>
      </c>
      <c r="B467">
        <v>0.99996721820229495</v>
      </c>
      <c r="C467">
        <v>1.2270548290496901</v>
      </c>
      <c r="D467">
        <v>1.1221647607543801</v>
      </c>
      <c r="E467">
        <v>1.2192387270484499</v>
      </c>
      <c r="F467">
        <v>1.20571894273239</v>
      </c>
      <c r="G467">
        <v>1.09991900901469</v>
      </c>
      <c r="H467">
        <v>0.52191519607103198</v>
      </c>
      <c r="I467">
        <v>0.26554660062303898</v>
      </c>
      <c r="J467">
        <v>0.27354344507239797</v>
      </c>
      <c r="K467">
        <v>0.137249645157908</v>
      </c>
      <c r="L467">
        <v>6021.4397295650297</v>
      </c>
      <c r="M467">
        <v>99.174440586992006</v>
      </c>
      <c r="N467">
        <v>61.080428546797201</v>
      </c>
      <c r="O467">
        <v>60.690972644036002</v>
      </c>
      <c r="P467">
        <v>-0.31722695739234302</v>
      </c>
      <c r="Q467">
        <v>0.223476971167169</v>
      </c>
      <c r="R467">
        <v>0.90278473534372405</v>
      </c>
      <c r="S467" t="s">
        <v>6293</v>
      </c>
      <c r="T467" t="s">
        <v>11650</v>
      </c>
      <c r="U467" t="s">
        <v>11650</v>
      </c>
      <c r="V467" t="s">
        <v>11650</v>
      </c>
      <c r="W467" t="s">
        <v>12109</v>
      </c>
      <c r="X467">
        <v>1</v>
      </c>
      <c r="Y467" t="s">
        <v>17874</v>
      </c>
      <c r="Z467" t="s">
        <v>23529</v>
      </c>
      <c r="AA467">
        <v>0.76020908226611938</v>
      </c>
      <c r="AB467" t="str">
        <f>HYPERLINK("Melting_Curves/meltCurve_E7EW32_MON1B.pdf", "Melting_Curves/meltCurve_E7EW32_MON1B.pdf")</f>
        <v>Melting_Curves/meltCurve_E7EW32_MON1B.pdf</v>
      </c>
    </row>
    <row r="468" spans="1:28" x14ac:dyDescent="0.25">
      <c r="A468" t="s">
        <v>472</v>
      </c>
      <c r="B468">
        <v>0.99996721820229495</v>
      </c>
      <c r="C468">
        <v>0.79422645798621305</v>
      </c>
      <c r="D468">
        <v>0.73271952883154101</v>
      </c>
      <c r="E468">
        <v>0.99072723798149698</v>
      </c>
      <c r="F468">
        <v>1.3225119029638099</v>
      </c>
      <c r="G468">
        <v>0.68523469849545704</v>
      </c>
      <c r="H468">
        <v>0.198546264674346</v>
      </c>
      <c r="I468">
        <v>0.13788979489099501</v>
      </c>
      <c r="J468">
        <v>0.142511352399917</v>
      </c>
      <c r="K468">
        <v>7.3474807613315304E-2</v>
      </c>
      <c r="L468">
        <v>4489.3669510843902</v>
      </c>
      <c r="M468">
        <v>78.180922881721997</v>
      </c>
      <c r="N468">
        <v>57.655756157659198</v>
      </c>
      <c r="O468">
        <v>57.385266627834703</v>
      </c>
      <c r="P468">
        <v>-0.29446886062509697</v>
      </c>
      <c r="Q468">
        <v>0.13543265182174699</v>
      </c>
      <c r="R468">
        <v>0.87168180495009895</v>
      </c>
      <c r="S468" t="s">
        <v>6294</v>
      </c>
      <c r="T468" t="s">
        <v>11650</v>
      </c>
      <c r="U468" t="s">
        <v>11650</v>
      </c>
      <c r="V468" t="s">
        <v>11650</v>
      </c>
      <c r="W468" t="s">
        <v>12110</v>
      </c>
      <c r="X468">
        <v>5</v>
      </c>
      <c r="Y468" t="s">
        <v>17875</v>
      </c>
      <c r="Z468" t="s">
        <v>23530</v>
      </c>
      <c r="AA468">
        <v>0.63843129640863094</v>
      </c>
      <c r="AB468" t="str">
        <f>HYPERLINK("Melting_Curves/meltCurve_E7EW69_SEPT10.pdf", "Melting_Curves/meltCurve_E7EW69_SEPT10.pdf")</f>
        <v>Melting_Curves/meltCurve_E7EW69_SEPT10.pdf</v>
      </c>
    </row>
    <row r="469" spans="1:28" x14ac:dyDescent="0.25">
      <c r="A469" t="s">
        <v>473</v>
      </c>
      <c r="B469">
        <v>0.99996721820229495</v>
      </c>
      <c r="C469">
        <v>1.0090667174592101</v>
      </c>
      <c r="D469">
        <v>1.1021814726361401</v>
      </c>
      <c r="E469">
        <v>1.09887855466526</v>
      </c>
      <c r="F469">
        <v>0.28640163782505901</v>
      </c>
      <c r="G469">
        <v>0.22304278807084901</v>
      </c>
      <c r="H469">
        <v>0.111346731742551</v>
      </c>
      <c r="I469">
        <v>7.2979990254612701E-2</v>
      </c>
      <c r="J469">
        <v>4.5506284971987603E-2</v>
      </c>
      <c r="K469">
        <v>2.8351249320739701E-2</v>
      </c>
      <c r="L469">
        <v>13179.9091692526</v>
      </c>
      <c r="M469">
        <v>250</v>
      </c>
      <c r="N469">
        <v>52.764761387193701</v>
      </c>
      <c r="O469">
        <v>52.716263016451201</v>
      </c>
      <c r="P469">
        <v>-1.07148468387014</v>
      </c>
      <c r="Q469">
        <v>9.6245307248656806E-2</v>
      </c>
      <c r="R469">
        <v>0.97904039179973201</v>
      </c>
      <c r="S469" t="s">
        <v>6295</v>
      </c>
      <c r="T469" t="s">
        <v>11650</v>
      </c>
      <c r="U469" t="s">
        <v>11650</v>
      </c>
      <c r="V469" t="s">
        <v>11650</v>
      </c>
      <c r="W469" t="s">
        <v>12111</v>
      </c>
      <c r="X469">
        <v>4</v>
      </c>
      <c r="Y469" t="s">
        <v>17876</v>
      </c>
      <c r="Z469" t="s">
        <v>23531</v>
      </c>
      <c r="AA469">
        <v>0.47950996913324317</v>
      </c>
      <c r="AB469" t="str">
        <f>HYPERLINK("Melting_Curves/meltCurve_E7EWC2_IQGAP2.pdf", "Melting_Curves/meltCurve_E7EWC2_IQGAP2.pdf")</f>
        <v>Melting_Curves/meltCurve_E7EWC2_IQGAP2.pdf</v>
      </c>
    </row>
    <row r="470" spans="1:28" x14ac:dyDescent="0.25">
      <c r="A470" t="s">
        <v>474</v>
      </c>
      <c r="B470">
        <v>0.99996721820229495</v>
      </c>
      <c r="C470">
        <v>1.07166369426806</v>
      </c>
      <c r="D470">
        <v>1.0315876801584101</v>
      </c>
      <c r="E470">
        <v>1.0152788527471299</v>
      </c>
      <c r="F470">
        <v>1.31962176374673</v>
      </c>
      <c r="G470">
        <v>0.95158921895213999</v>
      </c>
      <c r="H470">
        <v>0.24630529464439799</v>
      </c>
      <c r="I470">
        <v>7.3662635248313402E-2</v>
      </c>
      <c r="J470">
        <v>4.8242355995577899E-2</v>
      </c>
      <c r="K470">
        <v>1.6014631575413801E-2</v>
      </c>
      <c r="L470">
        <v>3693.1181116631301</v>
      </c>
      <c r="M470">
        <v>61.824723037383599</v>
      </c>
      <c r="N470">
        <v>59.815544301373599</v>
      </c>
      <c r="O470">
        <v>59.672892037039297</v>
      </c>
      <c r="P470">
        <v>-0.248706734253442</v>
      </c>
      <c r="Q470">
        <v>3.9798710401292903E-2</v>
      </c>
      <c r="R470">
        <v>0.95370476573654095</v>
      </c>
      <c r="S470" t="s">
        <v>6296</v>
      </c>
      <c r="T470" t="s">
        <v>11650</v>
      </c>
      <c r="U470" t="s">
        <v>11650</v>
      </c>
      <c r="V470" t="s">
        <v>11650</v>
      </c>
      <c r="W470" t="s">
        <v>12112</v>
      </c>
      <c r="X470">
        <v>3</v>
      </c>
      <c r="Y470" t="s">
        <v>17877</v>
      </c>
      <c r="Z470" t="s">
        <v>23532</v>
      </c>
      <c r="AA470">
        <v>0.67310709111385836</v>
      </c>
      <c r="AB470" t="str">
        <f>HYPERLINK("Melting_Curves/meltCurve_E7EWM3_ZMIZ2.pdf", "Melting_Curves/meltCurve_E7EWM3_ZMIZ2.pdf")</f>
        <v>Melting_Curves/meltCurve_E7EWM3_ZMIZ2.pdf</v>
      </c>
    </row>
    <row r="471" spans="1:28" x14ac:dyDescent="0.25">
      <c r="A471" t="s">
        <v>475</v>
      </c>
      <c r="B471">
        <v>0.99996721820229495</v>
      </c>
      <c r="C471">
        <v>0.96979435580894402</v>
      </c>
      <c r="D471">
        <v>1.0704015591775</v>
      </c>
      <c r="E471">
        <v>0.98948859453116</v>
      </c>
      <c r="F471">
        <v>0.82579294078554699</v>
      </c>
      <c r="G471">
        <v>0.75485546503711498</v>
      </c>
      <c r="H471">
        <v>0.63420883360247704</v>
      </c>
      <c r="I471">
        <v>0.29936901560935703</v>
      </c>
      <c r="J471">
        <v>0.15416307331022999</v>
      </c>
      <c r="K471">
        <v>9.1946611257064201E-2</v>
      </c>
      <c r="L471">
        <v>1028.6251903453499</v>
      </c>
      <c r="M471">
        <v>16.7631561384711</v>
      </c>
      <c r="N471">
        <v>61.362262992220799</v>
      </c>
      <c r="O471">
        <v>60.5089544877275</v>
      </c>
      <c r="P471">
        <v>-6.9263504384485503E-2</v>
      </c>
      <c r="Q471">
        <v>0</v>
      </c>
      <c r="R471">
        <v>0.97218580555609202</v>
      </c>
      <c r="S471" t="s">
        <v>6297</v>
      </c>
      <c r="T471" t="s">
        <v>11650</v>
      </c>
      <c r="U471" t="s">
        <v>11650</v>
      </c>
      <c r="V471" t="s">
        <v>11650</v>
      </c>
      <c r="W471" t="s">
        <v>12113</v>
      </c>
      <c r="X471">
        <v>3</v>
      </c>
      <c r="Y471" t="s">
        <v>17878</v>
      </c>
      <c r="Z471" t="s">
        <v>23533</v>
      </c>
      <c r="AA471">
        <v>0.71503538137143929</v>
      </c>
      <c r="AB471" t="str">
        <f>HYPERLINK("Melting_Curves/meltCurve_E7EWP0_NDUFB5.pdf", "Melting_Curves/meltCurve_E7EWP0_NDUFB5.pdf")</f>
        <v>Melting_Curves/meltCurve_E7EWP0_NDUFB5.pdf</v>
      </c>
    </row>
    <row r="472" spans="1:28" x14ac:dyDescent="0.25">
      <c r="A472" t="s">
        <v>476</v>
      </c>
      <c r="B472">
        <v>0.99996721820229495</v>
      </c>
      <c r="C472">
        <v>0.86145905770875997</v>
      </c>
      <c r="D472">
        <v>0.91278531284686604</v>
      </c>
      <c r="E472">
        <v>0.75918124490239502</v>
      </c>
      <c r="F472">
        <v>0.83683885761729804</v>
      </c>
      <c r="G472">
        <v>0.649592456578032</v>
      </c>
      <c r="H472">
        <v>0.53425998536193797</v>
      </c>
      <c r="I472">
        <v>0.42119933852945801</v>
      </c>
      <c r="J472">
        <v>0.31985211635495397</v>
      </c>
      <c r="K472">
        <v>0.235974016960002</v>
      </c>
      <c r="L472">
        <v>455.93378827823801</v>
      </c>
      <c r="M472">
        <v>7.4637857477075</v>
      </c>
      <c r="N472">
        <v>61.086130139992498</v>
      </c>
      <c r="O472">
        <v>57.161759781557201</v>
      </c>
      <c r="P472">
        <v>-3.2691047559658001E-2</v>
      </c>
      <c r="Q472">
        <v>0</v>
      </c>
      <c r="R472">
        <v>0.95794418347118004</v>
      </c>
      <c r="S472" t="s">
        <v>6298</v>
      </c>
      <c r="T472" t="s">
        <v>11650</v>
      </c>
      <c r="U472" t="s">
        <v>11650</v>
      </c>
      <c r="V472" t="s">
        <v>11650</v>
      </c>
      <c r="W472" t="s">
        <v>12114</v>
      </c>
      <c r="X472">
        <v>4</v>
      </c>
      <c r="Y472" t="s">
        <v>17879</v>
      </c>
      <c r="Z472" t="s">
        <v>23534</v>
      </c>
      <c r="AA472">
        <v>0.6714627516894438</v>
      </c>
      <c r="AB472" t="str">
        <f>HYPERLINK("Melting_Curves/meltCurve_E7EX01_MPP2.pdf", "Melting_Curves/meltCurve_E7EX01_MPP2.pdf")</f>
        <v>Melting_Curves/meltCurve_E7EX01_MPP2.pdf</v>
      </c>
    </row>
    <row r="473" spans="1:28" x14ac:dyDescent="0.25">
      <c r="A473" t="s">
        <v>477</v>
      </c>
      <c r="B473">
        <v>0.99996721820229495</v>
      </c>
      <c r="C473">
        <v>0.87490790550699704</v>
      </c>
      <c r="D473">
        <v>0.83441618303238996</v>
      </c>
      <c r="E473">
        <v>1.0953924008176801</v>
      </c>
      <c r="F473">
        <v>1.4158151076551899</v>
      </c>
      <c r="G473">
        <v>1.5409355209064799</v>
      </c>
      <c r="H473">
        <v>1.31204578539723</v>
      </c>
      <c r="I473">
        <v>1.31956786059342</v>
      </c>
      <c r="J473">
        <v>1.15727516352472</v>
      </c>
      <c r="K473">
        <v>1.1222929309249301</v>
      </c>
      <c r="L473">
        <v>12540.8471517615</v>
      </c>
      <c r="M473">
        <v>250</v>
      </c>
      <c r="O473">
        <v>50.160177742878602</v>
      </c>
      <c r="P473">
        <v>0.38790990177540202</v>
      </c>
      <c r="Q473">
        <v>1.3113220781696</v>
      </c>
      <c r="R473">
        <v>0.65156662129890697</v>
      </c>
      <c r="S473" t="s">
        <v>6299</v>
      </c>
      <c r="T473" t="s">
        <v>11650</v>
      </c>
      <c r="U473" t="s">
        <v>11650</v>
      </c>
      <c r="V473" t="s">
        <v>11650</v>
      </c>
      <c r="W473" t="s">
        <v>12115</v>
      </c>
      <c r="X473">
        <v>67</v>
      </c>
      <c r="Y473" t="s">
        <v>17880</v>
      </c>
      <c r="Z473" t="s">
        <v>23535</v>
      </c>
      <c r="AA473">
        <v>1.2058250952165941</v>
      </c>
      <c r="AB473" t="str">
        <f>HYPERLINK("Melting_Curves/meltCurve_E7EX17_EIF4B.pdf", "Melting_Curves/meltCurve_E7EX17_EIF4B.pdf")</f>
        <v>Melting_Curves/meltCurve_E7EX17_EIF4B.pdf</v>
      </c>
    </row>
    <row r="474" spans="1:28" x14ac:dyDescent="0.25">
      <c r="A474" t="s">
        <v>478</v>
      </c>
      <c r="B474">
        <v>0.99996721820229495</v>
      </c>
      <c r="C474">
        <v>0.964312852683754</v>
      </c>
      <c r="D474">
        <v>1.01354945846134</v>
      </c>
      <c r="E474">
        <v>1.6136742989408599</v>
      </c>
      <c r="F474">
        <v>2.0864441180417201</v>
      </c>
      <c r="G474">
        <v>1.6140389688664201</v>
      </c>
      <c r="H474">
        <v>0.94877899778554697</v>
      </c>
      <c r="I474">
        <v>0.55445616891095695</v>
      </c>
      <c r="J474">
        <v>0.27507293788711201</v>
      </c>
      <c r="K474">
        <v>0.279076409561334</v>
      </c>
      <c r="L474">
        <v>4471.1725051472704</v>
      </c>
      <c r="M474">
        <v>70.322832390526798</v>
      </c>
      <c r="N474">
        <v>64.281004754588494</v>
      </c>
      <c r="O474">
        <v>63.529312752115899</v>
      </c>
      <c r="P474">
        <v>-0.20267746559034899</v>
      </c>
      <c r="Q474">
        <v>0.267608776575816</v>
      </c>
      <c r="R474">
        <v>0.38912819357232198</v>
      </c>
      <c r="S474" t="s">
        <v>6300</v>
      </c>
      <c r="T474" t="s">
        <v>11650</v>
      </c>
      <c r="U474" t="s">
        <v>11650</v>
      </c>
      <c r="V474" t="s">
        <v>11650</v>
      </c>
      <c r="W474" t="s">
        <v>12116</v>
      </c>
      <c r="X474">
        <v>1</v>
      </c>
      <c r="Y474" t="s">
        <v>17881</v>
      </c>
      <c r="Z474" t="s">
        <v>23536</v>
      </c>
      <c r="AA474">
        <v>0.84427634882078939</v>
      </c>
      <c r="AB474" t="str">
        <f>HYPERLINK("Melting_Curves/meltCurve_E7EX53_RPL15.pdf", "Melting_Curves/meltCurve_E7EX53_RPL15.pdf")</f>
        <v>Melting_Curves/meltCurve_E7EX53_RPL15.pdf</v>
      </c>
    </row>
    <row r="475" spans="1:28" x14ac:dyDescent="0.25">
      <c r="A475" t="s">
        <v>479</v>
      </c>
      <c r="B475">
        <v>0.99996721820229495</v>
      </c>
      <c r="C475">
        <v>1.0735018635714699</v>
      </c>
      <c r="D475">
        <v>1.2889118201827301</v>
      </c>
      <c r="E475">
        <v>1.2264266289163099</v>
      </c>
      <c r="F475">
        <v>0.93735606865094401</v>
      </c>
      <c r="G475">
        <v>0.86070898778453298</v>
      </c>
      <c r="H475">
        <v>0.56695722677240101</v>
      </c>
      <c r="I475">
        <v>0.43802836943947498</v>
      </c>
      <c r="J475">
        <v>0.36879429729840202</v>
      </c>
      <c r="K475">
        <v>0.271295220092584</v>
      </c>
      <c r="L475">
        <v>1491.38982354308</v>
      </c>
      <c r="M475">
        <v>24.762471467694699</v>
      </c>
      <c r="N475">
        <v>62.339740762295897</v>
      </c>
      <c r="O475">
        <v>59.8391657625371</v>
      </c>
      <c r="P475">
        <v>-7.4084098419803499E-2</v>
      </c>
      <c r="Q475">
        <v>0.28390539722205399</v>
      </c>
      <c r="R475">
        <v>0.87857436536060995</v>
      </c>
      <c r="S475" t="s">
        <v>6301</v>
      </c>
      <c r="T475" t="s">
        <v>11650</v>
      </c>
      <c r="U475" t="s">
        <v>11650</v>
      </c>
      <c r="V475" t="s">
        <v>11650</v>
      </c>
      <c r="W475" t="s">
        <v>12117</v>
      </c>
      <c r="X475">
        <v>27</v>
      </c>
      <c r="Y475" t="s">
        <v>17882</v>
      </c>
      <c r="Z475" t="s">
        <v>23537</v>
      </c>
      <c r="AA475">
        <v>0.77193153736998643</v>
      </c>
      <c r="AB475" t="str">
        <f>HYPERLINK("Melting_Curves/meltCurve_E7EX90_DCTN1.pdf", "Melting_Curves/meltCurve_E7EX90_DCTN1.pdf")</f>
        <v>Melting_Curves/meltCurve_E7EX90_DCTN1.pdf</v>
      </c>
    </row>
    <row r="476" spans="1:28" x14ac:dyDescent="0.25">
      <c r="A476" t="s">
        <v>480</v>
      </c>
      <c r="B476">
        <v>0.99996721820229495</v>
      </c>
      <c r="C476">
        <v>1.1469047445870599</v>
      </c>
      <c r="D476">
        <v>0.99374155406582398</v>
      </c>
      <c r="E476">
        <v>1.0118001036262501</v>
      </c>
      <c r="F476">
        <v>0.88288972244096897</v>
      </c>
      <c r="G476">
        <v>0.57158388671372995</v>
      </c>
      <c r="H476">
        <v>0.26440340987592398</v>
      </c>
      <c r="I476">
        <v>0.22167364560707201</v>
      </c>
      <c r="J476">
        <v>0.15967077811438499</v>
      </c>
      <c r="K476">
        <v>0.123204312464819</v>
      </c>
      <c r="L476">
        <v>1455.44263662241</v>
      </c>
      <c r="M476">
        <v>25.522497414669999</v>
      </c>
      <c r="N476">
        <v>57.761245756352501</v>
      </c>
      <c r="O476">
        <v>56.679237499024801</v>
      </c>
      <c r="P476">
        <v>-9.6959848206958799E-2</v>
      </c>
      <c r="Q476">
        <v>0.138714037772245</v>
      </c>
      <c r="R476">
        <v>0.98382918256950602</v>
      </c>
      <c r="S476" t="s">
        <v>6302</v>
      </c>
      <c r="T476" t="s">
        <v>11650</v>
      </c>
      <c r="U476" t="s">
        <v>11650</v>
      </c>
      <c r="V476" t="s">
        <v>11650</v>
      </c>
      <c r="W476" t="s">
        <v>12118</v>
      </c>
      <c r="X476">
        <v>5</v>
      </c>
      <c r="Y476" t="s">
        <v>17883</v>
      </c>
      <c r="Z476" t="s">
        <v>23538</v>
      </c>
      <c r="AA476">
        <v>0.63502688095436743</v>
      </c>
      <c r="AB476" t="str">
        <f>HYPERLINK("Melting_Curves/meltCurve_E9PAR5_NCBP2.pdf", "Melting_Curves/meltCurve_E9PAR5_NCBP2.pdf")</f>
        <v>Melting_Curves/meltCurve_E9PAR5_NCBP2.pdf</v>
      </c>
    </row>
    <row r="477" spans="1:28" x14ac:dyDescent="0.25">
      <c r="A477" t="s">
        <v>481</v>
      </c>
      <c r="B477">
        <v>0.99996721820229495</v>
      </c>
      <c r="C477">
        <v>1.0097305931792599</v>
      </c>
      <c r="D477">
        <v>0.63219872512917596</v>
      </c>
      <c r="E477">
        <v>0.31295624537560801</v>
      </c>
      <c r="F477">
        <v>0.346505336871271</v>
      </c>
      <c r="G477">
        <v>0.26125593818002402</v>
      </c>
      <c r="H477">
        <v>0.16836808425789901</v>
      </c>
      <c r="I477">
        <v>0.10373470967915401</v>
      </c>
      <c r="J477">
        <v>8.5173745435812895E-2</v>
      </c>
      <c r="K477">
        <v>5.7391958309777502E-2</v>
      </c>
      <c r="L477">
        <v>840.90725373100997</v>
      </c>
      <c r="M477">
        <v>17.6512596566754</v>
      </c>
      <c r="N477">
        <v>48.413593791517698</v>
      </c>
      <c r="O477">
        <v>47.041228247958003</v>
      </c>
      <c r="P477">
        <v>-8.2285560617356604E-2</v>
      </c>
      <c r="Q477">
        <v>0.12287116428138201</v>
      </c>
      <c r="R477">
        <v>0.95661204691333102</v>
      </c>
      <c r="S477" t="s">
        <v>6303</v>
      </c>
      <c r="T477" t="s">
        <v>11650</v>
      </c>
      <c r="U477" t="s">
        <v>11650</v>
      </c>
      <c r="V477" t="s">
        <v>11650</v>
      </c>
      <c r="W477" t="s">
        <v>12119</v>
      </c>
      <c r="X477">
        <v>9</v>
      </c>
      <c r="Y477" t="s">
        <v>17884</v>
      </c>
      <c r="Z477" t="s">
        <v>23539</v>
      </c>
      <c r="AA477">
        <v>0.36266424818489518</v>
      </c>
      <c r="AB477" t="str">
        <f>HYPERLINK("Melting_Curves/meltCurve_E9PAU2_RAVER1.pdf", "Melting_Curves/meltCurve_E9PAU2_RAVER1.pdf")</f>
        <v>Melting_Curves/meltCurve_E9PAU2_RAVER1.pdf</v>
      </c>
    </row>
    <row r="478" spans="1:28" x14ac:dyDescent="0.25">
      <c r="A478" t="s">
        <v>482</v>
      </c>
      <c r="B478">
        <v>0.99996721820229495</v>
      </c>
      <c r="C478">
        <v>0.92537476998512602</v>
      </c>
      <c r="D478">
        <v>1.10121233961386</v>
      </c>
      <c r="E478">
        <v>1.1528637436287099</v>
      </c>
      <c r="F478">
        <v>0.57740923233034502</v>
      </c>
      <c r="G478">
        <v>0.36530503490031502</v>
      </c>
      <c r="H478">
        <v>0.20067357380114001</v>
      </c>
      <c r="I478">
        <v>0.18965511307843599</v>
      </c>
      <c r="J478">
        <v>0.12690553875824001</v>
      </c>
      <c r="K478">
        <v>9.4473358194098897E-2</v>
      </c>
      <c r="L478">
        <v>13244.6488864108</v>
      </c>
      <c r="M478">
        <v>250</v>
      </c>
      <c r="N478">
        <v>53.083832213649004</v>
      </c>
      <c r="O478">
        <v>52.975206590104797</v>
      </c>
      <c r="P478">
        <v>-0.94926187317336197</v>
      </c>
      <c r="Q478">
        <v>0.19540251960054</v>
      </c>
      <c r="R478">
        <v>0.95055745398971603</v>
      </c>
      <c r="S478" t="s">
        <v>6304</v>
      </c>
      <c r="T478" t="s">
        <v>11650</v>
      </c>
      <c r="U478" t="s">
        <v>11650</v>
      </c>
      <c r="V478" t="s">
        <v>11650</v>
      </c>
      <c r="W478" t="s">
        <v>12120</v>
      </c>
      <c r="X478">
        <v>2</v>
      </c>
      <c r="Y478" t="s">
        <v>17885</v>
      </c>
      <c r="Z478" t="s">
        <v>23540</v>
      </c>
      <c r="AA478">
        <v>0.54356217085214742</v>
      </c>
      <c r="AB478" t="str">
        <f>HYPERLINK("Melting_Curves/meltCurve_E9PB09_HEATR5A.pdf", "Melting_Curves/meltCurve_E9PB09_HEATR5A.pdf")</f>
        <v>Melting_Curves/meltCurve_E9PB09_HEATR5A.pdf</v>
      </c>
    </row>
    <row r="479" spans="1:28" x14ac:dyDescent="0.25">
      <c r="A479" t="s">
        <v>483</v>
      </c>
      <c r="B479">
        <v>0.99996721820229495</v>
      </c>
      <c r="C479">
        <v>1.05248530911275</v>
      </c>
      <c r="D479">
        <v>1.0805285262833699</v>
      </c>
      <c r="E479">
        <v>0.91274629771633298</v>
      </c>
      <c r="F479">
        <v>0.85444452916898195</v>
      </c>
      <c r="G479">
        <v>0.78907295523675203</v>
      </c>
      <c r="H479">
        <v>0.54023739047594799</v>
      </c>
      <c r="I479">
        <v>0.449269984826212</v>
      </c>
      <c r="J479">
        <v>0.26301982386755701</v>
      </c>
      <c r="K479">
        <v>0.26599202509801101</v>
      </c>
      <c r="L479">
        <v>805.74960374554996</v>
      </c>
      <c r="M479">
        <v>13.1713595646588</v>
      </c>
      <c r="N479">
        <v>62.172726048295097</v>
      </c>
      <c r="O479">
        <v>59.8158057039848</v>
      </c>
      <c r="P479">
        <v>-4.9810885657046701E-2</v>
      </c>
      <c r="Q479">
        <v>9.5316597303263695E-2</v>
      </c>
      <c r="R479">
        <v>0.97677072914150698</v>
      </c>
      <c r="S479" t="s">
        <v>6305</v>
      </c>
      <c r="T479" t="s">
        <v>11650</v>
      </c>
      <c r="U479" t="s">
        <v>11650</v>
      </c>
      <c r="V479" t="s">
        <v>11650</v>
      </c>
      <c r="W479" t="s">
        <v>12121</v>
      </c>
      <c r="X479">
        <v>2</v>
      </c>
      <c r="Y479" t="s">
        <v>17886</v>
      </c>
      <c r="Z479" t="s">
        <v>23541</v>
      </c>
      <c r="AA479">
        <v>0.73212018527563116</v>
      </c>
      <c r="AB479" t="str">
        <f>HYPERLINK("Melting_Curves/meltCurve_E9PB61_ALYREF.pdf", "Melting_Curves/meltCurve_E9PB61_ALYREF.pdf")</f>
        <v>Melting_Curves/meltCurve_E9PB61_ALYREF.pdf</v>
      </c>
    </row>
    <row r="480" spans="1:28" x14ac:dyDescent="0.25">
      <c r="A480" t="s">
        <v>484</v>
      </c>
      <c r="B480">
        <v>0.99996721820229495</v>
      </c>
      <c r="C480">
        <v>0.787423709086711</v>
      </c>
      <c r="D480">
        <v>0.95280174323381495</v>
      </c>
      <c r="E480">
        <v>1.3068725863211399</v>
      </c>
      <c r="F480">
        <v>1.7884345204769001</v>
      </c>
      <c r="G480">
        <v>1.87874460192786</v>
      </c>
      <c r="H480">
        <v>1.18287937036449</v>
      </c>
      <c r="I480">
        <v>0.30318389680719499</v>
      </c>
      <c r="J480">
        <v>0.171756004852577</v>
      </c>
      <c r="K480">
        <v>0.14292588333512701</v>
      </c>
      <c r="L480">
        <v>15000</v>
      </c>
      <c r="M480">
        <v>235.93832793909601</v>
      </c>
      <c r="N480">
        <v>63.677902053824603</v>
      </c>
      <c r="O480">
        <v>63.5713681010361</v>
      </c>
      <c r="P480">
        <v>-0.78188133209153998</v>
      </c>
      <c r="Q480">
        <v>0.15731765492302699</v>
      </c>
      <c r="R480">
        <v>0.54532597028028695</v>
      </c>
      <c r="S480" t="s">
        <v>6306</v>
      </c>
      <c r="T480" t="s">
        <v>11650</v>
      </c>
      <c r="U480" t="s">
        <v>11650</v>
      </c>
      <c r="V480" t="s">
        <v>11650</v>
      </c>
      <c r="W480" t="s">
        <v>12122</v>
      </c>
      <c r="X480">
        <v>24</v>
      </c>
      <c r="Y480" t="s">
        <v>17887</v>
      </c>
      <c r="Z480" t="s">
        <v>23542</v>
      </c>
      <c r="AA480">
        <v>0.81965738454108328</v>
      </c>
      <c r="AB480" t="str">
        <f>HYPERLINK("Melting_Curves/meltCurve_E9PBJ5_SDHA.pdf", "Melting_Curves/meltCurve_E9PBJ5_SDHA.pdf")</f>
        <v>Melting_Curves/meltCurve_E9PBJ5_SDHA.pdf</v>
      </c>
    </row>
    <row r="481" spans="1:28" x14ac:dyDescent="0.25">
      <c r="A481" t="s">
        <v>485</v>
      </c>
      <c r="B481">
        <v>0.99996721820229495</v>
      </c>
      <c r="C481">
        <v>0.82328691508648699</v>
      </c>
      <c r="D481">
        <v>0.91385785658503105</v>
      </c>
      <c r="E481">
        <v>0.78641770282102696</v>
      </c>
      <c r="F481">
        <v>0.60507155761122899</v>
      </c>
      <c r="G481">
        <v>0.36221739589989799</v>
      </c>
      <c r="H481">
        <v>0.32116918763035301</v>
      </c>
      <c r="I481">
        <v>0.145890070029909</v>
      </c>
      <c r="J481">
        <v>0.14535135126958801</v>
      </c>
      <c r="K481">
        <v>0.14830756129269701</v>
      </c>
      <c r="L481">
        <v>597.71017824093599</v>
      </c>
      <c r="M481">
        <v>10.9543922157</v>
      </c>
      <c r="N481">
        <v>54.981160209525498</v>
      </c>
      <c r="O481">
        <v>52.839705132869099</v>
      </c>
      <c r="P481">
        <v>-4.9776409959505302E-2</v>
      </c>
      <c r="Q481">
        <v>3.99213538907639E-2</v>
      </c>
      <c r="R481">
        <v>0.97249805294757796</v>
      </c>
      <c r="S481" t="s">
        <v>6307</v>
      </c>
      <c r="T481" t="s">
        <v>11650</v>
      </c>
      <c r="U481" t="s">
        <v>11650</v>
      </c>
      <c r="V481" t="s">
        <v>11650</v>
      </c>
      <c r="W481" t="s">
        <v>12123</v>
      </c>
      <c r="X481">
        <v>1</v>
      </c>
      <c r="Y481" t="s">
        <v>17888</v>
      </c>
      <c r="Z481" t="s">
        <v>23543</v>
      </c>
      <c r="AA481">
        <v>0.5312923351747646</v>
      </c>
      <c r="AB481" t="str">
        <f>HYPERLINK("Melting_Curves/meltCurve_E9PBL8_COG1.pdf", "Melting_Curves/meltCurve_E9PBL8_COG1.pdf")</f>
        <v>Melting_Curves/meltCurve_E9PBL8_COG1.pdf</v>
      </c>
    </row>
    <row r="482" spans="1:28" x14ac:dyDescent="0.25">
      <c r="A482" t="s">
        <v>486</v>
      </c>
      <c r="B482">
        <v>0.99996721820229495</v>
      </c>
      <c r="C482">
        <v>1.00138719339814</v>
      </c>
      <c r="D482">
        <v>1.1310842140050701</v>
      </c>
      <c r="E482">
        <v>1.5709440666080201</v>
      </c>
      <c r="F482">
        <v>2.4306731031711699</v>
      </c>
      <c r="G482">
        <v>3.8587643445266</v>
      </c>
      <c r="H482">
        <v>3.0800961073439201</v>
      </c>
      <c r="I482">
        <v>1.95212748043998</v>
      </c>
      <c r="J482">
        <v>0.46697679965018002</v>
      </c>
      <c r="K482">
        <v>1.3671873350824999</v>
      </c>
      <c r="L482">
        <v>10838.549127452899</v>
      </c>
      <c r="M482">
        <v>234.58589059721399</v>
      </c>
      <c r="O482">
        <v>46.199546243217497</v>
      </c>
      <c r="P482">
        <v>0.63470833737342303</v>
      </c>
      <c r="Q482">
        <v>1.5</v>
      </c>
      <c r="R482">
        <v>-1.8206895626827799E-2</v>
      </c>
      <c r="S482" t="s">
        <v>6308</v>
      </c>
      <c r="T482" t="s">
        <v>11650</v>
      </c>
      <c r="U482" t="s">
        <v>11650</v>
      </c>
      <c r="V482" t="s">
        <v>11650</v>
      </c>
      <c r="W482" t="s">
        <v>12124</v>
      </c>
      <c r="X482">
        <v>26</v>
      </c>
      <c r="Y482" t="s">
        <v>17889</v>
      </c>
      <c r="Z482" t="s">
        <v>23544</v>
      </c>
      <c r="AA482">
        <v>1.3965722377727829</v>
      </c>
      <c r="AB482" t="str">
        <f>HYPERLINK("Melting_Curves/meltCurve_E9PBS1_PAICS.pdf", "Melting_Curves/meltCurve_E9PBS1_PAICS.pdf")</f>
        <v>Melting_Curves/meltCurve_E9PBS1_PAICS.pdf</v>
      </c>
    </row>
    <row r="483" spans="1:28" x14ac:dyDescent="0.25">
      <c r="A483" t="s">
        <v>487</v>
      </c>
      <c r="B483">
        <v>0.99996721820229495</v>
      </c>
      <c r="C483">
        <v>0.78376302044674195</v>
      </c>
      <c r="D483">
        <v>0.91950222744027998</v>
      </c>
      <c r="E483">
        <v>0.996473942510955</v>
      </c>
      <c r="F483">
        <v>1.12627337692683</v>
      </c>
      <c r="G483">
        <v>0.78434433219411903</v>
      </c>
      <c r="H483">
        <v>0.46385784103169803</v>
      </c>
      <c r="I483">
        <v>0.37132251567149399</v>
      </c>
      <c r="J483">
        <v>0.27513925283065799</v>
      </c>
      <c r="K483">
        <v>0.25250022588459198</v>
      </c>
      <c r="L483">
        <v>1867.85383280715</v>
      </c>
      <c r="M483">
        <v>31.6517994318286</v>
      </c>
      <c r="N483">
        <v>60.506615482391403</v>
      </c>
      <c r="O483">
        <v>58.778509354337103</v>
      </c>
      <c r="P483">
        <v>-9.8120226118591003E-2</v>
      </c>
      <c r="Q483">
        <v>0.271153024480278</v>
      </c>
      <c r="R483">
        <v>0.91890877015015104</v>
      </c>
      <c r="S483" t="s">
        <v>6309</v>
      </c>
      <c r="T483" t="s">
        <v>11650</v>
      </c>
      <c r="U483" t="s">
        <v>11650</v>
      </c>
      <c r="V483" t="s">
        <v>11650</v>
      </c>
      <c r="W483" t="s">
        <v>12125</v>
      </c>
      <c r="X483">
        <v>3</v>
      </c>
      <c r="Y483" t="s">
        <v>17890</v>
      </c>
      <c r="Z483" t="s">
        <v>23545</v>
      </c>
      <c r="AA483">
        <v>0.73735710043428992</v>
      </c>
      <c r="AB483" t="str">
        <f>HYPERLINK("Melting_Curves/meltCurve_E9PC15_AGK.pdf", "Melting_Curves/meltCurve_E9PC15_AGK.pdf")</f>
        <v>Melting_Curves/meltCurve_E9PC15_AGK.pdf</v>
      </c>
    </row>
    <row r="484" spans="1:28" x14ac:dyDescent="0.25">
      <c r="A484" t="s">
        <v>488</v>
      </c>
      <c r="B484">
        <v>0.99996721820229495</v>
      </c>
      <c r="C484">
        <v>0.99323276849689701</v>
      </c>
      <c r="D484">
        <v>0.86415524112855802</v>
      </c>
      <c r="E484">
        <v>0.52206258200017897</v>
      </c>
      <c r="F484">
        <v>0.35270698963852798</v>
      </c>
      <c r="G484">
        <v>0.277760731053945</v>
      </c>
      <c r="H484">
        <v>0.22762949702305399</v>
      </c>
      <c r="I484">
        <v>0.15459694908605301</v>
      </c>
      <c r="J484">
        <v>9.2453101555470901E-2</v>
      </c>
      <c r="K484">
        <v>0.14466287533396999</v>
      </c>
      <c r="L484">
        <v>909.474853462753</v>
      </c>
      <c r="M484">
        <v>18.270460306952099</v>
      </c>
      <c r="N484">
        <v>50.756814913989103</v>
      </c>
      <c r="O484">
        <v>49.193586724990503</v>
      </c>
      <c r="P484">
        <v>-7.9072540472002101E-2</v>
      </c>
      <c r="Q484">
        <v>0.148421891450712</v>
      </c>
      <c r="R484">
        <v>0.98922693042853804</v>
      </c>
      <c r="S484" t="s">
        <v>6310</v>
      </c>
      <c r="T484" t="s">
        <v>11650</v>
      </c>
      <c r="U484" t="s">
        <v>11650</v>
      </c>
      <c r="V484" t="s">
        <v>11650</v>
      </c>
      <c r="W484" t="s">
        <v>12126</v>
      </c>
      <c r="X484">
        <v>14</v>
      </c>
      <c r="Y484" t="s">
        <v>17891</v>
      </c>
      <c r="Z484" t="s">
        <v>23546</v>
      </c>
      <c r="AA484">
        <v>0.44014572668022472</v>
      </c>
      <c r="AB484" t="str">
        <f>HYPERLINK("Melting_Curves/meltCurve_E9PC47_LIMK1.pdf", "Melting_Curves/meltCurve_E9PC47_LIMK1.pdf")</f>
        <v>Melting_Curves/meltCurve_E9PC47_LIMK1.pdf</v>
      </c>
    </row>
    <row r="485" spans="1:28" x14ac:dyDescent="0.25">
      <c r="A485" t="s">
        <v>489</v>
      </c>
      <c r="B485">
        <v>0.99996721820229495</v>
      </c>
      <c r="C485">
        <v>1.0808925240434899</v>
      </c>
      <c r="D485">
        <v>1.31653244888095</v>
      </c>
      <c r="E485">
        <v>2.0474916984939</v>
      </c>
      <c r="F485">
        <v>0.66319747810708396</v>
      </c>
      <c r="G485">
        <v>0.48662475115603598</v>
      </c>
      <c r="H485">
        <v>0.22084829026925301</v>
      </c>
      <c r="I485">
        <v>0.17317257046807899</v>
      </c>
      <c r="J485">
        <v>0.140995059820476</v>
      </c>
      <c r="K485">
        <v>8.7210164108314406E-2</v>
      </c>
      <c r="L485">
        <v>2000.7147480444501</v>
      </c>
      <c r="M485">
        <v>35.685268409124497</v>
      </c>
      <c r="N485">
        <v>56.600189863948003</v>
      </c>
      <c r="O485">
        <v>55.8903753858839</v>
      </c>
      <c r="P485">
        <v>-0.136785509556443</v>
      </c>
      <c r="Q485">
        <v>0.14306730050357699</v>
      </c>
      <c r="R485">
        <v>0.64793414603091903</v>
      </c>
      <c r="S485" t="s">
        <v>6311</v>
      </c>
      <c r="T485" t="s">
        <v>11650</v>
      </c>
      <c r="U485" t="s">
        <v>11650</v>
      </c>
      <c r="V485" t="s">
        <v>11650</v>
      </c>
      <c r="W485" t="s">
        <v>12127</v>
      </c>
      <c r="X485">
        <v>3</v>
      </c>
      <c r="Y485" t="s">
        <v>17892</v>
      </c>
      <c r="Z485" t="s">
        <v>23547</v>
      </c>
      <c r="AA485">
        <v>0.6060923101994542</v>
      </c>
      <c r="AB485" t="str">
        <f>HYPERLINK("Melting_Curves/meltCurve_E9PC74_EIF2B5.pdf", "Melting_Curves/meltCurve_E9PC74_EIF2B5.pdf")</f>
        <v>Melting_Curves/meltCurve_E9PC74_EIF2B5.pdf</v>
      </c>
    </row>
    <row r="486" spans="1:28" x14ac:dyDescent="0.25">
      <c r="A486" t="s">
        <v>490</v>
      </c>
      <c r="B486">
        <v>0.99996721820229495</v>
      </c>
      <c r="C486">
        <v>1.0649700775222399</v>
      </c>
      <c r="D486">
        <v>0.98297445300769504</v>
      </c>
      <c r="E486">
        <v>0.77051745367456703</v>
      </c>
      <c r="F486">
        <v>0.68109164860811</v>
      </c>
      <c r="G486">
        <v>0.40092633090851698</v>
      </c>
      <c r="H486">
        <v>0.25017478915799102</v>
      </c>
      <c r="I486">
        <v>0.146439812590371</v>
      </c>
      <c r="J486">
        <v>4.5917363694164999E-2</v>
      </c>
      <c r="K486">
        <v>0.104179593816478</v>
      </c>
      <c r="L486">
        <v>801.27048778289702</v>
      </c>
      <c r="M486">
        <v>14.500745206943099</v>
      </c>
      <c r="N486">
        <v>55.473280805151802</v>
      </c>
      <c r="O486">
        <v>54.238192617798198</v>
      </c>
      <c r="P486">
        <v>-6.5010213938950304E-2</v>
      </c>
      <c r="Q486">
        <v>2.7462472362777601E-2</v>
      </c>
      <c r="R486">
        <v>0.98928676905275903</v>
      </c>
      <c r="S486" t="s">
        <v>6312</v>
      </c>
      <c r="T486" t="s">
        <v>11650</v>
      </c>
      <c r="U486" t="s">
        <v>11650</v>
      </c>
      <c r="V486" t="s">
        <v>11650</v>
      </c>
      <c r="W486" t="s">
        <v>12128</v>
      </c>
      <c r="X486">
        <v>3</v>
      </c>
      <c r="Y486" t="s">
        <v>17893</v>
      </c>
      <c r="Z486" t="s">
        <v>23548</v>
      </c>
      <c r="AA486">
        <v>0.54109043202267226</v>
      </c>
      <c r="AB486" t="str">
        <f>HYPERLINK("Melting_Curves/meltCurve_E9PCJ7_UBR7.pdf", "Melting_Curves/meltCurve_E9PCJ7_UBR7.pdf")</f>
        <v>Melting_Curves/meltCurve_E9PCJ7_UBR7.pdf</v>
      </c>
    </row>
    <row r="487" spans="1:28" x14ac:dyDescent="0.25">
      <c r="A487" t="s">
        <v>491</v>
      </c>
      <c r="B487">
        <v>0.99996721820229495</v>
      </c>
      <c r="C487">
        <v>0.99763026536056298</v>
      </c>
      <c r="D487">
        <v>0.93229858860419901</v>
      </c>
      <c r="E487">
        <v>1.0471669119196501</v>
      </c>
      <c r="F487">
        <v>0.64297117531188097</v>
      </c>
      <c r="G487">
        <v>0.43722126011703</v>
      </c>
      <c r="H487">
        <v>0.50854395141999398</v>
      </c>
      <c r="I487">
        <v>0.26328012262971101</v>
      </c>
      <c r="J487">
        <v>0.27225948555576601</v>
      </c>
      <c r="K487">
        <v>0.145092507286361</v>
      </c>
      <c r="L487">
        <v>838.40277769393401</v>
      </c>
      <c r="M487">
        <v>15.0392733700579</v>
      </c>
      <c r="N487">
        <v>57.474313805548398</v>
      </c>
      <c r="O487">
        <v>54.789746165200398</v>
      </c>
      <c r="P487">
        <v>-5.6154700900174097E-2</v>
      </c>
      <c r="Q487">
        <v>0.18177020680446301</v>
      </c>
      <c r="R487">
        <v>0.92887420192301595</v>
      </c>
      <c r="S487" t="s">
        <v>6313</v>
      </c>
      <c r="T487" t="s">
        <v>11650</v>
      </c>
      <c r="U487" t="s">
        <v>11650</v>
      </c>
      <c r="V487" t="s">
        <v>11650</v>
      </c>
      <c r="W487" t="s">
        <v>12129</v>
      </c>
      <c r="X487">
        <v>1</v>
      </c>
      <c r="Y487" t="s">
        <v>17894</v>
      </c>
      <c r="Z487" t="s">
        <v>23549</v>
      </c>
      <c r="AA487">
        <v>0.62610125381797976</v>
      </c>
      <c r="AB487" t="str">
        <f>HYPERLINK("Melting_Curves/meltCurve_E9PCN5_CNOT10.pdf", "Melting_Curves/meltCurve_E9PCN5_CNOT10.pdf")</f>
        <v>Melting_Curves/meltCurve_E9PCN5_CNOT10.pdf</v>
      </c>
    </row>
    <row r="488" spans="1:28" x14ac:dyDescent="0.25">
      <c r="A488" t="s">
        <v>492</v>
      </c>
      <c r="B488">
        <v>0.99996721820229495</v>
      </c>
      <c r="C488">
        <v>0.69888063094164199</v>
      </c>
      <c r="D488">
        <v>0.62772253893340701</v>
      </c>
      <c r="E488">
        <v>1.5897916177824201</v>
      </c>
      <c r="F488">
        <v>1.5283577551119301</v>
      </c>
      <c r="G488">
        <v>0.72518807970753296</v>
      </c>
      <c r="H488">
        <v>0.49206457864476</v>
      </c>
      <c r="I488">
        <v>0.23101438229402799</v>
      </c>
      <c r="J488">
        <v>0.116536874656027</v>
      </c>
      <c r="K488">
        <v>0.154799112925639</v>
      </c>
      <c r="L488">
        <v>1978.6521130767501</v>
      </c>
      <c r="M488">
        <v>33.008537387733398</v>
      </c>
      <c r="N488">
        <v>60.496332753292599</v>
      </c>
      <c r="O488">
        <v>59.724933202429</v>
      </c>
      <c r="P488">
        <v>-0.120184606466176</v>
      </c>
      <c r="Q488">
        <v>0.13016637250837501</v>
      </c>
      <c r="R488">
        <v>0.63837051603540196</v>
      </c>
      <c r="S488" t="s">
        <v>6314</v>
      </c>
      <c r="T488" t="s">
        <v>11650</v>
      </c>
      <c r="U488" t="s">
        <v>11650</v>
      </c>
      <c r="V488" t="s">
        <v>11650</v>
      </c>
      <c r="W488" t="s">
        <v>12130</v>
      </c>
      <c r="X488">
        <v>115</v>
      </c>
      <c r="Y488" t="s">
        <v>17895</v>
      </c>
      <c r="Z488" t="s">
        <v>23550</v>
      </c>
      <c r="AA488">
        <v>0.71306481998025961</v>
      </c>
      <c r="AB488" t="str">
        <f>HYPERLINK("Melting_Curves/meltCurve_E9PCV6_COL6A3.pdf", "Melting_Curves/meltCurve_E9PCV6_COL6A3.pdf")</f>
        <v>Melting_Curves/meltCurve_E9PCV6_COL6A3.pdf</v>
      </c>
    </row>
    <row r="489" spans="1:28" x14ac:dyDescent="0.25">
      <c r="A489" t="s">
        <v>493</v>
      </c>
      <c r="B489">
        <v>0.99996721820229495</v>
      </c>
      <c r="C489">
        <v>0.91905805976025901</v>
      </c>
      <c r="D489">
        <v>0.92930486250125199</v>
      </c>
      <c r="E489">
        <v>0.98580515880106401</v>
      </c>
      <c r="F489">
        <v>1.3038542138857601</v>
      </c>
      <c r="G489">
        <v>1.3531787496666701</v>
      </c>
      <c r="H489">
        <v>0.89138782854779897</v>
      </c>
      <c r="I489">
        <v>0.48053080924435398</v>
      </c>
      <c r="J489">
        <v>0.28985681144326098</v>
      </c>
      <c r="K489">
        <v>0.18016755253399899</v>
      </c>
      <c r="L489">
        <v>3359.6730344776802</v>
      </c>
      <c r="M489">
        <v>53.110584604844597</v>
      </c>
      <c r="N489">
        <v>63.913903278375201</v>
      </c>
      <c r="O489">
        <v>63.168558101987898</v>
      </c>
      <c r="P489">
        <v>-0.16603790498069301</v>
      </c>
      <c r="Q489">
        <v>0.21007301085840999</v>
      </c>
      <c r="R489">
        <v>0.83425969943298195</v>
      </c>
      <c r="S489" t="s">
        <v>6315</v>
      </c>
      <c r="T489" t="s">
        <v>11650</v>
      </c>
      <c r="U489" t="s">
        <v>11650</v>
      </c>
      <c r="V489" t="s">
        <v>11650</v>
      </c>
      <c r="W489" t="s">
        <v>12131</v>
      </c>
      <c r="X489">
        <v>11</v>
      </c>
      <c r="Y489" t="s">
        <v>17896</v>
      </c>
      <c r="Z489" t="s">
        <v>23551</v>
      </c>
      <c r="AA489">
        <v>0.82419103530016835</v>
      </c>
      <c r="AB489" t="str">
        <f>HYPERLINK("Melting_Curves/meltCurve_E9PCW1_GOSR1.pdf", "Melting_Curves/meltCurve_E9PCW1_GOSR1.pdf")</f>
        <v>Melting_Curves/meltCurve_E9PCW1_GOSR1.pdf</v>
      </c>
    </row>
    <row r="490" spans="1:28" x14ac:dyDescent="0.25">
      <c r="A490" t="s">
        <v>494</v>
      </c>
      <c r="B490">
        <v>0.99996721820229495</v>
      </c>
      <c r="C490">
        <v>1.04544044522484</v>
      </c>
      <c r="D490">
        <v>0.85465164617787004</v>
      </c>
      <c r="E490">
        <v>0.56526749717865099</v>
      </c>
      <c r="F490">
        <v>0.42870567564482398</v>
      </c>
      <c r="G490">
        <v>0.347322708546073</v>
      </c>
      <c r="H490">
        <v>0.22420107769440201</v>
      </c>
      <c r="I490">
        <v>0.169280756478811</v>
      </c>
      <c r="J490">
        <v>0.13327149545803799</v>
      </c>
      <c r="K490">
        <v>0.10267012992381</v>
      </c>
      <c r="L490">
        <v>741.600367229119</v>
      </c>
      <c r="M490">
        <v>14.5526467149623</v>
      </c>
      <c r="N490">
        <v>51.9861156874709</v>
      </c>
      <c r="O490">
        <v>50.026561633930001</v>
      </c>
      <c r="P490">
        <v>-6.3651912888465403E-2</v>
      </c>
      <c r="Q490">
        <v>0.124853574005745</v>
      </c>
      <c r="R490">
        <v>0.98244564123837996</v>
      </c>
      <c r="S490" t="s">
        <v>6316</v>
      </c>
      <c r="T490" t="s">
        <v>11650</v>
      </c>
      <c r="U490" t="s">
        <v>11650</v>
      </c>
      <c r="V490" t="s">
        <v>11650</v>
      </c>
      <c r="W490" t="s">
        <v>12132</v>
      </c>
      <c r="X490">
        <v>9</v>
      </c>
      <c r="Y490" t="s">
        <v>17897</v>
      </c>
      <c r="Z490" t="s">
        <v>23552</v>
      </c>
      <c r="AA490">
        <v>0.46584807211799228</v>
      </c>
      <c r="AB490" t="str">
        <f>HYPERLINK("Melting_Curves/meltCurve_E9PCY7_HNRNPH1.pdf", "Melting_Curves/meltCurve_E9PCY7_HNRNPH1.pdf")</f>
        <v>Melting_Curves/meltCurve_E9PCY7_HNRNPH1.pdf</v>
      </c>
    </row>
    <row r="491" spans="1:28" x14ac:dyDescent="0.25">
      <c r="A491" t="s">
        <v>495</v>
      </c>
      <c r="B491">
        <v>0.99996721820229495</v>
      </c>
      <c r="C491">
        <v>0.93109047487919905</v>
      </c>
      <c r="D491">
        <v>0.88865926094732495</v>
      </c>
      <c r="E491">
        <v>0.58129520121255895</v>
      </c>
      <c r="F491">
        <v>0.32741156791213499</v>
      </c>
      <c r="G491">
        <v>0.24554874911164301</v>
      </c>
      <c r="H491">
        <v>0.149815551007901</v>
      </c>
      <c r="I491">
        <v>8.0272562891434002E-2</v>
      </c>
      <c r="J491">
        <v>5.5824916613217999E-2</v>
      </c>
      <c r="K491">
        <v>4.6793045193591197E-2</v>
      </c>
      <c r="L491">
        <v>814.49130903419098</v>
      </c>
      <c r="M491">
        <v>16.040828685883199</v>
      </c>
      <c r="N491">
        <v>51.152134173269999</v>
      </c>
      <c r="O491">
        <v>50.006653032192098</v>
      </c>
      <c r="P491">
        <v>-7.5739661566661495E-2</v>
      </c>
      <c r="Q491">
        <v>5.5611662696429198E-2</v>
      </c>
      <c r="R491">
        <v>0.99335460425168698</v>
      </c>
      <c r="S491" t="s">
        <v>6317</v>
      </c>
      <c r="T491" t="s">
        <v>11650</v>
      </c>
      <c r="U491" t="s">
        <v>11650</v>
      </c>
      <c r="V491" t="s">
        <v>11650</v>
      </c>
      <c r="W491" t="s">
        <v>12133</v>
      </c>
      <c r="X491">
        <v>27</v>
      </c>
      <c r="Y491" t="s">
        <v>17898</v>
      </c>
      <c r="Z491" t="s">
        <v>23553</v>
      </c>
      <c r="AA491">
        <v>0.41443308046380822</v>
      </c>
      <c r="AB491" t="str">
        <f>HYPERLINK("Melting_Curves/meltCurve_E9PDF6_MYO1B.pdf", "Melting_Curves/meltCurve_E9PDF6_MYO1B.pdf")</f>
        <v>Melting_Curves/meltCurve_E9PDF6_MYO1B.pdf</v>
      </c>
    </row>
    <row r="492" spans="1:28" x14ac:dyDescent="0.25">
      <c r="A492" t="s">
        <v>496</v>
      </c>
      <c r="B492">
        <v>0.99996721820229495</v>
      </c>
      <c r="C492">
        <v>0.63473392489220104</v>
      </c>
      <c r="D492">
        <v>0.72692110214877603</v>
      </c>
      <c r="E492">
        <v>0.79717879578987505</v>
      </c>
      <c r="F492">
        <v>1.0054056165274601</v>
      </c>
      <c r="G492">
        <v>0.95985454449475804</v>
      </c>
      <c r="H492">
        <v>0.64214085716823599</v>
      </c>
      <c r="I492">
        <v>0.47685518787620401</v>
      </c>
      <c r="J492">
        <v>0.46168727361425099</v>
      </c>
      <c r="K492">
        <v>0.36210564472241702</v>
      </c>
      <c r="S492" t="s">
        <v>6318</v>
      </c>
      <c r="T492" t="s">
        <v>11650</v>
      </c>
      <c r="U492" t="s">
        <v>11651</v>
      </c>
      <c r="V492" t="s">
        <v>11650</v>
      </c>
      <c r="W492" t="s">
        <v>12134</v>
      </c>
      <c r="X492">
        <v>2</v>
      </c>
      <c r="Y492" t="s">
        <v>17899</v>
      </c>
      <c r="Z492" t="s">
        <v>23554</v>
      </c>
      <c r="AB492" t="str">
        <f>HYPERLINK("Melting_Curves/meltCurve_E9PDJ1_CACNA1C.pdf", "Melting_Curves/meltCurve_E9PDJ1_CACNA1C.pdf")</f>
        <v>Melting_Curves/meltCurve_E9PDJ1_CACNA1C.pdf</v>
      </c>
    </row>
    <row r="493" spans="1:28" x14ac:dyDescent="0.25">
      <c r="A493" t="s">
        <v>497</v>
      </c>
      <c r="B493">
        <v>0.99996721820229495</v>
      </c>
      <c r="C493">
        <v>0.99969702619004697</v>
      </c>
      <c r="D493">
        <v>0.98546727893255104</v>
      </c>
      <c r="E493">
        <v>1.12330922869801</v>
      </c>
      <c r="F493">
        <v>1.3236857354688401</v>
      </c>
      <c r="G493">
        <v>1.1345700241058001</v>
      </c>
      <c r="H493">
        <v>0.59804962960737296</v>
      </c>
      <c r="I493">
        <v>0.35190614028420902</v>
      </c>
      <c r="J493">
        <v>0.26273909772182502</v>
      </c>
      <c r="K493">
        <v>0.26104941113109698</v>
      </c>
      <c r="L493">
        <v>4891.1745166446699</v>
      </c>
      <c r="M493">
        <v>80.401017407700294</v>
      </c>
      <c r="N493">
        <v>61.484033992079397</v>
      </c>
      <c r="O493">
        <v>60.797129556493999</v>
      </c>
      <c r="P493">
        <v>-0.236025813695457</v>
      </c>
      <c r="Q493">
        <v>0.28609410183235201</v>
      </c>
      <c r="R493">
        <v>0.89956151037221899</v>
      </c>
      <c r="S493" t="s">
        <v>6319</v>
      </c>
      <c r="T493" t="s">
        <v>11650</v>
      </c>
      <c r="U493" t="s">
        <v>11650</v>
      </c>
      <c r="V493" t="s">
        <v>11650</v>
      </c>
      <c r="W493" t="s">
        <v>12135</v>
      </c>
      <c r="X493">
        <v>13</v>
      </c>
      <c r="Y493" t="s">
        <v>17900</v>
      </c>
      <c r="Z493" t="s">
        <v>23555</v>
      </c>
      <c r="AA493">
        <v>0.7826331065439216</v>
      </c>
      <c r="AB493" t="str">
        <f>HYPERLINK("Melting_Curves/meltCurve_E9PDN5_DMD.pdf", "Melting_Curves/meltCurve_E9PDN5_DMD.pdf")</f>
        <v>Melting_Curves/meltCurve_E9PDN5_DMD.pdf</v>
      </c>
    </row>
    <row r="494" spans="1:28" x14ac:dyDescent="0.25">
      <c r="A494" t="s">
        <v>498</v>
      </c>
      <c r="B494">
        <v>0.99996721820229495</v>
      </c>
      <c r="C494">
        <v>0.94263931610718299</v>
      </c>
      <c r="D494">
        <v>1.0158316326013299</v>
      </c>
      <c r="E494">
        <v>1.08630603516424</v>
      </c>
      <c r="F494">
        <v>0.61346203784799302</v>
      </c>
      <c r="G494">
        <v>0.63108287401017704</v>
      </c>
      <c r="H494">
        <v>0.38719043339822901</v>
      </c>
      <c r="I494">
        <v>0.249574644413881</v>
      </c>
      <c r="J494">
        <v>0.216915953817712</v>
      </c>
      <c r="K494">
        <v>0.14996048135731099</v>
      </c>
      <c r="L494">
        <v>840.77218602178095</v>
      </c>
      <c r="M494">
        <v>14.6443522671062</v>
      </c>
      <c r="N494">
        <v>58.347152496345601</v>
      </c>
      <c r="O494">
        <v>56.374018522258098</v>
      </c>
      <c r="P494">
        <v>-5.8160900461049797E-2</v>
      </c>
      <c r="Q494">
        <v>0.104528549907918</v>
      </c>
      <c r="R494">
        <v>0.938941201848431</v>
      </c>
      <c r="S494" t="s">
        <v>6320</v>
      </c>
      <c r="T494" t="s">
        <v>11650</v>
      </c>
      <c r="U494" t="s">
        <v>11650</v>
      </c>
      <c r="V494" t="s">
        <v>11650</v>
      </c>
      <c r="W494" t="s">
        <v>12136</v>
      </c>
      <c r="X494">
        <v>19</v>
      </c>
      <c r="Y494" t="s">
        <v>17901</v>
      </c>
      <c r="Z494" t="s">
        <v>23556</v>
      </c>
      <c r="AA494">
        <v>0.63774687423375265</v>
      </c>
      <c r="AB494" t="str">
        <f>HYPERLINK("Melting_Curves/meltCurve_E9PDX3_KIF13A.pdf", "Melting_Curves/meltCurve_E9PDX3_KIF13A.pdf")</f>
        <v>Melting_Curves/meltCurve_E9PDX3_KIF13A.pdf</v>
      </c>
    </row>
    <row r="495" spans="1:28" x14ac:dyDescent="0.25">
      <c r="A495" t="s">
        <v>499</v>
      </c>
      <c r="B495">
        <v>0.99996721820229495</v>
      </c>
      <c r="C495">
        <v>0.90843947221847698</v>
      </c>
      <c r="D495">
        <v>1.0795086275819401</v>
      </c>
      <c r="E495">
        <v>1.12697897089086</v>
      </c>
      <c r="F495">
        <v>1.2959010297704101</v>
      </c>
      <c r="G495">
        <v>1.28660510624594</v>
      </c>
      <c r="H495">
        <v>0.97959689646239501</v>
      </c>
      <c r="I495">
        <v>0.675514758680966</v>
      </c>
      <c r="J495">
        <v>0.45839944783555098</v>
      </c>
      <c r="K495">
        <v>0.574117264655986</v>
      </c>
      <c r="L495">
        <v>15000</v>
      </c>
      <c r="M495">
        <v>235.08676721194701</v>
      </c>
      <c r="O495">
        <v>63.801626994043197</v>
      </c>
      <c r="P495">
        <v>-0.44560614902294399</v>
      </c>
      <c r="Q495">
        <v>0.516257074223473</v>
      </c>
      <c r="R495">
        <v>0.72058426706160394</v>
      </c>
      <c r="S495" t="s">
        <v>6321</v>
      </c>
      <c r="T495" t="s">
        <v>11650</v>
      </c>
      <c r="U495" t="s">
        <v>11650</v>
      </c>
      <c r="V495" t="s">
        <v>11650</v>
      </c>
      <c r="W495" t="s">
        <v>12137</v>
      </c>
      <c r="X495">
        <v>1</v>
      </c>
      <c r="Y495" t="s">
        <v>17902</v>
      </c>
      <c r="Z495" t="s">
        <v>23557</v>
      </c>
      <c r="AA495">
        <v>0.90018815749157777</v>
      </c>
      <c r="AB495" t="str">
        <f>HYPERLINK("Melting_Curves/meltCurve_E9PEE8_ITGB6.pdf", "Melting_Curves/meltCurve_E9PEE8_ITGB6.pdf")</f>
        <v>Melting_Curves/meltCurve_E9PEE8_ITGB6.pdf</v>
      </c>
    </row>
    <row r="496" spans="1:28" x14ac:dyDescent="0.25">
      <c r="A496" t="s">
        <v>500</v>
      </c>
      <c r="B496">
        <v>0.99996721820229495</v>
      </c>
      <c r="C496">
        <v>1.1107884588768899</v>
      </c>
      <c r="D496">
        <v>1.1172265578687</v>
      </c>
      <c r="E496">
        <v>1.29274707355554</v>
      </c>
      <c r="F496">
        <v>1.7298674076064899</v>
      </c>
      <c r="G496">
        <v>1.69630543051532</v>
      </c>
      <c r="H496">
        <v>1.3265663700549799</v>
      </c>
      <c r="I496">
        <v>0.91519429680998898</v>
      </c>
      <c r="J496">
        <v>0.724793264230435</v>
      </c>
      <c r="K496">
        <v>0.639938107600313</v>
      </c>
      <c r="L496">
        <v>4569.6353209553799</v>
      </c>
      <c r="M496">
        <v>69.703893539271704</v>
      </c>
      <c r="O496">
        <v>65.503924425279806</v>
      </c>
      <c r="P496">
        <v>-9.4386746134334107E-2</v>
      </c>
      <c r="Q496">
        <v>0.64520199140294998</v>
      </c>
      <c r="R496">
        <v>-2.5852812230605898E-2</v>
      </c>
      <c r="S496" t="s">
        <v>6322</v>
      </c>
      <c r="T496" t="s">
        <v>11650</v>
      </c>
      <c r="U496" t="s">
        <v>11650</v>
      </c>
      <c r="V496" t="s">
        <v>11650</v>
      </c>
      <c r="W496" t="s">
        <v>12138</v>
      </c>
      <c r="X496">
        <v>3</v>
      </c>
      <c r="Y496" t="s">
        <v>17903</v>
      </c>
      <c r="Z496" t="s">
        <v>23558</v>
      </c>
      <c r="AA496">
        <v>0.94783453912811733</v>
      </c>
      <c r="AB496" t="str">
        <f>HYPERLINK("Melting_Curves/meltCurve_E9PEH6_SGCE.pdf", "Melting_Curves/meltCurve_E9PEH6_SGCE.pdf")</f>
        <v>Melting_Curves/meltCurve_E9PEH6_SGCE.pdf</v>
      </c>
    </row>
    <row r="497" spans="1:28" x14ac:dyDescent="0.25">
      <c r="A497" t="s">
        <v>501</v>
      </c>
      <c r="B497">
        <v>0.99996721820229495</v>
      </c>
      <c r="C497">
        <v>1.18831183646168</v>
      </c>
      <c r="D497">
        <v>0.52056080806132599</v>
      </c>
      <c r="E497">
        <v>0.32016984094436302</v>
      </c>
      <c r="F497">
        <v>0.34977183631111303</v>
      </c>
      <c r="G497">
        <v>0.29044112791750898</v>
      </c>
      <c r="H497">
        <v>0.220507208241185</v>
      </c>
      <c r="I497">
        <v>0.21450287290669801</v>
      </c>
      <c r="J497">
        <v>6.3967794384630003E-2</v>
      </c>
      <c r="K497">
        <v>4.2714870055234798E-2</v>
      </c>
      <c r="L497">
        <v>11479.3413154267</v>
      </c>
      <c r="M497">
        <v>250</v>
      </c>
      <c r="N497">
        <v>46.020573423540199</v>
      </c>
      <c r="O497">
        <v>45.9144274338271</v>
      </c>
      <c r="P497">
        <v>-1.0691326156704799</v>
      </c>
      <c r="Q497">
        <v>0.214582220432601</v>
      </c>
      <c r="R497">
        <v>0.906864881714875</v>
      </c>
      <c r="S497" t="s">
        <v>6323</v>
      </c>
      <c r="T497" t="s">
        <v>11650</v>
      </c>
      <c r="U497" t="s">
        <v>11650</v>
      </c>
      <c r="V497" t="s">
        <v>11650</v>
      </c>
      <c r="W497" t="s">
        <v>12139</v>
      </c>
      <c r="X497">
        <v>10</v>
      </c>
      <c r="Y497" t="s">
        <v>17904</v>
      </c>
      <c r="Z497" t="s">
        <v>23559</v>
      </c>
      <c r="AA497">
        <v>0.3695656422355601</v>
      </c>
      <c r="AB497" t="str">
        <f>HYPERLINK("Melting_Curves/meltCurve_E9PEL9_SYNE1.pdf", "Melting_Curves/meltCurve_E9PEL9_SYNE1.pdf")</f>
        <v>Melting_Curves/meltCurve_E9PEL9_SYNE1.pdf</v>
      </c>
    </row>
    <row r="498" spans="1:28" x14ac:dyDescent="0.25">
      <c r="A498" t="s">
        <v>502</v>
      </c>
      <c r="B498">
        <v>0.99996721820229495</v>
      </c>
      <c r="C498">
        <v>1.10185896799353</v>
      </c>
      <c r="D498">
        <v>1.20497438796346</v>
      </c>
      <c r="E498">
        <v>1.40997690846558</v>
      </c>
      <c r="F498">
        <v>0.68427124486672197</v>
      </c>
      <c r="G498">
        <v>0.35492880706793301</v>
      </c>
      <c r="H498">
        <v>0.21952637203567801</v>
      </c>
      <c r="I498">
        <v>0.13063495736375999</v>
      </c>
      <c r="J498">
        <v>9.42235659539329E-2</v>
      </c>
      <c r="K498">
        <v>7.3538241580794306E-2</v>
      </c>
      <c r="L498">
        <v>1982.5679381943901</v>
      </c>
      <c r="M498">
        <v>36.119376420339897</v>
      </c>
      <c r="N498">
        <v>55.338725887117398</v>
      </c>
      <c r="O498">
        <v>54.7218804850894</v>
      </c>
      <c r="P498">
        <v>-0.14403834277993599</v>
      </c>
      <c r="Q498">
        <v>0.12711402084916301</v>
      </c>
      <c r="R498">
        <v>0.88754294942767897</v>
      </c>
      <c r="S498" t="s">
        <v>6324</v>
      </c>
      <c r="T498" t="s">
        <v>11650</v>
      </c>
      <c r="U498" t="s">
        <v>11650</v>
      </c>
      <c r="V498" t="s">
        <v>11650</v>
      </c>
      <c r="W498" t="s">
        <v>12140</v>
      </c>
      <c r="X498">
        <v>18</v>
      </c>
      <c r="Y498" t="s">
        <v>17905</v>
      </c>
      <c r="Z498" t="s">
        <v>23560</v>
      </c>
      <c r="AA498">
        <v>0.56437582192415148</v>
      </c>
      <c r="AB498" t="str">
        <f>HYPERLINK("Melting_Curves/meltCurve_E9PEN8_XPO7.pdf", "Melting_Curves/meltCurve_E9PEN8_XPO7.pdf")</f>
        <v>Melting_Curves/meltCurve_E9PEN8_XPO7.pdf</v>
      </c>
    </row>
    <row r="499" spans="1:28" x14ac:dyDescent="0.25">
      <c r="A499" t="s">
        <v>503</v>
      </c>
      <c r="B499">
        <v>0.99996721820229495</v>
      </c>
      <c r="C499">
        <v>1.06551666729084</v>
      </c>
      <c r="D499">
        <v>1.1209329703022599</v>
      </c>
      <c r="E499">
        <v>1.1876217138052201</v>
      </c>
      <c r="F499">
        <v>1.4732427840150499</v>
      </c>
      <c r="G499">
        <v>1.6928370260527801</v>
      </c>
      <c r="H499">
        <v>1.1680812611028299</v>
      </c>
      <c r="I499">
        <v>0.87199973761514704</v>
      </c>
      <c r="J499">
        <v>0.75445730169643699</v>
      </c>
      <c r="K499">
        <v>0.61955481489418895</v>
      </c>
      <c r="L499">
        <v>3278.2481966762798</v>
      </c>
      <c r="M499">
        <v>49.772853032872298</v>
      </c>
      <c r="O499">
        <v>65.758119809297099</v>
      </c>
      <c r="P499">
        <v>-7.3427318772874103E-2</v>
      </c>
      <c r="Q499">
        <v>0.61196210979495103</v>
      </c>
      <c r="R499">
        <v>0.135161789073347</v>
      </c>
      <c r="S499" t="s">
        <v>6325</v>
      </c>
      <c r="T499" t="s">
        <v>11650</v>
      </c>
      <c r="U499" t="s">
        <v>11650</v>
      </c>
      <c r="V499" t="s">
        <v>11650</v>
      </c>
      <c r="W499" t="s">
        <v>12141</v>
      </c>
      <c r="X499">
        <v>7</v>
      </c>
      <c r="Y499" t="s">
        <v>17906</v>
      </c>
      <c r="Z499" t="s">
        <v>23561</v>
      </c>
      <c r="AA499">
        <v>0.9466012340328166</v>
      </c>
      <c r="AB499" t="str">
        <f>HYPERLINK("Melting_Curves/meltCurve_E9PEP6_NRP1.pdf", "Melting_Curves/meltCurve_E9PEP6_NRP1.pdf")</f>
        <v>Melting_Curves/meltCurve_E9PEP6_NRP1.pdf</v>
      </c>
    </row>
    <row r="500" spans="1:28" x14ac:dyDescent="0.25">
      <c r="A500" t="s">
        <v>504</v>
      </c>
      <c r="B500">
        <v>0.99996721820229495</v>
      </c>
      <c r="C500">
        <v>0.92281405429403895</v>
      </c>
      <c r="D500">
        <v>1.0640417750247699</v>
      </c>
      <c r="E500">
        <v>1.2127234452314599</v>
      </c>
      <c r="F500">
        <v>0.73596694351312397</v>
      </c>
      <c r="G500">
        <v>0.50635150828202302</v>
      </c>
      <c r="H500">
        <v>0.257346400753316</v>
      </c>
      <c r="I500">
        <v>0.17930836080346399</v>
      </c>
      <c r="J500">
        <v>0.28320101748365201</v>
      </c>
      <c r="K500">
        <v>0.21403688241449301</v>
      </c>
      <c r="L500">
        <v>1675.22511140546</v>
      </c>
      <c r="M500">
        <v>30.222673672090099</v>
      </c>
      <c r="N500">
        <v>56.531915750284902</v>
      </c>
      <c r="O500">
        <v>55.1884353840017</v>
      </c>
      <c r="P500">
        <v>-0.10642200951150201</v>
      </c>
      <c r="Q500">
        <v>0.222672738473115</v>
      </c>
      <c r="R500">
        <v>0.93698631114249697</v>
      </c>
      <c r="S500" t="s">
        <v>6326</v>
      </c>
      <c r="T500" t="s">
        <v>11650</v>
      </c>
      <c r="U500" t="s">
        <v>11650</v>
      </c>
      <c r="V500" t="s">
        <v>11650</v>
      </c>
      <c r="W500" t="s">
        <v>12142</v>
      </c>
      <c r="X500">
        <v>3</v>
      </c>
      <c r="Y500" t="s">
        <v>17907</v>
      </c>
      <c r="Z500" t="s">
        <v>23562</v>
      </c>
      <c r="AA500">
        <v>0.62756329466584448</v>
      </c>
      <c r="AB500" t="str">
        <f>HYPERLINK("Melting_Curves/meltCurve_E9PER1_DIP2A.pdf", "Melting_Curves/meltCurve_E9PER1_DIP2A.pdf")</f>
        <v>Melting_Curves/meltCurve_E9PER1_DIP2A.pdf</v>
      </c>
    </row>
    <row r="501" spans="1:28" x14ac:dyDescent="0.25">
      <c r="A501" t="s">
        <v>505</v>
      </c>
      <c r="B501">
        <v>0.99996721820229495</v>
      </c>
      <c r="C501">
        <v>1.0198871213610801</v>
      </c>
      <c r="D501">
        <v>0.94879828351690498</v>
      </c>
      <c r="E501">
        <v>0.66469056490091205</v>
      </c>
      <c r="F501">
        <v>0.34692389667519302</v>
      </c>
      <c r="G501">
        <v>0.28910904989570801</v>
      </c>
      <c r="H501">
        <v>0.16884277531505501</v>
      </c>
      <c r="I501">
        <v>0.11945761013171299</v>
      </c>
      <c r="J501">
        <v>9.5116651746973493E-2</v>
      </c>
      <c r="K501">
        <v>8.2766277262003293E-2</v>
      </c>
      <c r="L501">
        <v>1061.1328426228899</v>
      </c>
      <c r="M501">
        <v>20.747128790887999</v>
      </c>
      <c r="N501">
        <v>51.787048296270001</v>
      </c>
      <c r="O501">
        <v>50.677951522645202</v>
      </c>
      <c r="P501">
        <v>-9.0760141437416397E-2</v>
      </c>
      <c r="Q501">
        <v>0.113244267257768</v>
      </c>
      <c r="R501">
        <v>0.98977744742013196</v>
      </c>
      <c r="S501" t="s">
        <v>6327</v>
      </c>
      <c r="T501" t="s">
        <v>11650</v>
      </c>
      <c r="U501" t="s">
        <v>11650</v>
      </c>
      <c r="V501" t="s">
        <v>11650</v>
      </c>
      <c r="W501" t="s">
        <v>12143</v>
      </c>
      <c r="X501">
        <v>13</v>
      </c>
      <c r="Y501" t="s">
        <v>17908</v>
      </c>
      <c r="Z501" t="s">
        <v>23563</v>
      </c>
      <c r="AA501">
        <v>0.45419283392129128</v>
      </c>
      <c r="AB501" t="str">
        <f>HYPERLINK("Melting_Curves/meltCurve_E9PER6_PDPK1.pdf", "Melting_Curves/meltCurve_E9PER6_PDPK1.pdf")</f>
        <v>Melting_Curves/meltCurve_E9PER6_PDPK1.pdf</v>
      </c>
    </row>
    <row r="502" spans="1:28" x14ac:dyDescent="0.25">
      <c r="A502" t="s">
        <v>506</v>
      </c>
      <c r="B502">
        <v>0.99996721820229495</v>
      </c>
      <c r="C502">
        <v>0.925121194859852</v>
      </c>
      <c r="D502">
        <v>1.08227991993777</v>
      </c>
      <c r="E502">
        <v>0.48261392959562299</v>
      </c>
      <c r="F502">
        <v>0.36054472667985599</v>
      </c>
      <c r="G502">
        <v>0.29790855159630097</v>
      </c>
      <c r="H502">
        <v>0.19504594028928399</v>
      </c>
      <c r="I502">
        <v>0.14982393404391101</v>
      </c>
      <c r="J502">
        <v>0.11004980993216799</v>
      </c>
      <c r="K502">
        <v>9.7181780554923505E-2</v>
      </c>
      <c r="L502">
        <v>1497.27600319565</v>
      </c>
      <c r="M502">
        <v>30.039945901791501</v>
      </c>
      <c r="N502">
        <v>50.543961518807698</v>
      </c>
      <c r="O502">
        <v>49.623516379498497</v>
      </c>
      <c r="P502">
        <v>-0.12555310554398799</v>
      </c>
      <c r="Q502">
        <v>0.17039181985017299</v>
      </c>
      <c r="R502">
        <v>0.95600690221245999</v>
      </c>
      <c r="S502" t="s">
        <v>6328</v>
      </c>
      <c r="T502" t="s">
        <v>11650</v>
      </c>
      <c r="U502" t="s">
        <v>11650</v>
      </c>
      <c r="V502" t="s">
        <v>11650</v>
      </c>
      <c r="W502" t="s">
        <v>12144</v>
      </c>
      <c r="X502">
        <v>20</v>
      </c>
      <c r="Y502" t="s">
        <v>17909</v>
      </c>
      <c r="Z502" t="s">
        <v>23564</v>
      </c>
      <c r="AA502">
        <v>0.44768613429031739</v>
      </c>
      <c r="AB502" t="str">
        <f>HYPERLINK("Melting_Curves/meltCurve_E9PEZ3_DIAPH1.pdf", "Melting_Curves/meltCurve_E9PEZ3_DIAPH1.pdf")</f>
        <v>Melting_Curves/meltCurve_E9PEZ3_DIAPH1.pdf</v>
      </c>
    </row>
    <row r="503" spans="1:28" x14ac:dyDescent="0.25">
      <c r="A503" t="s">
        <v>507</v>
      </c>
      <c r="B503">
        <v>0.99996721820229495</v>
      </c>
      <c r="C503">
        <v>0.99176641978285796</v>
      </c>
      <c r="D503">
        <v>0.90444451026133499</v>
      </c>
      <c r="E503">
        <v>1.16312753357604</v>
      </c>
      <c r="F503">
        <v>0.55317457132983106</v>
      </c>
      <c r="G503">
        <v>0.42766565249808502</v>
      </c>
      <c r="H503">
        <v>0.26559330156771899</v>
      </c>
      <c r="I503">
        <v>0.15226909046231599</v>
      </c>
      <c r="J503">
        <v>0.107553593264668</v>
      </c>
      <c r="K503">
        <v>8.3554826165320201E-2</v>
      </c>
      <c r="L503">
        <v>1219.2185132299201</v>
      </c>
      <c r="M503">
        <v>22.2188624917178</v>
      </c>
      <c r="N503">
        <v>55.528380933811299</v>
      </c>
      <c r="O503">
        <v>54.434435656933303</v>
      </c>
      <c r="P503">
        <v>-9.0278285660160301E-2</v>
      </c>
      <c r="Q503">
        <v>0.11532069566426099</v>
      </c>
      <c r="R503">
        <v>0.93060652099669094</v>
      </c>
      <c r="S503" t="s">
        <v>6329</v>
      </c>
      <c r="T503" t="s">
        <v>11650</v>
      </c>
      <c r="U503" t="s">
        <v>11650</v>
      </c>
      <c r="V503" t="s">
        <v>11650</v>
      </c>
      <c r="W503" t="s">
        <v>12145</v>
      </c>
      <c r="X503">
        <v>14</v>
      </c>
      <c r="Y503" t="s">
        <v>17910</v>
      </c>
      <c r="Z503" t="s">
        <v>23565</v>
      </c>
      <c r="AA503">
        <v>0.56392826392770423</v>
      </c>
      <c r="AB503" t="str">
        <f>HYPERLINK("Melting_Curves/meltCurve_E9PF10_NUP155.pdf", "Melting_Curves/meltCurve_E9PF10_NUP155.pdf")</f>
        <v>Melting_Curves/meltCurve_E9PF10_NUP155.pdf</v>
      </c>
    </row>
    <row r="504" spans="1:28" x14ac:dyDescent="0.25">
      <c r="A504" t="s">
        <v>508</v>
      </c>
      <c r="B504">
        <v>0.99996721820229495</v>
      </c>
      <c r="C504">
        <v>1.07282312007868</v>
      </c>
      <c r="D504">
        <v>0.95089634283181501</v>
      </c>
      <c r="E504">
        <v>0.64724263439901597</v>
      </c>
      <c r="F504">
        <v>0.38643704669145701</v>
      </c>
      <c r="G504">
        <v>0.29073928427586498</v>
      </c>
      <c r="H504">
        <v>0.17250205724800999</v>
      </c>
      <c r="I504">
        <v>0.118704105791776</v>
      </c>
      <c r="J504">
        <v>8.0017252917283094E-2</v>
      </c>
      <c r="K504">
        <v>7.1612033960520502E-2</v>
      </c>
      <c r="L504">
        <v>982.97910151777205</v>
      </c>
      <c r="M504">
        <v>19.113332179090499</v>
      </c>
      <c r="N504">
        <v>52.030601695310402</v>
      </c>
      <c r="O504">
        <v>50.875927579283797</v>
      </c>
      <c r="P504">
        <v>-8.4613185278647904E-2</v>
      </c>
      <c r="Q504">
        <v>9.9140492616725903E-2</v>
      </c>
      <c r="R504">
        <v>0.98646064494897701</v>
      </c>
      <c r="S504" t="s">
        <v>6330</v>
      </c>
      <c r="T504" t="s">
        <v>11650</v>
      </c>
      <c r="U504" t="s">
        <v>11650</v>
      </c>
      <c r="V504" t="s">
        <v>11650</v>
      </c>
      <c r="W504" t="s">
        <v>12146</v>
      </c>
      <c r="X504">
        <v>15</v>
      </c>
      <c r="Y504" t="s">
        <v>17911</v>
      </c>
      <c r="Z504" t="s">
        <v>23566</v>
      </c>
      <c r="AA504">
        <v>0.45590488724003458</v>
      </c>
      <c r="AB504" t="str">
        <f>HYPERLINK("Melting_Curves/meltCurve_E9PF16_ACSF2.pdf", "Melting_Curves/meltCurve_E9PF16_ACSF2.pdf")</f>
        <v>Melting_Curves/meltCurve_E9PF16_ACSF2.pdf</v>
      </c>
    </row>
    <row r="505" spans="1:28" x14ac:dyDescent="0.25">
      <c r="A505" t="s">
        <v>509</v>
      </c>
      <c r="B505">
        <v>0.99996721820229495</v>
      </c>
      <c r="C505">
        <v>0.93908602076510495</v>
      </c>
      <c r="D505">
        <v>0.88280826623791497</v>
      </c>
      <c r="E505">
        <v>0.94729654188506096</v>
      </c>
      <c r="F505">
        <v>0.92993517039150098</v>
      </c>
      <c r="G505">
        <v>0.32771952096221202</v>
      </c>
      <c r="H505">
        <v>0.18929616898384299</v>
      </c>
      <c r="I505">
        <v>0.118967385804972</v>
      </c>
      <c r="J505">
        <v>9.9555132281019795E-2</v>
      </c>
      <c r="K505">
        <v>7.6978304413967205E-2</v>
      </c>
      <c r="L505">
        <v>2479.3908556607298</v>
      </c>
      <c r="M505">
        <v>44.569332495679802</v>
      </c>
      <c r="N505">
        <v>55.954515967364202</v>
      </c>
      <c r="O505">
        <v>55.518348485278203</v>
      </c>
      <c r="P505">
        <v>-0.17783774924608001</v>
      </c>
      <c r="Q505">
        <v>0.113898199181208</v>
      </c>
      <c r="R505">
        <v>0.98392174902158802</v>
      </c>
      <c r="S505" t="s">
        <v>6331</v>
      </c>
      <c r="T505" t="s">
        <v>11650</v>
      </c>
      <c r="U505" t="s">
        <v>11650</v>
      </c>
      <c r="V505" t="s">
        <v>11650</v>
      </c>
      <c r="W505" t="s">
        <v>12147</v>
      </c>
      <c r="X505">
        <v>15</v>
      </c>
      <c r="Y505" t="s">
        <v>17912</v>
      </c>
      <c r="Z505" t="s">
        <v>23567</v>
      </c>
      <c r="AA505">
        <v>0.57829045645965005</v>
      </c>
      <c r="AB505" t="str">
        <f>HYPERLINK("Melting_Curves/meltCurve_E9PF18_HADH.pdf", "Melting_Curves/meltCurve_E9PF18_HADH.pdf")</f>
        <v>Melting_Curves/meltCurve_E9PF18_HADH.pdf</v>
      </c>
    </row>
    <row r="506" spans="1:28" x14ac:dyDescent="0.25">
      <c r="A506" t="s">
        <v>510</v>
      </c>
      <c r="B506">
        <v>0.99996721820229495</v>
      </c>
      <c r="C506">
        <v>0.91423091185247396</v>
      </c>
      <c r="D506">
        <v>0.85658712562443595</v>
      </c>
      <c r="E506">
        <v>0.84063167908539504</v>
      </c>
      <c r="F506">
        <v>0.73531699055565902</v>
      </c>
      <c r="G506">
        <v>0.66503378316775197</v>
      </c>
      <c r="H506">
        <v>0.51134242347252801</v>
      </c>
      <c r="I506">
        <v>0.30665295414955102</v>
      </c>
      <c r="J506">
        <v>0.26782298487053302</v>
      </c>
      <c r="K506">
        <v>0.26830820947366801</v>
      </c>
      <c r="L506">
        <v>476.65354889833498</v>
      </c>
      <c r="M506">
        <v>7.9433143934799597</v>
      </c>
      <c r="N506">
        <v>60.006884362284097</v>
      </c>
      <c r="O506">
        <v>56.561363118991402</v>
      </c>
      <c r="P506">
        <v>-3.5150053749173599E-2</v>
      </c>
      <c r="Q506">
        <v>0</v>
      </c>
      <c r="R506">
        <v>0.97288546417902999</v>
      </c>
      <c r="S506" t="s">
        <v>6332</v>
      </c>
      <c r="T506" t="s">
        <v>11650</v>
      </c>
      <c r="U506" t="s">
        <v>11650</v>
      </c>
      <c r="V506" t="s">
        <v>11650</v>
      </c>
      <c r="W506" t="s">
        <v>12148</v>
      </c>
      <c r="X506">
        <v>2</v>
      </c>
      <c r="Y506" t="s">
        <v>17913</v>
      </c>
      <c r="Z506" t="s">
        <v>23568</v>
      </c>
      <c r="AA506">
        <v>0.65129759919152996</v>
      </c>
      <c r="AB506" t="str">
        <f>HYPERLINK("Melting_Curves/meltCurve_E9PF19_TBL2.pdf", "Melting_Curves/meltCurve_E9PF19_TBL2.pdf")</f>
        <v>Melting_Curves/meltCurve_E9PF19_TBL2.pdf</v>
      </c>
    </row>
    <row r="507" spans="1:28" x14ac:dyDescent="0.25">
      <c r="A507" t="s">
        <v>511</v>
      </c>
      <c r="B507">
        <v>0.99996721820229495</v>
      </c>
      <c r="C507">
        <v>1.08056384915722</v>
      </c>
      <c r="D507">
        <v>1.14982899547424</v>
      </c>
      <c r="E507">
        <v>1.2605274741346399</v>
      </c>
      <c r="F507">
        <v>0.72261555433372404</v>
      </c>
      <c r="G507">
        <v>0.54383641845737896</v>
      </c>
      <c r="H507">
        <v>0.30793824198758701</v>
      </c>
      <c r="I507">
        <v>0.19820979187513399</v>
      </c>
      <c r="J507">
        <v>0.16942935145070701</v>
      </c>
      <c r="K507">
        <v>0.11650766684044001</v>
      </c>
      <c r="L507">
        <v>1373.1111650339401</v>
      </c>
      <c r="M507">
        <v>24.2695440026278</v>
      </c>
      <c r="N507">
        <v>57.388119162186797</v>
      </c>
      <c r="O507">
        <v>56.197613805724103</v>
      </c>
      <c r="P507">
        <v>-9.2300158551055805E-2</v>
      </c>
      <c r="Q507">
        <v>0.14510626056616799</v>
      </c>
      <c r="R507">
        <v>0.92231046815522899</v>
      </c>
      <c r="S507" t="s">
        <v>6333</v>
      </c>
      <c r="T507" t="s">
        <v>11650</v>
      </c>
      <c r="U507" t="s">
        <v>11650</v>
      </c>
      <c r="V507" t="s">
        <v>11650</v>
      </c>
      <c r="W507" t="s">
        <v>12149</v>
      </c>
      <c r="X507">
        <v>9</v>
      </c>
      <c r="Y507" t="s">
        <v>17914</v>
      </c>
      <c r="Z507" t="s">
        <v>23569</v>
      </c>
      <c r="AA507">
        <v>0.62565567092600149</v>
      </c>
      <c r="AB507" t="str">
        <f>HYPERLINK("Melting_Curves/meltCurve_E9PFH7_MAPK8IP3.pdf", "Melting_Curves/meltCurve_E9PFH7_MAPK8IP3.pdf")</f>
        <v>Melting_Curves/meltCurve_E9PFH7_MAPK8IP3.pdf</v>
      </c>
    </row>
    <row r="508" spans="1:28" x14ac:dyDescent="0.25">
      <c r="A508" t="s">
        <v>512</v>
      </c>
      <c r="B508">
        <v>0.99996721820229495</v>
      </c>
      <c r="C508">
        <v>0.95007917508675799</v>
      </c>
      <c r="D508">
        <v>0.87753148990972696</v>
      </c>
      <c r="E508">
        <v>0.874132414033994</v>
      </c>
      <c r="F508">
        <v>0.70256715570111405</v>
      </c>
      <c r="G508">
        <v>0.618094700832721</v>
      </c>
      <c r="H508">
        <v>0.26066782935267901</v>
      </c>
      <c r="I508">
        <v>0.18374781872180701</v>
      </c>
      <c r="J508">
        <v>0.13635284469942099</v>
      </c>
      <c r="K508">
        <v>0.10651564072526</v>
      </c>
      <c r="L508">
        <v>718.10839788617898</v>
      </c>
      <c r="M508">
        <v>12.5315093824596</v>
      </c>
      <c r="N508">
        <v>57.304208472381397</v>
      </c>
      <c r="O508">
        <v>55.903686317025901</v>
      </c>
      <c r="P508">
        <v>-5.6052040966607201E-2</v>
      </c>
      <c r="Q508">
        <v>0</v>
      </c>
      <c r="R508">
        <v>0.98035551363737194</v>
      </c>
      <c r="S508" t="s">
        <v>6334</v>
      </c>
      <c r="T508" t="s">
        <v>11650</v>
      </c>
      <c r="U508" t="s">
        <v>11650</v>
      </c>
      <c r="V508" t="s">
        <v>11650</v>
      </c>
      <c r="W508" t="s">
        <v>12150</v>
      </c>
      <c r="X508">
        <v>21</v>
      </c>
      <c r="Y508" t="s">
        <v>17915</v>
      </c>
      <c r="Z508" t="s">
        <v>23570</v>
      </c>
      <c r="AA508">
        <v>0.5925403447505736</v>
      </c>
      <c r="AB508" t="str">
        <f>HYPERLINK("Melting_Curves/meltCurve_E9PFK9_RABGEF1.pdf", "Melting_Curves/meltCurve_E9PFK9_RABGEF1.pdf")</f>
        <v>Melting_Curves/meltCurve_E9PFK9_RABGEF1.pdf</v>
      </c>
    </row>
    <row r="509" spans="1:28" x14ac:dyDescent="0.25">
      <c r="A509" t="s">
        <v>513</v>
      </c>
      <c r="B509">
        <v>0.99996721820229495</v>
      </c>
      <c r="C509">
        <v>1.0920014282092401</v>
      </c>
      <c r="D509">
        <v>1.02906888979749</v>
      </c>
      <c r="E509">
        <v>0.61834029740193996</v>
      </c>
      <c r="F509">
        <v>0.35708275101321502</v>
      </c>
      <c r="G509">
        <v>0.28935329543981803</v>
      </c>
      <c r="H509">
        <v>0.18768147071545299</v>
      </c>
      <c r="I509">
        <v>0.11863786463591799</v>
      </c>
      <c r="J509">
        <v>9.6050122233201696E-2</v>
      </c>
      <c r="K509">
        <v>6.6439173567367005E-2</v>
      </c>
      <c r="L509">
        <v>1230.14407970501</v>
      </c>
      <c r="M509">
        <v>24.143720485170501</v>
      </c>
      <c r="N509">
        <v>51.582607278838502</v>
      </c>
      <c r="O509">
        <v>50.605227367401298</v>
      </c>
      <c r="P509">
        <v>-0.104011100897355</v>
      </c>
      <c r="Q509">
        <v>0.12798484112750499</v>
      </c>
      <c r="R509">
        <v>0.97578352981692895</v>
      </c>
      <c r="S509" t="s">
        <v>6335</v>
      </c>
      <c r="T509" t="s">
        <v>11650</v>
      </c>
      <c r="U509" t="s">
        <v>11650</v>
      </c>
      <c r="V509" t="s">
        <v>11650</v>
      </c>
      <c r="W509" t="s">
        <v>12151</v>
      </c>
      <c r="X509">
        <v>15</v>
      </c>
      <c r="Y509" t="s">
        <v>17916</v>
      </c>
      <c r="Z509" t="s">
        <v>23571</v>
      </c>
      <c r="AA509">
        <v>0.454727751587791</v>
      </c>
      <c r="AB509" t="str">
        <f>HYPERLINK("Melting_Curves/meltCurve_E9PFR3_PPP2R5D.pdf", "Melting_Curves/meltCurve_E9PFR3_PPP2R5D.pdf")</f>
        <v>Melting_Curves/meltCurve_E9PFR3_PPP2R5D.pdf</v>
      </c>
    </row>
    <row r="510" spans="1:28" x14ac:dyDescent="0.25">
      <c r="A510" t="s">
        <v>514</v>
      </c>
      <c r="B510">
        <v>0.99996721820229495</v>
      </c>
      <c r="C510">
        <v>0.91288664402099695</v>
      </c>
      <c r="D510">
        <v>0.92601758259018296</v>
      </c>
      <c r="E510">
        <v>0.75610036069729503</v>
      </c>
      <c r="F510">
        <v>0.55111014495317101</v>
      </c>
      <c r="G510">
        <v>0.55113701943768301</v>
      </c>
      <c r="H510">
        <v>0.37887558939154298</v>
      </c>
      <c r="I510">
        <v>0.26460936150323899</v>
      </c>
      <c r="J510">
        <v>0.17321649586287199</v>
      </c>
      <c r="K510">
        <v>0.16026315059875201</v>
      </c>
      <c r="L510">
        <v>486.65086743000302</v>
      </c>
      <c r="M510">
        <v>8.60033516159322</v>
      </c>
      <c r="N510">
        <v>56.585096294198102</v>
      </c>
      <c r="O510">
        <v>53.775072041802098</v>
      </c>
      <c r="P510">
        <v>-4.0017389372247698E-2</v>
      </c>
      <c r="Q510">
        <v>0</v>
      </c>
      <c r="R510">
        <v>0.97992832655052597</v>
      </c>
      <c r="S510" t="s">
        <v>6336</v>
      </c>
      <c r="T510" t="s">
        <v>11650</v>
      </c>
      <c r="U510" t="s">
        <v>11650</v>
      </c>
      <c r="V510" t="s">
        <v>11650</v>
      </c>
      <c r="W510" t="s">
        <v>12152</v>
      </c>
      <c r="X510">
        <v>2</v>
      </c>
      <c r="Y510" t="s">
        <v>17917</v>
      </c>
      <c r="Z510" t="s">
        <v>23572</v>
      </c>
      <c r="AA510">
        <v>0.56932068924167289</v>
      </c>
      <c r="AB510" t="str">
        <f>HYPERLINK("Melting_Curves/meltCurve_E9PG22_CEP97.pdf", "Melting_Curves/meltCurve_E9PG22_CEP97.pdf")</f>
        <v>Melting_Curves/meltCurve_E9PG22_CEP97.pdf</v>
      </c>
    </row>
    <row r="511" spans="1:28" x14ac:dyDescent="0.25">
      <c r="A511" t="s">
        <v>515</v>
      </c>
      <c r="B511">
        <v>0.99996721820229495</v>
      </c>
      <c r="C511">
        <v>0.85628947643007602</v>
      </c>
      <c r="D511">
        <v>0.95113436299676901</v>
      </c>
      <c r="E511">
        <v>1.1773205748632301</v>
      </c>
      <c r="F511">
        <v>0.97865004426330904</v>
      </c>
      <c r="G511">
        <v>0.72530467213537597</v>
      </c>
      <c r="H511">
        <v>0.39438195650589403</v>
      </c>
      <c r="I511">
        <v>0.22054412078833099</v>
      </c>
      <c r="J511">
        <v>0.16055435527136</v>
      </c>
      <c r="K511">
        <v>0.15449595438241201</v>
      </c>
      <c r="L511">
        <v>1659.3318782839699</v>
      </c>
      <c r="M511">
        <v>28.2091264791834</v>
      </c>
      <c r="N511">
        <v>59.536856921256003</v>
      </c>
      <c r="O511">
        <v>58.5292770379505</v>
      </c>
      <c r="P511">
        <v>-0.103193826145593</v>
      </c>
      <c r="Q511">
        <v>0.14356636208433499</v>
      </c>
      <c r="R511">
        <v>0.95790877741851699</v>
      </c>
      <c r="S511" t="s">
        <v>6337</v>
      </c>
      <c r="T511" t="s">
        <v>11650</v>
      </c>
      <c r="U511" t="s">
        <v>11650</v>
      </c>
      <c r="V511" t="s">
        <v>11650</v>
      </c>
      <c r="W511" t="s">
        <v>12153</v>
      </c>
      <c r="X511">
        <v>7</v>
      </c>
      <c r="Y511" t="s">
        <v>17918</v>
      </c>
      <c r="Z511" t="s">
        <v>23573</v>
      </c>
      <c r="AA511">
        <v>0.68695799302822114</v>
      </c>
      <c r="AB511" t="str">
        <f>HYPERLINK("Melting_Curves/meltCurve_E9PG71_EPHA4.pdf", "Melting_Curves/meltCurve_E9PG71_EPHA4.pdf")</f>
        <v>Melting_Curves/meltCurve_E9PG71_EPHA4.pdf</v>
      </c>
    </row>
    <row r="512" spans="1:28" x14ac:dyDescent="0.25">
      <c r="A512" t="s">
        <v>516</v>
      </c>
      <c r="B512">
        <v>0.99996721820229495</v>
      </c>
      <c r="C512">
        <v>1.0917318608855</v>
      </c>
      <c r="D512">
        <v>1.0607357803053601</v>
      </c>
      <c r="E512">
        <v>0.55713890001434296</v>
      </c>
      <c r="F512">
        <v>0.29597697255383298</v>
      </c>
      <c r="G512">
        <v>0.25522556761190601</v>
      </c>
      <c r="H512">
        <v>0.164114715400004</v>
      </c>
      <c r="I512">
        <v>9.9289513958298395E-2</v>
      </c>
      <c r="J512">
        <v>6.8236344081192099E-2</v>
      </c>
      <c r="K512">
        <v>5.14510982016178E-2</v>
      </c>
      <c r="L512">
        <v>1551.61993403511</v>
      </c>
      <c r="M512">
        <v>30.832842565899</v>
      </c>
      <c r="N512">
        <v>50.783257349001403</v>
      </c>
      <c r="O512">
        <v>50.113366651345103</v>
      </c>
      <c r="P512">
        <v>-0.13508810050211001</v>
      </c>
      <c r="Q512">
        <v>0.12175770529230601</v>
      </c>
      <c r="R512">
        <v>0.97279711922712897</v>
      </c>
      <c r="S512" t="s">
        <v>6338</v>
      </c>
      <c r="T512" t="s">
        <v>11650</v>
      </c>
      <c r="U512" t="s">
        <v>11650</v>
      </c>
      <c r="V512" t="s">
        <v>11650</v>
      </c>
      <c r="W512" t="s">
        <v>12154</v>
      </c>
      <c r="X512">
        <v>18</v>
      </c>
      <c r="Y512" t="s">
        <v>17919</v>
      </c>
      <c r="Z512" t="s">
        <v>23574</v>
      </c>
      <c r="AA512">
        <v>0.42914607446514552</v>
      </c>
      <c r="AB512" t="str">
        <f>HYPERLINK("Melting_Curves/meltCurve_E9PGC0_RASA1.pdf", "Melting_Curves/meltCurve_E9PGC0_RASA1.pdf")</f>
        <v>Melting_Curves/meltCurve_E9PGC0_RASA1.pdf</v>
      </c>
    </row>
    <row r="513" spans="1:28" x14ac:dyDescent="0.25">
      <c r="A513" t="s">
        <v>517</v>
      </c>
      <c r="B513">
        <v>0.99996721820229495</v>
      </c>
      <c r="C513">
        <v>0.77647364917709605</v>
      </c>
      <c r="D513">
        <v>0.561397371551978</v>
      </c>
      <c r="E513">
        <v>0.39044525440668099</v>
      </c>
      <c r="F513">
        <v>0.32513506467823899</v>
      </c>
      <c r="G513">
        <v>0.185138535492401</v>
      </c>
      <c r="H513">
        <v>0.207281414261762</v>
      </c>
      <c r="I513">
        <v>9.5450393928287802E-2</v>
      </c>
      <c r="J513">
        <v>6.8448523875664705E-2</v>
      </c>
      <c r="K513">
        <v>0.100689088707433</v>
      </c>
      <c r="L513">
        <v>571.800980275955</v>
      </c>
      <c r="M513">
        <v>12.1107380766554</v>
      </c>
      <c r="N513">
        <v>47.9736020545933</v>
      </c>
      <c r="O513">
        <v>45.982373907232002</v>
      </c>
      <c r="P513">
        <v>-6.0116323214685602E-2</v>
      </c>
      <c r="Q513">
        <v>8.7207409871935093E-2</v>
      </c>
      <c r="R513">
        <v>0.97696523793836698</v>
      </c>
      <c r="S513" t="s">
        <v>6339</v>
      </c>
      <c r="T513" t="s">
        <v>11650</v>
      </c>
      <c r="U513" t="s">
        <v>11650</v>
      </c>
      <c r="V513" t="s">
        <v>11650</v>
      </c>
      <c r="W513" t="s">
        <v>12155</v>
      </c>
      <c r="X513">
        <v>56</v>
      </c>
      <c r="Y513" t="s">
        <v>17839</v>
      </c>
      <c r="Z513" t="s">
        <v>23575</v>
      </c>
      <c r="AA513">
        <v>0.34380711926875701</v>
      </c>
      <c r="AB513" t="str">
        <f>HYPERLINK("Melting_Curves/meltCurve_E9PGF5_TNS1.pdf", "Melting_Curves/meltCurve_E9PGF5_TNS1.pdf")</f>
        <v>Melting_Curves/meltCurve_E9PGF5_TNS1.pdf</v>
      </c>
    </row>
    <row r="514" spans="1:28" x14ac:dyDescent="0.25">
      <c r="A514" t="s">
        <v>518</v>
      </c>
      <c r="B514">
        <v>0.99996721820229495</v>
      </c>
      <c r="C514">
        <v>0.96748259140234405</v>
      </c>
      <c r="D514">
        <v>0.92093765434230301</v>
      </c>
      <c r="E514">
        <v>0.90406569712317297</v>
      </c>
      <c r="F514">
        <v>0.85316002052120898</v>
      </c>
      <c r="G514">
        <v>0.65772373377193205</v>
      </c>
      <c r="H514">
        <v>0.35587578839402101</v>
      </c>
      <c r="I514">
        <v>0.19708620920860501</v>
      </c>
      <c r="J514">
        <v>0.118249561543652</v>
      </c>
      <c r="K514">
        <v>0.15287260608935299</v>
      </c>
      <c r="L514">
        <v>983.44716544549203</v>
      </c>
      <c r="M514">
        <v>16.852283571181701</v>
      </c>
      <c r="N514">
        <v>58.742710387010497</v>
      </c>
      <c r="O514">
        <v>57.553769908111697</v>
      </c>
      <c r="P514">
        <v>-6.9371917939224495E-2</v>
      </c>
      <c r="Q514">
        <v>5.2387237806516898E-2</v>
      </c>
      <c r="R514">
        <v>0.98931480177398301</v>
      </c>
      <c r="S514" t="s">
        <v>6340</v>
      </c>
      <c r="T514" t="s">
        <v>11650</v>
      </c>
      <c r="U514" t="s">
        <v>11650</v>
      </c>
      <c r="V514" t="s">
        <v>11650</v>
      </c>
      <c r="W514" t="s">
        <v>12156</v>
      </c>
      <c r="X514">
        <v>7</v>
      </c>
      <c r="Y514" t="s">
        <v>17920</v>
      </c>
      <c r="Z514" t="s">
        <v>23576</v>
      </c>
      <c r="AA514">
        <v>0.64376183384424168</v>
      </c>
      <c r="AB514" t="str">
        <f>HYPERLINK("Melting_Curves/meltCurve_E9PGN7_SERPING1.pdf", "Melting_Curves/meltCurve_E9PGN7_SERPING1.pdf")</f>
        <v>Melting_Curves/meltCurve_E9PGN7_SERPING1.pdf</v>
      </c>
    </row>
    <row r="515" spans="1:28" x14ac:dyDescent="0.25">
      <c r="A515" t="s">
        <v>519</v>
      </c>
      <c r="B515">
        <v>0.99996721820229495</v>
      </c>
      <c r="C515">
        <v>0.97708222377318199</v>
      </c>
      <c r="D515">
        <v>1.12452483958917</v>
      </c>
      <c r="E515">
        <v>1.3907335267565399</v>
      </c>
      <c r="F515">
        <v>1.8673934716830201</v>
      </c>
      <c r="G515">
        <v>1.81642362442061</v>
      </c>
      <c r="H515">
        <v>1.4037565559816401</v>
      </c>
      <c r="I515">
        <v>0.828226599918785</v>
      </c>
      <c r="J515">
        <v>0.378929197953493</v>
      </c>
      <c r="K515">
        <v>0.372798005435095</v>
      </c>
      <c r="L515">
        <v>15000</v>
      </c>
      <c r="M515">
        <v>233.406569856071</v>
      </c>
      <c r="N515">
        <v>64.651402998657204</v>
      </c>
      <c r="O515">
        <v>64.260817135177106</v>
      </c>
      <c r="P515">
        <v>-0.56676434166465195</v>
      </c>
      <c r="Q515">
        <v>0.37584029014132198</v>
      </c>
      <c r="R515">
        <v>0.27799915622906202</v>
      </c>
      <c r="S515" t="s">
        <v>6341</v>
      </c>
      <c r="T515" t="s">
        <v>11650</v>
      </c>
      <c r="U515" t="s">
        <v>11650</v>
      </c>
      <c r="V515" t="s">
        <v>11650</v>
      </c>
      <c r="W515" t="s">
        <v>12157</v>
      </c>
      <c r="X515">
        <v>1</v>
      </c>
      <c r="Y515" t="s">
        <v>17921</v>
      </c>
      <c r="Z515" t="s">
        <v>23577</v>
      </c>
      <c r="AA515">
        <v>0.88077353388466406</v>
      </c>
      <c r="AB515" t="str">
        <f>HYPERLINK("Melting_Curves/meltCurve_E9PGQ0_SLC25A44.pdf", "Melting_Curves/meltCurve_E9PGQ0_SLC25A44.pdf")</f>
        <v>Melting_Curves/meltCurve_E9PGQ0_SLC25A44.pdf</v>
      </c>
    </row>
    <row r="516" spans="1:28" x14ac:dyDescent="0.25">
      <c r="A516" t="s">
        <v>520</v>
      </c>
      <c r="B516">
        <v>0.99996721820229495</v>
      </c>
      <c r="C516">
        <v>0.99304886258831504</v>
      </c>
      <c r="D516">
        <v>1.2092299364007699</v>
      </c>
      <c r="E516">
        <v>1.7890043953366801</v>
      </c>
      <c r="F516">
        <v>2.42608647630396</v>
      </c>
      <c r="G516">
        <v>3.6186540902201099</v>
      </c>
      <c r="H516">
        <v>2.6590298047981098</v>
      </c>
      <c r="I516">
        <v>0.97168834575722196</v>
      </c>
      <c r="J516">
        <v>0.291486843772569</v>
      </c>
      <c r="K516">
        <v>0.19699375975106301</v>
      </c>
      <c r="L516">
        <v>8076.4566084589496</v>
      </c>
      <c r="M516">
        <v>122.57198516315999</v>
      </c>
      <c r="N516">
        <v>66.162153892223202</v>
      </c>
      <c r="O516">
        <v>65.874012253629004</v>
      </c>
      <c r="P516">
        <v>-0.37347045364795101</v>
      </c>
      <c r="Q516">
        <v>0.19714140190534599</v>
      </c>
      <c r="R516">
        <v>-0.13983445895009</v>
      </c>
      <c r="S516" t="s">
        <v>6342</v>
      </c>
      <c r="T516" t="s">
        <v>11650</v>
      </c>
      <c r="U516" t="s">
        <v>11650</v>
      </c>
      <c r="V516" t="s">
        <v>11650</v>
      </c>
      <c r="W516" t="s">
        <v>12158</v>
      </c>
      <c r="X516">
        <v>17</v>
      </c>
      <c r="Y516" t="s">
        <v>17922</v>
      </c>
      <c r="Z516" t="s">
        <v>23578</v>
      </c>
      <c r="AA516">
        <v>0.8904236176031628</v>
      </c>
      <c r="AB516" t="str">
        <f>HYPERLINK("Melting_Curves/meltCurve_E9PGT1_TSN.pdf", "Melting_Curves/meltCurve_E9PGT1_TSN.pdf")</f>
        <v>Melting_Curves/meltCurve_E9PGT1_TSN.pdf</v>
      </c>
    </row>
    <row r="517" spans="1:28" x14ac:dyDescent="0.25">
      <c r="A517" t="s">
        <v>521</v>
      </c>
      <c r="B517">
        <v>0.99996721820229495</v>
      </c>
      <c r="C517">
        <v>1.06690698446761</v>
      </c>
      <c r="D517">
        <v>1.30613196093884</v>
      </c>
      <c r="E517">
        <v>2.0825985143162402</v>
      </c>
      <c r="F517">
        <v>3.9314395945468799</v>
      </c>
      <c r="G517">
        <v>3.4746268386310999</v>
      </c>
      <c r="H517">
        <v>7.9773709019210104</v>
      </c>
      <c r="I517">
        <v>4.6570467380349099</v>
      </c>
      <c r="J517">
        <v>1.1438544741732599</v>
      </c>
      <c r="K517">
        <v>0.67290983153080397</v>
      </c>
      <c r="L517">
        <v>7302.4919876988797</v>
      </c>
      <c r="M517">
        <v>159.20667643770099</v>
      </c>
      <c r="O517">
        <v>45.860764559967002</v>
      </c>
      <c r="P517">
        <v>0.43394031884364198</v>
      </c>
      <c r="Q517">
        <v>1.5</v>
      </c>
      <c r="R517">
        <v>-0.30477515841896602</v>
      </c>
      <c r="S517" t="s">
        <v>6343</v>
      </c>
      <c r="T517" t="s">
        <v>11650</v>
      </c>
      <c r="U517" t="s">
        <v>11650</v>
      </c>
      <c r="V517" t="s">
        <v>11650</v>
      </c>
      <c r="W517" t="s">
        <v>12159</v>
      </c>
      <c r="X517">
        <v>4</v>
      </c>
      <c r="Y517" t="s">
        <v>17923</v>
      </c>
      <c r="Z517" t="s">
        <v>23579</v>
      </c>
      <c r="AA517">
        <v>1.4021007063504181</v>
      </c>
      <c r="AB517" t="str">
        <f>HYPERLINK("Melting_Curves/meltCurve_E9PGT6_COPS8.pdf", "Melting_Curves/meltCurve_E9PGT6_COPS8.pdf")</f>
        <v>Melting_Curves/meltCurve_E9PGT6_COPS8.pdf</v>
      </c>
    </row>
    <row r="518" spans="1:28" x14ac:dyDescent="0.25">
      <c r="A518" t="s">
        <v>522</v>
      </c>
      <c r="B518">
        <v>0.99996721820229495</v>
      </c>
      <c r="C518">
        <v>1.0532824824107401</v>
      </c>
      <c r="D518">
        <v>1.1575928840842</v>
      </c>
      <c r="E518">
        <v>1.77449889178947</v>
      </c>
      <c r="F518">
        <v>2.6192901005465901</v>
      </c>
      <c r="G518">
        <v>4.2101622626027204</v>
      </c>
      <c r="H518">
        <v>2.5692081013586301</v>
      </c>
      <c r="I518">
        <v>1.34748269183981</v>
      </c>
      <c r="J518">
        <v>0.377932772178875</v>
      </c>
      <c r="K518">
        <v>0.15957654411984301</v>
      </c>
      <c r="L518">
        <v>15000</v>
      </c>
      <c r="M518">
        <v>224.926188558479</v>
      </c>
      <c r="N518">
        <v>66.802641077966697</v>
      </c>
      <c r="O518">
        <v>66.683273409178298</v>
      </c>
      <c r="P518">
        <v>-0.70878085176956995</v>
      </c>
      <c r="Q518">
        <v>0.159478467608622</v>
      </c>
      <c r="R518">
        <v>-0.213274052939803</v>
      </c>
      <c r="S518" t="s">
        <v>6344</v>
      </c>
      <c r="T518" t="s">
        <v>11650</v>
      </c>
      <c r="U518" t="s">
        <v>11650</v>
      </c>
      <c r="V518" t="s">
        <v>11650</v>
      </c>
      <c r="W518" t="s">
        <v>12160</v>
      </c>
      <c r="X518">
        <v>12</v>
      </c>
      <c r="Y518" t="s">
        <v>17924</v>
      </c>
      <c r="Z518" t="s">
        <v>23580</v>
      </c>
      <c r="AA518">
        <v>0.90734297390243968</v>
      </c>
      <c r="AB518" t="str">
        <f>HYPERLINK("Melting_Curves/meltCurve_E9PH29_PRDX3.pdf", "Melting_Curves/meltCurve_E9PH29_PRDX3.pdf")</f>
        <v>Melting_Curves/meltCurve_E9PH29_PRDX3.pdf</v>
      </c>
    </row>
    <row r="519" spans="1:28" x14ac:dyDescent="0.25">
      <c r="A519" t="s">
        <v>523</v>
      </c>
      <c r="B519">
        <v>0.99996721820229495</v>
      </c>
      <c r="C519">
        <v>1.0103320297557701</v>
      </c>
      <c r="D519">
        <v>1.0755772616210999</v>
      </c>
      <c r="E519">
        <v>0.84572001022892396</v>
      </c>
      <c r="F519">
        <v>0.75440375214652899</v>
      </c>
      <c r="G519">
        <v>0.60325472324274698</v>
      </c>
      <c r="H519">
        <v>0.434431255015367</v>
      </c>
      <c r="I519">
        <v>0.25416078835799699</v>
      </c>
      <c r="J519">
        <v>0.22097868785338801</v>
      </c>
      <c r="K519">
        <v>0.14786430133930101</v>
      </c>
      <c r="L519">
        <v>705.41035320793503</v>
      </c>
      <c r="M519">
        <v>12.064373925010299</v>
      </c>
      <c r="N519">
        <v>58.843172492508003</v>
      </c>
      <c r="O519">
        <v>56.933568860988998</v>
      </c>
      <c r="P519">
        <v>-5.1039449104457402E-2</v>
      </c>
      <c r="Q519">
        <v>3.6776663317104198E-2</v>
      </c>
      <c r="R519">
        <v>0.98373494993905297</v>
      </c>
      <c r="S519" t="s">
        <v>6345</v>
      </c>
      <c r="T519" t="s">
        <v>11650</v>
      </c>
      <c r="U519" t="s">
        <v>11650</v>
      </c>
      <c r="V519" t="s">
        <v>11650</v>
      </c>
      <c r="W519" t="s">
        <v>12161</v>
      </c>
      <c r="X519">
        <v>4</v>
      </c>
      <c r="Y519" t="s">
        <v>17925</v>
      </c>
      <c r="Z519" t="s">
        <v>23581</v>
      </c>
      <c r="AA519">
        <v>0.64003855479017158</v>
      </c>
      <c r="AB519" t="str">
        <f>HYPERLINK("Melting_Curves/meltCurve_E9PHA6_MSH2.pdf", "Melting_Curves/meltCurve_E9PHA6_MSH2.pdf")</f>
        <v>Melting_Curves/meltCurve_E9PHA6_MSH2.pdf</v>
      </c>
    </row>
    <row r="520" spans="1:28" x14ac:dyDescent="0.25">
      <c r="A520" t="s">
        <v>524</v>
      </c>
      <c r="B520">
        <v>0.99996721820229495</v>
      </c>
      <c r="C520">
        <v>0.93951986461288095</v>
      </c>
      <c r="D520">
        <v>1.0853136513050701</v>
      </c>
      <c r="E520">
        <v>1.0791078642181</v>
      </c>
      <c r="F520">
        <v>1.26196607237495</v>
      </c>
      <c r="G520">
        <v>0.88594850898552602</v>
      </c>
      <c r="H520">
        <v>0.23373950155425999</v>
      </c>
      <c r="I520">
        <v>0.13737849199351099</v>
      </c>
      <c r="J520">
        <v>8.7053715423040995E-2</v>
      </c>
      <c r="K520">
        <v>8.1100602096599E-2</v>
      </c>
      <c r="L520">
        <v>3242.5036697198202</v>
      </c>
      <c r="M520">
        <v>54.8715846028404</v>
      </c>
      <c r="N520">
        <v>59.324427131951602</v>
      </c>
      <c r="O520">
        <v>59.014251398337301</v>
      </c>
      <c r="P520">
        <v>-0.21001845381530199</v>
      </c>
      <c r="Q520">
        <v>9.6503253269622002E-2</v>
      </c>
      <c r="R520">
        <v>0.95771714726978796</v>
      </c>
      <c r="S520" t="s">
        <v>6346</v>
      </c>
      <c r="T520" t="s">
        <v>11650</v>
      </c>
      <c r="U520" t="s">
        <v>11650</v>
      </c>
      <c r="V520" t="s">
        <v>11650</v>
      </c>
      <c r="W520" t="s">
        <v>12162</v>
      </c>
      <c r="X520">
        <v>11</v>
      </c>
      <c r="Y520" t="s">
        <v>17926</v>
      </c>
      <c r="Z520" t="s">
        <v>23582</v>
      </c>
      <c r="AA520">
        <v>0.67345050827083752</v>
      </c>
      <c r="AB520" t="str">
        <f>HYPERLINK("Melting_Curves/meltCurve_E9PHG5_CYP20A1.pdf", "Melting_Curves/meltCurve_E9PHG5_CYP20A1.pdf")</f>
        <v>Melting_Curves/meltCurve_E9PHG5_CYP20A1.pdf</v>
      </c>
    </row>
    <row r="521" spans="1:28" x14ac:dyDescent="0.25">
      <c r="A521" t="s">
        <v>525</v>
      </c>
      <c r="B521">
        <v>0.99996721820229495</v>
      </c>
      <c r="C521">
        <v>0.87083451431360304</v>
      </c>
      <c r="D521">
        <v>0.88692717758961903</v>
      </c>
      <c r="E521">
        <v>1.00381929644126</v>
      </c>
      <c r="F521">
        <v>0.60637790863065899</v>
      </c>
      <c r="G521">
        <v>0.33362564034804998</v>
      </c>
      <c r="H521">
        <v>0.178846772770619</v>
      </c>
      <c r="I521">
        <v>0.103325097449668</v>
      </c>
      <c r="J521">
        <v>0.38262244845159099</v>
      </c>
      <c r="K521">
        <v>7.5954684452114396E-2</v>
      </c>
      <c r="L521">
        <v>1793.62698745578</v>
      </c>
      <c r="M521">
        <v>33.569709320174503</v>
      </c>
      <c r="N521">
        <v>54.203614719477301</v>
      </c>
      <c r="O521">
        <v>53.2413976207106</v>
      </c>
      <c r="P521">
        <v>-0.12762527421762301</v>
      </c>
      <c r="Q521">
        <v>0.19035121759082399</v>
      </c>
      <c r="R521">
        <v>0.92247796681673699</v>
      </c>
      <c r="S521" t="s">
        <v>6347</v>
      </c>
      <c r="T521" t="s">
        <v>11650</v>
      </c>
      <c r="U521" t="s">
        <v>11650</v>
      </c>
      <c r="V521" t="s">
        <v>11650</v>
      </c>
      <c r="W521" t="s">
        <v>12163</v>
      </c>
      <c r="X521">
        <v>3</v>
      </c>
      <c r="Y521" t="s">
        <v>17927</v>
      </c>
      <c r="Z521" t="s">
        <v>23583</v>
      </c>
      <c r="AA521">
        <v>0.55703654398823188</v>
      </c>
      <c r="AB521" t="str">
        <f>HYPERLINK("Melting_Curves/meltCurve_E9PHH9_POLR3C.pdf", "Melting_Curves/meltCurve_E9PHH9_POLR3C.pdf")</f>
        <v>Melting_Curves/meltCurve_E9PHH9_POLR3C.pdf</v>
      </c>
    </row>
    <row r="522" spans="1:28" x14ac:dyDescent="0.25">
      <c r="A522" t="s">
        <v>526</v>
      </c>
      <c r="B522">
        <v>0.99996721820229495</v>
      </c>
      <c r="C522">
        <v>0.91315089278108497</v>
      </c>
      <c r="D522">
        <v>0.87242019320460895</v>
      </c>
      <c r="E522">
        <v>0.95857776412348905</v>
      </c>
      <c r="F522">
        <v>1.22360276543935</v>
      </c>
      <c r="G522">
        <v>0.85071881373692404</v>
      </c>
      <c r="H522">
        <v>0.55376301457680999</v>
      </c>
      <c r="I522">
        <v>0.53069206539925096</v>
      </c>
      <c r="J522">
        <v>0.423314364153136</v>
      </c>
      <c r="K522">
        <v>0.37000515172703802</v>
      </c>
      <c r="L522">
        <v>2108.8599174945498</v>
      </c>
      <c r="M522">
        <v>35.640123733151697</v>
      </c>
      <c r="N522">
        <v>62.364987966127103</v>
      </c>
      <c r="O522">
        <v>58.985597942914403</v>
      </c>
      <c r="P522">
        <v>-8.7699974177164602E-2</v>
      </c>
      <c r="Q522">
        <v>0.41941643728366501</v>
      </c>
      <c r="R522">
        <v>0.87578640621197601</v>
      </c>
      <c r="S522" t="s">
        <v>6348</v>
      </c>
      <c r="T522" t="s">
        <v>11650</v>
      </c>
      <c r="U522" t="s">
        <v>11650</v>
      </c>
      <c r="V522" t="s">
        <v>11650</v>
      </c>
      <c r="W522" t="s">
        <v>12164</v>
      </c>
      <c r="X522">
        <v>17</v>
      </c>
      <c r="Y522" t="s">
        <v>17928</v>
      </c>
      <c r="Z522" t="s">
        <v>23584</v>
      </c>
      <c r="AA522">
        <v>0.79323230533392797</v>
      </c>
      <c r="AB522" t="str">
        <f>HYPERLINK("Melting_Curves/meltCurve_E9PHK9_TCOF1.pdf", "Melting_Curves/meltCurve_E9PHK9_TCOF1.pdf")</f>
        <v>Melting_Curves/meltCurve_E9PHK9_TCOF1.pdf</v>
      </c>
    </row>
    <row r="523" spans="1:28" x14ac:dyDescent="0.25">
      <c r="A523" t="s">
        <v>527</v>
      </c>
      <c r="B523">
        <v>0.99996721820229495</v>
      </c>
      <c r="C523">
        <v>0.888131060967976</v>
      </c>
      <c r="D523">
        <v>0.76349684956469799</v>
      </c>
      <c r="E523">
        <v>0.67015180513765604</v>
      </c>
      <c r="F523">
        <v>0.65822496867684099</v>
      </c>
      <c r="G523">
        <v>0.69901228981566299</v>
      </c>
      <c r="H523">
        <v>0.50692975777526705</v>
      </c>
      <c r="I523">
        <v>0.38079053104854299</v>
      </c>
      <c r="J523">
        <v>0.306812433852794</v>
      </c>
      <c r="K523">
        <v>0.26338482679809699</v>
      </c>
      <c r="L523">
        <v>329.07224876420798</v>
      </c>
      <c r="M523">
        <v>5.5333903303096799</v>
      </c>
      <c r="N523">
        <v>59.470292279796901</v>
      </c>
      <c r="O523">
        <v>53.057468282890198</v>
      </c>
      <c r="P523">
        <v>-2.6185065117943399E-2</v>
      </c>
      <c r="Q523">
        <v>0</v>
      </c>
      <c r="R523">
        <v>0.927778122001511</v>
      </c>
      <c r="S523" t="s">
        <v>6349</v>
      </c>
      <c r="T523" t="s">
        <v>11650</v>
      </c>
      <c r="U523" t="s">
        <v>11650</v>
      </c>
      <c r="V523" t="s">
        <v>11650</v>
      </c>
      <c r="W523" t="s">
        <v>12165</v>
      </c>
      <c r="X523">
        <v>6</v>
      </c>
      <c r="Y523" t="s">
        <v>17929</v>
      </c>
      <c r="Z523" t="s">
        <v>23585</v>
      </c>
      <c r="AA523">
        <v>0.61659055012501951</v>
      </c>
      <c r="AB523" t="str">
        <f>HYPERLINK("Melting_Curves/meltCurve_E9PHV5_SSFA2.pdf", "Melting_Curves/meltCurve_E9PHV5_SSFA2.pdf")</f>
        <v>Melting_Curves/meltCurve_E9PHV5_SSFA2.pdf</v>
      </c>
    </row>
    <row r="524" spans="1:28" x14ac:dyDescent="0.25">
      <c r="A524" t="s">
        <v>528</v>
      </c>
      <c r="B524">
        <v>0.99996721820229495</v>
      </c>
      <c r="C524">
        <v>0.93599600697822705</v>
      </c>
      <c r="D524">
        <v>0.978861431100438</v>
      </c>
      <c r="E524">
        <v>1.1535819522217801</v>
      </c>
      <c r="F524">
        <v>0.61910451757847995</v>
      </c>
      <c r="G524">
        <v>0.43984157596172402</v>
      </c>
      <c r="H524">
        <v>0.34236946732272999</v>
      </c>
      <c r="I524">
        <v>0.32034696342521901</v>
      </c>
      <c r="J524">
        <v>0.36372647302251399</v>
      </c>
      <c r="K524">
        <v>0.28162681911472898</v>
      </c>
      <c r="L524">
        <v>13231.668782225601</v>
      </c>
      <c r="M524">
        <v>250</v>
      </c>
      <c r="N524">
        <v>53.182205003468901</v>
      </c>
      <c r="O524">
        <v>52.923302249407797</v>
      </c>
      <c r="P524">
        <v>-0.76811384319938003</v>
      </c>
      <c r="Q524">
        <v>0.34958223567445001</v>
      </c>
      <c r="R524">
        <v>0.95928738772878397</v>
      </c>
      <c r="S524" t="s">
        <v>6350</v>
      </c>
      <c r="T524" t="s">
        <v>11650</v>
      </c>
      <c r="U524" t="s">
        <v>11650</v>
      </c>
      <c r="V524" t="s">
        <v>11650</v>
      </c>
      <c r="W524" t="s">
        <v>12166</v>
      </c>
      <c r="X524">
        <v>3</v>
      </c>
      <c r="Y524" t="s">
        <v>17930</v>
      </c>
      <c r="Z524" t="s">
        <v>23586</v>
      </c>
      <c r="AA524">
        <v>0.62990062129804358</v>
      </c>
      <c r="AB524" t="str">
        <f>HYPERLINK("Melting_Curves/meltCurve_E9PHY8_MROH1.pdf", "Melting_Curves/meltCurve_E9PHY8_MROH1.pdf")</f>
        <v>Melting_Curves/meltCurve_E9PHY8_MROH1.pdf</v>
      </c>
    </row>
    <row r="525" spans="1:28" x14ac:dyDescent="0.25">
      <c r="A525" t="s">
        <v>529</v>
      </c>
      <c r="B525">
        <v>0.99996721820229495</v>
      </c>
      <c r="C525">
        <v>1.1012389657847901</v>
      </c>
      <c r="D525">
        <v>0.92817643431711805</v>
      </c>
      <c r="E525">
        <v>0.73419873975772898</v>
      </c>
      <c r="F525">
        <v>0.52289652418933497</v>
      </c>
      <c r="G525">
        <v>0.43828141993791703</v>
      </c>
      <c r="H525">
        <v>0.256801724101477</v>
      </c>
      <c r="I525">
        <v>0.13328588763589599</v>
      </c>
      <c r="J525">
        <v>0.122213009018364</v>
      </c>
      <c r="K525">
        <v>9.5243957918786301E-2</v>
      </c>
      <c r="L525">
        <v>711.67810434278101</v>
      </c>
      <c r="M525">
        <v>13.176043293244099</v>
      </c>
      <c r="N525">
        <v>54.523041073410802</v>
      </c>
      <c r="O525">
        <v>52.814313661878103</v>
      </c>
      <c r="P525">
        <v>-5.8763489572633401E-2</v>
      </c>
      <c r="Q525">
        <v>5.79770537656049E-2</v>
      </c>
      <c r="R525">
        <v>0.97880434958993201</v>
      </c>
      <c r="S525" t="s">
        <v>6351</v>
      </c>
      <c r="T525" t="s">
        <v>11650</v>
      </c>
      <c r="U525" t="s">
        <v>11650</v>
      </c>
      <c r="V525" t="s">
        <v>11650</v>
      </c>
      <c r="W525" t="s">
        <v>12167</v>
      </c>
      <c r="X525">
        <v>2</v>
      </c>
      <c r="Z525" t="s">
        <v>23587</v>
      </c>
      <c r="AA525">
        <v>0.52040418958426204</v>
      </c>
      <c r="AB525" t="str">
        <f>HYPERLINK("Melting_Curves/meltCurve_E9PI62_.pdf", "Melting_Curves/meltCurve_E9PI62_.pdf")</f>
        <v>Melting_Curves/meltCurve_E9PI62_.pdf</v>
      </c>
    </row>
    <row r="526" spans="1:28" x14ac:dyDescent="0.25">
      <c r="A526" t="s">
        <v>530</v>
      </c>
      <c r="B526">
        <v>0.99996721820229495</v>
      </c>
      <c r="C526">
        <v>0.824280864380599</v>
      </c>
      <c r="D526">
        <v>0.88150477630718005</v>
      </c>
      <c r="E526">
        <v>1.1210384385196099</v>
      </c>
      <c r="F526">
        <v>1.4244772655359199</v>
      </c>
      <c r="G526">
        <v>0.92846261695983201</v>
      </c>
      <c r="H526">
        <v>0.57156202909681997</v>
      </c>
      <c r="I526">
        <v>0.374354197136128</v>
      </c>
      <c r="J526">
        <v>0.27758024696727801</v>
      </c>
      <c r="K526">
        <v>0.25364429325329602</v>
      </c>
      <c r="L526">
        <v>2447.3933950155201</v>
      </c>
      <c r="M526">
        <v>40.3985304376614</v>
      </c>
      <c r="N526">
        <v>61.750366770069299</v>
      </c>
      <c r="O526">
        <v>60.433379927264099</v>
      </c>
      <c r="P526">
        <v>-0.122449121919727</v>
      </c>
      <c r="Q526">
        <v>0.26730021765661399</v>
      </c>
      <c r="R526">
        <v>0.81964550000131997</v>
      </c>
      <c r="S526" t="s">
        <v>6352</v>
      </c>
      <c r="T526" t="s">
        <v>11650</v>
      </c>
      <c r="U526" t="s">
        <v>11650</v>
      </c>
      <c r="V526" t="s">
        <v>11650</v>
      </c>
      <c r="W526" t="s">
        <v>12168</v>
      </c>
      <c r="X526">
        <v>7</v>
      </c>
      <c r="Y526" t="s">
        <v>17931</v>
      </c>
      <c r="Z526" t="s">
        <v>23588</v>
      </c>
      <c r="AA526">
        <v>0.77274507701085249</v>
      </c>
      <c r="AB526" t="str">
        <f>HYPERLINK("Melting_Curves/meltCurve_E9PIE3_PRKCDBP.pdf", "Melting_Curves/meltCurve_E9PIE3_PRKCDBP.pdf")</f>
        <v>Melting_Curves/meltCurve_E9PIE3_PRKCDBP.pdf</v>
      </c>
    </row>
    <row r="527" spans="1:28" x14ac:dyDescent="0.25">
      <c r="A527" t="s">
        <v>531</v>
      </c>
      <c r="B527">
        <v>0.99996721820229495</v>
      </c>
      <c r="C527">
        <v>0.95113303113902403</v>
      </c>
      <c r="D527">
        <v>1.0162765997038901</v>
      </c>
      <c r="E527">
        <v>1.1356699058666699</v>
      </c>
      <c r="F527">
        <v>1.48084573668288</v>
      </c>
      <c r="G527">
        <v>1.44901628372444</v>
      </c>
      <c r="H527">
        <v>1.0814100564339899</v>
      </c>
      <c r="I527">
        <v>0.67012108923115399</v>
      </c>
      <c r="J527">
        <v>0.44728537491694198</v>
      </c>
      <c r="K527">
        <v>0.32889098331164501</v>
      </c>
      <c r="L527">
        <v>10583.478907390599</v>
      </c>
      <c r="M527">
        <v>165.52120677447999</v>
      </c>
      <c r="N527">
        <v>64.523053127776294</v>
      </c>
      <c r="O527">
        <v>63.930986871094802</v>
      </c>
      <c r="P527">
        <v>-0.39621475295312503</v>
      </c>
      <c r="Q527">
        <v>0.38786333232332498</v>
      </c>
      <c r="R527">
        <v>0.64199659656609198</v>
      </c>
      <c r="S527" t="s">
        <v>6353</v>
      </c>
      <c r="T527" t="s">
        <v>11650</v>
      </c>
      <c r="U527" t="s">
        <v>11650</v>
      </c>
      <c r="V527" t="s">
        <v>11650</v>
      </c>
      <c r="W527" t="s">
        <v>12169</v>
      </c>
      <c r="X527">
        <v>3</v>
      </c>
      <c r="Y527" t="s">
        <v>17932</v>
      </c>
      <c r="Z527" t="s">
        <v>23589</v>
      </c>
      <c r="AA527">
        <v>0.87651165884406412</v>
      </c>
      <c r="AB527" t="str">
        <f>HYPERLINK("Melting_Curves/meltCurve_E9PIM6_THY1.pdf", "Melting_Curves/meltCurve_E9PIM6_THY1.pdf")</f>
        <v>Melting_Curves/meltCurve_E9PIM6_THY1.pdf</v>
      </c>
    </row>
    <row r="528" spans="1:28" x14ac:dyDescent="0.25">
      <c r="A528" t="s">
        <v>532</v>
      </c>
      <c r="B528">
        <v>0.99996721820229495</v>
      </c>
      <c r="C528">
        <v>1.06347891333474</v>
      </c>
      <c r="D528">
        <v>0.83363119580437794</v>
      </c>
      <c r="E528">
        <v>0.56315868486890097</v>
      </c>
      <c r="F528">
        <v>0.70689237998357601</v>
      </c>
      <c r="G528">
        <v>0.83318566652170201</v>
      </c>
      <c r="H528">
        <v>0.653491612365802</v>
      </c>
      <c r="I528">
        <v>0.61165643413531301</v>
      </c>
      <c r="J528">
        <v>0.63743405768563699</v>
      </c>
      <c r="K528">
        <v>0.46002848196034901</v>
      </c>
      <c r="L528">
        <v>11507.458242855801</v>
      </c>
      <c r="M528">
        <v>250</v>
      </c>
      <c r="O528">
        <v>46.026887125290202</v>
      </c>
      <c r="P528">
        <v>-0.49159012399678997</v>
      </c>
      <c r="Q528">
        <v>0.637978188133974</v>
      </c>
      <c r="R528">
        <v>0.74584244906000496</v>
      </c>
      <c r="S528" t="s">
        <v>6354</v>
      </c>
      <c r="T528" t="s">
        <v>11650</v>
      </c>
      <c r="U528" t="s">
        <v>11650</v>
      </c>
      <c r="V528" t="s">
        <v>11650</v>
      </c>
      <c r="W528" t="s">
        <v>12170</v>
      </c>
      <c r="X528">
        <v>3</v>
      </c>
      <c r="Y528" t="s">
        <v>17933</v>
      </c>
      <c r="Z528" t="s">
        <v>23590</v>
      </c>
      <c r="AA528">
        <v>0.71077180143529783</v>
      </c>
      <c r="AB528" t="str">
        <f>HYPERLINK("Melting_Curves/meltCurve_E9PJ64_PDE4DIP.pdf", "Melting_Curves/meltCurve_E9PJ64_PDE4DIP.pdf")</f>
        <v>Melting_Curves/meltCurve_E9PJ64_PDE4DIP.pdf</v>
      </c>
    </row>
    <row r="529" spans="1:28" x14ac:dyDescent="0.25">
      <c r="A529" t="s">
        <v>533</v>
      </c>
      <c r="B529">
        <v>0.99996721820229495</v>
      </c>
      <c r="C529">
        <v>1.0142404542830401</v>
      </c>
      <c r="D529">
        <v>1.0903242263272599</v>
      </c>
      <c r="E529">
        <v>1.1714108842686299</v>
      </c>
      <c r="F529">
        <v>1.91993249948081</v>
      </c>
      <c r="G529">
        <v>2.1042061028782002</v>
      </c>
      <c r="H529">
        <v>1.2247960529219799</v>
      </c>
      <c r="I529">
        <v>1.0521500074085499</v>
      </c>
      <c r="J529">
        <v>1.29752153134598</v>
      </c>
      <c r="K529">
        <v>1.08458637651043</v>
      </c>
      <c r="L529">
        <v>12523.777400504199</v>
      </c>
      <c r="M529">
        <v>250</v>
      </c>
      <c r="O529">
        <v>50.091903251515198</v>
      </c>
      <c r="P529">
        <v>0.55797268121270305</v>
      </c>
      <c r="Q529">
        <v>1.4471986218242601</v>
      </c>
      <c r="R529">
        <v>0.256909420896197</v>
      </c>
      <c r="S529" t="s">
        <v>6355</v>
      </c>
      <c r="T529" t="s">
        <v>11650</v>
      </c>
      <c r="U529" t="s">
        <v>11650</v>
      </c>
      <c r="V529" t="s">
        <v>11650</v>
      </c>
      <c r="W529" t="s">
        <v>12171</v>
      </c>
      <c r="X529">
        <v>8</v>
      </c>
      <c r="Y529" t="s">
        <v>17934</v>
      </c>
      <c r="Z529" t="s">
        <v>23591</v>
      </c>
      <c r="AA529">
        <v>1.2966753358090859</v>
      </c>
      <c r="AB529" t="str">
        <f>HYPERLINK("Melting_Curves/meltCurve_E9PJ67_CTSB.pdf", "Melting_Curves/meltCurve_E9PJ67_CTSB.pdf")</f>
        <v>Melting_Curves/meltCurve_E9PJ67_CTSB.pdf</v>
      </c>
    </row>
    <row r="530" spans="1:28" x14ac:dyDescent="0.25">
      <c r="A530" t="s">
        <v>534</v>
      </c>
      <c r="B530">
        <v>0.99996721820229495</v>
      </c>
      <c r="C530">
        <v>0.91887466109145199</v>
      </c>
      <c r="D530">
        <v>0.80645115730742201</v>
      </c>
      <c r="E530">
        <v>0.66154253839783606</v>
      </c>
      <c r="F530">
        <v>0.63970285029853802</v>
      </c>
      <c r="G530">
        <v>0.44546172601693101</v>
      </c>
      <c r="H530">
        <v>0.31187249638415399</v>
      </c>
      <c r="I530">
        <v>0.26788562720875603</v>
      </c>
      <c r="J530">
        <v>0.22690153125840401</v>
      </c>
      <c r="K530">
        <v>0.174037903420379</v>
      </c>
      <c r="L530">
        <v>447.87387264794103</v>
      </c>
      <c r="M530">
        <v>8.1629472811390205</v>
      </c>
      <c r="N530">
        <v>55.398625990084902</v>
      </c>
      <c r="O530">
        <v>51.868749672341401</v>
      </c>
      <c r="P530">
        <v>-3.7900915235679698E-2</v>
      </c>
      <c r="Q530">
        <v>3.7693889877770899E-2</v>
      </c>
      <c r="R530">
        <v>0.99071600508017799</v>
      </c>
      <c r="S530" t="s">
        <v>6356</v>
      </c>
      <c r="T530" t="s">
        <v>11650</v>
      </c>
      <c r="U530" t="s">
        <v>11650</v>
      </c>
      <c r="V530" t="s">
        <v>11650</v>
      </c>
      <c r="W530" t="s">
        <v>12172</v>
      </c>
      <c r="X530">
        <v>18</v>
      </c>
      <c r="Y530" t="s">
        <v>17935</v>
      </c>
      <c r="Z530" t="s">
        <v>23592</v>
      </c>
      <c r="AA530">
        <v>0.54155180607316511</v>
      </c>
      <c r="AB530" t="str">
        <f>HYPERLINK("Melting_Curves/meltCurve_E9PJ81_UBXN1.pdf", "Melting_Curves/meltCurve_E9PJ81_UBXN1.pdf")</f>
        <v>Melting_Curves/meltCurve_E9PJ81_UBXN1.pdf</v>
      </c>
    </row>
    <row r="531" spans="1:28" x14ac:dyDescent="0.25">
      <c r="A531" t="s">
        <v>535</v>
      </c>
      <c r="B531">
        <v>0.99996721820229495</v>
      </c>
      <c r="C531">
        <v>0.94808317296632405</v>
      </c>
      <c r="D531">
        <v>0.97033795134214296</v>
      </c>
      <c r="E531">
        <v>0.98781235739473905</v>
      </c>
      <c r="F531">
        <v>1.1755766397772101</v>
      </c>
      <c r="G531">
        <v>1.2615877294726801</v>
      </c>
      <c r="H531">
        <v>0.95030065712225098</v>
      </c>
      <c r="I531">
        <v>0.621803512692783</v>
      </c>
      <c r="J531">
        <v>0.45096644526341301</v>
      </c>
      <c r="K531">
        <v>0.38083600644745502</v>
      </c>
      <c r="L531">
        <v>3770.5343242178001</v>
      </c>
      <c r="M531">
        <v>59.410886255979598</v>
      </c>
      <c r="N531">
        <v>65.235005180879497</v>
      </c>
      <c r="O531">
        <v>63.393592758707001</v>
      </c>
      <c r="P531">
        <v>-0.140524835680025</v>
      </c>
      <c r="Q531">
        <v>0.40021968001737801</v>
      </c>
      <c r="R531">
        <v>0.86537696879099602</v>
      </c>
      <c r="S531" t="s">
        <v>6357</v>
      </c>
      <c r="T531" t="s">
        <v>11650</v>
      </c>
      <c r="U531" t="s">
        <v>11650</v>
      </c>
      <c r="V531" t="s">
        <v>11650</v>
      </c>
      <c r="W531" t="s">
        <v>12173</v>
      </c>
      <c r="X531">
        <v>3</v>
      </c>
      <c r="Y531" t="s">
        <v>17936</v>
      </c>
      <c r="Z531" t="s">
        <v>23593</v>
      </c>
      <c r="AA531">
        <v>0.87043753070072127</v>
      </c>
      <c r="AB531" t="str">
        <f>HYPERLINK("Melting_Curves/meltCurve_E9PJA2_CSF1.pdf", "Melting_Curves/meltCurve_E9PJA2_CSF1.pdf")</f>
        <v>Melting_Curves/meltCurve_E9PJA2_CSF1.pdf</v>
      </c>
    </row>
    <row r="532" spans="1:28" x14ac:dyDescent="0.25">
      <c r="A532" t="s">
        <v>536</v>
      </c>
      <c r="B532">
        <v>0.99996721820229495</v>
      </c>
      <c r="C532">
        <v>0.96344296357994497</v>
      </c>
      <c r="D532">
        <v>0.94929821192900998</v>
      </c>
      <c r="E532">
        <v>1.0163634041416001</v>
      </c>
      <c r="F532">
        <v>1.1167861654495801</v>
      </c>
      <c r="G532">
        <v>0.94102448929150995</v>
      </c>
      <c r="H532">
        <v>0.32030007209087102</v>
      </c>
      <c r="I532">
        <v>0.12767533223001301</v>
      </c>
      <c r="J532">
        <v>9.2165390301550798E-2</v>
      </c>
      <c r="K532">
        <v>9.5880566606589293E-2</v>
      </c>
      <c r="L532">
        <v>3301.1678667730498</v>
      </c>
      <c r="M532">
        <v>55.2218112055698</v>
      </c>
      <c r="N532">
        <v>60.012783944579603</v>
      </c>
      <c r="O532">
        <v>59.701924141816598</v>
      </c>
      <c r="P532">
        <v>-0.20896021451500499</v>
      </c>
      <c r="Q532">
        <v>9.6348727894740402E-2</v>
      </c>
      <c r="R532">
        <v>0.98962367955978703</v>
      </c>
      <c r="S532" t="s">
        <v>6358</v>
      </c>
      <c r="T532" t="s">
        <v>11650</v>
      </c>
      <c r="U532" t="s">
        <v>11650</v>
      </c>
      <c r="V532" t="s">
        <v>11650</v>
      </c>
      <c r="W532" t="s">
        <v>12174</v>
      </c>
      <c r="X532">
        <v>12</v>
      </c>
      <c r="Y532" t="s">
        <v>17937</v>
      </c>
      <c r="Z532" t="s">
        <v>23594</v>
      </c>
      <c r="AA532">
        <v>0.69409730363225097</v>
      </c>
      <c r="AB532" t="str">
        <f>HYPERLINK("Melting_Curves/meltCurve_E9PJD7_CYHR1.pdf", "Melting_Curves/meltCurve_E9PJD7_CYHR1.pdf")</f>
        <v>Melting_Curves/meltCurve_E9PJD7_CYHR1.pdf</v>
      </c>
    </row>
    <row r="533" spans="1:28" x14ac:dyDescent="0.25">
      <c r="A533" t="s">
        <v>537</v>
      </c>
      <c r="B533">
        <v>0.99996721820229495</v>
      </c>
      <c r="C533">
        <v>0.88489963463084897</v>
      </c>
      <c r="D533">
        <v>1.01514564434355</v>
      </c>
      <c r="E533">
        <v>1.0835546357701</v>
      </c>
      <c r="F533">
        <v>1.4725421795653399</v>
      </c>
      <c r="G533">
        <v>1.7056926429260699</v>
      </c>
      <c r="H533">
        <v>1.38648539175604</v>
      </c>
      <c r="I533">
        <v>0.80967557652656497</v>
      </c>
      <c r="J533">
        <v>0.58220801205332795</v>
      </c>
      <c r="K533">
        <v>0.62936862159828399</v>
      </c>
      <c r="L533">
        <v>15000</v>
      </c>
      <c r="M533">
        <v>234.30601483996901</v>
      </c>
      <c r="O533">
        <v>64.0141792159029</v>
      </c>
      <c r="P533">
        <v>-0.36073135815389601</v>
      </c>
      <c r="Q533">
        <v>0.60578183567982902</v>
      </c>
      <c r="R533">
        <v>0.26067281099821199</v>
      </c>
      <c r="S533" t="s">
        <v>6359</v>
      </c>
      <c r="T533" t="s">
        <v>11650</v>
      </c>
      <c r="U533" t="s">
        <v>11650</v>
      </c>
      <c r="V533" t="s">
        <v>11650</v>
      </c>
      <c r="W533" t="s">
        <v>12175</v>
      </c>
      <c r="X533">
        <v>6</v>
      </c>
      <c r="Y533" t="s">
        <v>17938</v>
      </c>
      <c r="Z533" t="s">
        <v>23595</v>
      </c>
      <c r="AA533">
        <v>0.92145440158847947</v>
      </c>
      <c r="AB533" t="str">
        <f>HYPERLINK("Melting_Curves/meltCurve_E9PJK1_CD81.pdf", "Melting_Curves/meltCurve_E9PJK1_CD81.pdf")</f>
        <v>Melting_Curves/meltCurve_E9PJK1_CD81.pdf</v>
      </c>
    </row>
    <row r="534" spans="1:28" x14ac:dyDescent="0.25">
      <c r="A534" t="s">
        <v>538</v>
      </c>
      <c r="B534">
        <v>0.99996721820229495</v>
      </c>
      <c r="C534">
        <v>1.00063290558505</v>
      </c>
      <c r="D534">
        <v>1.08990961510008</v>
      </c>
      <c r="E534">
        <v>1.3276219083005401</v>
      </c>
      <c r="F534">
        <v>1.4655842367552301</v>
      </c>
      <c r="G534">
        <v>1.8638338543205799</v>
      </c>
      <c r="H534">
        <v>1.35478037091878</v>
      </c>
      <c r="I534">
        <v>1.31551336802524</v>
      </c>
      <c r="J534">
        <v>1.19954923425698</v>
      </c>
      <c r="K534">
        <v>0.79409666198757001</v>
      </c>
      <c r="L534">
        <v>3823.1406640148198</v>
      </c>
      <c r="M534">
        <v>82.122078403966697</v>
      </c>
      <c r="O534">
        <v>46.526772543317698</v>
      </c>
      <c r="P534">
        <v>0.14638289812149</v>
      </c>
      <c r="Q534">
        <v>1.33173652046527</v>
      </c>
      <c r="R534">
        <v>0.243781968186459</v>
      </c>
      <c r="S534" t="s">
        <v>6360</v>
      </c>
      <c r="T534" t="s">
        <v>11650</v>
      </c>
      <c r="U534" t="s">
        <v>11650</v>
      </c>
      <c r="V534" t="s">
        <v>11650</v>
      </c>
      <c r="W534" t="s">
        <v>12176</v>
      </c>
      <c r="X534">
        <v>11</v>
      </c>
      <c r="Y534" t="s">
        <v>17939</v>
      </c>
      <c r="Z534" t="s">
        <v>23596</v>
      </c>
      <c r="AA534">
        <v>1.259007537346077</v>
      </c>
      <c r="AB534" t="str">
        <f>HYPERLINK("Melting_Curves/meltCurve_E9PK01_EEF1D.pdf", "Melting_Curves/meltCurve_E9PK01_EEF1D.pdf")</f>
        <v>Melting_Curves/meltCurve_E9PK01_EEF1D.pdf</v>
      </c>
    </row>
    <row r="535" spans="1:28" x14ac:dyDescent="0.25">
      <c r="A535" t="s">
        <v>539</v>
      </c>
      <c r="B535">
        <v>0.99996721820229495</v>
      </c>
      <c r="C535">
        <v>0.73108210244526295</v>
      </c>
      <c r="D535">
        <v>0.3675614100415</v>
      </c>
      <c r="E535">
        <v>0.26986618365880999</v>
      </c>
      <c r="F535">
        <v>0.362641974521696</v>
      </c>
      <c r="G535">
        <v>0.27600720210007901</v>
      </c>
      <c r="H535">
        <v>0.15604215561543799</v>
      </c>
      <c r="I535">
        <v>0.14890142573323001</v>
      </c>
      <c r="J535">
        <v>0.14486186129999501</v>
      </c>
      <c r="K535">
        <v>7.2049642196661906E-2</v>
      </c>
      <c r="L535">
        <v>1126.8588677627599</v>
      </c>
      <c r="M535">
        <v>25.549544440609601</v>
      </c>
      <c r="N535">
        <v>44.963025514998101</v>
      </c>
      <c r="O535">
        <v>43.837324644736498</v>
      </c>
      <c r="P535">
        <v>-0.117591867071631</v>
      </c>
      <c r="Q535">
        <v>0.19296426973026401</v>
      </c>
      <c r="R535">
        <v>0.92573209678175905</v>
      </c>
      <c r="S535" t="s">
        <v>6361</v>
      </c>
      <c r="T535" t="s">
        <v>11650</v>
      </c>
      <c r="U535" t="s">
        <v>11650</v>
      </c>
      <c r="V535" t="s">
        <v>11650</v>
      </c>
      <c r="W535" t="s">
        <v>12177</v>
      </c>
      <c r="X535">
        <v>3</v>
      </c>
      <c r="Y535" t="s">
        <v>17940</v>
      </c>
      <c r="Z535" t="s">
        <v>23597</v>
      </c>
      <c r="AA535">
        <v>0.31199579970094049</v>
      </c>
      <c r="AB535" t="str">
        <f>HYPERLINK("Melting_Curves/meltCurve_E9PK67_PARP10.pdf", "Melting_Curves/meltCurve_E9PK67_PARP10.pdf")</f>
        <v>Melting_Curves/meltCurve_E9PK67_PARP10.pdf</v>
      </c>
    </row>
    <row r="536" spans="1:28" x14ac:dyDescent="0.25">
      <c r="A536" t="s">
        <v>540</v>
      </c>
      <c r="B536">
        <v>0.99996721820229495</v>
      </c>
      <c r="C536">
        <v>1.03855982360582</v>
      </c>
      <c r="D536">
        <v>1.1290393595197501</v>
      </c>
      <c r="E536">
        <v>1.21736682552618</v>
      </c>
      <c r="F536">
        <v>1.43380661976076</v>
      </c>
      <c r="G536">
        <v>1.49911728510567</v>
      </c>
      <c r="H536">
        <v>0.90104676888927804</v>
      </c>
      <c r="I536">
        <v>0.956576440417926</v>
      </c>
      <c r="J536">
        <v>0.64909806655878199</v>
      </c>
      <c r="K536">
        <v>0.40077313326478597</v>
      </c>
      <c r="L536">
        <v>3544.6550776962799</v>
      </c>
      <c r="M536">
        <v>53.035403035538998</v>
      </c>
      <c r="N536">
        <v>68.3493218352219</v>
      </c>
      <c r="O536">
        <v>66.740795872965705</v>
      </c>
      <c r="P536">
        <v>-0.130020497685611</v>
      </c>
      <c r="Q536">
        <v>0.345518804774753</v>
      </c>
      <c r="R536">
        <v>0.48365389335015901</v>
      </c>
      <c r="S536" t="s">
        <v>6362</v>
      </c>
      <c r="T536" t="s">
        <v>11650</v>
      </c>
      <c r="U536" t="s">
        <v>11650</v>
      </c>
      <c r="V536" t="s">
        <v>11650</v>
      </c>
      <c r="W536" t="s">
        <v>12178</v>
      </c>
      <c r="X536">
        <v>15</v>
      </c>
      <c r="Y536" t="s">
        <v>17941</v>
      </c>
      <c r="Z536" t="s">
        <v>23598</v>
      </c>
      <c r="AA536">
        <v>0.92994208528956723</v>
      </c>
      <c r="AB536" t="str">
        <f>HYPERLINK("Melting_Curves/meltCurve_E9PK91_BCLAF1.pdf", "Melting_Curves/meltCurve_E9PK91_BCLAF1.pdf")</f>
        <v>Melting_Curves/meltCurve_E9PK91_BCLAF1.pdf</v>
      </c>
    </row>
    <row r="537" spans="1:28" x14ac:dyDescent="0.25">
      <c r="A537" t="s">
        <v>541</v>
      </c>
      <c r="B537">
        <v>0.99996721820229495</v>
      </c>
      <c r="C537">
        <v>0.90122683747423205</v>
      </c>
      <c r="D537">
        <v>0.69680397538838301</v>
      </c>
      <c r="E537">
        <v>0.53016650388590802</v>
      </c>
      <c r="F537">
        <v>0.44307110002618</v>
      </c>
      <c r="G537">
        <v>0.28998954089843099</v>
      </c>
      <c r="H537">
        <v>0.19663780175105799</v>
      </c>
      <c r="I537">
        <v>0.165726209733848</v>
      </c>
      <c r="J537">
        <v>0.16628766001770801</v>
      </c>
      <c r="K537">
        <v>0.115510232476043</v>
      </c>
      <c r="L537">
        <v>553.60975157944301</v>
      </c>
      <c r="M537">
        <v>11.086525964303201</v>
      </c>
      <c r="N537">
        <v>50.943433007941699</v>
      </c>
      <c r="O537">
        <v>48.393260858761998</v>
      </c>
      <c r="P537">
        <v>-5.1649079917425698E-2</v>
      </c>
      <c r="Q537">
        <v>9.8491490512917002E-2</v>
      </c>
      <c r="R537">
        <v>0.99089967443944205</v>
      </c>
      <c r="S537" t="s">
        <v>6363</v>
      </c>
      <c r="T537" t="s">
        <v>11650</v>
      </c>
      <c r="U537" t="s">
        <v>11650</v>
      </c>
      <c r="V537" t="s">
        <v>11650</v>
      </c>
      <c r="W537" t="s">
        <v>11981</v>
      </c>
      <c r="X537">
        <v>7</v>
      </c>
      <c r="Y537" t="s">
        <v>17745</v>
      </c>
      <c r="Z537" t="s">
        <v>23599</v>
      </c>
      <c r="AA537">
        <v>0.43240484566613518</v>
      </c>
      <c r="AB537" t="str">
        <f>HYPERLINK("Melting_Curves/meltCurve_E9PKF8_EIF4G2.pdf", "Melting_Curves/meltCurve_E9PKF8_EIF4G2.pdf")</f>
        <v>Melting_Curves/meltCurve_E9PKF8_EIF4G2.pdf</v>
      </c>
    </row>
    <row r="538" spans="1:28" x14ac:dyDescent="0.25">
      <c r="A538" t="s">
        <v>542</v>
      </c>
      <c r="B538">
        <v>0.99996721820229495</v>
      </c>
      <c r="C538">
        <v>1.15108701658199</v>
      </c>
      <c r="D538">
        <v>1.5168288509032299</v>
      </c>
      <c r="E538">
        <v>2.0250079149614399</v>
      </c>
      <c r="F538">
        <v>0.81653010987410901</v>
      </c>
      <c r="G538">
        <v>0.49082892752850898</v>
      </c>
      <c r="H538">
        <v>0.21634652407959101</v>
      </c>
      <c r="I538">
        <v>0.141408174793171</v>
      </c>
      <c r="J538">
        <v>7.2774807256399704E-2</v>
      </c>
      <c r="K538">
        <v>6.9502894606636098E-2</v>
      </c>
      <c r="L538">
        <v>2230.8712686437202</v>
      </c>
      <c r="M538">
        <v>39.397074004527703</v>
      </c>
      <c r="N538">
        <v>56.9746798169408</v>
      </c>
      <c r="O538">
        <v>56.479997806234401</v>
      </c>
      <c r="P538">
        <v>-0.15567211389531099</v>
      </c>
      <c r="Q538">
        <v>0.10731022303382701</v>
      </c>
      <c r="R538">
        <v>0.66378714793810301</v>
      </c>
      <c r="S538" t="s">
        <v>6364</v>
      </c>
      <c r="T538" t="s">
        <v>11650</v>
      </c>
      <c r="U538" t="s">
        <v>11650</v>
      </c>
      <c r="V538" t="s">
        <v>11650</v>
      </c>
      <c r="W538" t="s">
        <v>12179</v>
      </c>
      <c r="X538">
        <v>5</v>
      </c>
      <c r="Y538" t="s">
        <v>17942</v>
      </c>
      <c r="Z538" t="s">
        <v>23600</v>
      </c>
      <c r="AA538">
        <v>0.60558443961480124</v>
      </c>
      <c r="AB538" t="str">
        <f>HYPERLINK("Melting_Curves/meltCurve_E9PKG1_PRMT1.pdf", "Melting_Curves/meltCurve_E9PKG1_PRMT1.pdf")</f>
        <v>Melting_Curves/meltCurve_E9PKG1_PRMT1.pdf</v>
      </c>
    </row>
    <row r="539" spans="1:28" x14ac:dyDescent="0.25">
      <c r="A539" t="s">
        <v>543</v>
      </c>
      <c r="B539">
        <v>0.99996721820229495</v>
      </c>
      <c r="C539">
        <v>0.82098233778083396</v>
      </c>
      <c r="D539">
        <v>1.0576032821877499</v>
      </c>
      <c r="E539">
        <v>1.3588415652858801</v>
      </c>
      <c r="F539">
        <v>1.27151679934894</v>
      </c>
      <c r="G539">
        <v>0.49355638072448699</v>
      </c>
      <c r="H539">
        <v>0.27376169747020002</v>
      </c>
      <c r="I539">
        <v>8.4169139966514706E-2</v>
      </c>
      <c r="J539">
        <v>3.5935642519649903E-2</v>
      </c>
      <c r="K539">
        <v>6.5403103060291207E-2</v>
      </c>
      <c r="L539">
        <v>7243.1779749391899</v>
      </c>
      <c r="M539">
        <v>127.362657024077</v>
      </c>
      <c r="N539">
        <v>56.987148653836599</v>
      </c>
      <c r="O539">
        <v>56.856482434611699</v>
      </c>
      <c r="P539">
        <v>-0.49575893346730199</v>
      </c>
      <c r="Q539">
        <v>0.114744966935603</v>
      </c>
      <c r="R539">
        <v>0.88690950401947799</v>
      </c>
      <c r="S539" t="s">
        <v>6365</v>
      </c>
      <c r="T539" t="s">
        <v>11650</v>
      </c>
      <c r="U539" t="s">
        <v>11650</v>
      </c>
      <c r="V539" t="s">
        <v>11650</v>
      </c>
      <c r="W539" t="s">
        <v>12180</v>
      </c>
      <c r="X539">
        <v>16</v>
      </c>
      <c r="Y539" t="s">
        <v>17943</v>
      </c>
      <c r="Z539" t="s">
        <v>23601</v>
      </c>
      <c r="AA539">
        <v>0.61290877474887118</v>
      </c>
      <c r="AB539" t="str">
        <f>HYPERLINK("Melting_Curves/meltCurve_E9PKH2_SERPINH1.pdf", "Melting_Curves/meltCurve_E9PKH2_SERPINH1.pdf")</f>
        <v>Melting_Curves/meltCurve_E9PKH2_SERPINH1.pdf</v>
      </c>
    </row>
    <row r="540" spans="1:28" x14ac:dyDescent="0.25">
      <c r="A540" t="s">
        <v>544</v>
      </c>
      <c r="B540">
        <v>0.99996721820229495</v>
      </c>
      <c r="C540">
        <v>0.82750142449726904</v>
      </c>
      <c r="D540">
        <v>0.87481091554010104</v>
      </c>
      <c r="E540">
        <v>1.0987931860748601</v>
      </c>
      <c r="F540">
        <v>1.26060704387013</v>
      </c>
      <c r="G540">
        <v>1.3020290193753501</v>
      </c>
      <c r="H540">
        <v>1.0628108274543899</v>
      </c>
      <c r="I540">
        <v>0.72184491585049304</v>
      </c>
      <c r="J540">
        <v>0.48799803450749302</v>
      </c>
      <c r="K540">
        <v>0.47691119618580802</v>
      </c>
      <c r="L540">
        <v>15000</v>
      </c>
      <c r="M540">
        <v>234.52502852280799</v>
      </c>
      <c r="N540">
        <v>64.885740933510306</v>
      </c>
      <c r="O540">
        <v>63.954407439430398</v>
      </c>
      <c r="P540">
        <v>-0.47447449054094198</v>
      </c>
      <c r="Q540">
        <v>0.48244782071342002</v>
      </c>
      <c r="R540">
        <v>0.70996470096080999</v>
      </c>
      <c r="S540" t="s">
        <v>6366</v>
      </c>
      <c r="T540" t="s">
        <v>11650</v>
      </c>
      <c r="U540" t="s">
        <v>11650</v>
      </c>
      <c r="V540" t="s">
        <v>11650</v>
      </c>
      <c r="W540" t="s">
        <v>12181</v>
      </c>
      <c r="X540">
        <v>5</v>
      </c>
      <c r="Y540" t="s">
        <v>17944</v>
      </c>
      <c r="Z540" t="s">
        <v>23602</v>
      </c>
      <c r="AA540">
        <v>0.89584926588875879</v>
      </c>
      <c r="AB540" t="str">
        <f>HYPERLINK("Melting_Curves/meltCurve_E9PKN9_TP53I11.pdf", "Melting_Curves/meltCurve_E9PKN9_TP53I11.pdf")</f>
        <v>Melting_Curves/meltCurve_E9PKN9_TP53I11.pdf</v>
      </c>
    </row>
    <row r="541" spans="1:28" x14ac:dyDescent="0.25">
      <c r="A541" t="s">
        <v>545</v>
      </c>
      <c r="B541">
        <v>0.99996721820229495</v>
      </c>
      <c r="C541">
        <v>0.97341127494783697</v>
      </c>
      <c r="D541">
        <v>1.0588313789756401</v>
      </c>
      <c r="E541">
        <v>1.2258210393832301</v>
      </c>
      <c r="F541">
        <v>1.37278843661669</v>
      </c>
      <c r="G541">
        <v>1.49590263990099</v>
      </c>
      <c r="H541">
        <v>0.84744047238140097</v>
      </c>
      <c r="I541">
        <v>0.55718764263169696</v>
      </c>
      <c r="J541">
        <v>0.45024489809457802</v>
      </c>
      <c r="K541">
        <v>0.36093142130407802</v>
      </c>
      <c r="L541">
        <v>3337.0301460662699</v>
      </c>
      <c r="M541">
        <v>53.2679275290429</v>
      </c>
      <c r="N541">
        <v>64.564267335015003</v>
      </c>
      <c r="O541">
        <v>62.558036789905302</v>
      </c>
      <c r="P541">
        <v>-0.128305199532389</v>
      </c>
      <c r="Q541">
        <v>0.39727213792685701</v>
      </c>
      <c r="R541">
        <v>0.662855304325628</v>
      </c>
      <c r="S541" t="s">
        <v>6367</v>
      </c>
      <c r="T541" t="s">
        <v>11650</v>
      </c>
      <c r="U541" t="s">
        <v>11650</v>
      </c>
      <c r="V541" t="s">
        <v>11650</v>
      </c>
      <c r="W541" t="s">
        <v>12182</v>
      </c>
      <c r="X541">
        <v>2</v>
      </c>
      <c r="Y541" t="s">
        <v>17945</v>
      </c>
      <c r="Z541" t="s">
        <v>23603</v>
      </c>
      <c r="AA541">
        <v>0.85360641134956006</v>
      </c>
      <c r="AB541" t="str">
        <f>HYPERLINK("Melting_Curves/meltCurve_E9PKT4_TMEM123.pdf", "Melting_Curves/meltCurve_E9PKT4_TMEM123.pdf")</f>
        <v>Melting_Curves/meltCurve_E9PKT4_TMEM123.pdf</v>
      </c>
    </row>
    <row r="542" spans="1:28" x14ac:dyDescent="0.25">
      <c r="A542" t="s">
        <v>546</v>
      </c>
      <c r="B542">
        <v>0.99996721820229495</v>
      </c>
      <c r="C542">
        <v>0.85549055631901505</v>
      </c>
      <c r="D542">
        <v>0.86519905913541495</v>
      </c>
      <c r="E542">
        <v>0.72383478654431199</v>
      </c>
      <c r="F542">
        <v>0.44566127771612202</v>
      </c>
      <c r="G542">
        <v>0.43156668435796203</v>
      </c>
      <c r="H542">
        <v>0.25259695936066301</v>
      </c>
      <c r="I542">
        <v>0.17412943058327099</v>
      </c>
      <c r="J542">
        <v>0.115698324938473</v>
      </c>
      <c r="K542">
        <v>0.13165359031858601</v>
      </c>
      <c r="L542">
        <v>519.22333194314399</v>
      </c>
      <c r="M542">
        <v>9.6831462106815707</v>
      </c>
      <c r="N542">
        <v>53.824473445134899</v>
      </c>
      <c r="O542">
        <v>51.4842189936004</v>
      </c>
      <c r="P542">
        <v>-4.6201745675711198E-2</v>
      </c>
      <c r="Q542">
        <v>1.7941810537980999E-2</v>
      </c>
      <c r="R542">
        <v>0.978512359734374</v>
      </c>
      <c r="S542" t="s">
        <v>6368</v>
      </c>
      <c r="T542" t="s">
        <v>11650</v>
      </c>
      <c r="U542" t="s">
        <v>11650</v>
      </c>
      <c r="V542" t="s">
        <v>11650</v>
      </c>
      <c r="W542" t="s">
        <v>12183</v>
      </c>
      <c r="X542">
        <v>7</v>
      </c>
      <c r="Y542" t="s">
        <v>17946</v>
      </c>
      <c r="Z542" t="s">
        <v>23604</v>
      </c>
      <c r="AA542">
        <v>0.49579115910286198</v>
      </c>
      <c r="AB542" t="str">
        <f>HYPERLINK("Melting_Curves/meltCurve_E9PKV8_TTC9C.pdf", "Melting_Curves/meltCurve_E9PKV8_TTC9C.pdf")</f>
        <v>Melting_Curves/meltCurve_E9PKV8_TTC9C.pdf</v>
      </c>
    </row>
    <row r="543" spans="1:28" x14ac:dyDescent="0.25">
      <c r="A543" t="s">
        <v>547</v>
      </c>
      <c r="B543">
        <v>0.99996721820229495</v>
      </c>
      <c r="C543">
        <v>1.01051851227835</v>
      </c>
      <c r="D543">
        <v>1.0962160390951401</v>
      </c>
      <c r="E543">
        <v>1.7399197061265701</v>
      </c>
      <c r="F543">
        <v>1.56448927657644</v>
      </c>
      <c r="G543">
        <v>1.3612660645510899</v>
      </c>
      <c r="H543">
        <v>0.73952690303148705</v>
      </c>
      <c r="I543">
        <v>0.452870761098984</v>
      </c>
      <c r="J543">
        <v>0.23129425746892801</v>
      </c>
      <c r="K543">
        <v>0.28044803817450797</v>
      </c>
      <c r="L543">
        <v>3146.1741289832298</v>
      </c>
      <c r="M543">
        <v>50.634255614123298</v>
      </c>
      <c r="N543">
        <v>63.061036335749698</v>
      </c>
      <c r="O543">
        <v>62.038604281587503</v>
      </c>
      <c r="P543">
        <v>-0.150536443656729</v>
      </c>
      <c r="Q543">
        <v>0.26223364386857201</v>
      </c>
      <c r="R543">
        <v>0.58439249828449502</v>
      </c>
      <c r="S543" t="s">
        <v>6369</v>
      </c>
      <c r="T543" t="s">
        <v>11650</v>
      </c>
      <c r="U543" t="s">
        <v>11650</v>
      </c>
      <c r="V543" t="s">
        <v>11650</v>
      </c>
      <c r="W543" t="s">
        <v>12184</v>
      </c>
      <c r="X543">
        <v>6</v>
      </c>
      <c r="Y543" t="s">
        <v>17947</v>
      </c>
      <c r="Z543" t="s">
        <v>23605</v>
      </c>
      <c r="AA543">
        <v>0.80842528682169201</v>
      </c>
      <c r="AB543" t="str">
        <f>HYPERLINK("Melting_Curves/meltCurve_E9PKZ0_RPL8.pdf", "Melting_Curves/meltCurve_E9PKZ0_RPL8.pdf")</f>
        <v>Melting_Curves/meltCurve_E9PKZ0_RPL8.pdf</v>
      </c>
    </row>
    <row r="544" spans="1:28" x14ac:dyDescent="0.25">
      <c r="A544" t="s">
        <v>548</v>
      </c>
      <c r="B544">
        <v>0.99996721820229495</v>
      </c>
      <c r="C544">
        <v>0.55510055868752095</v>
      </c>
      <c r="D544">
        <v>0.96815817196822296</v>
      </c>
      <c r="E544">
        <v>0.93721900305348604</v>
      </c>
      <c r="F544">
        <v>0.60947749772604098</v>
      </c>
      <c r="G544">
        <v>0.46656224098937199</v>
      </c>
      <c r="H544">
        <v>0.29007011590181703</v>
      </c>
      <c r="I544">
        <v>0.22721324055256401</v>
      </c>
      <c r="J544">
        <v>0.18359844084007501</v>
      </c>
      <c r="K544">
        <v>0.16758526819568101</v>
      </c>
      <c r="L544">
        <v>521.60493999440803</v>
      </c>
      <c r="M544">
        <v>9.2546047223171595</v>
      </c>
      <c r="N544">
        <v>56.361651704111402</v>
      </c>
      <c r="O544">
        <v>53.917530900177297</v>
      </c>
      <c r="P544">
        <v>-4.2938962580297599E-2</v>
      </c>
      <c r="Q544">
        <v>0</v>
      </c>
      <c r="R544">
        <v>0.80292933234679997</v>
      </c>
      <c r="S544" t="s">
        <v>6370</v>
      </c>
      <c r="T544" t="s">
        <v>11650</v>
      </c>
      <c r="U544" t="s">
        <v>11650</v>
      </c>
      <c r="V544" t="s">
        <v>11650</v>
      </c>
      <c r="W544" t="s">
        <v>12185</v>
      </c>
      <c r="X544">
        <v>8</v>
      </c>
      <c r="Y544" t="s">
        <v>17948</v>
      </c>
      <c r="Z544" t="s">
        <v>23606</v>
      </c>
      <c r="AA544">
        <v>0.56416310405696657</v>
      </c>
      <c r="AB544" t="str">
        <f>HYPERLINK("Melting_Curves/meltCurve_E9PL01_SPCS2.pdf", "Melting_Curves/meltCurve_E9PL01_SPCS2.pdf")</f>
        <v>Melting_Curves/meltCurve_E9PL01_SPCS2.pdf</v>
      </c>
    </row>
    <row r="545" spans="1:28" x14ac:dyDescent="0.25">
      <c r="A545" t="s">
        <v>549</v>
      </c>
      <c r="B545">
        <v>0.99996721820229495</v>
      </c>
      <c r="C545">
        <v>1.16975139042872</v>
      </c>
      <c r="D545">
        <v>1.2194919982144401</v>
      </c>
      <c r="E545">
        <v>1.1514789059091499</v>
      </c>
      <c r="F545">
        <v>1.3229287728388199</v>
      </c>
      <c r="G545">
        <v>1.45960009627948</v>
      </c>
      <c r="H545">
        <v>1.1295032188388801</v>
      </c>
      <c r="I545">
        <v>0.93304198396248195</v>
      </c>
      <c r="J545">
        <v>1.20319711704995</v>
      </c>
      <c r="K545">
        <v>0.88619925263836297</v>
      </c>
      <c r="L545">
        <v>10279.5844936997</v>
      </c>
      <c r="M545">
        <v>250</v>
      </c>
      <c r="O545">
        <v>41.115706685760301</v>
      </c>
      <c r="P545">
        <v>0.24916090847588099</v>
      </c>
      <c r="Q545">
        <v>1.16391082904782</v>
      </c>
      <c r="R545">
        <v>8.8496749744891703E-2</v>
      </c>
      <c r="S545" t="s">
        <v>6371</v>
      </c>
      <c r="T545" t="s">
        <v>11650</v>
      </c>
      <c r="U545" t="s">
        <v>11650</v>
      </c>
      <c r="V545" t="s">
        <v>11650</v>
      </c>
      <c r="W545" t="s">
        <v>12186</v>
      </c>
      <c r="X545">
        <v>4</v>
      </c>
      <c r="Y545" t="s">
        <v>17949</v>
      </c>
      <c r="Z545" t="s">
        <v>23607</v>
      </c>
      <c r="AA545">
        <v>1.157787966899404</v>
      </c>
      <c r="AB545" t="str">
        <f>HYPERLINK("Melting_Curves/meltCurve_E9PL10_BTF3L4.pdf", "Melting_Curves/meltCurve_E9PL10_BTF3L4.pdf")</f>
        <v>Melting_Curves/meltCurve_E9PL10_BTF3L4.pdf</v>
      </c>
    </row>
    <row r="546" spans="1:28" x14ac:dyDescent="0.25">
      <c r="A546" t="s">
        <v>550</v>
      </c>
      <c r="B546">
        <v>0.99996721820229495</v>
      </c>
      <c r="C546">
        <v>0.94387749627258699</v>
      </c>
      <c r="D546">
        <v>0.76989267531099204</v>
      </c>
      <c r="E546">
        <v>0.38246521534040001</v>
      </c>
      <c r="F546">
        <v>0.28506697555084698</v>
      </c>
      <c r="G546">
        <v>0.249804385042462</v>
      </c>
      <c r="H546">
        <v>0.155349076299968</v>
      </c>
      <c r="I546">
        <v>9.4926195701066696E-2</v>
      </c>
      <c r="J546">
        <v>6.6334728164016907E-2</v>
      </c>
      <c r="K546">
        <v>6.5149011615545899E-2</v>
      </c>
      <c r="L546">
        <v>835.64646852280703</v>
      </c>
      <c r="M546">
        <v>17.191565691176098</v>
      </c>
      <c r="N546">
        <v>49.226796082791601</v>
      </c>
      <c r="O546">
        <v>47.964532974125198</v>
      </c>
      <c r="P546">
        <v>-8.0902218892660596E-2</v>
      </c>
      <c r="Q546">
        <v>9.7183412289021304E-2</v>
      </c>
      <c r="R546">
        <v>0.98604832602444104</v>
      </c>
      <c r="S546" t="s">
        <v>6372</v>
      </c>
      <c r="T546" t="s">
        <v>11650</v>
      </c>
      <c r="U546" t="s">
        <v>11650</v>
      </c>
      <c r="V546" t="s">
        <v>11650</v>
      </c>
      <c r="W546" t="s">
        <v>12187</v>
      </c>
      <c r="X546">
        <v>44</v>
      </c>
      <c r="Y546" t="s">
        <v>17950</v>
      </c>
      <c r="Z546" t="s">
        <v>23608</v>
      </c>
      <c r="AA546">
        <v>0.37352807070378818</v>
      </c>
      <c r="AB546" t="str">
        <f>HYPERLINK("Melting_Curves/meltCurve_E9PL22_HYOU1.pdf", "Melting_Curves/meltCurve_E9PL22_HYOU1.pdf")</f>
        <v>Melting_Curves/meltCurve_E9PL22_HYOU1.pdf</v>
      </c>
    </row>
    <row r="547" spans="1:28" x14ac:dyDescent="0.25">
      <c r="A547" t="s">
        <v>551</v>
      </c>
      <c r="B547">
        <v>0.99996721820229495</v>
      </c>
      <c r="C547">
        <v>0.891690002427458</v>
      </c>
      <c r="D547">
        <v>0.90876004382141795</v>
      </c>
      <c r="E547">
        <v>0.83661657475998097</v>
      </c>
      <c r="F547">
        <v>0.84653556383040895</v>
      </c>
      <c r="G547">
        <v>0.410637379088509</v>
      </c>
      <c r="H547">
        <v>0.23451184389732899</v>
      </c>
      <c r="I547">
        <v>0.31973576121580999</v>
      </c>
      <c r="J547">
        <v>0.278348900877815</v>
      </c>
      <c r="K547">
        <v>0.19885017665160401</v>
      </c>
      <c r="L547">
        <v>1390.0247133866101</v>
      </c>
      <c r="M547">
        <v>25.384759278867001</v>
      </c>
      <c r="N547">
        <v>56.168329111909998</v>
      </c>
      <c r="O547">
        <v>54.421811253248997</v>
      </c>
      <c r="P547">
        <v>-8.9134620467946304E-2</v>
      </c>
      <c r="Q547">
        <v>0.23563497985083401</v>
      </c>
      <c r="R547">
        <v>0.95272455363945296</v>
      </c>
      <c r="S547" t="s">
        <v>6373</v>
      </c>
      <c r="T547" t="s">
        <v>11650</v>
      </c>
      <c r="U547" t="s">
        <v>11650</v>
      </c>
      <c r="V547" t="s">
        <v>11650</v>
      </c>
      <c r="W547" t="s">
        <v>12188</v>
      </c>
      <c r="X547">
        <v>1</v>
      </c>
      <c r="Y547" t="s">
        <v>17951</v>
      </c>
      <c r="Z547" t="s">
        <v>23609</v>
      </c>
      <c r="AA547">
        <v>0.61854460190006677</v>
      </c>
      <c r="AB547" t="str">
        <f>HYPERLINK("Melting_Curves/meltCurve_E9PL33_EI24.pdf", "Melting_Curves/meltCurve_E9PL33_EI24.pdf")</f>
        <v>Melting_Curves/meltCurve_E9PL33_EI24.pdf</v>
      </c>
    </row>
    <row r="548" spans="1:28" x14ac:dyDescent="0.25">
      <c r="A548" t="s">
        <v>552</v>
      </c>
      <c r="B548">
        <v>0.99996721820229495</v>
      </c>
      <c r="C548">
        <v>0.82725791989652298</v>
      </c>
      <c r="D548">
        <v>0.76558117977347595</v>
      </c>
      <c r="E548">
        <v>0.954274119393557</v>
      </c>
      <c r="F548">
        <v>1.13852265218641</v>
      </c>
      <c r="G548">
        <v>0.76280132872329798</v>
      </c>
      <c r="H548">
        <v>0.77192855761596102</v>
      </c>
      <c r="I548">
        <v>0.612826177147203</v>
      </c>
      <c r="J548">
        <v>0.72992377417222498</v>
      </c>
      <c r="K548">
        <v>0.52995066503625698</v>
      </c>
      <c r="L548">
        <v>402.11299836371501</v>
      </c>
      <c r="M548">
        <v>5.4433661219900804</v>
      </c>
      <c r="O548">
        <v>65.687071293509007</v>
      </c>
      <c r="P548">
        <v>-2.0811658599365401E-2</v>
      </c>
      <c r="Q548">
        <v>0</v>
      </c>
      <c r="R548">
        <v>0.50324199191054597</v>
      </c>
      <c r="S548" t="s">
        <v>6374</v>
      </c>
      <c r="T548" t="s">
        <v>11650</v>
      </c>
      <c r="U548" t="s">
        <v>11650</v>
      </c>
      <c r="V548" t="s">
        <v>11650</v>
      </c>
      <c r="W548" t="s">
        <v>12189</v>
      </c>
      <c r="X548">
        <v>1</v>
      </c>
      <c r="Y548" t="s">
        <v>17952</v>
      </c>
      <c r="Z548" t="s">
        <v>23610</v>
      </c>
      <c r="AA548">
        <v>0.83561128818037356</v>
      </c>
      <c r="AB548" t="str">
        <f>HYPERLINK("Melting_Curves/meltCurve_E9PL83_ADM.pdf", "Melting_Curves/meltCurve_E9PL83_ADM.pdf")</f>
        <v>Melting_Curves/meltCurve_E9PL83_ADM.pdf</v>
      </c>
    </row>
    <row r="549" spans="1:28" x14ac:dyDescent="0.25">
      <c r="A549" t="s">
        <v>553</v>
      </c>
      <c r="B549">
        <v>0.99996721820229495</v>
      </c>
      <c r="C549">
        <v>0.90496989270128003</v>
      </c>
      <c r="D549">
        <v>1.36036756620289</v>
      </c>
      <c r="E549">
        <v>2.1261632619972701</v>
      </c>
      <c r="F549">
        <v>1.1916921482056799</v>
      </c>
      <c r="G549">
        <v>1.2824343343017199</v>
      </c>
      <c r="H549">
        <v>0.70071278462251496</v>
      </c>
      <c r="I549">
        <v>0.52635175275826396</v>
      </c>
      <c r="J549">
        <v>7.5410482432652998E-2</v>
      </c>
      <c r="K549">
        <v>0.40200184625359298</v>
      </c>
      <c r="L549">
        <v>2859.3344921333101</v>
      </c>
      <c r="M549">
        <v>46.014996539897197</v>
      </c>
      <c r="N549">
        <v>63.156429915032199</v>
      </c>
      <c r="O549">
        <v>62.022167145123397</v>
      </c>
      <c r="P549">
        <v>-0.13693559411589801</v>
      </c>
      <c r="Q549">
        <v>0.26171614976187202</v>
      </c>
      <c r="R549">
        <v>0.46812696485813299</v>
      </c>
      <c r="S549" t="s">
        <v>6375</v>
      </c>
      <c r="T549" t="s">
        <v>11650</v>
      </c>
      <c r="U549" t="s">
        <v>11650</v>
      </c>
      <c r="V549" t="s">
        <v>11650</v>
      </c>
      <c r="W549" t="s">
        <v>12190</v>
      </c>
      <c r="X549">
        <v>2</v>
      </c>
      <c r="Y549" t="s">
        <v>17953</v>
      </c>
      <c r="Z549" t="s">
        <v>23611</v>
      </c>
      <c r="AA549">
        <v>0.80868897981770016</v>
      </c>
      <c r="AB549" t="str">
        <f>HYPERLINK("Melting_Curves/meltCurve_E9PLG8_GPAA1.pdf", "Melting_Curves/meltCurve_E9PLG8_GPAA1.pdf")</f>
        <v>Melting_Curves/meltCurve_E9PLG8_GPAA1.pdf</v>
      </c>
    </row>
    <row r="550" spans="1:28" x14ac:dyDescent="0.25">
      <c r="A550" t="s">
        <v>554</v>
      </c>
      <c r="B550">
        <v>0.99996721820229495</v>
      </c>
      <c r="C550">
        <v>1.0686664308214699</v>
      </c>
      <c r="D550">
        <v>1.09174562540387</v>
      </c>
      <c r="E550">
        <v>1.07284879178814</v>
      </c>
      <c r="F550">
        <v>1.00071310062339</v>
      </c>
      <c r="G550">
        <v>0.965623596282565</v>
      </c>
      <c r="H550">
        <v>0.51125754044327998</v>
      </c>
      <c r="I550">
        <v>0.203292444286783</v>
      </c>
      <c r="J550">
        <v>0.10385357988683599</v>
      </c>
      <c r="K550">
        <v>8.5546635846844798E-2</v>
      </c>
      <c r="L550">
        <v>2574.49746780129</v>
      </c>
      <c r="M550">
        <v>42.312014329203997</v>
      </c>
      <c r="N550">
        <v>61.126253695810199</v>
      </c>
      <c r="O550">
        <v>60.710120842274101</v>
      </c>
      <c r="P550">
        <v>-0.15885323299425999</v>
      </c>
      <c r="Q550">
        <v>8.8298659364455606E-2</v>
      </c>
      <c r="R550">
        <v>0.98877237202580803</v>
      </c>
      <c r="S550" t="s">
        <v>6376</v>
      </c>
      <c r="T550" t="s">
        <v>11650</v>
      </c>
      <c r="U550" t="s">
        <v>11650</v>
      </c>
      <c r="V550" t="s">
        <v>11650</v>
      </c>
      <c r="W550" t="s">
        <v>11864</v>
      </c>
      <c r="X550">
        <v>51</v>
      </c>
      <c r="Y550" t="s">
        <v>17627</v>
      </c>
      <c r="Z550" t="s">
        <v>23612</v>
      </c>
      <c r="AA550">
        <v>0.72497852097399662</v>
      </c>
      <c r="AB550" t="str">
        <f>HYPERLINK("Melting_Curves/meltCurve_E9PLK3_NPEPPS.pdf", "Melting_Curves/meltCurve_E9PLK3_NPEPPS.pdf")</f>
        <v>Melting_Curves/meltCurve_E9PLK3_NPEPPS.pdf</v>
      </c>
    </row>
    <row r="551" spans="1:28" x14ac:dyDescent="0.25">
      <c r="A551" t="s">
        <v>555</v>
      </c>
      <c r="B551">
        <v>0.99996721820229495</v>
      </c>
      <c r="C551">
        <v>1.1026146948187501</v>
      </c>
      <c r="D551">
        <v>1.08919948501776</v>
      </c>
      <c r="E551">
        <v>1.0528748354886099</v>
      </c>
      <c r="F551">
        <v>1.08696306369561</v>
      </c>
      <c r="G551">
        <v>0.81797641722050696</v>
      </c>
      <c r="H551">
        <v>0.49190206113118201</v>
      </c>
      <c r="I551">
        <v>0.29115050610686299</v>
      </c>
      <c r="J551">
        <v>0.21726272538501401</v>
      </c>
      <c r="K551">
        <v>0.155363455697933</v>
      </c>
      <c r="L551">
        <v>1712.10138794709</v>
      </c>
      <c r="M551">
        <v>28.5151566785573</v>
      </c>
      <c r="N551">
        <v>60.871680654837498</v>
      </c>
      <c r="O551">
        <v>59.748833900557301</v>
      </c>
      <c r="P551">
        <v>-0.10009822554372701</v>
      </c>
      <c r="Q551">
        <v>0.16104903413330099</v>
      </c>
      <c r="R551">
        <v>0.97579493302492504</v>
      </c>
      <c r="S551" t="s">
        <v>6377</v>
      </c>
      <c r="T551" t="s">
        <v>11650</v>
      </c>
      <c r="U551" t="s">
        <v>11650</v>
      </c>
      <c r="V551" t="s">
        <v>11650</v>
      </c>
      <c r="W551" t="s">
        <v>12191</v>
      </c>
      <c r="X551">
        <v>2</v>
      </c>
      <c r="Y551" t="s">
        <v>17954</v>
      </c>
      <c r="Z551" t="s">
        <v>23613</v>
      </c>
      <c r="AA551">
        <v>0.72692946876533393</v>
      </c>
      <c r="AB551" t="str">
        <f>HYPERLINK("Melting_Curves/meltCurve_E9PLL6_RPL27A.pdf", "Melting_Curves/meltCurve_E9PLL6_RPL27A.pdf")</f>
        <v>Melting_Curves/meltCurve_E9PLL6_RPL27A.pdf</v>
      </c>
    </row>
    <row r="552" spans="1:28" x14ac:dyDescent="0.25">
      <c r="A552" t="s">
        <v>556</v>
      </c>
      <c r="B552">
        <v>0.99996721820229495</v>
      </c>
      <c r="C552">
        <v>0.93596193672066597</v>
      </c>
      <c r="D552">
        <v>0.71762825385421103</v>
      </c>
      <c r="E552">
        <v>0.28533469735093397</v>
      </c>
      <c r="F552">
        <v>0.31567823926641297</v>
      </c>
      <c r="G552">
        <v>0.258247654329888</v>
      </c>
      <c r="H552">
        <v>0.18032028920600701</v>
      </c>
      <c r="I552">
        <v>0.13837021247063</v>
      </c>
      <c r="J552">
        <v>9.3936255573334501E-2</v>
      </c>
      <c r="K552">
        <v>8.1798531917081196E-2</v>
      </c>
      <c r="L552">
        <v>967.569987391974</v>
      </c>
      <c r="M552">
        <v>20.395037808942199</v>
      </c>
      <c r="N552">
        <v>48.251332811784302</v>
      </c>
      <c r="O552">
        <v>46.9923947805243</v>
      </c>
      <c r="P552">
        <v>-9.27776828849943E-2</v>
      </c>
      <c r="Q552">
        <v>0.14494588857605001</v>
      </c>
      <c r="R552">
        <v>0.97308016350439497</v>
      </c>
      <c r="S552" t="s">
        <v>6378</v>
      </c>
      <c r="T552" t="s">
        <v>11650</v>
      </c>
      <c r="U552" t="s">
        <v>11650</v>
      </c>
      <c r="V552" t="s">
        <v>11650</v>
      </c>
      <c r="W552" t="s">
        <v>12192</v>
      </c>
      <c r="X552">
        <v>19</v>
      </c>
      <c r="Y552" t="s">
        <v>17955</v>
      </c>
      <c r="Z552" t="s">
        <v>23614</v>
      </c>
      <c r="AA552">
        <v>0.36885218950057902</v>
      </c>
      <c r="AB552" t="str">
        <f>HYPERLINK("Melting_Curves/meltCurve_E9PM46_USP47.pdf", "Melting_Curves/meltCurve_E9PM46_USP47.pdf")</f>
        <v>Melting_Curves/meltCurve_E9PM46_USP47.pdf</v>
      </c>
    </row>
    <row r="553" spans="1:28" x14ac:dyDescent="0.25">
      <c r="A553" t="s">
        <v>557</v>
      </c>
      <c r="B553">
        <v>0.99996721820229495</v>
      </c>
      <c r="C553">
        <v>0.92117080159057796</v>
      </c>
      <c r="D553">
        <v>0.83769754168565802</v>
      </c>
      <c r="E553">
        <v>1.06704936572965</v>
      </c>
      <c r="F553">
        <v>1.42167628988323</v>
      </c>
      <c r="G553">
        <v>1.8797277411397499</v>
      </c>
      <c r="H553">
        <v>1.71535980531395</v>
      </c>
      <c r="I553">
        <v>1.75983097546622</v>
      </c>
      <c r="J553">
        <v>1.59402640168762</v>
      </c>
      <c r="K553">
        <v>1.2871827263976501</v>
      </c>
      <c r="L553">
        <v>3444.6411904311899</v>
      </c>
      <c r="M553">
        <v>66.8769667958789</v>
      </c>
      <c r="O553">
        <v>51.461162232801399</v>
      </c>
      <c r="P553">
        <v>0.16244534801864399</v>
      </c>
      <c r="Q553">
        <v>1.5</v>
      </c>
      <c r="R553">
        <v>0.73402666825701002</v>
      </c>
      <c r="S553" t="s">
        <v>6379</v>
      </c>
      <c r="T553" t="s">
        <v>11650</v>
      </c>
      <c r="U553" t="s">
        <v>11650</v>
      </c>
      <c r="V553" t="s">
        <v>11650</v>
      </c>
      <c r="W553" t="s">
        <v>12193</v>
      </c>
      <c r="X553">
        <v>6</v>
      </c>
      <c r="Y553" t="s">
        <v>17956</v>
      </c>
      <c r="Z553" t="s">
        <v>23615</v>
      </c>
      <c r="AA553">
        <v>1.307580940688267</v>
      </c>
      <c r="AB553" t="str">
        <f>HYPERLINK("Melting_Curves/meltCurve_E9PM92_C11orf58.pdf", "Melting_Curves/meltCurve_E9PM92_C11orf58.pdf")</f>
        <v>Melting_Curves/meltCurve_E9PM92_C11orf58.pdf</v>
      </c>
    </row>
    <row r="554" spans="1:28" x14ac:dyDescent="0.25">
      <c r="A554" t="s">
        <v>558</v>
      </c>
      <c r="B554">
        <v>0.99996721820229495</v>
      </c>
      <c r="C554">
        <v>1.0081620111315099</v>
      </c>
      <c r="D554">
        <v>1.09449118725678</v>
      </c>
      <c r="E554">
        <v>1.13260201808168</v>
      </c>
      <c r="F554">
        <v>1.37354835441173</v>
      </c>
      <c r="G554">
        <v>1.37984622702841</v>
      </c>
      <c r="H554">
        <v>0.820695544395317</v>
      </c>
      <c r="I554">
        <v>0.58624772656787505</v>
      </c>
      <c r="J554">
        <v>0.50746697992839196</v>
      </c>
      <c r="K554">
        <v>0.39370193345475701</v>
      </c>
      <c r="L554">
        <v>3103.2189507798698</v>
      </c>
      <c r="M554">
        <v>49.745907310631097</v>
      </c>
      <c r="N554">
        <v>65.2526876126405</v>
      </c>
      <c r="O554">
        <v>62.280830546890499</v>
      </c>
      <c r="P554">
        <v>-0.11102769523533799</v>
      </c>
      <c r="Q554">
        <v>0.44398311822131198</v>
      </c>
      <c r="R554">
        <v>0.70083423881275797</v>
      </c>
      <c r="S554" t="s">
        <v>6380</v>
      </c>
      <c r="T554" t="s">
        <v>11650</v>
      </c>
      <c r="U554" t="s">
        <v>11650</v>
      </c>
      <c r="V554" t="s">
        <v>11650</v>
      </c>
      <c r="W554" t="s">
        <v>12194</v>
      </c>
      <c r="X554">
        <v>3</v>
      </c>
      <c r="Y554" t="s">
        <v>17957</v>
      </c>
      <c r="Z554" t="s">
        <v>23616</v>
      </c>
      <c r="AA554">
        <v>0.86020691302689289</v>
      </c>
      <c r="AB554" t="str">
        <f>HYPERLINK("Melting_Curves/meltCurve_E9PME6_USF1.pdf", "Melting_Curves/meltCurve_E9PME6_USF1.pdf")</f>
        <v>Melting_Curves/meltCurve_E9PME6_USF1.pdf</v>
      </c>
    </row>
    <row r="555" spans="1:28" x14ac:dyDescent="0.25">
      <c r="A555" t="s">
        <v>559</v>
      </c>
      <c r="B555">
        <v>0.99996721820229495</v>
      </c>
      <c r="C555">
        <v>1.1034605910212101</v>
      </c>
      <c r="D555">
        <v>0.98383629095831904</v>
      </c>
      <c r="E555">
        <v>0.66870159020019404</v>
      </c>
      <c r="F555">
        <v>0.55980389899502403</v>
      </c>
      <c r="G555">
        <v>0.41975621329005502</v>
      </c>
      <c r="H555">
        <v>0.26210570733239202</v>
      </c>
      <c r="I555">
        <v>0.15258128003353899</v>
      </c>
      <c r="J555">
        <v>0.133890195507786</v>
      </c>
      <c r="K555">
        <v>9.3880188861559105E-2</v>
      </c>
      <c r="L555">
        <v>729.06429488398999</v>
      </c>
      <c r="M555">
        <v>13.560993056909901</v>
      </c>
      <c r="N555">
        <v>54.428394474196097</v>
      </c>
      <c r="O555">
        <v>52.633184934666701</v>
      </c>
      <c r="P555">
        <v>-5.9493571312005999E-2</v>
      </c>
      <c r="Q555">
        <v>7.6507887319470405E-2</v>
      </c>
      <c r="R555">
        <v>0.97422431102662699</v>
      </c>
      <c r="S555" t="s">
        <v>6381</v>
      </c>
      <c r="T555" t="s">
        <v>11650</v>
      </c>
      <c r="U555" t="s">
        <v>11650</v>
      </c>
      <c r="V555" t="s">
        <v>11650</v>
      </c>
      <c r="W555" t="s">
        <v>12195</v>
      </c>
      <c r="X555">
        <v>1</v>
      </c>
      <c r="Y555" t="s">
        <v>17958</v>
      </c>
      <c r="Z555" t="s">
        <v>23617</v>
      </c>
      <c r="AA555">
        <v>0.52181319089623068</v>
      </c>
      <c r="AB555" t="str">
        <f>HYPERLINK("Melting_Curves/meltCurve_E9PMH5_BIRC2.pdf", "Melting_Curves/meltCurve_E9PMH5_BIRC2.pdf")</f>
        <v>Melting_Curves/meltCurve_E9PMH5_BIRC2.pdf</v>
      </c>
    </row>
    <row r="556" spans="1:28" x14ac:dyDescent="0.25">
      <c r="A556" t="s">
        <v>560</v>
      </c>
      <c r="B556">
        <v>0.99996721820229495</v>
      </c>
      <c r="C556">
        <v>1.03986449974269</v>
      </c>
      <c r="D556">
        <v>0.95796057430644199</v>
      </c>
      <c r="E556">
        <v>0.838694018182502</v>
      </c>
      <c r="F556">
        <v>0.86224885819674901</v>
      </c>
      <c r="G556">
        <v>0.91109337524085798</v>
      </c>
      <c r="H556">
        <v>0.55728989596828304</v>
      </c>
      <c r="I556">
        <v>0.43331298245947503</v>
      </c>
      <c r="J556">
        <v>0.374215300040458</v>
      </c>
      <c r="K556">
        <v>0.30653527747992898</v>
      </c>
      <c r="L556">
        <v>719.95174028295799</v>
      </c>
      <c r="M556">
        <v>11.531404900356099</v>
      </c>
      <c r="N556">
        <v>63.412275336441802</v>
      </c>
      <c r="O556">
        <v>60.644944179411297</v>
      </c>
      <c r="P556">
        <v>-4.3675268746837297E-2</v>
      </c>
      <c r="Q556">
        <v>8.1485869702658795E-2</v>
      </c>
      <c r="R556">
        <v>0.94272817618825999</v>
      </c>
      <c r="S556" t="s">
        <v>6382</v>
      </c>
      <c r="T556" t="s">
        <v>11650</v>
      </c>
      <c r="U556" t="s">
        <v>11650</v>
      </c>
      <c r="V556" t="s">
        <v>11650</v>
      </c>
      <c r="W556" t="s">
        <v>12196</v>
      </c>
      <c r="X556">
        <v>6</v>
      </c>
      <c r="Y556" t="s">
        <v>17959</v>
      </c>
      <c r="Z556" t="s">
        <v>23618</v>
      </c>
      <c r="AA556">
        <v>0.75279907402563273</v>
      </c>
      <c r="AB556" t="str">
        <f>HYPERLINK("Melting_Curves/meltCurve_E9PMI6_CLNS1A.pdf", "Melting_Curves/meltCurve_E9PMI6_CLNS1A.pdf")</f>
        <v>Melting_Curves/meltCurve_E9PMI6_CLNS1A.pdf</v>
      </c>
    </row>
    <row r="557" spans="1:28" x14ac:dyDescent="0.25">
      <c r="A557" t="s">
        <v>561</v>
      </c>
      <c r="B557">
        <v>0.99996721820229495</v>
      </c>
      <c r="C557">
        <v>0.780952589960767</v>
      </c>
      <c r="D557">
        <v>0.63243718276596095</v>
      </c>
      <c r="E557">
        <v>0.66098664080677605</v>
      </c>
      <c r="F557">
        <v>0.37584210882782498</v>
      </c>
      <c r="G557">
        <v>0.26783059256333402</v>
      </c>
      <c r="H557">
        <v>0.19214013168993499</v>
      </c>
      <c r="I557">
        <v>0.11422331099908301</v>
      </c>
      <c r="J557">
        <v>7.66765014902243E-2</v>
      </c>
      <c r="K557">
        <v>5.1335206431585297E-2</v>
      </c>
      <c r="L557">
        <v>463.79217872196199</v>
      </c>
      <c r="M557">
        <v>9.1338912602050204</v>
      </c>
      <c r="N557">
        <v>50.777074721894998</v>
      </c>
      <c r="O557">
        <v>48.520762316095201</v>
      </c>
      <c r="P557">
        <v>-4.7094085542101601E-2</v>
      </c>
      <c r="Q557">
        <v>0</v>
      </c>
      <c r="R557">
        <v>0.96379472224125895</v>
      </c>
      <c r="S557" t="s">
        <v>6383</v>
      </c>
      <c r="T557" t="s">
        <v>11650</v>
      </c>
      <c r="U557" t="s">
        <v>11650</v>
      </c>
      <c r="V557" t="s">
        <v>11650</v>
      </c>
      <c r="W557" t="s">
        <v>12197</v>
      </c>
      <c r="X557">
        <v>8</v>
      </c>
      <c r="Y557" t="s">
        <v>17960</v>
      </c>
      <c r="Z557" t="s">
        <v>23619</v>
      </c>
      <c r="AA557">
        <v>0.40657458961625992</v>
      </c>
      <c r="AB557" t="str">
        <f>HYPERLINK("Melting_Curves/meltCurve_E9PMJ2_FAM118B.pdf", "Melting_Curves/meltCurve_E9PMJ2_FAM118B.pdf")</f>
        <v>Melting_Curves/meltCurve_E9PMJ2_FAM118B.pdf</v>
      </c>
    </row>
    <row r="558" spans="1:28" x14ac:dyDescent="0.25">
      <c r="A558" t="s">
        <v>562</v>
      </c>
      <c r="B558">
        <v>0.99996721820229495</v>
      </c>
      <c r="C558">
        <v>0.60407299347910304</v>
      </c>
      <c r="D558">
        <v>0.53502626985248602</v>
      </c>
      <c r="E558">
        <v>0.695666622385403</v>
      </c>
      <c r="F558">
        <v>0.639752418290223</v>
      </c>
      <c r="G558">
        <v>0.378153647704907</v>
      </c>
      <c r="H558">
        <v>0.37862942765237101</v>
      </c>
      <c r="I558">
        <v>0.28456817450119098</v>
      </c>
      <c r="J558">
        <v>0.28131275279930801</v>
      </c>
      <c r="K558">
        <v>0.52518231449636898</v>
      </c>
      <c r="L558">
        <v>356.46199666148499</v>
      </c>
      <c r="M558">
        <v>7.7290974499889202</v>
      </c>
      <c r="N558">
        <v>53.074328284227001</v>
      </c>
      <c r="O558">
        <v>43.337061345926401</v>
      </c>
      <c r="P558">
        <v>-3.0429523576660501E-2</v>
      </c>
      <c r="Q558">
        <v>0.31840291989247899</v>
      </c>
      <c r="R558">
        <v>0.64667292383860198</v>
      </c>
      <c r="S558" t="s">
        <v>6384</v>
      </c>
      <c r="T558" t="s">
        <v>11650</v>
      </c>
      <c r="U558" t="s">
        <v>11650</v>
      </c>
      <c r="V558" t="s">
        <v>11650</v>
      </c>
      <c r="W558" t="s">
        <v>12198</v>
      </c>
      <c r="X558">
        <v>3</v>
      </c>
      <c r="Y558" t="s">
        <v>17961</v>
      </c>
      <c r="Z558" t="s">
        <v>23620</v>
      </c>
      <c r="AA558">
        <v>0.51897618351377617</v>
      </c>
      <c r="AB558" t="str">
        <f>HYPERLINK("Melting_Curves/meltCurve_E9PMM3_PEX16.pdf", "Melting_Curves/meltCurve_E9PMM3_PEX16.pdf")</f>
        <v>Melting_Curves/meltCurve_E9PMM3_PEX16.pdf</v>
      </c>
    </row>
    <row r="559" spans="1:28" x14ac:dyDescent="0.25">
      <c r="A559" t="s">
        <v>563</v>
      </c>
      <c r="B559">
        <v>0.99996721820229495</v>
      </c>
      <c r="C559">
        <v>1.0417833322080801</v>
      </c>
      <c r="D559">
        <v>0.79118581045747205</v>
      </c>
      <c r="E559">
        <v>0.50063270404233096</v>
      </c>
      <c r="F559">
        <v>0.42508010907086102</v>
      </c>
      <c r="G559">
        <v>0.33810420453122902</v>
      </c>
      <c r="H559">
        <v>0.21130228239779</v>
      </c>
      <c r="I559">
        <v>0.14570803578826</v>
      </c>
      <c r="J559">
        <v>0.110389933971902</v>
      </c>
      <c r="K559">
        <v>8.4999966247715497E-2</v>
      </c>
      <c r="L559">
        <v>674.64025465674604</v>
      </c>
      <c r="M559">
        <v>13.3454797877889</v>
      </c>
      <c r="N559">
        <v>51.410291274438102</v>
      </c>
      <c r="O559">
        <v>49.457363388411999</v>
      </c>
      <c r="P559">
        <v>-6.0732247838960203E-2</v>
      </c>
      <c r="Q559">
        <v>9.9866662434057202E-2</v>
      </c>
      <c r="R559">
        <v>0.97444703429927404</v>
      </c>
      <c r="S559" t="s">
        <v>6385</v>
      </c>
      <c r="T559" t="s">
        <v>11650</v>
      </c>
      <c r="U559" t="s">
        <v>11650</v>
      </c>
      <c r="V559" t="s">
        <v>11650</v>
      </c>
      <c r="W559" t="s">
        <v>12199</v>
      </c>
      <c r="X559">
        <v>69</v>
      </c>
      <c r="Y559" t="s">
        <v>17962</v>
      </c>
      <c r="Z559" t="s">
        <v>23621</v>
      </c>
      <c r="AA559">
        <v>0.4420632656191516</v>
      </c>
      <c r="AB559" t="str">
        <f>HYPERLINK("Melting_Curves/meltCurve_E9PMP7_LMO7.pdf", "Melting_Curves/meltCurve_E9PMP7_LMO7.pdf")</f>
        <v>Melting_Curves/meltCurve_E9PMP7_LMO7.pdf</v>
      </c>
    </row>
    <row r="560" spans="1:28" x14ac:dyDescent="0.25">
      <c r="A560" t="s">
        <v>564</v>
      </c>
      <c r="B560">
        <v>0.99996721820229495</v>
      </c>
      <c r="C560">
        <v>0.81871924946390695</v>
      </c>
      <c r="D560">
        <v>0.46999979558755001</v>
      </c>
      <c r="E560">
        <v>0.27310227664369402</v>
      </c>
      <c r="F560">
        <v>0.24262211612455201</v>
      </c>
      <c r="G560">
        <v>0.17777392204258899</v>
      </c>
      <c r="H560">
        <v>0.11251752962002599</v>
      </c>
      <c r="I560">
        <v>9.1537975494124096E-2</v>
      </c>
      <c r="J560">
        <v>8.1277980077920198E-2</v>
      </c>
      <c r="K560">
        <v>5.6413982423833199E-2</v>
      </c>
      <c r="L560">
        <v>824.681997535758</v>
      </c>
      <c r="M560">
        <v>18.0154171462504</v>
      </c>
      <c r="N560">
        <v>46.377117979129999</v>
      </c>
      <c r="O560">
        <v>45.223605274223999</v>
      </c>
      <c r="P560">
        <v>-8.9232320150273797E-2</v>
      </c>
      <c r="Q560">
        <v>0.104054320441357</v>
      </c>
      <c r="R560">
        <v>0.98087435771328502</v>
      </c>
      <c r="S560" t="s">
        <v>6386</v>
      </c>
      <c r="T560" t="s">
        <v>11650</v>
      </c>
      <c r="U560" t="s">
        <v>11650</v>
      </c>
      <c r="V560" t="s">
        <v>11650</v>
      </c>
      <c r="W560" t="s">
        <v>12200</v>
      </c>
      <c r="X560">
        <v>3</v>
      </c>
      <c r="Y560" t="s">
        <v>17963</v>
      </c>
      <c r="Z560" t="s">
        <v>23622</v>
      </c>
      <c r="AA560">
        <v>0.29444082278524081</v>
      </c>
      <c r="AB560" t="str">
        <f>HYPERLINK("Melting_Curves/meltCurve_E9PMQ6_HSF1.pdf", "Melting_Curves/meltCurve_E9PMQ6_HSF1.pdf")</f>
        <v>Melting_Curves/meltCurve_E9PMQ6_HSF1.pdf</v>
      </c>
    </row>
    <row r="561" spans="1:28" x14ac:dyDescent="0.25">
      <c r="A561" t="s">
        <v>565</v>
      </c>
      <c r="B561">
        <v>0.99996721820229495</v>
      </c>
      <c r="C561">
        <v>0.91440583271953602</v>
      </c>
      <c r="D561">
        <v>0.73227666822830495</v>
      </c>
      <c r="E561">
        <v>0.69009190346385696</v>
      </c>
      <c r="F561">
        <v>0.54958192037388898</v>
      </c>
      <c r="G561">
        <v>0.39240234023339099</v>
      </c>
      <c r="H561">
        <v>0.379730529980006</v>
      </c>
      <c r="I561">
        <v>0.56226217235660803</v>
      </c>
      <c r="J561">
        <v>0.40930299459048203</v>
      </c>
      <c r="K561">
        <v>0.49302727362608401</v>
      </c>
      <c r="L561">
        <v>726.23863090974703</v>
      </c>
      <c r="M561">
        <v>15.291924024339099</v>
      </c>
      <c r="N561">
        <v>55.215417209513099</v>
      </c>
      <c r="O561">
        <v>46.701716877739997</v>
      </c>
      <c r="P561">
        <v>-4.5754012829626899E-2</v>
      </c>
      <c r="Q561">
        <v>0.44111934610492898</v>
      </c>
      <c r="R561">
        <v>0.90688090605954896</v>
      </c>
      <c r="S561" t="s">
        <v>6387</v>
      </c>
      <c r="T561" t="s">
        <v>11650</v>
      </c>
      <c r="U561" t="s">
        <v>11650</v>
      </c>
      <c r="V561" t="s">
        <v>11650</v>
      </c>
      <c r="W561" t="s">
        <v>12201</v>
      </c>
      <c r="X561">
        <v>4</v>
      </c>
      <c r="Y561" t="s">
        <v>17964</v>
      </c>
      <c r="Z561" t="s">
        <v>23623</v>
      </c>
      <c r="AA561">
        <v>0.59487400859683703</v>
      </c>
      <c r="AB561" t="str">
        <f>HYPERLINK("Melting_Curves/meltCurve_E9PN58_SIRT3.pdf", "Melting_Curves/meltCurve_E9PN58_SIRT3.pdf")</f>
        <v>Melting_Curves/meltCurve_E9PN58_SIRT3.pdf</v>
      </c>
    </row>
    <row r="562" spans="1:28" x14ac:dyDescent="0.25">
      <c r="A562" t="s">
        <v>566</v>
      </c>
      <c r="B562">
        <v>0.99996721820229495</v>
      </c>
      <c r="C562">
        <v>1.02000206363885</v>
      </c>
      <c r="D562">
        <v>0.97634612869082305</v>
      </c>
      <c r="E562">
        <v>0.91579864285819101</v>
      </c>
      <c r="F562">
        <v>1.0242062255275699</v>
      </c>
      <c r="G562">
        <v>1.19229571565199</v>
      </c>
      <c r="H562">
        <v>0.71333716794991298</v>
      </c>
      <c r="I562">
        <v>0.634138081433817</v>
      </c>
      <c r="J562">
        <v>0.576897643926501</v>
      </c>
      <c r="K562">
        <v>0.36995037100510503</v>
      </c>
      <c r="L562">
        <v>2046.3001623033899</v>
      </c>
      <c r="M562">
        <v>32.8810286432346</v>
      </c>
      <c r="N562">
        <v>66.506779955142804</v>
      </c>
      <c r="O562">
        <v>62.004609321672099</v>
      </c>
      <c r="P562">
        <v>-7.4302403449687401E-2</v>
      </c>
      <c r="Q562">
        <v>0.43954652997847998</v>
      </c>
      <c r="R562">
        <v>0.86148627067158201</v>
      </c>
      <c r="S562" t="s">
        <v>6388</v>
      </c>
      <c r="T562" t="s">
        <v>11650</v>
      </c>
      <c r="U562" t="s">
        <v>11650</v>
      </c>
      <c r="V562" t="s">
        <v>11650</v>
      </c>
      <c r="W562" t="s">
        <v>12202</v>
      </c>
      <c r="X562">
        <v>4</v>
      </c>
      <c r="Y562" t="s">
        <v>17965</v>
      </c>
      <c r="Z562" t="s">
        <v>23624</v>
      </c>
      <c r="AA562">
        <v>0.85725292255812036</v>
      </c>
      <c r="AB562" t="str">
        <f>HYPERLINK("Melting_Curves/meltCurve_E9PNK6_TPD52L1.pdf", "Melting_Curves/meltCurve_E9PNK6_TPD52L1.pdf")</f>
        <v>Melting_Curves/meltCurve_E9PNK6_TPD52L1.pdf</v>
      </c>
    </row>
    <row r="563" spans="1:28" x14ac:dyDescent="0.25">
      <c r="A563" t="s">
        <v>567</v>
      </c>
      <c r="B563">
        <v>0.99996721820229495</v>
      </c>
      <c r="C563">
        <v>1.15535687665557</v>
      </c>
      <c r="D563">
        <v>1.3026516464808899</v>
      </c>
      <c r="E563">
        <v>1.5013267696601</v>
      </c>
      <c r="F563">
        <v>1.1249003212337001</v>
      </c>
      <c r="G563">
        <v>0.88265760383105996</v>
      </c>
      <c r="H563">
        <v>0.42798053833484601</v>
      </c>
      <c r="I563">
        <v>0.25069173781568999</v>
      </c>
      <c r="J563">
        <v>0.18093828450902</v>
      </c>
      <c r="K563">
        <v>0.146412384904481</v>
      </c>
      <c r="L563">
        <v>2343.1356691599399</v>
      </c>
      <c r="M563">
        <v>39.158730112263299</v>
      </c>
      <c r="N563">
        <v>60.456487040082699</v>
      </c>
      <c r="O563">
        <v>59.681452220365699</v>
      </c>
      <c r="P563">
        <v>-0.136919874921822</v>
      </c>
      <c r="Q563">
        <v>0.16528871037592999</v>
      </c>
      <c r="R563">
        <v>0.83036013353584304</v>
      </c>
      <c r="S563" t="s">
        <v>6389</v>
      </c>
      <c r="T563" t="s">
        <v>11650</v>
      </c>
      <c r="U563" t="s">
        <v>11650</v>
      </c>
      <c r="V563" t="s">
        <v>11650</v>
      </c>
      <c r="W563" t="s">
        <v>12203</v>
      </c>
      <c r="X563">
        <v>8</v>
      </c>
      <c r="Y563" t="s">
        <v>17966</v>
      </c>
      <c r="Z563" t="s">
        <v>23625</v>
      </c>
      <c r="AA563">
        <v>0.72061849125993571</v>
      </c>
      <c r="AB563" t="str">
        <f>HYPERLINK("Melting_Curves/meltCurve_E9PNV3_RDX.pdf", "Melting_Curves/meltCurve_E9PNV3_RDX.pdf")</f>
        <v>Melting_Curves/meltCurve_E9PNV3_RDX.pdf</v>
      </c>
    </row>
    <row r="564" spans="1:28" x14ac:dyDescent="0.25">
      <c r="A564" t="s">
        <v>568</v>
      </c>
      <c r="B564">
        <v>0.99996721820229495</v>
      </c>
      <c r="C564">
        <v>1.11642770253478</v>
      </c>
      <c r="D564">
        <v>1.1030657975902101</v>
      </c>
      <c r="E564">
        <v>1.17049526360268</v>
      </c>
      <c r="F564">
        <v>1.1031578498266801</v>
      </c>
      <c r="G564">
        <v>0.82965310783013102</v>
      </c>
      <c r="H564">
        <v>0.44886059563129299</v>
      </c>
      <c r="I564">
        <v>0.24701941650818801</v>
      </c>
      <c r="J564">
        <v>0.15210040407310599</v>
      </c>
      <c r="K564">
        <v>0.13823084266607</v>
      </c>
      <c r="L564">
        <v>1927.6184839401501</v>
      </c>
      <c r="M564">
        <v>32.177783194461298</v>
      </c>
      <c r="N564">
        <v>60.490781536705903</v>
      </c>
      <c r="O564">
        <v>59.675313883904003</v>
      </c>
      <c r="P564">
        <v>-0.11676588920575</v>
      </c>
      <c r="Q564">
        <v>0.13381147077247399</v>
      </c>
      <c r="R564">
        <v>0.95975620980712895</v>
      </c>
      <c r="S564" t="s">
        <v>6390</v>
      </c>
      <c r="T564" t="s">
        <v>11650</v>
      </c>
      <c r="U564" t="s">
        <v>11650</v>
      </c>
      <c r="V564" t="s">
        <v>11650</v>
      </c>
      <c r="W564" t="s">
        <v>12204</v>
      </c>
      <c r="X564">
        <v>12</v>
      </c>
      <c r="Y564" t="s">
        <v>17943</v>
      </c>
      <c r="Z564" t="s">
        <v>23626</v>
      </c>
      <c r="AA564">
        <v>0.7133433547683582</v>
      </c>
      <c r="AB564" t="str">
        <f>HYPERLINK("Melting_Curves/meltCurve_E9PNX1_SERPINH1.pdf", "Melting_Curves/meltCurve_E9PNX1_SERPINH1.pdf")</f>
        <v>Melting_Curves/meltCurve_E9PNX1_SERPINH1.pdf</v>
      </c>
    </row>
    <row r="565" spans="1:28" x14ac:dyDescent="0.25">
      <c r="A565" t="s">
        <v>569</v>
      </c>
      <c r="B565">
        <v>0.99996721820229495</v>
      </c>
      <c r="C565">
        <v>1.00602832062419</v>
      </c>
      <c r="D565">
        <v>1.0782920812396299</v>
      </c>
      <c r="E565">
        <v>1.41810792131765</v>
      </c>
      <c r="F565">
        <v>1.3171351232684301</v>
      </c>
      <c r="G565">
        <v>1.12894068725645</v>
      </c>
      <c r="H565">
        <v>0.944327316750881</v>
      </c>
      <c r="I565">
        <v>0.68397055317216404</v>
      </c>
      <c r="J565">
        <v>0.59265245172207703</v>
      </c>
      <c r="K565">
        <v>0.88193216734294599</v>
      </c>
      <c r="L565">
        <v>15000</v>
      </c>
      <c r="M565">
        <v>244.50606555630301</v>
      </c>
      <c r="O565">
        <v>61.344055219740703</v>
      </c>
      <c r="P565">
        <v>-0.27948956253361001</v>
      </c>
      <c r="Q565">
        <v>0.71951572790940399</v>
      </c>
      <c r="R565">
        <v>0.41126024778248699</v>
      </c>
      <c r="S565" t="s">
        <v>6391</v>
      </c>
      <c r="T565" t="s">
        <v>11650</v>
      </c>
      <c r="U565" t="s">
        <v>11650</v>
      </c>
      <c r="V565" t="s">
        <v>11650</v>
      </c>
      <c r="W565" t="s">
        <v>12205</v>
      </c>
      <c r="X565">
        <v>3</v>
      </c>
      <c r="Y565" t="s">
        <v>17967</v>
      </c>
      <c r="Z565" t="s">
        <v>23627</v>
      </c>
      <c r="AA565">
        <v>0.91914150875036527</v>
      </c>
      <c r="AB565" t="str">
        <f>HYPERLINK("Melting_Curves/meltCurve_E9PPW7_NDUFS8.pdf", "Melting_Curves/meltCurve_E9PPW7_NDUFS8.pdf")</f>
        <v>Melting_Curves/meltCurve_E9PPW7_NDUFS8.pdf</v>
      </c>
    </row>
    <row r="566" spans="1:28" x14ac:dyDescent="0.25">
      <c r="A566" t="s">
        <v>570</v>
      </c>
      <c r="B566">
        <v>0.99996721820229495</v>
      </c>
      <c r="C566">
        <v>0.946076147535717</v>
      </c>
      <c r="D566">
        <v>0.78279225846641798</v>
      </c>
      <c r="E566">
        <v>0.88143327554899198</v>
      </c>
      <c r="F566">
        <v>0.90703245898956097</v>
      </c>
      <c r="G566">
        <v>0.67519902603309401</v>
      </c>
      <c r="H566">
        <v>0.56379134036182699</v>
      </c>
      <c r="I566">
        <v>0.47297493192225198</v>
      </c>
      <c r="J566">
        <v>0.45922754176493003</v>
      </c>
      <c r="K566">
        <v>0.25255551582270303</v>
      </c>
      <c r="L566">
        <v>468.89222998029499</v>
      </c>
      <c r="M566">
        <v>7.4177809694904102</v>
      </c>
      <c r="N566">
        <v>63.211926560415101</v>
      </c>
      <c r="O566">
        <v>59.105732626562599</v>
      </c>
      <c r="P566">
        <v>-3.1422026221843202E-2</v>
      </c>
      <c r="Q566">
        <v>0</v>
      </c>
      <c r="R566">
        <v>0.91837510415911405</v>
      </c>
      <c r="S566" t="s">
        <v>6392</v>
      </c>
      <c r="T566" t="s">
        <v>11650</v>
      </c>
      <c r="U566" t="s">
        <v>11650</v>
      </c>
      <c r="V566" t="s">
        <v>11650</v>
      </c>
      <c r="W566" t="s">
        <v>12206</v>
      </c>
      <c r="X566">
        <v>18</v>
      </c>
      <c r="Y566" t="s">
        <v>17968</v>
      </c>
      <c r="Z566" t="s">
        <v>23628</v>
      </c>
      <c r="AA566">
        <v>0.71538879163211699</v>
      </c>
      <c r="AB566" t="str">
        <f>HYPERLINK("Melting_Curves/meltCurve_E9PQ14_DPP3.pdf", "Melting_Curves/meltCurve_E9PQ14_DPP3.pdf")</f>
        <v>Melting_Curves/meltCurve_E9PQ14_DPP3.pdf</v>
      </c>
    </row>
    <row r="567" spans="1:28" x14ac:dyDescent="0.25">
      <c r="A567" t="s">
        <v>571</v>
      </c>
      <c r="B567">
        <v>0.99996721820229495</v>
      </c>
      <c r="C567">
        <v>0.992222935531756</v>
      </c>
      <c r="D567">
        <v>0.72024498660750602</v>
      </c>
      <c r="E567">
        <v>0.68555036079722598</v>
      </c>
      <c r="F567">
        <v>1.02207791057779</v>
      </c>
      <c r="G567">
        <v>1.53912332319292</v>
      </c>
      <c r="H567">
        <v>1.31957955422666</v>
      </c>
      <c r="I567">
        <v>0.61248621686667404</v>
      </c>
      <c r="J567">
        <v>0.39330404164137001</v>
      </c>
      <c r="K567">
        <v>0.47675904215486298</v>
      </c>
      <c r="L567">
        <v>15000</v>
      </c>
      <c r="M567">
        <v>235.155737677421</v>
      </c>
      <c r="N567">
        <v>64.345873896562907</v>
      </c>
      <c r="O567">
        <v>63.782898524985299</v>
      </c>
      <c r="P567">
        <v>-0.52074271848342402</v>
      </c>
      <c r="Q567">
        <v>0.43502154849806701</v>
      </c>
      <c r="R567">
        <v>0.52528318822018605</v>
      </c>
      <c r="S567" t="s">
        <v>6393</v>
      </c>
      <c r="T567" t="s">
        <v>11650</v>
      </c>
      <c r="U567" t="s">
        <v>11650</v>
      </c>
      <c r="V567" t="s">
        <v>11650</v>
      </c>
      <c r="W567" t="s">
        <v>12207</v>
      </c>
      <c r="X567">
        <v>2</v>
      </c>
      <c r="Y567" t="s">
        <v>17969</v>
      </c>
      <c r="Z567" t="s">
        <v>23629</v>
      </c>
      <c r="AA567">
        <v>0.88307413611710284</v>
      </c>
      <c r="AB567" t="str">
        <f>HYPERLINK("Melting_Curves/meltCurve_E9PQ61_ZC3H11A.pdf", "Melting_Curves/meltCurve_E9PQ61_ZC3H11A.pdf")</f>
        <v>Melting_Curves/meltCurve_E9PQ61_ZC3H11A.pdf</v>
      </c>
    </row>
    <row r="568" spans="1:28" x14ac:dyDescent="0.25">
      <c r="A568" t="s">
        <v>572</v>
      </c>
      <c r="B568">
        <v>0.99996721820229495</v>
      </c>
      <c r="C568">
        <v>0.863283413327674</v>
      </c>
      <c r="D568">
        <v>1.03000451621827</v>
      </c>
      <c r="E568">
        <v>0.99517785057280095</v>
      </c>
      <c r="F568">
        <v>1.2521799542309699</v>
      </c>
      <c r="G568">
        <v>1.1921072169934299</v>
      </c>
      <c r="H568">
        <v>0.81844269296320604</v>
      </c>
      <c r="I568">
        <v>0.57059873095003999</v>
      </c>
      <c r="J568">
        <v>0.39216133901373501</v>
      </c>
      <c r="K568">
        <v>0.28493776043229702</v>
      </c>
      <c r="L568">
        <v>2440.0601684681801</v>
      </c>
      <c r="M568">
        <v>38.601416665691097</v>
      </c>
      <c r="N568">
        <v>64.688956265814198</v>
      </c>
      <c r="O568">
        <v>63.042738172355101</v>
      </c>
      <c r="P568">
        <v>-0.108237063830407</v>
      </c>
      <c r="Q568">
        <v>0.29292284701766702</v>
      </c>
      <c r="R568">
        <v>0.86739380590854798</v>
      </c>
      <c r="S568" t="s">
        <v>6394</v>
      </c>
      <c r="T568" t="s">
        <v>11650</v>
      </c>
      <c r="U568" t="s">
        <v>11650</v>
      </c>
      <c r="V568" t="s">
        <v>11650</v>
      </c>
      <c r="W568" t="s">
        <v>12208</v>
      </c>
      <c r="X568">
        <v>1</v>
      </c>
      <c r="Y568" t="s">
        <v>17970</v>
      </c>
      <c r="Z568" t="s">
        <v>23630</v>
      </c>
      <c r="AA568">
        <v>0.8421473042214952</v>
      </c>
      <c r="AB568" t="str">
        <f>HYPERLINK("Melting_Curves/meltCurve_E9PQ91_SC5D.pdf", "Melting_Curves/meltCurve_E9PQ91_SC5D.pdf")</f>
        <v>Melting_Curves/meltCurve_E9PQ91_SC5D.pdf</v>
      </c>
    </row>
    <row r="569" spans="1:28" x14ac:dyDescent="0.25">
      <c r="A569" t="s">
        <v>573</v>
      </c>
      <c r="B569">
        <v>0.99996721820229495</v>
      </c>
      <c r="C569">
        <v>1.0050491541233899</v>
      </c>
      <c r="D569">
        <v>0.994750647449822</v>
      </c>
      <c r="E569">
        <v>0.831856122279092</v>
      </c>
      <c r="F569">
        <v>0.54153734950755805</v>
      </c>
      <c r="G569">
        <v>0.42665784306973598</v>
      </c>
      <c r="H569">
        <v>0.25541831241385099</v>
      </c>
      <c r="I569">
        <v>0.219108139871624</v>
      </c>
      <c r="J569">
        <v>0.18555353627378099</v>
      </c>
      <c r="K569">
        <v>0.122393226770632</v>
      </c>
      <c r="L569">
        <v>885.25079508354202</v>
      </c>
      <c r="M569">
        <v>16.5004636170571</v>
      </c>
      <c r="N569">
        <v>54.796505648529099</v>
      </c>
      <c r="O569">
        <v>52.880624562989603</v>
      </c>
      <c r="P569">
        <v>-6.6626007640457896E-2</v>
      </c>
      <c r="Q569">
        <v>0.14596821913306199</v>
      </c>
      <c r="R569">
        <v>0.98917678759535699</v>
      </c>
      <c r="S569" t="s">
        <v>6395</v>
      </c>
      <c r="T569" t="s">
        <v>11650</v>
      </c>
      <c r="U569" t="s">
        <v>11650</v>
      </c>
      <c r="V569" t="s">
        <v>11650</v>
      </c>
      <c r="W569" t="s">
        <v>12209</v>
      </c>
      <c r="X569">
        <v>6</v>
      </c>
      <c r="Y569" t="s">
        <v>17971</v>
      </c>
      <c r="Z569" t="s">
        <v>23631</v>
      </c>
      <c r="AA569">
        <v>0.55022944412370267</v>
      </c>
      <c r="AB569" t="str">
        <f>HYPERLINK("Melting_Curves/meltCurve_E9PQW1_CARD16.pdf", "Melting_Curves/meltCurve_E9PQW1_CARD16.pdf")</f>
        <v>Melting_Curves/meltCurve_E9PQW1_CARD16.pdf</v>
      </c>
    </row>
    <row r="570" spans="1:28" x14ac:dyDescent="0.25">
      <c r="A570" t="s">
        <v>574</v>
      </c>
      <c r="B570">
        <v>0.99996721820229495</v>
      </c>
      <c r="C570">
        <v>1.10686957024445</v>
      </c>
      <c r="D570">
        <v>1.20270710918795</v>
      </c>
      <c r="E570">
        <v>1.3921387099034199</v>
      </c>
      <c r="F570">
        <v>1.9282501145533399</v>
      </c>
      <c r="G570">
        <v>2.9701929313857298</v>
      </c>
      <c r="H570">
        <v>2.21131782851156</v>
      </c>
      <c r="I570">
        <v>1.8321069333753699</v>
      </c>
      <c r="J570">
        <v>1.81879456447703</v>
      </c>
      <c r="K570">
        <v>1.17757281021003</v>
      </c>
      <c r="L570">
        <v>1836.03200125424</v>
      </c>
      <c r="M570">
        <v>39.637626490867603</v>
      </c>
      <c r="O570">
        <v>46.203002341542501</v>
      </c>
      <c r="P570">
        <v>0.10723792181488</v>
      </c>
      <c r="Q570">
        <v>1.5</v>
      </c>
      <c r="R570">
        <v>6.3905516629529799E-2</v>
      </c>
      <c r="S570" t="s">
        <v>6396</v>
      </c>
      <c r="T570" t="s">
        <v>11650</v>
      </c>
      <c r="U570" t="s">
        <v>11650</v>
      </c>
      <c r="V570" t="s">
        <v>11650</v>
      </c>
      <c r="W570" t="s">
        <v>12210</v>
      </c>
      <c r="X570">
        <v>8</v>
      </c>
      <c r="Y570" t="s">
        <v>17972</v>
      </c>
      <c r="Z570" t="s">
        <v>23632</v>
      </c>
      <c r="AA570">
        <v>1.393001976212404</v>
      </c>
      <c r="AB570" t="str">
        <f>HYPERLINK("Melting_Curves/meltCurve_E9PQY2_PFDN4.pdf", "Melting_Curves/meltCurve_E9PQY2_PFDN4.pdf")</f>
        <v>Melting_Curves/meltCurve_E9PQY2_PFDN4.pdf</v>
      </c>
    </row>
    <row r="571" spans="1:28" x14ac:dyDescent="0.25">
      <c r="A571" t="s">
        <v>575</v>
      </c>
      <c r="B571">
        <v>0.99996721820229495</v>
      </c>
      <c r="C571">
        <v>0.836800755086471</v>
      </c>
      <c r="D571">
        <v>0.98574611408884805</v>
      </c>
      <c r="E571">
        <v>1.09908781384722</v>
      </c>
      <c r="F571">
        <v>1.5448888696711001</v>
      </c>
      <c r="G571">
        <v>1.9636551439177601</v>
      </c>
      <c r="H571">
        <v>1.6560196945594401</v>
      </c>
      <c r="I571">
        <v>1.3482472662784299</v>
      </c>
      <c r="J571">
        <v>1.0891214154038</v>
      </c>
      <c r="K571">
        <v>0.940149217717548</v>
      </c>
      <c r="L571">
        <v>12559.3272851899</v>
      </c>
      <c r="M571">
        <v>250</v>
      </c>
      <c r="O571">
        <v>50.234094227935898</v>
      </c>
      <c r="P571">
        <v>0.52713243169360402</v>
      </c>
      <c r="Q571">
        <v>1.4236803239034901</v>
      </c>
      <c r="R571">
        <v>0.39386269561570098</v>
      </c>
      <c r="S571" t="s">
        <v>6397</v>
      </c>
      <c r="T571" t="s">
        <v>11650</v>
      </c>
      <c r="U571" t="s">
        <v>11650</v>
      </c>
      <c r="V571" t="s">
        <v>11650</v>
      </c>
      <c r="W571" t="s">
        <v>12211</v>
      </c>
      <c r="X571">
        <v>9</v>
      </c>
      <c r="Y571" t="s">
        <v>17973</v>
      </c>
      <c r="Z571" t="s">
        <v>23633</v>
      </c>
      <c r="AA571">
        <v>1.2790647547444149</v>
      </c>
      <c r="AB571" t="str">
        <f>HYPERLINK("Melting_Curves/meltCurve_E9PR17_CD59.pdf", "Melting_Curves/meltCurve_E9PR17_CD59.pdf")</f>
        <v>Melting_Curves/meltCurve_E9PR17_CD59.pdf</v>
      </c>
    </row>
    <row r="572" spans="1:28" x14ac:dyDescent="0.25">
      <c r="A572" t="s">
        <v>576</v>
      </c>
      <c r="B572">
        <v>0.99996721820229495</v>
      </c>
      <c r="C572">
        <v>0.94604473929958899</v>
      </c>
      <c r="D572">
        <v>1.1314760014477101</v>
      </c>
      <c r="E572">
        <v>1.5312624230933101</v>
      </c>
      <c r="F572">
        <v>1.61936046222083</v>
      </c>
      <c r="G572">
        <v>1.2915810775744301</v>
      </c>
      <c r="H572">
        <v>0.95852679701630294</v>
      </c>
      <c r="I572">
        <v>0.989909407904628</v>
      </c>
      <c r="J572">
        <v>0.51846852220502904</v>
      </c>
      <c r="K572">
        <v>0.87895397545827403</v>
      </c>
      <c r="L572">
        <v>15000</v>
      </c>
      <c r="M572">
        <v>231.26302412273799</v>
      </c>
      <c r="O572">
        <v>64.856363513144899</v>
      </c>
      <c r="P572">
        <v>-0.26856307330298501</v>
      </c>
      <c r="Q572">
        <v>0.69873223297317999</v>
      </c>
      <c r="R572">
        <v>0.1129270488068</v>
      </c>
      <c r="S572" t="s">
        <v>6398</v>
      </c>
      <c r="T572" t="s">
        <v>11650</v>
      </c>
      <c r="U572" t="s">
        <v>11650</v>
      </c>
      <c r="V572" t="s">
        <v>11650</v>
      </c>
      <c r="W572" t="s">
        <v>12212</v>
      </c>
      <c r="X572">
        <v>1</v>
      </c>
      <c r="Y572" t="s">
        <v>17974</v>
      </c>
      <c r="Z572" t="s">
        <v>23634</v>
      </c>
      <c r="AA572">
        <v>0.94843503575442289</v>
      </c>
      <c r="AB572" t="str">
        <f>HYPERLINK("Melting_Curves/meltCurve_E9PR30_FAU.pdf", "Melting_Curves/meltCurve_E9PR30_FAU.pdf")</f>
        <v>Melting_Curves/meltCurve_E9PR30_FAU.pdf</v>
      </c>
    </row>
    <row r="573" spans="1:28" x14ac:dyDescent="0.25">
      <c r="A573" t="s">
        <v>577</v>
      </c>
      <c r="B573">
        <v>0.99996721820229495</v>
      </c>
      <c r="C573">
        <v>0.64689057662446903</v>
      </c>
      <c r="D573">
        <v>0.28835582698425</v>
      </c>
      <c r="E573">
        <v>0.25415241508393599</v>
      </c>
      <c r="F573">
        <v>0.21070527561427599</v>
      </c>
      <c r="G573">
        <v>0.17618802007510601</v>
      </c>
      <c r="H573">
        <v>0.15237491619617599</v>
      </c>
      <c r="I573">
        <v>0.26311053495843201</v>
      </c>
      <c r="J573">
        <v>0.38431814465914599</v>
      </c>
      <c r="K573">
        <v>0.94386520312801103</v>
      </c>
      <c r="L573">
        <v>10719.793991337299</v>
      </c>
      <c r="M573">
        <v>250</v>
      </c>
      <c r="N573">
        <v>43.069268344226998</v>
      </c>
      <c r="O573">
        <v>42.876431997117699</v>
      </c>
      <c r="P573">
        <v>-0.97061803644730504</v>
      </c>
      <c r="Q573">
        <v>0.33413378924897502</v>
      </c>
      <c r="R573">
        <v>0.49136257217169899</v>
      </c>
      <c r="S573" t="s">
        <v>6399</v>
      </c>
      <c r="T573" t="s">
        <v>11650</v>
      </c>
      <c r="U573" t="s">
        <v>11650</v>
      </c>
      <c r="V573" t="s">
        <v>11650</v>
      </c>
      <c r="W573" t="s">
        <v>12213</v>
      </c>
      <c r="X573">
        <v>3</v>
      </c>
      <c r="Y573" t="s">
        <v>17975</v>
      </c>
      <c r="Z573" t="s">
        <v>23635</v>
      </c>
      <c r="AA573">
        <v>0.39808876359190859</v>
      </c>
      <c r="AB573" t="str">
        <f>HYPERLINK("Melting_Curves/meltCurve_E9PR44_CRYAB.pdf", "Melting_Curves/meltCurve_E9PR44_CRYAB.pdf")</f>
        <v>Melting_Curves/meltCurve_E9PR44_CRYAB.pdf</v>
      </c>
    </row>
    <row r="574" spans="1:28" x14ac:dyDescent="0.25">
      <c r="A574" t="s">
        <v>578</v>
      </c>
      <c r="B574">
        <v>0.99996721820229495</v>
      </c>
      <c r="C574">
        <v>1.2098671529218099</v>
      </c>
      <c r="D574">
        <v>0.98858505026032295</v>
      </c>
      <c r="E574">
        <v>1.38546923962798</v>
      </c>
      <c r="F574">
        <v>2.6232294542246</v>
      </c>
      <c r="G574">
        <v>4.3814312192392197</v>
      </c>
      <c r="H574">
        <v>4.1308278887337098</v>
      </c>
      <c r="I574">
        <v>4.9304636626553098</v>
      </c>
      <c r="J574">
        <v>6.7314509293767504</v>
      </c>
      <c r="K574">
        <v>3.6003345591332998</v>
      </c>
      <c r="L574">
        <v>12439.3183288449</v>
      </c>
      <c r="M574">
        <v>250</v>
      </c>
      <c r="O574">
        <v>49.754089196538601</v>
      </c>
      <c r="P574">
        <v>0.62808907874131603</v>
      </c>
      <c r="Q574">
        <v>1.5</v>
      </c>
      <c r="R574">
        <v>-0.71156724996217702</v>
      </c>
      <c r="S574" t="s">
        <v>6400</v>
      </c>
      <c r="T574" t="s">
        <v>11650</v>
      </c>
      <c r="U574" t="s">
        <v>11650</v>
      </c>
      <c r="V574" t="s">
        <v>11650</v>
      </c>
      <c r="W574" t="s">
        <v>12171</v>
      </c>
      <c r="X574">
        <v>6</v>
      </c>
      <c r="Y574" t="s">
        <v>17934</v>
      </c>
      <c r="Z574" t="s">
        <v>23636</v>
      </c>
      <c r="AA574">
        <v>1.3373351164568701</v>
      </c>
      <c r="AB574" t="str">
        <f>HYPERLINK("Melting_Curves/meltCurve_E9PR54_CTSB.pdf", "Melting_Curves/meltCurve_E9PR54_CTSB.pdf")</f>
        <v>Melting_Curves/meltCurve_E9PR54_CTSB.pdf</v>
      </c>
    </row>
    <row r="575" spans="1:28" x14ac:dyDescent="0.25">
      <c r="A575" t="s">
        <v>579</v>
      </c>
      <c r="B575">
        <v>0.99996721820229495</v>
      </c>
      <c r="C575">
        <v>0.825297761208167</v>
      </c>
      <c r="D575">
        <v>0.53665384035052399</v>
      </c>
      <c r="E575">
        <v>0.386860190820836</v>
      </c>
      <c r="F575">
        <v>0.29523488149967098</v>
      </c>
      <c r="G575">
        <v>0.21618631653849199</v>
      </c>
      <c r="H575">
        <v>0.16799641955637401</v>
      </c>
      <c r="I575">
        <v>0.10882593059109601</v>
      </c>
      <c r="J575">
        <v>6.5021943802336807E-2</v>
      </c>
      <c r="K575">
        <v>7.5399388742255005E-2</v>
      </c>
      <c r="L575">
        <v>608.74352636088702</v>
      </c>
      <c r="M575">
        <v>12.9055572537274</v>
      </c>
      <c r="N575">
        <v>47.880394150967497</v>
      </c>
      <c r="O575">
        <v>46.079624856193597</v>
      </c>
      <c r="P575">
        <v>-6.3921594137717294E-2</v>
      </c>
      <c r="Q575">
        <v>8.7231127580900597E-2</v>
      </c>
      <c r="R575">
        <v>0.97892552088533102</v>
      </c>
      <c r="S575" t="s">
        <v>6401</v>
      </c>
      <c r="T575" t="s">
        <v>11650</v>
      </c>
      <c r="U575" t="s">
        <v>11650</v>
      </c>
      <c r="V575" t="s">
        <v>11650</v>
      </c>
      <c r="W575" t="s">
        <v>12214</v>
      </c>
      <c r="X575">
        <v>4</v>
      </c>
      <c r="Y575" t="s">
        <v>17976</v>
      </c>
      <c r="Z575" t="s">
        <v>23637</v>
      </c>
      <c r="AA575">
        <v>0.33840252854066372</v>
      </c>
      <c r="AB575" t="str">
        <f>HYPERLINK("Melting_Curves/meltCurve_E9PR76_MAF1.pdf", "Melting_Curves/meltCurve_E9PR76_MAF1.pdf")</f>
        <v>Melting_Curves/meltCurve_E9PR76_MAF1.pdf</v>
      </c>
    </row>
    <row r="576" spans="1:28" x14ac:dyDescent="0.25">
      <c r="A576" t="s">
        <v>580</v>
      </c>
      <c r="B576">
        <v>0.99996721820229495</v>
      </c>
      <c r="C576">
        <v>0.81431510356519499</v>
      </c>
      <c r="D576">
        <v>0.92685696853173705</v>
      </c>
      <c r="E576">
        <v>1.17277732410818</v>
      </c>
      <c r="F576">
        <v>1.2649059070770501</v>
      </c>
      <c r="G576">
        <v>1.45905549982947</v>
      </c>
      <c r="H576">
        <v>0.83475051530537503</v>
      </c>
      <c r="I576">
        <v>0.28880752757851602</v>
      </c>
      <c r="J576">
        <v>0.119939806455036</v>
      </c>
      <c r="K576">
        <v>0.101896853088565</v>
      </c>
      <c r="L576">
        <v>3962.5545305262599</v>
      </c>
      <c r="M576">
        <v>63.341922747583403</v>
      </c>
      <c r="N576">
        <v>62.795815454177102</v>
      </c>
      <c r="O576">
        <v>62.495901702269599</v>
      </c>
      <c r="P576">
        <v>-0.22638028907270899</v>
      </c>
      <c r="Q576">
        <v>0.106573656314521</v>
      </c>
      <c r="R576">
        <v>0.82861612668078899</v>
      </c>
      <c r="S576" t="s">
        <v>6402</v>
      </c>
      <c r="T576" t="s">
        <v>11650</v>
      </c>
      <c r="U576" t="s">
        <v>11650</v>
      </c>
      <c r="V576" t="s">
        <v>11650</v>
      </c>
      <c r="W576" t="s">
        <v>12215</v>
      </c>
      <c r="X576">
        <v>2</v>
      </c>
      <c r="Y576" t="s">
        <v>17977</v>
      </c>
      <c r="Z576" t="s">
        <v>23638</v>
      </c>
      <c r="AA576">
        <v>0.77986316015044954</v>
      </c>
      <c r="AB576" t="str">
        <f>HYPERLINK("Melting_Curves/meltCurve_E9PRF4_SETDB1.pdf", "Melting_Curves/meltCurve_E9PRF4_SETDB1.pdf")</f>
        <v>Melting_Curves/meltCurve_E9PRF4_SETDB1.pdf</v>
      </c>
    </row>
    <row r="577" spans="1:28" x14ac:dyDescent="0.25">
      <c r="A577" t="s">
        <v>581</v>
      </c>
      <c r="B577">
        <v>0.99996721820229495</v>
      </c>
      <c r="C577">
        <v>1.0313335224056099</v>
      </c>
      <c r="D577">
        <v>1.2533658882743599</v>
      </c>
      <c r="E577">
        <v>1.3776540259388299</v>
      </c>
      <c r="F577">
        <v>1.3889814404182701</v>
      </c>
      <c r="G577">
        <v>1.0387606109804099</v>
      </c>
      <c r="H577">
        <v>0.357937772564559</v>
      </c>
      <c r="I577">
        <v>0.19528380647459101</v>
      </c>
      <c r="J577">
        <v>0.1160650359524</v>
      </c>
      <c r="K577">
        <v>5.0054807924338598E-2</v>
      </c>
      <c r="L577">
        <v>4978.0623235728499</v>
      </c>
      <c r="M577">
        <v>82.558930338513207</v>
      </c>
      <c r="N577">
        <v>60.491792405428498</v>
      </c>
      <c r="O577">
        <v>60.261727587990698</v>
      </c>
      <c r="P577">
        <v>-0.302533860826254</v>
      </c>
      <c r="Q577">
        <v>0.116693448338031</v>
      </c>
      <c r="R577">
        <v>0.85871193445366201</v>
      </c>
      <c r="S577" t="s">
        <v>6403</v>
      </c>
      <c r="T577" t="s">
        <v>11650</v>
      </c>
      <c r="U577" t="s">
        <v>11650</v>
      </c>
      <c r="V577" t="s">
        <v>11650</v>
      </c>
      <c r="W577" t="s">
        <v>12216</v>
      </c>
      <c r="X577">
        <v>3</v>
      </c>
      <c r="Y577" t="s">
        <v>17978</v>
      </c>
      <c r="Z577" t="s">
        <v>23639</v>
      </c>
      <c r="AA577">
        <v>0.71516987481497096</v>
      </c>
      <c r="AB577" t="str">
        <f>HYPERLINK("Melting_Curves/meltCurve_E9PRM7_SLC22A18.pdf", "Melting_Curves/meltCurve_E9PRM7_SLC22A18.pdf")</f>
        <v>Melting_Curves/meltCurve_E9PRM7_SLC22A18.pdf</v>
      </c>
    </row>
    <row r="578" spans="1:28" x14ac:dyDescent="0.25">
      <c r="A578" t="s">
        <v>582</v>
      </c>
      <c r="B578">
        <v>0.99996721820229495</v>
      </c>
      <c r="C578">
        <v>0.98813413662668403</v>
      </c>
      <c r="D578">
        <v>0.95993967350979903</v>
      </c>
      <c r="E578">
        <v>0.82775074127104298</v>
      </c>
      <c r="F578">
        <v>0.99668183124057796</v>
      </c>
      <c r="G578">
        <v>0.85013722841033401</v>
      </c>
      <c r="H578">
        <v>0.55624372384613296</v>
      </c>
      <c r="I578">
        <v>0.51127691438142997</v>
      </c>
      <c r="J578">
        <v>0.48923662864658701</v>
      </c>
      <c r="K578">
        <v>0.33213939146210403</v>
      </c>
      <c r="L578">
        <v>828.30386962393197</v>
      </c>
      <c r="M578">
        <v>13.5436742523931</v>
      </c>
      <c r="N578">
        <v>64.431806002559298</v>
      </c>
      <c r="O578">
        <v>59.870880053530797</v>
      </c>
      <c r="P578">
        <v>-4.2492274948605198E-2</v>
      </c>
      <c r="Q578">
        <v>0.248751443757321</v>
      </c>
      <c r="R578">
        <v>0.93084934997703495</v>
      </c>
      <c r="S578" t="s">
        <v>6404</v>
      </c>
      <c r="T578" t="s">
        <v>11650</v>
      </c>
      <c r="U578" t="s">
        <v>11650</v>
      </c>
      <c r="V578" t="s">
        <v>11650</v>
      </c>
      <c r="W578" t="s">
        <v>12217</v>
      </c>
      <c r="X578">
        <v>5</v>
      </c>
      <c r="Y578" t="s">
        <v>17979</v>
      </c>
      <c r="Z578" t="s">
        <v>23640</v>
      </c>
      <c r="AA578">
        <v>0.77786306547465645</v>
      </c>
      <c r="AB578" t="str">
        <f>HYPERLINK("Melting_Curves/meltCurve_E9PRR8_EIF1AD.pdf", "Melting_Curves/meltCurve_E9PRR8_EIF1AD.pdf")</f>
        <v>Melting_Curves/meltCurve_E9PRR8_EIF1AD.pdf</v>
      </c>
    </row>
    <row r="579" spans="1:28" x14ac:dyDescent="0.25">
      <c r="A579" t="s">
        <v>583</v>
      </c>
      <c r="B579">
        <v>0.99996721820229495</v>
      </c>
      <c r="C579">
        <v>1.0793880256388499</v>
      </c>
      <c r="D579">
        <v>1.1246370846817799</v>
      </c>
      <c r="E579">
        <v>1.0700179786328401</v>
      </c>
      <c r="F579">
        <v>0.94996461364424201</v>
      </c>
      <c r="G579">
        <v>1.3644222971928299</v>
      </c>
      <c r="H579">
        <v>0.83596267399247604</v>
      </c>
      <c r="I579">
        <v>0.60910290570541203</v>
      </c>
      <c r="J579">
        <v>0.56049473324882404</v>
      </c>
      <c r="K579">
        <v>0.39063700658873102</v>
      </c>
      <c r="L579">
        <v>2864.5890249065801</v>
      </c>
      <c r="M579">
        <v>45.718555312891098</v>
      </c>
      <c r="N579">
        <v>66.188032762934398</v>
      </c>
      <c r="O579">
        <v>62.537507317674397</v>
      </c>
      <c r="P579">
        <v>-9.9355366172641499E-2</v>
      </c>
      <c r="Q579">
        <v>0.45637570544246903</v>
      </c>
      <c r="R579">
        <v>0.77716090740644495</v>
      </c>
      <c r="S579" t="s">
        <v>6405</v>
      </c>
      <c r="T579" t="s">
        <v>11650</v>
      </c>
      <c r="U579" t="s">
        <v>11650</v>
      </c>
      <c r="V579" t="s">
        <v>11650</v>
      </c>
      <c r="W579" t="s">
        <v>12218</v>
      </c>
      <c r="X579">
        <v>4</v>
      </c>
      <c r="Y579" t="s">
        <v>17980</v>
      </c>
      <c r="Z579" t="s">
        <v>23641</v>
      </c>
      <c r="AA579">
        <v>0.86846994037104419</v>
      </c>
      <c r="AB579" t="str">
        <f>HYPERLINK("Melting_Curves/meltCurve_E9PRU1_EFEMP2.pdf", "Melting_Curves/meltCurve_E9PRU1_EFEMP2.pdf")</f>
        <v>Melting_Curves/meltCurve_E9PRU1_EFEMP2.pdf</v>
      </c>
    </row>
    <row r="580" spans="1:28" x14ac:dyDescent="0.25">
      <c r="A580" t="s">
        <v>584</v>
      </c>
      <c r="B580">
        <v>0.99996721820229495</v>
      </c>
      <c r="C580">
        <v>0.91669733366538098</v>
      </c>
      <c r="D580">
        <v>0.84423083326569703</v>
      </c>
      <c r="E580">
        <v>0.81371490827621695</v>
      </c>
      <c r="F580">
        <v>0.86773531165247098</v>
      </c>
      <c r="G580">
        <v>0.67199888644248995</v>
      </c>
      <c r="H580">
        <v>0.41844423566910299</v>
      </c>
      <c r="I580">
        <v>0.27506200787620899</v>
      </c>
      <c r="J580">
        <v>0.18951961712188101</v>
      </c>
      <c r="K580">
        <v>0.126523010045306</v>
      </c>
      <c r="L580">
        <v>692.32989044061105</v>
      </c>
      <c r="M580">
        <v>11.668112442506599</v>
      </c>
      <c r="N580">
        <v>59.335209028323703</v>
      </c>
      <c r="O580">
        <v>57.672735158882098</v>
      </c>
      <c r="P580">
        <v>-5.05925711080525E-2</v>
      </c>
      <c r="Q580">
        <v>0</v>
      </c>
      <c r="R580">
        <v>0.96282605135086996</v>
      </c>
      <c r="S580" t="s">
        <v>6406</v>
      </c>
      <c r="T580" t="s">
        <v>11650</v>
      </c>
      <c r="U580" t="s">
        <v>11650</v>
      </c>
      <c r="V580" t="s">
        <v>11650</v>
      </c>
      <c r="W580" t="s">
        <v>12219</v>
      </c>
      <c r="X580">
        <v>4</v>
      </c>
      <c r="Y580" t="s">
        <v>17981</v>
      </c>
      <c r="Z580" t="s">
        <v>23642</v>
      </c>
      <c r="AA580">
        <v>0.6500112754804882</v>
      </c>
      <c r="AB580" t="str">
        <f>HYPERLINK("Melting_Curves/meltCurve_E9PS00_FADS3.pdf", "Melting_Curves/meltCurve_E9PS00_FADS3.pdf")</f>
        <v>Melting_Curves/meltCurve_E9PS00_FADS3.pdf</v>
      </c>
    </row>
    <row r="581" spans="1:28" x14ac:dyDescent="0.25">
      <c r="A581" t="s">
        <v>585</v>
      </c>
      <c r="B581">
        <v>0.99996721820229495</v>
      </c>
      <c r="C581">
        <v>0.93292052587044105</v>
      </c>
      <c r="D581">
        <v>1.00543796891847</v>
      </c>
      <c r="E581">
        <v>0.74772521863279395</v>
      </c>
      <c r="F581">
        <v>0.32500177390377799</v>
      </c>
      <c r="G581">
        <v>0.31861994831735702</v>
      </c>
      <c r="H581">
        <v>0.190909309060698</v>
      </c>
      <c r="I581">
        <v>0.112591784556705</v>
      </c>
      <c r="J581">
        <v>7.5944013578886499E-2</v>
      </c>
      <c r="K581">
        <v>6.4846967541749095E-2</v>
      </c>
      <c r="L581">
        <v>1212.38429870359</v>
      </c>
      <c r="M581">
        <v>23.523786432468601</v>
      </c>
      <c r="N581">
        <v>52.125818760093701</v>
      </c>
      <c r="O581">
        <v>51.170538128274899</v>
      </c>
      <c r="P581">
        <v>-0.10155364901338</v>
      </c>
      <c r="Q581">
        <v>0.116389576335509</v>
      </c>
      <c r="R581">
        <v>0.97305024682798502</v>
      </c>
      <c r="S581" t="s">
        <v>6407</v>
      </c>
      <c r="T581" t="s">
        <v>11650</v>
      </c>
      <c r="U581" t="s">
        <v>11650</v>
      </c>
      <c r="V581" t="s">
        <v>11650</v>
      </c>
      <c r="W581" t="s">
        <v>12220</v>
      </c>
      <c r="X581">
        <v>13</v>
      </c>
      <c r="Y581" t="s">
        <v>17982</v>
      </c>
      <c r="Z581" t="s">
        <v>23643</v>
      </c>
      <c r="AA581">
        <v>0.46527650294367162</v>
      </c>
      <c r="AB581" t="str">
        <f>HYPERLINK("Melting_Curves/meltCurve_E9PS17_SCYL1.pdf", "Melting_Curves/meltCurve_E9PS17_SCYL1.pdf")</f>
        <v>Melting_Curves/meltCurve_E9PS17_SCYL1.pdf</v>
      </c>
    </row>
    <row r="582" spans="1:28" x14ac:dyDescent="0.25">
      <c r="A582" t="s">
        <v>586</v>
      </c>
      <c r="B582">
        <v>0.99996721820229495</v>
      </c>
      <c r="C582">
        <v>0.88987992023247697</v>
      </c>
      <c r="D582">
        <v>0.86005717101275603</v>
      </c>
      <c r="E582">
        <v>0.80346098219754603</v>
      </c>
      <c r="F582">
        <v>1.09677921745773</v>
      </c>
      <c r="G582">
        <v>1.2059708015392501</v>
      </c>
      <c r="H582">
        <v>0.668025997880629</v>
      </c>
      <c r="I582">
        <v>0.56657433748049202</v>
      </c>
      <c r="J582">
        <v>0.45803211245905301</v>
      </c>
      <c r="K582">
        <v>0.25571156452786198</v>
      </c>
      <c r="L582">
        <v>1998.4490904751699</v>
      </c>
      <c r="M582">
        <v>32.013568429899898</v>
      </c>
      <c r="N582">
        <v>64.375985740554697</v>
      </c>
      <c r="O582">
        <v>62.182977525751703</v>
      </c>
      <c r="P582">
        <v>-8.8745177266417494E-2</v>
      </c>
      <c r="Q582">
        <v>0.31049069656006001</v>
      </c>
      <c r="R582">
        <v>0.79387712136007604</v>
      </c>
      <c r="S582" t="s">
        <v>6408</v>
      </c>
      <c r="T582" t="s">
        <v>11650</v>
      </c>
      <c r="U582" t="s">
        <v>11650</v>
      </c>
      <c r="V582" t="s">
        <v>11650</v>
      </c>
      <c r="W582" t="s">
        <v>12221</v>
      </c>
      <c r="X582">
        <v>5</v>
      </c>
      <c r="Y582" t="s">
        <v>17983</v>
      </c>
      <c r="Z582" t="s">
        <v>23644</v>
      </c>
      <c r="AA582">
        <v>0.82869581138017911</v>
      </c>
      <c r="AB582" t="str">
        <f>HYPERLINK("Melting_Curves/meltCurve_E9PS38_NEDD8_MDP1.pdf", "Melting_Curves/meltCurve_E9PS38_NEDD8_MDP1.pdf")</f>
        <v>Melting_Curves/meltCurve_E9PS38_NEDD8_MDP1.pdf</v>
      </c>
    </row>
    <row r="583" spans="1:28" x14ac:dyDescent="0.25">
      <c r="A583" t="s">
        <v>587</v>
      </c>
      <c r="B583">
        <v>0.99996721820229495</v>
      </c>
      <c r="C583">
        <v>0.82055485082158397</v>
      </c>
      <c r="D583">
        <v>1.03557504516127</v>
      </c>
      <c r="E583">
        <v>0.91893379508728201</v>
      </c>
      <c r="F583">
        <v>0.384919364953762</v>
      </c>
      <c r="G583">
        <v>0.32405187938267399</v>
      </c>
      <c r="H583">
        <v>0.20582869462234199</v>
      </c>
      <c r="I583">
        <v>0.15046404242849801</v>
      </c>
      <c r="J583">
        <v>0.10607502851955999</v>
      </c>
      <c r="K583">
        <v>6.5482257057409898E-2</v>
      </c>
      <c r="L583">
        <v>2530.9817490373998</v>
      </c>
      <c r="M583">
        <v>48.653167807480997</v>
      </c>
      <c r="N583">
        <v>52.452424109144701</v>
      </c>
      <c r="O583">
        <v>51.933245839802701</v>
      </c>
      <c r="P583">
        <v>-0.19558238115579801</v>
      </c>
      <c r="Q583">
        <v>0.16492853188273299</v>
      </c>
      <c r="R583">
        <v>0.94943491083216502</v>
      </c>
      <c r="S583" t="s">
        <v>6409</v>
      </c>
      <c r="T583" t="s">
        <v>11650</v>
      </c>
      <c r="U583" t="s">
        <v>11650</v>
      </c>
      <c r="V583" t="s">
        <v>11650</v>
      </c>
      <c r="W583" t="s">
        <v>12222</v>
      </c>
      <c r="X583">
        <v>19</v>
      </c>
      <c r="Y583" t="s">
        <v>17984</v>
      </c>
      <c r="Z583" t="s">
        <v>23645</v>
      </c>
      <c r="AA583">
        <v>0.5015631869109024</v>
      </c>
      <c r="AB583" t="str">
        <f>HYPERLINK("Melting_Curves/meltCurve_E9PSI1_TM9SF1.pdf", "Melting_Curves/meltCurve_E9PSI1_TM9SF1.pdf")</f>
        <v>Melting_Curves/meltCurve_E9PSI1_TM9SF1.pdf</v>
      </c>
    </row>
    <row r="584" spans="1:28" x14ac:dyDescent="0.25">
      <c r="A584" t="s">
        <v>588</v>
      </c>
      <c r="B584">
        <v>0.99996721820229495</v>
      </c>
      <c r="C584">
        <v>1.0249784898872401</v>
      </c>
      <c r="D584">
        <v>0.956676485076838</v>
      </c>
      <c r="E584">
        <v>0.79891908089446595</v>
      </c>
      <c r="F584">
        <v>0.63739163505359897</v>
      </c>
      <c r="G584">
        <v>0.50803101645811199</v>
      </c>
      <c r="H584">
        <v>0.33186320768029398</v>
      </c>
      <c r="I584">
        <v>0.27678596972087499</v>
      </c>
      <c r="J584">
        <v>0.20371714891864101</v>
      </c>
      <c r="K584">
        <v>0.16292557064452301</v>
      </c>
      <c r="L584">
        <v>667.081997026507</v>
      </c>
      <c r="M584">
        <v>12.0328561305882</v>
      </c>
      <c r="N584">
        <v>56.603149734010202</v>
      </c>
      <c r="O584">
        <v>53.973797129126403</v>
      </c>
      <c r="P584">
        <v>-4.9634220138515601E-2</v>
      </c>
      <c r="Q584">
        <v>0.109668239595356</v>
      </c>
      <c r="R584">
        <v>0.99411608918163596</v>
      </c>
      <c r="S584" t="s">
        <v>6410</v>
      </c>
      <c r="T584" t="s">
        <v>11650</v>
      </c>
      <c r="U584" t="s">
        <v>11650</v>
      </c>
      <c r="V584" t="s">
        <v>11650</v>
      </c>
      <c r="W584" t="s">
        <v>12223</v>
      </c>
      <c r="X584">
        <v>4</v>
      </c>
      <c r="Y584" t="s">
        <v>17985</v>
      </c>
      <c r="Z584" t="s">
        <v>23646</v>
      </c>
      <c r="AA584">
        <v>0.5875442299443896</v>
      </c>
      <c r="AB584" t="str">
        <f>HYPERLINK("Melting_Curves/meltCurve_F2Z2B9_TUBGCP2.pdf", "Melting_Curves/meltCurve_F2Z2B9_TUBGCP2.pdf")</f>
        <v>Melting_Curves/meltCurve_F2Z2B9_TUBGCP2.pdf</v>
      </c>
    </row>
    <row r="585" spans="1:28" x14ac:dyDescent="0.25">
      <c r="A585" t="s">
        <v>589</v>
      </c>
      <c r="B585">
        <v>0.99996721820229495</v>
      </c>
      <c r="C585">
        <v>1.00795331259441</v>
      </c>
      <c r="D585">
        <v>1.0514469143954299</v>
      </c>
      <c r="E585">
        <v>1.07615092516182</v>
      </c>
      <c r="F585">
        <v>1.1609416467857701</v>
      </c>
      <c r="G585">
        <v>1.10986014280215</v>
      </c>
      <c r="H585">
        <v>0.54756867936959996</v>
      </c>
      <c r="I585">
        <v>0.345754965669895</v>
      </c>
      <c r="J585">
        <v>0.2294696184334</v>
      </c>
      <c r="K585">
        <v>0.180409736617578</v>
      </c>
      <c r="L585">
        <v>3857.0146979164201</v>
      </c>
      <c r="M585">
        <v>63.504741379402603</v>
      </c>
      <c r="N585">
        <v>61.358723223423603</v>
      </c>
      <c r="O585">
        <v>60.6757124895163</v>
      </c>
      <c r="P585">
        <v>-0.19949209334217699</v>
      </c>
      <c r="Q585">
        <v>0.23758002121924299</v>
      </c>
      <c r="R585">
        <v>0.95826016988934504</v>
      </c>
      <c r="S585" t="s">
        <v>6411</v>
      </c>
      <c r="T585" t="s">
        <v>11650</v>
      </c>
      <c r="U585" t="s">
        <v>11650</v>
      </c>
      <c r="V585" t="s">
        <v>11650</v>
      </c>
      <c r="W585" t="s">
        <v>12224</v>
      </c>
      <c r="X585">
        <v>9</v>
      </c>
      <c r="Y585" t="s">
        <v>17986</v>
      </c>
      <c r="Z585" t="s">
        <v>23647</v>
      </c>
      <c r="AA585">
        <v>0.76581701274761638</v>
      </c>
      <c r="AB585" t="str">
        <f>HYPERLINK("Melting_Curves/meltCurve_F2Z2I2_PFKFB3.pdf", "Melting_Curves/meltCurve_F2Z2I2_PFKFB3.pdf")</f>
        <v>Melting_Curves/meltCurve_F2Z2I2_PFKFB3.pdf</v>
      </c>
    </row>
    <row r="586" spans="1:28" x14ac:dyDescent="0.25">
      <c r="A586" t="s">
        <v>590</v>
      </c>
      <c r="B586">
        <v>0.99996721820229495</v>
      </c>
      <c r="C586">
        <v>1.3581841009331199</v>
      </c>
      <c r="D586">
        <v>1.94963977238817</v>
      </c>
      <c r="E586">
        <v>4.0121759170000697</v>
      </c>
      <c r="F586">
        <v>2.9622232576991898</v>
      </c>
      <c r="G586">
        <v>1.1896114890602401</v>
      </c>
      <c r="H586">
        <v>0.45683733914691399</v>
      </c>
      <c r="I586">
        <v>0.30267241359091701</v>
      </c>
      <c r="J586">
        <v>0.22883297926846599</v>
      </c>
      <c r="K586">
        <v>0.1622831203988</v>
      </c>
      <c r="L586">
        <v>8322.9117761567904</v>
      </c>
      <c r="M586">
        <v>137.315631605345</v>
      </c>
      <c r="N586">
        <v>60.886338599279803</v>
      </c>
      <c r="O586">
        <v>60.5986858067645</v>
      </c>
      <c r="P586">
        <v>-0.43566246003251202</v>
      </c>
      <c r="Q586">
        <v>0.23095217231146201</v>
      </c>
      <c r="R586">
        <v>5.1217734072786E-2</v>
      </c>
      <c r="S586" t="s">
        <v>6412</v>
      </c>
      <c r="T586" t="s">
        <v>11650</v>
      </c>
      <c r="U586" t="s">
        <v>11650</v>
      </c>
      <c r="V586" t="s">
        <v>11650</v>
      </c>
      <c r="W586" t="s">
        <v>12225</v>
      </c>
      <c r="X586">
        <v>15</v>
      </c>
      <c r="Y586" t="s">
        <v>17987</v>
      </c>
      <c r="Z586" t="s">
        <v>23648</v>
      </c>
      <c r="AA586">
        <v>0.75959878164091366</v>
      </c>
      <c r="AB586" t="str">
        <f>HYPERLINK("Melting_Curves/meltCurve_F2Z2U8_MYH14.pdf", "Melting_Curves/meltCurve_F2Z2U8_MYH14.pdf")</f>
        <v>Melting_Curves/meltCurve_F2Z2U8_MYH14.pdf</v>
      </c>
    </row>
    <row r="587" spans="1:28" x14ac:dyDescent="0.25">
      <c r="A587" t="s">
        <v>591</v>
      </c>
      <c r="B587">
        <v>0.99996721820229495</v>
      </c>
      <c r="C587">
        <v>1.1333461067811601</v>
      </c>
      <c r="D587">
        <v>1.2381378971864001</v>
      </c>
      <c r="E587">
        <v>1.2504740235440199</v>
      </c>
      <c r="F587">
        <v>0.87641036966277797</v>
      </c>
      <c r="G587">
        <v>0.45699376583677398</v>
      </c>
      <c r="H587">
        <v>0.26846850581347498</v>
      </c>
      <c r="I587">
        <v>0.18058189858849499</v>
      </c>
      <c r="J587">
        <v>9.7775554830629705E-2</v>
      </c>
      <c r="K587">
        <v>8.5607372001318294E-2</v>
      </c>
      <c r="L587">
        <v>1873.9366575497399</v>
      </c>
      <c r="M587">
        <v>33.259587964503098</v>
      </c>
      <c r="N587">
        <v>56.865215967856102</v>
      </c>
      <c r="O587">
        <v>56.140235474530897</v>
      </c>
      <c r="P587">
        <v>-0.12861095877676601</v>
      </c>
      <c r="Q587">
        <v>0.13165270850955299</v>
      </c>
      <c r="R587">
        <v>0.92726738862441604</v>
      </c>
      <c r="S587" t="s">
        <v>6413</v>
      </c>
      <c r="T587" t="s">
        <v>11650</v>
      </c>
      <c r="U587" t="s">
        <v>11650</v>
      </c>
      <c r="V587" t="s">
        <v>11650</v>
      </c>
      <c r="W587" t="s">
        <v>12226</v>
      </c>
      <c r="X587">
        <v>10</v>
      </c>
      <c r="Y587" t="s">
        <v>17988</v>
      </c>
      <c r="Z587" t="s">
        <v>23649</v>
      </c>
      <c r="AA587">
        <v>0.60948001877932356</v>
      </c>
      <c r="AB587" t="str">
        <f>HYPERLINK("Melting_Curves/meltCurve_F2Z2X4_XPO4.pdf", "Melting_Curves/meltCurve_F2Z2X4_XPO4.pdf")</f>
        <v>Melting_Curves/meltCurve_F2Z2X4_XPO4.pdf</v>
      </c>
    </row>
    <row r="588" spans="1:28" x14ac:dyDescent="0.25">
      <c r="A588" t="s">
        <v>592</v>
      </c>
      <c r="B588">
        <v>0.99996721820229495</v>
      </c>
      <c r="C588">
        <v>1.03710357475573</v>
      </c>
      <c r="D588">
        <v>0.98091525649920897</v>
      </c>
      <c r="E588">
        <v>0.896529856699672</v>
      </c>
      <c r="F588">
        <v>0.70949624153499502</v>
      </c>
      <c r="G588">
        <v>0.59163804318376101</v>
      </c>
      <c r="H588">
        <v>0.34718722258268497</v>
      </c>
      <c r="I588">
        <v>0.26128169398200302</v>
      </c>
      <c r="J588">
        <v>0.203111514182897</v>
      </c>
      <c r="K588">
        <v>0.18227972687232</v>
      </c>
      <c r="L588">
        <v>785.08051066410701</v>
      </c>
      <c r="M588">
        <v>13.8140526704598</v>
      </c>
      <c r="N588">
        <v>57.892684013592302</v>
      </c>
      <c r="O588">
        <v>55.680765855298503</v>
      </c>
      <c r="P588">
        <v>-5.5096888214780003E-2</v>
      </c>
      <c r="Q588">
        <v>0.11180043181216399</v>
      </c>
      <c r="R588">
        <v>0.99312928161823</v>
      </c>
      <c r="S588" t="s">
        <v>6414</v>
      </c>
      <c r="T588" t="s">
        <v>11650</v>
      </c>
      <c r="U588" t="s">
        <v>11650</v>
      </c>
      <c r="V588" t="s">
        <v>11650</v>
      </c>
      <c r="W588" t="s">
        <v>12227</v>
      </c>
      <c r="X588">
        <v>2</v>
      </c>
      <c r="Y588" t="s">
        <v>17989</v>
      </c>
      <c r="Z588" t="s">
        <v>23650</v>
      </c>
      <c r="AA588">
        <v>0.6251387892620518</v>
      </c>
      <c r="AB588" t="str">
        <f>HYPERLINK("Melting_Curves/meltCurve_F5GWF3_C1RL.pdf", "Melting_Curves/meltCurve_F5GWF3_C1RL.pdf")</f>
        <v>Melting_Curves/meltCurve_F5GWF3_C1RL.pdf</v>
      </c>
    </row>
    <row r="589" spans="1:28" x14ac:dyDescent="0.25">
      <c r="A589" t="s">
        <v>593</v>
      </c>
      <c r="B589">
        <v>0.99996721820229495</v>
      </c>
      <c r="C589">
        <v>1.03281426612964</v>
      </c>
      <c r="D589">
        <v>1.07531926860051</v>
      </c>
      <c r="E589">
        <v>1.0974276669499701</v>
      </c>
      <c r="F589">
        <v>0.70661229827439198</v>
      </c>
      <c r="G589">
        <v>0.56759839453604299</v>
      </c>
      <c r="H589">
        <v>0.38678446789927601</v>
      </c>
      <c r="I589">
        <v>0.30805387047981198</v>
      </c>
      <c r="J589">
        <v>0.26639052381651601</v>
      </c>
      <c r="K589">
        <v>0.217758444530358</v>
      </c>
      <c r="L589">
        <v>1163.0318273574701</v>
      </c>
      <c r="M589">
        <v>20.7814195155518</v>
      </c>
      <c r="N589">
        <v>57.803861101946403</v>
      </c>
      <c r="O589">
        <v>55.4545052095485</v>
      </c>
      <c r="P589">
        <v>-7.1029744079778301E-2</v>
      </c>
      <c r="Q589">
        <v>0.24185962420891099</v>
      </c>
      <c r="R589">
        <v>0.95935210804724302</v>
      </c>
      <c r="S589" t="s">
        <v>6415</v>
      </c>
      <c r="T589" t="s">
        <v>11650</v>
      </c>
      <c r="U589" t="s">
        <v>11650</v>
      </c>
      <c r="V589" t="s">
        <v>11650</v>
      </c>
      <c r="W589" t="s">
        <v>12228</v>
      </c>
      <c r="X589">
        <v>31</v>
      </c>
      <c r="Y589" t="s">
        <v>17990</v>
      </c>
      <c r="Z589" t="s">
        <v>23651</v>
      </c>
      <c r="AA589">
        <v>0.65458745793743289</v>
      </c>
      <c r="AB589" t="str">
        <f>HYPERLINK("Melting_Curves/meltCurve_F5GWT4_WNK1.pdf", "Melting_Curves/meltCurve_F5GWT4_WNK1.pdf")</f>
        <v>Melting_Curves/meltCurve_F5GWT4_WNK1.pdf</v>
      </c>
    </row>
    <row r="590" spans="1:28" x14ac:dyDescent="0.25">
      <c r="A590" t="s">
        <v>594</v>
      </c>
      <c r="B590">
        <v>0.99996721820229495</v>
      </c>
      <c r="C590">
        <v>0.95926281616203601</v>
      </c>
      <c r="D590">
        <v>0.81653959404114695</v>
      </c>
      <c r="E590">
        <v>0.60589467718021595</v>
      </c>
      <c r="F590">
        <v>0.44810274295156699</v>
      </c>
      <c r="G590">
        <v>0.39328857714457799</v>
      </c>
      <c r="H590">
        <v>0.23468593298092699</v>
      </c>
      <c r="I590">
        <v>0.133854486778547</v>
      </c>
      <c r="J590">
        <v>3.0101039161537099E-2</v>
      </c>
      <c r="K590">
        <v>3.9012216861484802E-2</v>
      </c>
      <c r="L590">
        <v>557.46020686184204</v>
      </c>
      <c r="M590">
        <v>10.563907378408899</v>
      </c>
      <c r="N590">
        <v>52.770263570937701</v>
      </c>
      <c r="O590">
        <v>50.984544015984298</v>
      </c>
      <c r="P590">
        <v>-5.1819976181455597E-2</v>
      </c>
      <c r="Q590">
        <v>0</v>
      </c>
      <c r="R590">
        <v>0.98430837694590501</v>
      </c>
      <c r="S590" t="s">
        <v>6416</v>
      </c>
      <c r="T590" t="s">
        <v>11650</v>
      </c>
      <c r="U590" t="s">
        <v>11650</v>
      </c>
      <c r="V590" t="s">
        <v>11650</v>
      </c>
      <c r="W590" t="s">
        <v>12229</v>
      </c>
      <c r="X590">
        <v>4</v>
      </c>
      <c r="Y590" t="s">
        <v>17991</v>
      </c>
      <c r="Z590" t="s">
        <v>23652</v>
      </c>
      <c r="AA590">
        <v>0.45893607820642662</v>
      </c>
      <c r="AB590" t="str">
        <f>HYPERLINK("Melting_Curves/meltCurve_F5GWU7_SMAD5.pdf", "Melting_Curves/meltCurve_F5GWU7_SMAD5.pdf")</f>
        <v>Melting_Curves/meltCurve_F5GWU7_SMAD5.pdf</v>
      </c>
    </row>
    <row r="591" spans="1:28" x14ac:dyDescent="0.25">
      <c r="A591" t="s">
        <v>595</v>
      </c>
      <c r="B591">
        <v>0.99996721820229495</v>
      </c>
      <c r="C591">
        <v>0.831817224437293</v>
      </c>
      <c r="D591">
        <v>1.03315249615315</v>
      </c>
      <c r="E591">
        <v>1.28367484663738</v>
      </c>
      <c r="F591">
        <v>1.6055366004471601</v>
      </c>
      <c r="G591">
        <v>1.71886921260368</v>
      </c>
      <c r="H591">
        <v>1.3639828025224801</v>
      </c>
      <c r="I591">
        <v>0.77499630426828003</v>
      </c>
      <c r="J591">
        <v>0.43896815077050599</v>
      </c>
      <c r="K591">
        <v>0.72610868175891397</v>
      </c>
      <c r="L591">
        <v>15000</v>
      </c>
      <c r="M591">
        <v>234.53119881393499</v>
      </c>
      <c r="O591">
        <v>63.952725075755403</v>
      </c>
      <c r="P591">
        <v>-0.38273679623292001</v>
      </c>
      <c r="Q591">
        <v>0.582536374646624</v>
      </c>
      <c r="R591">
        <v>0.224985908802458</v>
      </c>
      <c r="S591" t="s">
        <v>6417</v>
      </c>
      <c r="T591" t="s">
        <v>11650</v>
      </c>
      <c r="U591" t="s">
        <v>11650</v>
      </c>
      <c r="V591" t="s">
        <v>11650</v>
      </c>
      <c r="W591" t="s">
        <v>12230</v>
      </c>
      <c r="X591">
        <v>3</v>
      </c>
      <c r="Y591" t="s">
        <v>17992</v>
      </c>
      <c r="Z591" t="s">
        <v>23653</v>
      </c>
      <c r="AA591">
        <v>0.9159673831287044</v>
      </c>
      <c r="AB591" t="str">
        <f>HYPERLINK("Melting_Curves/meltCurve_F5GWY5_PODXL.pdf", "Melting_Curves/meltCurve_F5GWY5_PODXL.pdf")</f>
        <v>Melting_Curves/meltCurve_F5GWY5_PODXL.pdf</v>
      </c>
    </row>
    <row r="592" spans="1:28" x14ac:dyDescent="0.25">
      <c r="A592" t="s">
        <v>596</v>
      </c>
      <c r="B592">
        <v>0.99996721820229495</v>
      </c>
      <c r="C592">
        <v>0.97514183727781001</v>
      </c>
      <c r="D592">
        <v>0.93124931877235495</v>
      </c>
      <c r="E592">
        <v>0.71019617545237401</v>
      </c>
      <c r="F592">
        <v>0.26810055347740402</v>
      </c>
      <c r="G592">
        <v>0.24115615259794199</v>
      </c>
      <c r="H592">
        <v>0.14161291047795499</v>
      </c>
      <c r="I592">
        <v>8.3496392701897501E-2</v>
      </c>
      <c r="J592">
        <v>6.0614737552255299E-2</v>
      </c>
      <c r="K592">
        <v>4.6323270099391099E-2</v>
      </c>
      <c r="L592">
        <v>1335.3757738034301</v>
      </c>
      <c r="M592">
        <v>26.1593746938937</v>
      </c>
      <c r="N592">
        <v>51.440937790489201</v>
      </c>
      <c r="O592">
        <v>50.752182194437303</v>
      </c>
      <c r="P592">
        <v>-0.11718189969287</v>
      </c>
      <c r="Q592">
        <v>9.0625016264205299E-2</v>
      </c>
      <c r="R592">
        <v>0.98550576186235495</v>
      </c>
      <c r="S592" t="s">
        <v>6418</v>
      </c>
      <c r="T592" t="s">
        <v>11650</v>
      </c>
      <c r="U592" t="s">
        <v>11650</v>
      </c>
      <c r="V592" t="s">
        <v>11650</v>
      </c>
      <c r="W592" t="s">
        <v>12231</v>
      </c>
      <c r="X592">
        <v>22</v>
      </c>
      <c r="Y592" t="s">
        <v>17993</v>
      </c>
      <c r="Z592" t="s">
        <v>23654</v>
      </c>
      <c r="AA592">
        <v>0.43302495253240347</v>
      </c>
      <c r="AB592" t="str">
        <f>HYPERLINK("Melting_Curves/meltCurve_F5GXC8_SUCLA2.pdf", "Melting_Curves/meltCurve_F5GXC8_SUCLA2.pdf")</f>
        <v>Melting_Curves/meltCurve_F5GXC8_SUCLA2.pdf</v>
      </c>
    </row>
    <row r="593" spans="1:28" x14ac:dyDescent="0.25">
      <c r="A593" t="s">
        <v>597</v>
      </c>
      <c r="B593">
        <v>0.99996721820229495</v>
      </c>
      <c r="C593">
        <v>0.98326276727474005</v>
      </c>
      <c r="D593">
        <v>1.0395243631686699</v>
      </c>
      <c r="E593">
        <v>1.0394073127277099</v>
      </c>
      <c r="F593">
        <v>0.76987597823107801</v>
      </c>
      <c r="G593">
        <v>0.49699874826745</v>
      </c>
      <c r="H593">
        <v>0.26812742667014</v>
      </c>
      <c r="I593">
        <v>0.19394932753012301</v>
      </c>
      <c r="J593">
        <v>0.201274564219734</v>
      </c>
      <c r="K593">
        <v>9.8887558510824203E-2</v>
      </c>
      <c r="L593">
        <v>1278.36088728817</v>
      </c>
      <c r="M593">
        <v>22.795076410732701</v>
      </c>
      <c r="N593">
        <v>56.9047937409414</v>
      </c>
      <c r="O593">
        <v>55.654320475334004</v>
      </c>
      <c r="P593">
        <v>-8.8000777357690005E-2</v>
      </c>
      <c r="Q593">
        <v>0.14059889312590501</v>
      </c>
      <c r="R593">
        <v>0.98785012259370997</v>
      </c>
      <c r="S593" t="s">
        <v>6419</v>
      </c>
      <c r="T593" t="s">
        <v>11650</v>
      </c>
      <c r="U593" t="s">
        <v>11650</v>
      </c>
      <c r="V593" t="s">
        <v>11650</v>
      </c>
      <c r="W593" t="s">
        <v>12232</v>
      </c>
      <c r="X593">
        <v>10</v>
      </c>
      <c r="Y593" t="s">
        <v>17994</v>
      </c>
      <c r="Z593" t="s">
        <v>23655</v>
      </c>
      <c r="AA593">
        <v>0.61038719017421728</v>
      </c>
      <c r="AB593" t="str">
        <f>HYPERLINK("Melting_Curves/meltCurve_F5GXE4_ATE1.pdf", "Melting_Curves/meltCurve_F5GXE4_ATE1.pdf")</f>
        <v>Melting_Curves/meltCurve_F5GXE4_ATE1.pdf</v>
      </c>
    </row>
    <row r="594" spans="1:28" x14ac:dyDescent="0.25">
      <c r="A594" t="s">
        <v>598</v>
      </c>
      <c r="B594">
        <v>0.99996721820229495</v>
      </c>
      <c r="C594">
        <v>1.0034471804885201</v>
      </c>
      <c r="D594">
        <v>0.74386455993301404</v>
      </c>
      <c r="E594">
        <v>0.965523734540504</v>
      </c>
      <c r="F594">
        <v>1.2223370485534</v>
      </c>
      <c r="G594">
        <v>1.1582721965808001</v>
      </c>
      <c r="H594">
        <v>0.951830521541152</v>
      </c>
      <c r="I594">
        <v>0.96533532640097497</v>
      </c>
      <c r="J594">
        <v>0.73022575754538899</v>
      </c>
      <c r="K594">
        <v>0.66310118099178095</v>
      </c>
      <c r="L594">
        <v>4853.3745831920996</v>
      </c>
      <c r="M594">
        <v>73.745328158791295</v>
      </c>
      <c r="O594">
        <v>65.764280299664406</v>
      </c>
      <c r="P594">
        <v>-9.5755222475579299E-2</v>
      </c>
      <c r="Q594">
        <v>0.65843134210454601</v>
      </c>
      <c r="R594">
        <v>0.51439311701955603</v>
      </c>
      <c r="S594" t="s">
        <v>6420</v>
      </c>
      <c r="T594" t="s">
        <v>11650</v>
      </c>
      <c r="U594" t="s">
        <v>11650</v>
      </c>
      <c r="V594" t="s">
        <v>11650</v>
      </c>
      <c r="W594" t="s">
        <v>12233</v>
      </c>
      <c r="X594">
        <v>4</v>
      </c>
      <c r="Y594" t="s">
        <v>17995</v>
      </c>
      <c r="Z594" t="s">
        <v>23656</v>
      </c>
      <c r="AA594">
        <v>0.95263584172801141</v>
      </c>
      <c r="AB594" t="str">
        <f>HYPERLINK("Melting_Curves/meltCurve_F5GXE7_LTBR.pdf", "Melting_Curves/meltCurve_F5GXE7_LTBR.pdf")</f>
        <v>Melting_Curves/meltCurve_F5GXE7_LTBR.pdf</v>
      </c>
    </row>
    <row r="595" spans="1:28" x14ac:dyDescent="0.25">
      <c r="A595" t="s">
        <v>599</v>
      </c>
      <c r="B595">
        <v>0.99996721820229495</v>
      </c>
      <c r="C595">
        <v>0.94780799351175704</v>
      </c>
      <c r="D595">
        <v>0.92087890315018905</v>
      </c>
      <c r="E595">
        <v>0.78776506392578505</v>
      </c>
      <c r="F595">
        <v>0.95865073937427003</v>
      </c>
      <c r="G595">
        <v>0.94943575804253799</v>
      </c>
      <c r="H595">
        <v>0.65347041444715204</v>
      </c>
      <c r="I595">
        <v>0.52736514616932995</v>
      </c>
      <c r="J595">
        <v>0.38016435829274098</v>
      </c>
      <c r="K595">
        <v>0.52107683212746903</v>
      </c>
      <c r="L595">
        <v>2346.43838826</v>
      </c>
      <c r="M595">
        <v>38.993997741763202</v>
      </c>
      <c r="N595">
        <v>64.135381690960799</v>
      </c>
      <c r="O595">
        <v>60.016740767363501</v>
      </c>
      <c r="P595">
        <v>-8.8521863663175299E-2</v>
      </c>
      <c r="Q595">
        <v>0.455015455033975</v>
      </c>
      <c r="R595">
        <v>0.85408801769809195</v>
      </c>
      <c r="S595" t="s">
        <v>6421</v>
      </c>
      <c r="T595" t="s">
        <v>11650</v>
      </c>
      <c r="U595" t="s">
        <v>11650</v>
      </c>
      <c r="V595" t="s">
        <v>11650</v>
      </c>
      <c r="W595" t="s">
        <v>12234</v>
      </c>
      <c r="X595">
        <v>15</v>
      </c>
      <c r="Y595" t="s">
        <v>17996</v>
      </c>
      <c r="Z595" t="s">
        <v>23657</v>
      </c>
      <c r="AA595">
        <v>0.8237234779758823</v>
      </c>
      <c r="AB595" t="str">
        <f>HYPERLINK("Melting_Curves/meltCurve_F5GXI4_PTPRK.pdf", "Melting_Curves/meltCurve_F5GXI4_PTPRK.pdf")</f>
        <v>Melting_Curves/meltCurve_F5GXI4_PTPRK.pdf</v>
      </c>
    </row>
    <row r="596" spans="1:28" x14ac:dyDescent="0.25">
      <c r="A596" t="s">
        <v>600</v>
      </c>
      <c r="B596">
        <v>0.99996721820229495</v>
      </c>
      <c r="C596">
        <v>0.97060294941645897</v>
      </c>
      <c r="D596">
        <v>1.09537338771388</v>
      </c>
      <c r="E596">
        <v>1.14053396349922</v>
      </c>
      <c r="F596">
        <v>1.48532991092995</v>
      </c>
      <c r="G596">
        <v>1.32529983535818</v>
      </c>
      <c r="H596">
        <v>0.79021985412207496</v>
      </c>
      <c r="I596">
        <v>0.578950121925626</v>
      </c>
      <c r="J596">
        <v>0.347427981202448</v>
      </c>
      <c r="K596">
        <v>0.167196128939057</v>
      </c>
      <c r="L596">
        <v>2209.7442099393902</v>
      </c>
      <c r="M596">
        <v>34.532471961993302</v>
      </c>
      <c r="N596">
        <v>64.6951435336684</v>
      </c>
      <c r="O596">
        <v>63.776899230024803</v>
      </c>
      <c r="P596">
        <v>-0.114143554410001</v>
      </c>
      <c r="Q596">
        <v>0.15677136943382899</v>
      </c>
      <c r="R596">
        <v>0.75566937032549397</v>
      </c>
      <c r="S596" t="s">
        <v>6422</v>
      </c>
      <c r="T596" t="s">
        <v>11650</v>
      </c>
      <c r="U596" t="s">
        <v>11650</v>
      </c>
      <c r="V596" t="s">
        <v>11650</v>
      </c>
      <c r="W596" t="s">
        <v>12235</v>
      </c>
      <c r="X596">
        <v>2</v>
      </c>
      <c r="Y596" t="s">
        <v>17997</v>
      </c>
      <c r="Z596" t="s">
        <v>23658</v>
      </c>
      <c r="AA596">
        <v>0.83274585410263235</v>
      </c>
      <c r="AB596" t="str">
        <f>HYPERLINK("Melting_Curves/meltCurve_F5GXK8_DNAJB11.pdf", "Melting_Curves/meltCurve_F5GXK8_DNAJB11.pdf")</f>
        <v>Melting_Curves/meltCurve_F5GXK8_DNAJB11.pdf</v>
      </c>
    </row>
    <row r="597" spans="1:28" x14ac:dyDescent="0.25">
      <c r="A597" t="s">
        <v>601</v>
      </c>
      <c r="B597">
        <v>0.99996721820229495</v>
      </c>
      <c r="C597">
        <v>1.2471030104157199</v>
      </c>
      <c r="D597">
        <v>1.1069241555703899</v>
      </c>
      <c r="E597">
        <v>1.3240444572988199</v>
      </c>
      <c r="F597">
        <v>1.48500638795302</v>
      </c>
      <c r="G597">
        <v>1.25541404491883</v>
      </c>
      <c r="H597">
        <v>0.69548232375541796</v>
      </c>
      <c r="I597">
        <v>0.31948956315509802</v>
      </c>
      <c r="J597">
        <v>0.18192318069312699</v>
      </c>
      <c r="K597">
        <v>0.14466105047891401</v>
      </c>
      <c r="L597">
        <v>3330.22280843521</v>
      </c>
      <c r="M597">
        <v>53.872533911164602</v>
      </c>
      <c r="N597">
        <v>62.291109887660703</v>
      </c>
      <c r="O597">
        <v>61.731710145320797</v>
      </c>
      <c r="P597">
        <v>-0.18146052711958699</v>
      </c>
      <c r="Q597">
        <v>0.16826923157288501</v>
      </c>
      <c r="R597">
        <v>0.787085970071559</v>
      </c>
      <c r="S597" t="s">
        <v>6423</v>
      </c>
      <c r="T597" t="s">
        <v>11650</v>
      </c>
      <c r="U597" t="s">
        <v>11650</v>
      </c>
      <c r="V597" t="s">
        <v>11650</v>
      </c>
      <c r="W597" t="s">
        <v>12236</v>
      </c>
      <c r="X597">
        <v>2</v>
      </c>
      <c r="Y597" t="s">
        <v>17998</v>
      </c>
      <c r="Z597" t="s">
        <v>23659</v>
      </c>
      <c r="AA597">
        <v>0.77499723981840229</v>
      </c>
      <c r="AB597" t="str">
        <f>HYPERLINK("Melting_Curves/meltCurve_F5GXX5_DAD1.pdf", "Melting_Curves/meltCurve_F5GXX5_DAD1.pdf")</f>
        <v>Melting_Curves/meltCurve_F5GXX5_DAD1.pdf</v>
      </c>
    </row>
    <row r="598" spans="1:28" x14ac:dyDescent="0.25">
      <c r="A598" t="s">
        <v>602</v>
      </c>
      <c r="B598">
        <v>0.99996721820229495</v>
      </c>
      <c r="C598">
        <v>0.98391959228665604</v>
      </c>
      <c r="D598">
        <v>1.13177206462283</v>
      </c>
      <c r="E598">
        <v>2.1243891929199599</v>
      </c>
      <c r="F598">
        <v>4.3087566256830803</v>
      </c>
      <c r="G598">
        <v>4.3727712152667602</v>
      </c>
      <c r="H598">
        <v>2.51390944604801</v>
      </c>
      <c r="I598">
        <v>1.65142468720642</v>
      </c>
      <c r="J598">
        <v>0.99628924147532305</v>
      </c>
      <c r="K598">
        <v>0.61201083789570798</v>
      </c>
      <c r="L598">
        <v>11547.2709032725</v>
      </c>
      <c r="M598">
        <v>250</v>
      </c>
      <c r="O598">
        <v>46.186107477251198</v>
      </c>
      <c r="P598">
        <v>0.67661008658052002</v>
      </c>
      <c r="Q598">
        <v>1.5</v>
      </c>
      <c r="R598">
        <v>-9.0953276700093996E-2</v>
      </c>
      <c r="S598" t="s">
        <v>6424</v>
      </c>
      <c r="T598" t="s">
        <v>11650</v>
      </c>
      <c r="U598" t="s">
        <v>11650</v>
      </c>
      <c r="V598" t="s">
        <v>11650</v>
      </c>
      <c r="W598" t="s">
        <v>12237</v>
      </c>
      <c r="X598">
        <v>4</v>
      </c>
      <c r="Y598" t="s">
        <v>17999</v>
      </c>
      <c r="Z598" t="s">
        <v>23660</v>
      </c>
      <c r="AA598">
        <v>1.39680807588706</v>
      </c>
      <c r="AB598" t="str">
        <f>HYPERLINK("Melting_Curves/meltCurve_F5GXZ7_CCDC53.pdf", "Melting_Curves/meltCurve_F5GXZ7_CCDC53.pdf")</f>
        <v>Melting_Curves/meltCurve_F5GXZ7_CCDC53.pdf</v>
      </c>
    </row>
    <row r="599" spans="1:28" x14ac:dyDescent="0.25">
      <c r="A599" t="s">
        <v>603</v>
      </c>
      <c r="B599">
        <v>0.99996721820229495</v>
      </c>
      <c r="C599">
        <v>1.03199970234252</v>
      </c>
      <c r="D599">
        <v>1.1433247452294699</v>
      </c>
      <c r="E599">
        <v>1.4487007745531499</v>
      </c>
      <c r="F599">
        <v>1.6364812372630499</v>
      </c>
      <c r="G599">
        <v>2.1328726379637599</v>
      </c>
      <c r="H599">
        <v>1.55356281581593</v>
      </c>
      <c r="I599">
        <v>1.1962367497714801</v>
      </c>
      <c r="J599">
        <v>0.78884621383423603</v>
      </c>
      <c r="K599">
        <v>1.0922594980194</v>
      </c>
      <c r="L599">
        <v>1.0000000000000001E-5</v>
      </c>
      <c r="M599">
        <v>0.42571650032517999</v>
      </c>
      <c r="Q599">
        <v>1.5</v>
      </c>
      <c r="R599">
        <v>2.97460522880044E-9</v>
      </c>
      <c r="S599" t="s">
        <v>6425</v>
      </c>
      <c r="T599" t="s">
        <v>11650</v>
      </c>
      <c r="U599" t="s">
        <v>11650</v>
      </c>
      <c r="V599" t="s">
        <v>11650</v>
      </c>
      <c r="W599" t="s">
        <v>12238</v>
      </c>
      <c r="X599">
        <v>6</v>
      </c>
      <c r="Y599" t="s">
        <v>18000</v>
      </c>
      <c r="Z599" t="s">
        <v>23661</v>
      </c>
      <c r="AA599">
        <v>1.3024251505778499</v>
      </c>
      <c r="AB599" t="str">
        <f>HYPERLINK("Melting_Curves/meltCurve_F5GY20_GPNMB.pdf", "Melting_Curves/meltCurve_F5GY20_GPNMB.pdf")</f>
        <v>Melting_Curves/meltCurve_F5GY20_GPNMB.pdf</v>
      </c>
    </row>
    <row r="600" spans="1:28" x14ac:dyDescent="0.25">
      <c r="A600" t="s">
        <v>604</v>
      </c>
      <c r="B600">
        <v>0.99996721820229495</v>
      </c>
      <c r="C600">
        <v>1.0518511247406801</v>
      </c>
      <c r="D600">
        <v>1.11102088761337</v>
      </c>
      <c r="E600">
        <v>1.22309390107572</v>
      </c>
      <c r="F600">
        <v>1.8352788344676201</v>
      </c>
      <c r="G600">
        <v>2.24539949590153</v>
      </c>
      <c r="H600">
        <v>1.60564797632531</v>
      </c>
      <c r="I600">
        <v>1.2726086430130901</v>
      </c>
      <c r="J600">
        <v>0.768532303405013</v>
      </c>
      <c r="K600">
        <v>0.57240071337529697</v>
      </c>
      <c r="L600">
        <v>15000</v>
      </c>
      <c r="M600">
        <v>224.04573441825301</v>
      </c>
      <c r="O600">
        <v>66.945281148483105</v>
      </c>
      <c r="P600">
        <v>-0.35779100389690599</v>
      </c>
      <c r="Q600">
        <v>0.57236553260387402</v>
      </c>
      <c r="R600">
        <v>-0.21366032771541499</v>
      </c>
      <c r="S600" t="s">
        <v>6426</v>
      </c>
      <c r="T600" t="s">
        <v>11650</v>
      </c>
      <c r="U600" t="s">
        <v>11650</v>
      </c>
      <c r="V600" t="s">
        <v>11650</v>
      </c>
      <c r="W600" t="s">
        <v>12239</v>
      </c>
      <c r="X600">
        <v>5</v>
      </c>
      <c r="Y600" t="s">
        <v>18001</v>
      </c>
      <c r="Z600" t="s">
        <v>23662</v>
      </c>
      <c r="AA600">
        <v>0.95659490789315915</v>
      </c>
      <c r="AB600" t="str">
        <f>HYPERLINK("Melting_Curves/meltCurve_F5GY98_HN1.pdf", "Melting_Curves/meltCurve_F5GY98_HN1.pdf")</f>
        <v>Melting_Curves/meltCurve_F5GY98_HN1.pdf</v>
      </c>
    </row>
    <row r="601" spans="1:28" x14ac:dyDescent="0.25">
      <c r="A601" t="s">
        <v>605</v>
      </c>
      <c r="B601">
        <v>0.99996721820229495</v>
      </c>
      <c r="C601">
        <v>0.86201055001399995</v>
      </c>
      <c r="D601">
        <v>1.1398484876425401</v>
      </c>
      <c r="E601">
        <v>1.3450788198797501</v>
      </c>
      <c r="F601">
        <v>0.45623041257255997</v>
      </c>
      <c r="G601">
        <v>0.37474011668450902</v>
      </c>
      <c r="H601">
        <v>0.207188438300936</v>
      </c>
      <c r="I601">
        <v>0.128562222287497</v>
      </c>
      <c r="J601">
        <v>0.104942438198281</v>
      </c>
      <c r="K601">
        <v>8.05297587903646E-2</v>
      </c>
      <c r="L601">
        <v>13214.2586229879</v>
      </c>
      <c r="M601">
        <v>250</v>
      </c>
      <c r="N601">
        <v>52.951028826944402</v>
      </c>
      <c r="O601">
        <v>52.853633273418303</v>
      </c>
      <c r="P601">
        <v>-0.97061351241820903</v>
      </c>
      <c r="Q601">
        <v>0.179192498480855</v>
      </c>
      <c r="R601">
        <v>0.89427940030090902</v>
      </c>
      <c r="S601" t="s">
        <v>6427</v>
      </c>
      <c r="T601" t="s">
        <v>11650</v>
      </c>
      <c r="U601" t="s">
        <v>11650</v>
      </c>
      <c r="V601" t="s">
        <v>11650</v>
      </c>
      <c r="W601" t="s">
        <v>12240</v>
      </c>
      <c r="X601">
        <v>7</v>
      </c>
      <c r="Y601" t="s">
        <v>18002</v>
      </c>
      <c r="Z601" t="s">
        <v>23663</v>
      </c>
      <c r="AA601">
        <v>0.53104031788058625</v>
      </c>
      <c r="AB601" t="str">
        <f>HYPERLINK("Melting_Curves/meltCurve_F5GY99_GALNT1.pdf", "Melting_Curves/meltCurve_F5GY99_GALNT1.pdf")</f>
        <v>Melting_Curves/meltCurve_F5GY99_GALNT1.pdf</v>
      </c>
    </row>
    <row r="602" spans="1:28" x14ac:dyDescent="0.25">
      <c r="A602" t="s">
        <v>606</v>
      </c>
      <c r="B602">
        <v>0.99996721820229495</v>
      </c>
      <c r="C602">
        <v>1.0430700130124999</v>
      </c>
      <c r="D602">
        <v>1.12518598510909</v>
      </c>
      <c r="E602">
        <v>1.0265079876558501</v>
      </c>
      <c r="F602">
        <v>1.5580606396169301</v>
      </c>
      <c r="G602">
        <v>1.853491936613</v>
      </c>
      <c r="H602">
        <v>1.36459501135061</v>
      </c>
      <c r="I602">
        <v>0.72997185425887701</v>
      </c>
      <c r="J602">
        <v>0.37025375472205302</v>
      </c>
      <c r="K602">
        <v>0.29625913738625698</v>
      </c>
      <c r="L602">
        <v>15000</v>
      </c>
      <c r="M602">
        <v>233.99016357081601</v>
      </c>
      <c r="N602">
        <v>64.407502569498803</v>
      </c>
      <c r="O602">
        <v>64.100575613614396</v>
      </c>
      <c r="P602">
        <v>-0.60847844206781199</v>
      </c>
      <c r="Q602">
        <v>0.33324003068041702</v>
      </c>
      <c r="R602">
        <v>0.44275623494962402</v>
      </c>
      <c r="S602" t="s">
        <v>6428</v>
      </c>
      <c r="T602" t="s">
        <v>11650</v>
      </c>
      <c r="U602" t="s">
        <v>11650</v>
      </c>
      <c r="V602" t="s">
        <v>11650</v>
      </c>
      <c r="W602" t="s">
        <v>12241</v>
      </c>
      <c r="X602">
        <v>19</v>
      </c>
      <c r="Y602" t="s">
        <v>18003</v>
      </c>
      <c r="Z602" t="s">
        <v>23664</v>
      </c>
      <c r="AA602">
        <v>0.86907305040796612</v>
      </c>
      <c r="AB602" t="str">
        <f>HYPERLINK("Melting_Curves/meltCurve_F5GYG5_REXO2.pdf", "Melting_Curves/meltCurve_F5GYG5_REXO2.pdf")</f>
        <v>Melting_Curves/meltCurve_F5GYG5_REXO2.pdf</v>
      </c>
    </row>
    <row r="603" spans="1:28" x14ac:dyDescent="0.25">
      <c r="A603" t="s">
        <v>607</v>
      </c>
      <c r="B603">
        <v>0.99996721820229495</v>
      </c>
      <c r="C603">
        <v>0.99044907601359899</v>
      </c>
      <c r="D603">
        <v>0.940578197809955</v>
      </c>
      <c r="E603">
        <v>0.84966439296321095</v>
      </c>
      <c r="F603">
        <v>1.0085917856788</v>
      </c>
      <c r="G603">
        <v>1.1765301866214399</v>
      </c>
      <c r="H603">
        <v>0.57063556912202995</v>
      </c>
      <c r="I603">
        <v>0.303428728897077</v>
      </c>
      <c r="J603">
        <v>0.249598572222753</v>
      </c>
      <c r="K603">
        <v>0.139885195902827</v>
      </c>
      <c r="L603">
        <v>4697.6970882051</v>
      </c>
      <c r="M603">
        <v>77.173651594350204</v>
      </c>
      <c r="N603">
        <v>61.341349766116402</v>
      </c>
      <c r="O603">
        <v>60.830937648438002</v>
      </c>
      <c r="P603">
        <v>-0.246420757635337</v>
      </c>
      <c r="Q603">
        <v>0.223050712532747</v>
      </c>
      <c r="R603">
        <v>0.94410178197440398</v>
      </c>
      <c r="S603" t="s">
        <v>6429</v>
      </c>
      <c r="T603" t="s">
        <v>11650</v>
      </c>
      <c r="U603" t="s">
        <v>11650</v>
      </c>
      <c r="V603" t="s">
        <v>11650</v>
      </c>
      <c r="W603" t="s">
        <v>12242</v>
      </c>
      <c r="X603">
        <v>2</v>
      </c>
      <c r="Z603" t="s">
        <v>23665</v>
      </c>
      <c r="AA603">
        <v>0.76446604344188873</v>
      </c>
      <c r="AB603" t="str">
        <f>HYPERLINK("Melting_Curves/meltCurve_F5GYJ5_.pdf", "Melting_Curves/meltCurve_F5GYJ5_.pdf")</f>
        <v>Melting_Curves/meltCurve_F5GYJ5_.pdf</v>
      </c>
    </row>
    <row r="604" spans="1:28" x14ac:dyDescent="0.25">
      <c r="A604" t="s">
        <v>608</v>
      </c>
      <c r="B604">
        <v>0.99996721820229495</v>
      </c>
      <c r="C604">
        <v>0.94481490689064296</v>
      </c>
      <c r="D604">
        <v>0.96416008649612195</v>
      </c>
      <c r="E604">
        <v>1.13791875996255</v>
      </c>
      <c r="F604">
        <v>0.451051600492335</v>
      </c>
      <c r="G604">
        <v>0.37608820073850502</v>
      </c>
      <c r="H604">
        <v>0.23883753645226299</v>
      </c>
      <c r="I604">
        <v>0.198262561491866</v>
      </c>
      <c r="J604">
        <v>0.160207212906817</v>
      </c>
      <c r="K604">
        <v>0.12515217747783999</v>
      </c>
      <c r="L604">
        <v>13204.202517047501</v>
      </c>
      <c r="M604">
        <v>250</v>
      </c>
      <c r="N604">
        <v>52.939379826529297</v>
      </c>
      <c r="O604">
        <v>52.813417439593998</v>
      </c>
      <c r="P604">
        <v>-0.92340447112629098</v>
      </c>
      <c r="Q604">
        <v>0.219709479739885</v>
      </c>
      <c r="R604">
        <v>0.95835848053117101</v>
      </c>
      <c r="S604" t="s">
        <v>6430</v>
      </c>
      <c r="T604" t="s">
        <v>11650</v>
      </c>
      <c r="U604" t="s">
        <v>11650</v>
      </c>
      <c r="V604" t="s">
        <v>11650</v>
      </c>
      <c r="W604" t="s">
        <v>12243</v>
      </c>
      <c r="X604">
        <v>6</v>
      </c>
      <c r="Y604" t="s">
        <v>18004</v>
      </c>
      <c r="Z604" t="s">
        <v>23666</v>
      </c>
      <c r="AA604">
        <v>0.55314298683188867</v>
      </c>
      <c r="AB604" t="str">
        <f>HYPERLINK("Melting_Curves/meltCurve_F5GYK2_STRN4.pdf", "Melting_Curves/meltCurve_F5GYK2_STRN4.pdf")</f>
        <v>Melting_Curves/meltCurve_F5GYK2_STRN4.pdf</v>
      </c>
    </row>
    <row r="605" spans="1:28" x14ac:dyDescent="0.25">
      <c r="A605" t="s">
        <v>609</v>
      </c>
      <c r="B605">
        <v>0.99996721820229495</v>
      </c>
      <c r="C605">
        <v>1.10835267921229</v>
      </c>
      <c r="D605">
        <v>1.0148126604652501</v>
      </c>
      <c r="E605">
        <v>0.85158971094375302</v>
      </c>
      <c r="F605">
        <v>0.54439439734711004</v>
      </c>
      <c r="G605">
        <v>0.29129985330918601</v>
      </c>
      <c r="H605">
        <v>0.163753547342816</v>
      </c>
      <c r="I605">
        <v>9.4330394845957399E-2</v>
      </c>
      <c r="J605">
        <v>7.0904600366908099E-2</v>
      </c>
      <c r="K605">
        <v>5.8705313533348999E-2</v>
      </c>
      <c r="L605">
        <v>1159.17444219463</v>
      </c>
      <c r="M605">
        <v>21.6624600255237</v>
      </c>
      <c r="N605">
        <v>53.898406082749197</v>
      </c>
      <c r="O605">
        <v>53.0609978943844</v>
      </c>
      <c r="P605">
        <v>-9.4703626102866506E-2</v>
      </c>
      <c r="Q605">
        <v>7.2136852179965405E-2</v>
      </c>
      <c r="R605">
        <v>0.98921733642277798</v>
      </c>
      <c r="S605" t="s">
        <v>6431</v>
      </c>
      <c r="T605" t="s">
        <v>11650</v>
      </c>
      <c r="U605" t="s">
        <v>11650</v>
      </c>
      <c r="V605" t="s">
        <v>11650</v>
      </c>
      <c r="W605" t="s">
        <v>12244</v>
      </c>
      <c r="X605">
        <v>17</v>
      </c>
      <c r="Y605" t="s">
        <v>18005</v>
      </c>
      <c r="Z605" t="s">
        <v>23667</v>
      </c>
      <c r="AA605">
        <v>0.50109305105505619</v>
      </c>
      <c r="AB605" t="str">
        <f>HYPERLINK("Melting_Curves/meltCurve_F5GYN4_OTUB1.pdf", "Melting_Curves/meltCurve_F5GYN4_OTUB1.pdf")</f>
        <v>Melting_Curves/meltCurve_F5GYN4_OTUB1.pdf</v>
      </c>
    </row>
    <row r="606" spans="1:28" x14ac:dyDescent="0.25">
      <c r="A606" t="s">
        <v>610</v>
      </c>
      <c r="B606">
        <v>0.99996721820229495</v>
      </c>
      <c r="C606">
        <v>0.99739959886241703</v>
      </c>
      <c r="D606">
        <v>1.0160890065008501</v>
      </c>
      <c r="E606">
        <v>1.1933920026606599</v>
      </c>
      <c r="F606">
        <v>1.7235799472289</v>
      </c>
      <c r="G606">
        <v>1.9432872586693699</v>
      </c>
      <c r="H606">
        <v>1.4265797506958799</v>
      </c>
      <c r="I606">
        <v>0.40147444397875898</v>
      </c>
      <c r="J606">
        <v>0.242793319356439</v>
      </c>
      <c r="K606">
        <v>0.18894061802141901</v>
      </c>
      <c r="L606">
        <v>15000</v>
      </c>
      <c r="M606">
        <v>235.54515762025201</v>
      </c>
      <c r="N606">
        <v>63.8351998716685</v>
      </c>
      <c r="O606">
        <v>63.677467384555897</v>
      </c>
      <c r="P606">
        <v>-0.72515770742411301</v>
      </c>
      <c r="Q606">
        <v>0.21584115064926501</v>
      </c>
      <c r="R606">
        <v>0.49250032456318499</v>
      </c>
      <c r="S606" t="s">
        <v>6432</v>
      </c>
      <c r="T606" t="s">
        <v>11650</v>
      </c>
      <c r="U606" t="s">
        <v>11650</v>
      </c>
      <c r="V606" t="s">
        <v>11650</v>
      </c>
      <c r="W606" t="s">
        <v>12245</v>
      </c>
      <c r="X606">
        <v>11</v>
      </c>
      <c r="Y606" t="s">
        <v>18006</v>
      </c>
      <c r="Z606" t="s">
        <v>23668</v>
      </c>
      <c r="AA606">
        <v>0.83495634668880669</v>
      </c>
      <c r="AB606" t="str">
        <f>HYPERLINK("Melting_Curves/meltCurve_F5GYQ1_ATP6V0D1.pdf", "Melting_Curves/meltCurve_F5GYQ1_ATP6V0D1.pdf")</f>
        <v>Melting_Curves/meltCurve_F5GYQ1_ATP6V0D1.pdf</v>
      </c>
    </row>
    <row r="607" spans="1:28" x14ac:dyDescent="0.25">
      <c r="A607" t="s">
        <v>611</v>
      </c>
      <c r="B607">
        <v>0.99996721820229495</v>
      </c>
      <c r="C607">
        <v>0.92417666769831197</v>
      </c>
      <c r="D607">
        <v>0.89509434909340002</v>
      </c>
      <c r="E607">
        <v>0.86896987831715899</v>
      </c>
      <c r="F607">
        <v>0.85971525072284805</v>
      </c>
      <c r="G607">
        <v>0.75991751166866806</v>
      </c>
      <c r="H607">
        <v>0.41436528069970402</v>
      </c>
      <c r="I607">
        <v>0.22857347793861801</v>
      </c>
      <c r="J607">
        <v>0.17205218417148499</v>
      </c>
      <c r="K607">
        <v>0.15786974585366301</v>
      </c>
      <c r="L607">
        <v>880.34041004148401</v>
      </c>
      <c r="M607">
        <v>14.744029973639099</v>
      </c>
      <c r="N607">
        <v>59.846270159887801</v>
      </c>
      <c r="O607">
        <v>58.642170667033803</v>
      </c>
      <c r="P607">
        <v>-6.18120227987113E-2</v>
      </c>
      <c r="Q607">
        <v>1.6714342259041198E-2</v>
      </c>
      <c r="R607">
        <v>0.96936018900399001</v>
      </c>
      <c r="S607" t="s">
        <v>6433</v>
      </c>
      <c r="T607" t="s">
        <v>11650</v>
      </c>
      <c r="U607" t="s">
        <v>11650</v>
      </c>
      <c r="V607" t="s">
        <v>11650</v>
      </c>
      <c r="W607" t="s">
        <v>12246</v>
      </c>
      <c r="X607">
        <v>27</v>
      </c>
      <c r="Y607" t="s">
        <v>18007</v>
      </c>
      <c r="Z607" t="s">
        <v>23669</v>
      </c>
      <c r="AA607">
        <v>0.67035811118485145</v>
      </c>
      <c r="AB607" t="str">
        <f>HYPERLINK("Melting_Curves/meltCurve_F5GZ78_PXN.pdf", "Melting_Curves/meltCurve_F5GZ78_PXN.pdf")</f>
        <v>Melting_Curves/meltCurve_F5GZ78_PXN.pdf</v>
      </c>
    </row>
    <row r="608" spans="1:28" x14ac:dyDescent="0.25">
      <c r="A608" t="s">
        <v>612</v>
      </c>
      <c r="B608">
        <v>0.99996721820229495</v>
      </c>
      <c r="C608">
        <v>0.93768583323274701</v>
      </c>
      <c r="D608">
        <v>1.41074744226181</v>
      </c>
      <c r="E608">
        <v>2.0616293845499598</v>
      </c>
      <c r="F608">
        <v>1.28819935635511</v>
      </c>
      <c r="G608">
        <v>0.24653843910578099</v>
      </c>
      <c r="H608">
        <v>5.9872680430093597E-2</v>
      </c>
      <c r="I608">
        <v>2.4641552302722199E-2</v>
      </c>
      <c r="J608">
        <v>1.1689113346507201E-2</v>
      </c>
      <c r="K608">
        <v>4.0144739732185701E-3</v>
      </c>
      <c r="L608">
        <v>14180.2133391931</v>
      </c>
      <c r="M608">
        <v>250</v>
      </c>
      <c r="N608">
        <v>56.732502467500403</v>
      </c>
      <c r="O608">
        <v>56.717223628765502</v>
      </c>
      <c r="P608">
        <v>-1.0743490902357</v>
      </c>
      <c r="Q608">
        <v>2.5054439964961098E-2</v>
      </c>
      <c r="R608">
        <v>0.71634631789870595</v>
      </c>
      <c r="S608" t="s">
        <v>6434</v>
      </c>
      <c r="T608" t="s">
        <v>11650</v>
      </c>
      <c r="U608" t="s">
        <v>11650</v>
      </c>
      <c r="V608" t="s">
        <v>11650</v>
      </c>
      <c r="W608" t="s">
        <v>12247</v>
      </c>
      <c r="X608">
        <v>2</v>
      </c>
      <c r="Y608" t="s">
        <v>18008</v>
      </c>
      <c r="Z608" t="s">
        <v>23670</v>
      </c>
      <c r="AA608">
        <v>0.5685488814946833</v>
      </c>
      <c r="AB608" t="str">
        <f>HYPERLINK("Melting_Curves/meltCurve_F5GZ84_FARP2.pdf", "Melting_Curves/meltCurve_F5GZ84_FARP2.pdf")</f>
        <v>Melting_Curves/meltCurve_F5GZ84_FARP2.pdf</v>
      </c>
    </row>
    <row r="609" spans="1:28" x14ac:dyDescent="0.25">
      <c r="A609" t="s">
        <v>613</v>
      </c>
      <c r="B609">
        <v>0.99996721820229495</v>
      </c>
      <c r="C609">
        <v>1.10423840411107</v>
      </c>
      <c r="D609">
        <v>1.10860989977313</v>
      </c>
      <c r="E609">
        <v>1.2300852637555599</v>
      </c>
      <c r="F609">
        <v>1.5924665661870701</v>
      </c>
      <c r="G609">
        <v>1.6841286301408001</v>
      </c>
      <c r="H609">
        <v>0.98290715815555696</v>
      </c>
      <c r="I609">
        <v>0.73357960446131898</v>
      </c>
      <c r="J609">
        <v>0.407536347112813</v>
      </c>
      <c r="K609">
        <v>0.38239459580697199</v>
      </c>
      <c r="L609">
        <v>4869.6094243767302</v>
      </c>
      <c r="M609">
        <v>75.810082803031094</v>
      </c>
      <c r="N609">
        <v>65.477184448122898</v>
      </c>
      <c r="O609">
        <v>64.189669146324803</v>
      </c>
      <c r="P609">
        <v>-0.182642332151075</v>
      </c>
      <c r="Q609">
        <v>0.38141479150519902</v>
      </c>
      <c r="R609">
        <v>0.47158728402845401</v>
      </c>
      <c r="S609" t="s">
        <v>6435</v>
      </c>
      <c r="T609" t="s">
        <v>11650</v>
      </c>
      <c r="U609" t="s">
        <v>11650</v>
      </c>
      <c r="V609" t="s">
        <v>11650</v>
      </c>
      <c r="W609" t="s">
        <v>12248</v>
      </c>
      <c r="X609">
        <v>1</v>
      </c>
      <c r="Y609" t="s">
        <v>18009</v>
      </c>
      <c r="Z609" t="s">
        <v>23671</v>
      </c>
      <c r="AA609">
        <v>0.88183315658999528</v>
      </c>
      <c r="AB609" t="str">
        <f>HYPERLINK("Melting_Curves/meltCurve_F5GZP3_TRIM59.pdf", "Melting_Curves/meltCurve_F5GZP3_TRIM59.pdf")</f>
        <v>Melting_Curves/meltCurve_F5GZP3_TRIM59.pdf</v>
      </c>
    </row>
    <row r="610" spans="1:28" x14ac:dyDescent="0.25">
      <c r="A610" t="s">
        <v>614</v>
      </c>
      <c r="B610">
        <v>0.99996721820229495</v>
      </c>
      <c r="C610">
        <v>1.0390220546311</v>
      </c>
      <c r="D610">
        <v>1.05333663418259</v>
      </c>
      <c r="E610">
        <v>1.1397254368824301</v>
      </c>
      <c r="F610">
        <v>0.88867403490965202</v>
      </c>
      <c r="G610">
        <v>0.50603566128962396</v>
      </c>
      <c r="H610">
        <v>0.29036019992678602</v>
      </c>
      <c r="I610">
        <v>0.157840298734513</v>
      </c>
      <c r="J610">
        <v>3.84960652752405E-2</v>
      </c>
      <c r="K610">
        <v>4.7853442906579099E-2</v>
      </c>
      <c r="L610">
        <v>1402.9028258815899</v>
      </c>
      <c r="M610">
        <v>24.4555968292504</v>
      </c>
      <c r="N610">
        <v>57.6312171780705</v>
      </c>
      <c r="O610">
        <v>56.98586487</v>
      </c>
      <c r="P610">
        <v>-0.101565350530995</v>
      </c>
      <c r="Q610">
        <v>5.3353000315793597E-2</v>
      </c>
      <c r="R610">
        <v>0.97741370483911405</v>
      </c>
      <c r="S610" t="s">
        <v>6436</v>
      </c>
      <c r="T610" t="s">
        <v>11650</v>
      </c>
      <c r="U610" t="s">
        <v>11650</v>
      </c>
      <c r="V610" t="s">
        <v>11650</v>
      </c>
      <c r="W610" t="s">
        <v>12249</v>
      </c>
      <c r="X610">
        <v>1</v>
      </c>
      <c r="Y610" t="s">
        <v>18010</v>
      </c>
      <c r="Z610" t="s">
        <v>23672</v>
      </c>
      <c r="AA610">
        <v>0.61003078114796394</v>
      </c>
      <c r="AB610" t="str">
        <f>HYPERLINK("Melting_Curves/meltCurve_F5GZS0_DHX36.pdf", "Melting_Curves/meltCurve_F5GZS0_DHX36.pdf")</f>
        <v>Melting_Curves/meltCurve_F5GZS0_DHX36.pdf</v>
      </c>
    </row>
    <row r="611" spans="1:28" x14ac:dyDescent="0.25">
      <c r="A611" t="s">
        <v>615</v>
      </c>
      <c r="B611">
        <v>0.99996721820229495</v>
      </c>
      <c r="C611">
        <v>0.87634600896072701</v>
      </c>
      <c r="D611">
        <v>1.0879204179072299</v>
      </c>
      <c r="E611">
        <v>1.24226563296576</v>
      </c>
      <c r="F611">
        <v>1.4932638918812799</v>
      </c>
      <c r="G611">
        <v>1.64330470248755</v>
      </c>
      <c r="H611">
        <v>0.86946323866379904</v>
      </c>
      <c r="I611">
        <v>0.26754063798178501</v>
      </c>
      <c r="J611">
        <v>0.122628955710228</v>
      </c>
      <c r="K611">
        <v>0.178873152450572</v>
      </c>
      <c r="L611">
        <v>4842.9184102244899</v>
      </c>
      <c r="M611">
        <v>77.599469908211901</v>
      </c>
      <c r="N611">
        <v>62.701433596213597</v>
      </c>
      <c r="O611">
        <v>62.367776263217898</v>
      </c>
      <c r="P611">
        <v>-0.26385107062287499</v>
      </c>
      <c r="Q611">
        <v>0.151757227945368</v>
      </c>
      <c r="R611">
        <v>0.71346554122949102</v>
      </c>
      <c r="S611" t="s">
        <v>6437</v>
      </c>
      <c r="T611" t="s">
        <v>11650</v>
      </c>
      <c r="U611" t="s">
        <v>11650</v>
      </c>
      <c r="V611" t="s">
        <v>11650</v>
      </c>
      <c r="W611" t="s">
        <v>12250</v>
      </c>
      <c r="X611">
        <v>16</v>
      </c>
      <c r="Y611" t="s">
        <v>18011</v>
      </c>
      <c r="Z611" t="s">
        <v>23673</v>
      </c>
      <c r="AA611">
        <v>0.78633083894120903</v>
      </c>
      <c r="AB611" t="str">
        <f>HYPERLINK("Melting_Curves/meltCurve_F5GZS6_SLC3A2.pdf", "Melting_Curves/meltCurve_F5GZS6_SLC3A2.pdf")</f>
        <v>Melting_Curves/meltCurve_F5GZS6_SLC3A2.pdf</v>
      </c>
    </row>
    <row r="612" spans="1:28" x14ac:dyDescent="0.25">
      <c r="A612" t="s">
        <v>616</v>
      </c>
      <c r="B612">
        <v>0.99996721820229495</v>
      </c>
      <c r="C612">
        <v>0.98660886222366295</v>
      </c>
      <c r="D612">
        <v>0.63469566466933702</v>
      </c>
      <c r="E612">
        <v>0.28834139412380899</v>
      </c>
      <c r="F612">
        <v>0.37184762814035599</v>
      </c>
      <c r="G612">
        <v>0.29945406749445502</v>
      </c>
      <c r="H612">
        <v>0.20980355465849801</v>
      </c>
      <c r="I612">
        <v>0.13650765471426199</v>
      </c>
      <c r="J612">
        <v>0.13086751775922201</v>
      </c>
      <c r="K612">
        <v>9.3690277559579302E-2</v>
      </c>
      <c r="L612">
        <v>990.68127191775102</v>
      </c>
      <c r="M612">
        <v>21.1077862437938</v>
      </c>
      <c r="N612">
        <v>47.940169443983898</v>
      </c>
      <c r="O612">
        <v>46.519225471579801</v>
      </c>
      <c r="P612">
        <v>-9.3145617607699696E-2</v>
      </c>
      <c r="Q612">
        <v>0.17889105097958599</v>
      </c>
      <c r="R612">
        <v>0.95003818235783799</v>
      </c>
      <c r="S612" t="s">
        <v>6438</v>
      </c>
      <c r="T612" t="s">
        <v>11650</v>
      </c>
      <c r="U612" t="s">
        <v>11650</v>
      </c>
      <c r="V612" t="s">
        <v>11650</v>
      </c>
      <c r="W612" t="s">
        <v>12251</v>
      </c>
      <c r="X612">
        <v>9</v>
      </c>
      <c r="Y612" t="s">
        <v>18012</v>
      </c>
      <c r="Z612" t="s">
        <v>23674</v>
      </c>
      <c r="AA612">
        <v>0.37938063403944727</v>
      </c>
      <c r="AB612" t="str">
        <f>HYPERLINK("Melting_Curves/meltCurve_F5GZX9_FAM120B.pdf", "Melting_Curves/meltCurve_F5GZX9_FAM120B.pdf")</f>
        <v>Melting_Curves/meltCurve_F5GZX9_FAM120B.pdf</v>
      </c>
    </row>
    <row r="613" spans="1:28" x14ac:dyDescent="0.25">
      <c r="A613" t="s">
        <v>617</v>
      </c>
      <c r="B613">
        <v>0.99996721820229495</v>
      </c>
      <c r="C613">
        <v>0.82670947347396695</v>
      </c>
      <c r="D613">
        <v>0.68037482793952797</v>
      </c>
      <c r="E613">
        <v>0.95434374042746595</v>
      </c>
      <c r="F613">
        <v>0.86532832327210196</v>
      </c>
      <c r="G613">
        <v>0.49207513420875698</v>
      </c>
      <c r="H613">
        <v>0.35222962090292698</v>
      </c>
      <c r="I613">
        <v>0.17780862305473399</v>
      </c>
      <c r="J613">
        <v>7.4260553722364606E-2</v>
      </c>
      <c r="K613">
        <v>5.6965878528190801E-2</v>
      </c>
      <c r="L613">
        <v>847.75883819778903</v>
      </c>
      <c r="M613">
        <v>14.7014841490404</v>
      </c>
      <c r="N613">
        <v>57.664847375487199</v>
      </c>
      <c r="O613">
        <v>56.629431160998102</v>
      </c>
      <c r="P613">
        <v>-6.4909229890756606E-2</v>
      </c>
      <c r="Q613">
        <v>0</v>
      </c>
      <c r="R613">
        <v>0.89182445905448904</v>
      </c>
      <c r="S613" t="s">
        <v>6439</v>
      </c>
      <c r="T613" t="s">
        <v>11650</v>
      </c>
      <c r="U613" t="s">
        <v>11650</v>
      </c>
      <c r="V613" t="s">
        <v>11650</v>
      </c>
      <c r="W613" t="s">
        <v>12252</v>
      </c>
      <c r="X613">
        <v>5</v>
      </c>
      <c r="Y613" t="s">
        <v>18013</v>
      </c>
      <c r="Z613" t="s">
        <v>23675</v>
      </c>
      <c r="AA613">
        <v>0.60320305726803347</v>
      </c>
      <c r="AB613" t="str">
        <f>HYPERLINK("Melting_Curves/meltCurve_F5GZY7_GABARAPL1.pdf", "Melting_Curves/meltCurve_F5GZY7_GABARAPL1.pdf")</f>
        <v>Melting_Curves/meltCurve_F5GZY7_GABARAPL1.pdf</v>
      </c>
    </row>
    <row r="614" spans="1:28" x14ac:dyDescent="0.25">
      <c r="A614" t="s">
        <v>618</v>
      </c>
      <c r="B614">
        <v>0.99996721820229495</v>
      </c>
      <c r="C614">
        <v>0.96813374802383301</v>
      </c>
      <c r="D614">
        <v>0.87404519575867801</v>
      </c>
      <c r="E614">
        <v>0.75829555612816502</v>
      </c>
      <c r="F614">
        <v>0.34363827911444</v>
      </c>
      <c r="G614">
        <v>0.28033331711284198</v>
      </c>
      <c r="H614">
        <v>0.19775680288254699</v>
      </c>
      <c r="I614">
        <v>0.11944892737188199</v>
      </c>
      <c r="J614">
        <v>8.7823918437568899E-2</v>
      </c>
      <c r="K614">
        <v>0.105976342209247</v>
      </c>
      <c r="L614">
        <v>963.60189076709401</v>
      </c>
      <c r="M614">
        <v>18.705657731285999</v>
      </c>
      <c r="N614">
        <v>52.185950806061904</v>
      </c>
      <c r="O614">
        <v>50.9360102118318</v>
      </c>
      <c r="P614">
        <v>-8.1986144698628999E-2</v>
      </c>
      <c r="Q614">
        <v>0.107035922677712</v>
      </c>
      <c r="R614">
        <v>0.98249651545767303</v>
      </c>
      <c r="S614" t="s">
        <v>6440</v>
      </c>
      <c r="T614" t="s">
        <v>11650</v>
      </c>
      <c r="U614" t="s">
        <v>11650</v>
      </c>
      <c r="V614" t="s">
        <v>11650</v>
      </c>
      <c r="W614" t="s">
        <v>12253</v>
      </c>
      <c r="X614">
        <v>19</v>
      </c>
      <c r="Y614" t="s">
        <v>18014</v>
      </c>
      <c r="Z614" t="s">
        <v>23676</v>
      </c>
      <c r="AA614">
        <v>0.46372387195839609</v>
      </c>
      <c r="AB614" t="str">
        <f>HYPERLINK("Melting_Curves/meltCurve_F5H012_TRIM21.pdf", "Melting_Curves/meltCurve_F5H012_TRIM21.pdf")</f>
        <v>Melting_Curves/meltCurve_F5H012_TRIM21.pdf</v>
      </c>
    </row>
    <row r="615" spans="1:28" x14ac:dyDescent="0.25">
      <c r="A615" t="s">
        <v>619</v>
      </c>
      <c r="B615">
        <v>0.99996721820229495</v>
      </c>
      <c r="C615">
        <v>0.78320991518413596</v>
      </c>
      <c r="D615">
        <v>0.77246426333388496</v>
      </c>
      <c r="E615">
        <v>0.635394922146157</v>
      </c>
      <c r="F615">
        <v>0.53515940116537897</v>
      </c>
      <c r="G615">
        <v>0.38580150789539902</v>
      </c>
      <c r="H615">
        <v>0.231936842986566</v>
      </c>
      <c r="I615">
        <v>0.196138445647071</v>
      </c>
      <c r="J615">
        <v>0.13352277018563699</v>
      </c>
      <c r="K615">
        <v>0.151549126290107</v>
      </c>
      <c r="L615">
        <v>424.78662205597499</v>
      </c>
      <c r="M615">
        <v>7.9937748830670001</v>
      </c>
      <c r="N615">
        <v>53.139677322949296</v>
      </c>
      <c r="O615">
        <v>50.123343945539503</v>
      </c>
      <c r="P615">
        <v>-3.9915750796997197E-2</v>
      </c>
      <c r="Q615">
        <v>0</v>
      </c>
      <c r="R615">
        <v>0.98129530951754396</v>
      </c>
      <c r="S615" t="s">
        <v>6441</v>
      </c>
      <c r="T615" t="s">
        <v>11650</v>
      </c>
      <c r="U615" t="s">
        <v>11650</v>
      </c>
      <c r="V615" t="s">
        <v>11650</v>
      </c>
      <c r="W615" t="s">
        <v>12254</v>
      </c>
      <c r="X615">
        <v>1</v>
      </c>
      <c r="Y615" t="s">
        <v>18015</v>
      </c>
      <c r="Z615" t="s">
        <v>23677</v>
      </c>
      <c r="AA615">
        <v>0.47782148494983412</v>
      </c>
      <c r="AB615" t="str">
        <f>HYPERLINK("Melting_Curves/meltCurve_F5H061_TNFRSF1A.pdf", "Melting_Curves/meltCurve_F5H061_TNFRSF1A.pdf")</f>
        <v>Melting_Curves/meltCurve_F5H061_TNFRSF1A.pdf</v>
      </c>
    </row>
    <row r="616" spans="1:28" x14ac:dyDescent="0.25">
      <c r="A616" t="s">
        <v>620</v>
      </c>
      <c r="B616">
        <v>0.99996721820229495</v>
      </c>
      <c r="C616">
        <v>1.0487164852767501</v>
      </c>
      <c r="D616">
        <v>0.98853907395340102</v>
      </c>
      <c r="E616">
        <v>0.779915293859339</v>
      </c>
      <c r="F616">
        <v>0.64027851567863003</v>
      </c>
      <c r="G616">
        <v>0.78061175661503601</v>
      </c>
      <c r="H616">
        <v>0.52653959045554899</v>
      </c>
      <c r="I616">
        <v>0.49099675975156098</v>
      </c>
      <c r="J616">
        <v>0.42037225608478701</v>
      </c>
      <c r="K616">
        <v>0.30159837348472901</v>
      </c>
      <c r="L616">
        <v>420.23435255280799</v>
      </c>
      <c r="M616">
        <v>6.6874464836911196</v>
      </c>
      <c r="N616">
        <v>62.8392845260529</v>
      </c>
      <c r="O616">
        <v>57.9349930375189</v>
      </c>
      <c r="P616">
        <v>-2.8920757773115199E-2</v>
      </c>
      <c r="Q616">
        <v>0</v>
      </c>
      <c r="R616">
        <v>0.91556312537342399</v>
      </c>
      <c r="S616" t="s">
        <v>6442</v>
      </c>
      <c r="T616" t="s">
        <v>11650</v>
      </c>
      <c r="U616" t="s">
        <v>11650</v>
      </c>
      <c r="V616" t="s">
        <v>11650</v>
      </c>
      <c r="W616" t="s">
        <v>12255</v>
      </c>
      <c r="X616">
        <v>1</v>
      </c>
      <c r="Y616" t="s">
        <v>18016</v>
      </c>
      <c r="Z616" t="s">
        <v>23678</v>
      </c>
      <c r="AA616">
        <v>0.69822199133974627</v>
      </c>
      <c r="AB616" t="str">
        <f>HYPERLINK("Melting_Curves/meltCurve_F5H0K8_KSR1.pdf", "Melting_Curves/meltCurve_F5H0K8_KSR1.pdf")</f>
        <v>Melting_Curves/meltCurve_F5H0K8_KSR1.pdf</v>
      </c>
    </row>
    <row r="617" spans="1:28" x14ac:dyDescent="0.25">
      <c r="A617" t="s">
        <v>621</v>
      </c>
      <c r="B617">
        <v>0.99996721820229495</v>
      </c>
      <c r="C617">
        <v>0.86825133476666105</v>
      </c>
      <c r="D617">
        <v>0.98362317645160802</v>
      </c>
      <c r="E617">
        <v>1.1350646408823599</v>
      </c>
      <c r="F617">
        <v>0.44795539459827</v>
      </c>
      <c r="G617">
        <v>0.369216449243779</v>
      </c>
      <c r="H617">
        <v>0.223263172478986</v>
      </c>
      <c r="I617">
        <v>0.14055285309026899</v>
      </c>
      <c r="J617">
        <v>0.11559795029896799</v>
      </c>
      <c r="K617">
        <v>9.8953361394240297E-2</v>
      </c>
      <c r="L617">
        <v>13209.774707975699</v>
      </c>
      <c r="M617">
        <v>250</v>
      </c>
      <c r="N617">
        <v>52.939995661273002</v>
      </c>
      <c r="O617">
        <v>52.835718603624002</v>
      </c>
      <c r="P617">
        <v>-0.95873034392265299</v>
      </c>
      <c r="Q617">
        <v>0.18951671148757401</v>
      </c>
      <c r="R617">
        <v>0.94465426697672406</v>
      </c>
      <c r="S617" t="s">
        <v>6443</v>
      </c>
      <c r="T617" t="s">
        <v>11650</v>
      </c>
      <c r="U617" t="s">
        <v>11650</v>
      </c>
      <c r="V617" t="s">
        <v>11650</v>
      </c>
      <c r="W617" t="s">
        <v>12256</v>
      </c>
      <c r="X617">
        <v>28</v>
      </c>
      <c r="Y617" t="s">
        <v>18017</v>
      </c>
      <c r="Z617" t="s">
        <v>23679</v>
      </c>
      <c r="AA617">
        <v>0.53645437048584099</v>
      </c>
      <c r="AB617" t="str">
        <f>HYPERLINK("Melting_Curves/meltCurve_F5H0L8_SEC23IP.pdf", "Melting_Curves/meltCurve_F5H0L8_SEC23IP.pdf")</f>
        <v>Melting_Curves/meltCurve_F5H0L8_SEC23IP.pdf</v>
      </c>
    </row>
    <row r="618" spans="1:28" x14ac:dyDescent="0.25">
      <c r="A618" t="s">
        <v>622</v>
      </c>
      <c r="B618">
        <v>0.99996721820229495</v>
      </c>
      <c r="C618">
        <v>1.16822995674729</v>
      </c>
      <c r="D618">
        <v>0.89155736067491598</v>
      </c>
      <c r="E618">
        <v>0.644013373649161</v>
      </c>
      <c r="F618">
        <v>0.84234832243257396</v>
      </c>
      <c r="G618">
        <v>0.32339224295172098</v>
      </c>
      <c r="H618">
        <v>0.28734123865758199</v>
      </c>
      <c r="I618">
        <v>0.112275373939903</v>
      </c>
      <c r="J618">
        <v>7.8825897352626795E-2</v>
      </c>
      <c r="K618">
        <v>8.7245465470122102E-2</v>
      </c>
      <c r="L618">
        <v>734.27596687759296</v>
      </c>
      <c r="M618">
        <v>13.217022762467099</v>
      </c>
      <c r="N618">
        <v>55.5553325275893</v>
      </c>
      <c r="O618">
        <v>54.329739384956298</v>
      </c>
      <c r="P618">
        <v>-6.0828618748398497E-2</v>
      </c>
      <c r="Q618">
        <v>0</v>
      </c>
      <c r="R618">
        <v>0.92522461491030905</v>
      </c>
      <c r="S618" t="s">
        <v>6444</v>
      </c>
      <c r="T618" t="s">
        <v>11650</v>
      </c>
      <c r="U618" t="s">
        <v>11650</v>
      </c>
      <c r="V618" t="s">
        <v>11650</v>
      </c>
      <c r="W618" t="s">
        <v>12257</v>
      </c>
      <c r="X618">
        <v>2</v>
      </c>
      <c r="Y618" t="s">
        <v>18018</v>
      </c>
      <c r="Z618" t="s">
        <v>23680</v>
      </c>
      <c r="AA618">
        <v>0.53903577204646724</v>
      </c>
      <c r="AB618" t="str">
        <f>HYPERLINK("Melting_Curves/meltCurve_F5H148_RRN3.pdf", "Melting_Curves/meltCurve_F5H148_RRN3.pdf")</f>
        <v>Melting_Curves/meltCurve_F5H148_RRN3.pdf</v>
      </c>
    </row>
    <row r="619" spans="1:28" x14ac:dyDescent="0.25">
      <c r="A619" t="s">
        <v>623</v>
      </c>
      <c r="B619">
        <v>0.99996721820229495</v>
      </c>
      <c r="C619">
        <v>0.81455744993513102</v>
      </c>
      <c r="D619">
        <v>1.0807855158147801</v>
      </c>
      <c r="E619">
        <v>1.42399450239034</v>
      </c>
      <c r="F619">
        <v>1.9747392392858401</v>
      </c>
      <c r="G619">
        <v>2.9612321483946</v>
      </c>
      <c r="H619">
        <v>1.9243366269553199</v>
      </c>
      <c r="I619">
        <v>0.28074759693946</v>
      </c>
      <c r="J619">
        <v>0.13994834707102799</v>
      </c>
      <c r="K619">
        <v>0.119991120967643</v>
      </c>
      <c r="L619">
        <v>15000</v>
      </c>
      <c r="M619">
        <v>235.93428044619799</v>
      </c>
      <c r="N619">
        <v>63.658171258603303</v>
      </c>
      <c r="O619">
        <v>63.5724585161148</v>
      </c>
      <c r="P619">
        <v>-0.80732652489228096</v>
      </c>
      <c r="Q619">
        <v>0.129863929674088</v>
      </c>
      <c r="R619">
        <v>0.22810355964241699</v>
      </c>
      <c r="S619" t="s">
        <v>6445</v>
      </c>
      <c r="T619" t="s">
        <v>11650</v>
      </c>
      <c r="U619" t="s">
        <v>11650</v>
      </c>
      <c r="V619" t="s">
        <v>11650</v>
      </c>
      <c r="W619" t="s">
        <v>12258</v>
      </c>
      <c r="X619">
        <v>1</v>
      </c>
      <c r="Y619" t="s">
        <v>18019</v>
      </c>
      <c r="Z619" t="s">
        <v>23681</v>
      </c>
      <c r="AA619">
        <v>0.81381364694989533</v>
      </c>
      <c r="AB619" t="str">
        <f>HYPERLINK("Melting_Curves/meltCurve_F5H1C6_FERMT3.pdf", "Melting_Curves/meltCurve_F5H1C6_FERMT3.pdf")</f>
        <v>Melting_Curves/meltCurve_F5H1C6_FERMT3.pdf</v>
      </c>
    </row>
    <row r="620" spans="1:28" x14ac:dyDescent="0.25">
      <c r="A620" t="s">
        <v>624</v>
      </c>
      <c r="B620">
        <v>0.99996721820229495</v>
      </c>
      <c r="C620">
        <v>0.90295652426967199</v>
      </c>
      <c r="D620">
        <v>0.87027763470074104</v>
      </c>
      <c r="E620">
        <v>1.08516578690077</v>
      </c>
      <c r="F620">
        <v>1.16881151831344</v>
      </c>
      <c r="G620">
        <v>1.14965004860034</v>
      </c>
      <c r="H620">
        <v>0.66013632397917599</v>
      </c>
      <c r="I620">
        <v>0.41845953685633203</v>
      </c>
      <c r="J620">
        <v>0.31443187855509303</v>
      </c>
      <c r="K620">
        <v>0.31322467357043998</v>
      </c>
      <c r="L620">
        <v>4031.33016892463</v>
      </c>
      <c r="M620">
        <v>66.045195057675798</v>
      </c>
      <c r="N620">
        <v>62.083423281860497</v>
      </c>
      <c r="O620">
        <v>60.983081381467599</v>
      </c>
      <c r="P620">
        <v>-0.17994102272019999</v>
      </c>
      <c r="Q620">
        <v>0.335403364098177</v>
      </c>
      <c r="R620">
        <v>0.91244243061792696</v>
      </c>
      <c r="S620" t="s">
        <v>6446</v>
      </c>
      <c r="T620" t="s">
        <v>11650</v>
      </c>
      <c r="U620" t="s">
        <v>11650</v>
      </c>
      <c r="V620" t="s">
        <v>11650</v>
      </c>
      <c r="W620" t="s">
        <v>12259</v>
      </c>
      <c r="X620">
        <v>12</v>
      </c>
      <c r="Y620" t="s">
        <v>18020</v>
      </c>
      <c r="Z620" t="s">
        <v>23682</v>
      </c>
      <c r="AA620">
        <v>0.80250131990054885</v>
      </c>
      <c r="AB620" t="str">
        <f>HYPERLINK("Melting_Curves/meltCurve_F5H1F3_FBLN2.pdf", "Melting_Curves/meltCurve_F5H1F3_FBLN2.pdf")</f>
        <v>Melting_Curves/meltCurve_F5H1F3_FBLN2.pdf</v>
      </c>
    </row>
    <row r="621" spans="1:28" x14ac:dyDescent="0.25">
      <c r="A621" t="s">
        <v>625</v>
      </c>
      <c r="B621">
        <v>0.99996721820229495</v>
      </c>
      <c r="C621">
        <v>1.01537647835786</v>
      </c>
      <c r="D621">
        <v>1.02936129224631</v>
      </c>
      <c r="E621">
        <v>1.2232642522174899</v>
      </c>
      <c r="F621">
        <v>0.92239713766466602</v>
      </c>
      <c r="G621">
        <v>0.912101687645411</v>
      </c>
      <c r="H621">
        <v>0.59806123728437599</v>
      </c>
      <c r="I621">
        <v>0.44908325632630902</v>
      </c>
      <c r="J621">
        <v>0.36686754498864699</v>
      </c>
      <c r="K621">
        <v>0.30667321502647898</v>
      </c>
      <c r="L621">
        <v>1677.55188475251</v>
      </c>
      <c r="M621">
        <v>27.7228054085721</v>
      </c>
      <c r="N621">
        <v>62.686259190483597</v>
      </c>
      <c r="O621">
        <v>60.199411063715502</v>
      </c>
      <c r="P621">
        <v>-7.9568272575476801E-2</v>
      </c>
      <c r="Q621">
        <v>0.30888399980589498</v>
      </c>
      <c r="R621">
        <v>0.93876958947009004</v>
      </c>
      <c r="S621" t="s">
        <v>6447</v>
      </c>
      <c r="T621" t="s">
        <v>11650</v>
      </c>
      <c r="U621" t="s">
        <v>11650</v>
      </c>
      <c r="V621" t="s">
        <v>11650</v>
      </c>
      <c r="W621" t="s">
        <v>12260</v>
      </c>
      <c r="X621">
        <v>6</v>
      </c>
      <c r="Y621" t="s">
        <v>18021</v>
      </c>
      <c r="Z621" t="s">
        <v>23683</v>
      </c>
      <c r="AA621">
        <v>0.78579119484952309</v>
      </c>
      <c r="AB621" t="str">
        <f>HYPERLINK("Melting_Curves/meltCurve_F5H1G9_ABI1.pdf", "Melting_Curves/meltCurve_F5H1G9_ABI1.pdf")</f>
        <v>Melting_Curves/meltCurve_F5H1G9_ABI1.pdf</v>
      </c>
    </row>
    <row r="622" spans="1:28" x14ac:dyDescent="0.25">
      <c r="A622" t="s">
        <v>626</v>
      </c>
      <c r="B622">
        <v>0.99996721820229495</v>
      </c>
      <c r="C622">
        <v>0.80058116429377202</v>
      </c>
      <c r="D622">
        <v>0.97551481297998199</v>
      </c>
      <c r="E622">
        <v>1.26450329369894</v>
      </c>
      <c r="F622">
        <v>1.87431800337159</v>
      </c>
      <c r="G622">
        <v>2.1927027694148098</v>
      </c>
      <c r="H622">
        <v>1.3127370418417099</v>
      </c>
      <c r="I622">
        <v>0.98528141415590498</v>
      </c>
      <c r="J622">
        <v>0.83040397531458998</v>
      </c>
      <c r="K622">
        <v>0.97705315817802396</v>
      </c>
      <c r="L622">
        <v>2397.8160941189499</v>
      </c>
      <c r="M622">
        <v>36.333727346482</v>
      </c>
      <c r="O622">
        <v>65.795269149121694</v>
      </c>
      <c r="P622">
        <v>-1.24032088938737E-2</v>
      </c>
      <c r="Q622">
        <v>0.91015841197953495</v>
      </c>
      <c r="R622">
        <v>-0.24793532061014001</v>
      </c>
      <c r="S622" t="s">
        <v>6448</v>
      </c>
      <c r="T622" t="s">
        <v>11650</v>
      </c>
      <c r="U622" t="s">
        <v>11650</v>
      </c>
      <c r="V622" t="s">
        <v>11650</v>
      </c>
      <c r="W622" t="s">
        <v>12261</v>
      </c>
      <c r="X622">
        <v>3</v>
      </c>
      <c r="Y622" t="s">
        <v>18022</v>
      </c>
      <c r="Z622" t="s">
        <v>23684</v>
      </c>
      <c r="AA622">
        <v>0.98773291690068066</v>
      </c>
      <c r="AB622" t="str">
        <f>HYPERLINK("Melting_Curves/meltCurve_F5H1H0_L1CAM.pdf", "Melting_Curves/meltCurve_F5H1H0_L1CAM.pdf")</f>
        <v>Melting_Curves/meltCurve_F5H1H0_L1CAM.pdf</v>
      </c>
    </row>
    <row r="623" spans="1:28" x14ac:dyDescent="0.25">
      <c r="A623" t="s">
        <v>627</v>
      </c>
      <c r="B623">
        <v>0.99996721820229495</v>
      </c>
      <c r="C623">
        <v>0.69738164173844497</v>
      </c>
      <c r="D623">
        <v>0.55146827803259302</v>
      </c>
      <c r="E623">
        <v>0.338510553874173</v>
      </c>
      <c r="F623">
        <v>0.25951039430325001</v>
      </c>
      <c r="G623">
        <v>0.167741392656756</v>
      </c>
      <c r="H623">
        <v>9.7503238900657097E-2</v>
      </c>
      <c r="I623">
        <v>5.6212503415841199E-2</v>
      </c>
      <c r="J623">
        <v>4.4765141959106199E-2</v>
      </c>
      <c r="K623">
        <v>3.0753877971819801E-2</v>
      </c>
      <c r="L623">
        <v>554.01195713858601</v>
      </c>
      <c r="M623">
        <v>11.8036878130738</v>
      </c>
      <c r="N623">
        <v>47.177474041071498</v>
      </c>
      <c r="O623">
        <v>45.649111199524803</v>
      </c>
      <c r="P623">
        <v>-6.2761030250094899E-2</v>
      </c>
      <c r="Q623">
        <v>2.93711030135911E-2</v>
      </c>
      <c r="R623">
        <v>0.97998970961210996</v>
      </c>
      <c r="S623" t="s">
        <v>6449</v>
      </c>
      <c r="T623" t="s">
        <v>11650</v>
      </c>
      <c r="U623" t="s">
        <v>11650</v>
      </c>
      <c r="V623" t="s">
        <v>11650</v>
      </c>
      <c r="W623" t="s">
        <v>12262</v>
      </c>
      <c r="X623">
        <v>2</v>
      </c>
      <c r="Y623" t="s">
        <v>18023</v>
      </c>
      <c r="Z623" t="s">
        <v>23685</v>
      </c>
      <c r="AA623">
        <v>0.2959619769657007</v>
      </c>
      <c r="AB623" t="str">
        <f>HYPERLINK("Melting_Curves/meltCurve_F5H1M8_PCMTD1.pdf", "Melting_Curves/meltCurve_F5H1M8_PCMTD1.pdf")</f>
        <v>Melting_Curves/meltCurve_F5H1M8_PCMTD1.pdf</v>
      </c>
    </row>
    <row r="624" spans="1:28" x14ac:dyDescent="0.25">
      <c r="A624" t="s">
        <v>628</v>
      </c>
      <c r="B624">
        <v>0.99996721820229495</v>
      </c>
      <c r="C624">
        <v>0.97621172982544802</v>
      </c>
      <c r="D624">
        <v>1.15316314824027</v>
      </c>
      <c r="E624">
        <v>1.5112898787104501</v>
      </c>
      <c r="F624">
        <v>0.60584882591727096</v>
      </c>
      <c r="G624">
        <v>0.50869675870770004</v>
      </c>
      <c r="H624">
        <v>0.28754908641084498</v>
      </c>
      <c r="I624">
        <v>0.17619319794152899</v>
      </c>
      <c r="J624">
        <v>0.13448059007745</v>
      </c>
      <c r="K624">
        <v>0.12001083027527699</v>
      </c>
      <c r="L624">
        <v>1525.2397306518901</v>
      </c>
      <c r="M624">
        <v>27.297798811069399</v>
      </c>
      <c r="N624">
        <v>56.619004284125303</v>
      </c>
      <c r="O624">
        <v>55.576833699342302</v>
      </c>
      <c r="P624">
        <v>-0.10426950316302799</v>
      </c>
      <c r="Q624">
        <v>0.15086008886664501</v>
      </c>
      <c r="R624">
        <v>0.82105870635493905</v>
      </c>
      <c r="S624" t="s">
        <v>6450</v>
      </c>
      <c r="T624" t="s">
        <v>11650</v>
      </c>
      <c r="U624" t="s">
        <v>11650</v>
      </c>
      <c r="V624" t="s">
        <v>11650</v>
      </c>
      <c r="W624" t="s">
        <v>12263</v>
      </c>
      <c r="X624">
        <v>10</v>
      </c>
      <c r="Y624" t="s">
        <v>18024</v>
      </c>
      <c r="Z624" t="s">
        <v>23686</v>
      </c>
      <c r="AA624">
        <v>0.60688181017977139</v>
      </c>
      <c r="AB624" t="str">
        <f>HYPERLINK("Melting_Curves/meltCurve_F5H1X8_LRBA.pdf", "Melting_Curves/meltCurve_F5H1X8_LRBA.pdf")</f>
        <v>Melting_Curves/meltCurve_F5H1X8_LRBA.pdf</v>
      </c>
    </row>
    <row r="625" spans="1:28" x14ac:dyDescent="0.25">
      <c r="A625" t="s">
        <v>629</v>
      </c>
      <c r="B625">
        <v>0.99996721820229495</v>
      </c>
      <c r="C625">
        <v>0.99332594015467202</v>
      </c>
      <c r="D625">
        <v>0.67675618942529503</v>
      </c>
      <c r="E625">
        <v>0.23928075458005099</v>
      </c>
      <c r="F625">
        <v>0.280519767270417</v>
      </c>
      <c r="G625">
        <v>0.225826940197069</v>
      </c>
      <c r="H625">
        <v>0.14446830933956201</v>
      </c>
      <c r="I625">
        <v>9.5341453835034007E-2</v>
      </c>
      <c r="J625">
        <v>6.9551415818005294E-2</v>
      </c>
      <c r="K625">
        <v>5.9031160104484802E-2</v>
      </c>
      <c r="L625">
        <v>1208.6069147660301</v>
      </c>
      <c r="M625">
        <v>25.670295322164101</v>
      </c>
      <c r="N625">
        <v>47.630004737894303</v>
      </c>
      <c r="O625">
        <v>46.798971809601802</v>
      </c>
      <c r="P625">
        <v>-0.11959613669340401</v>
      </c>
      <c r="Q625">
        <v>0.12787749449852001</v>
      </c>
      <c r="R625">
        <v>0.97205940138810798</v>
      </c>
      <c r="S625" t="s">
        <v>6451</v>
      </c>
      <c r="T625" t="s">
        <v>11650</v>
      </c>
      <c r="U625" t="s">
        <v>11650</v>
      </c>
      <c r="V625" t="s">
        <v>11650</v>
      </c>
      <c r="W625" t="s">
        <v>12264</v>
      </c>
      <c r="X625">
        <v>14</v>
      </c>
      <c r="Y625" t="s">
        <v>18025</v>
      </c>
      <c r="Z625" t="s">
        <v>23687</v>
      </c>
      <c r="AA625">
        <v>0.34109022057627508</v>
      </c>
      <c r="AB625" t="str">
        <f>HYPERLINK("Melting_Curves/meltCurve_F5H1Y4_GOPC.pdf", "Melting_Curves/meltCurve_F5H1Y4_GOPC.pdf")</f>
        <v>Melting_Curves/meltCurve_F5H1Y4_GOPC.pdf</v>
      </c>
    </row>
    <row r="626" spans="1:28" x14ac:dyDescent="0.25">
      <c r="A626" t="s">
        <v>630</v>
      </c>
      <c r="B626">
        <v>0.99996721820229495</v>
      </c>
      <c r="C626">
        <v>0.93213591963741205</v>
      </c>
      <c r="D626">
        <v>1.02731515714479</v>
      </c>
      <c r="E626">
        <v>1.0756269308640301</v>
      </c>
      <c r="F626">
        <v>1.32576319681459</v>
      </c>
      <c r="G626">
        <v>1.0552614224375101</v>
      </c>
      <c r="H626">
        <v>0.89354118019762296</v>
      </c>
      <c r="I626">
        <v>0.48142096230026599</v>
      </c>
      <c r="J626">
        <v>0.39756243676693198</v>
      </c>
      <c r="K626">
        <v>0.434011519466874</v>
      </c>
      <c r="L626">
        <v>4717.7076475254098</v>
      </c>
      <c r="M626">
        <v>75.820862773111202</v>
      </c>
      <c r="N626">
        <v>63.715677323082502</v>
      </c>
      <c r="O626">
        <v>62.1785180346915</v>
      </c>
      <c r="P626">
        <v>-0.17818820991825901</v>
      </c>
      <c r="Q626">
        <v>0.41549190387235602</v>
      </c>
      <c r="R626">
        <v>0.86457423869670802</v>
      </c>
      <c r="S626" t="s">
        <v>6452</v>
      </c>
      <c r="T626" t="s">
        <v>11650</v>
      </c>
      <c r="U626" t="s">
        <v>11650</v>
      </c>
      <c r="V626" t="s">
        <v>11650</v>
      </c>
      <c r="W626" t="s">
        <v>12265</v>
      </c>
      <c r="X626">
        <v>1</v>
      </c>
      <c r="Y626" t="s">
        <v>18026</v>
      </c>
      <c r="Z626" t="s">
        <v>23688</v>
      </c>
      <c r="AA626">
        <v>0.8491427559061494</v>
      </c>
      <c r="AB626" t="str">
        <f>HYPERLINK("Melting_Curves/meltCurve_F5H280_WSB2.pdf", "Melting_Curves/meltCurve_F5H280_WSB2.pdf")</f>
        <v>Melting_Curves/meltCurve_F5H280_WSB2.pdf</v>
      </c>
    </row>
    <row r="627" spans="1:28" x14ac:dyDescent="0.25">
      <c r="A627" t="s">
        <v>631</v>
      </c>
      <c r="B627">
        <v>0.99996721820229495</v>
      </c>
      <c r="C627">
        <v>0.596961968250318</v>
      </c>
      <c r="D627">
        <v>0.32750227819998801</v>
      </c>
      <c r="E627">
        <v>0.270938558992526</v>
      </c>
      <c r="F627">
        <v>0.30994297726247</v>
      </c>
      <c r="G627">
        <v>0.25468833540475599</v>
      </c>
      <c r="H627">
        <v>0.16981758665049701</v>
      </c>
      <c r="I627">
        <v>0.14576574065039599</v>
      </c>
      <c r="J627">
        <v>0.13675907987113101</v>
      </c>
      <c r="K627">
        <v>0.135994153969654</v>
      </c>
      <c r="L627">
        <v>1334.4411388938199</v>
      </c>
      <c r="M627">
        <v>30.950201523941701</v>
      </c>
      <c r="N627">
        <v>43.852589143683197</v>
      </c>
      <c r="O627">
        <v>42.936952651542398</v>
      </c>
      <c r="P627">
        <v>-0.143670606347541</v>
      </c>
      <c r="Q627">
        <v>0.202752522456392</v>
      </c>
      <c r="R627">
        <v>0.94548578089275903</v>
      </c>
      <c r="S627" t="s">
        <v>6453</v>
      </c>
      <c r="T627" t="s">
        <v>11650</v>
      </c>
      <c r="U627" t="s">
        <v>11650</v>
      </c>
      <c r="V627" t="s">
        <v>11650</v>
      </c>
      <c r="W627" t="s">
        <v>12266</v>
      </c>
      <c r="X627">
        <v>11</v>
      </c>
      <c r="Y627" t="s">
        <v>18027</v>
      </c>
      <c r="Z627" t="s">
        <v>23689</v>
      </c>
      <c r="AA627">
        <v>0.2921306807640443</v>
      </c>
      <c r="AB627" t="str">
        <f>HYPERLINK("Melting_Curves/meltCurve_F5H2H5_ANKLE2.pdf", "Melting_Curves/meltCurve_F5H2H5_ANKLE2.pdf")</f>
        <v>Melting_Curves/meltCurve_F5H2H5_ANKLE2.pdf</v>
      </c>
    </row>
    <row r="628" spans="1:28" x14ac:dyDescent="0.25">
      <c r="A628" t="s">
        <v>632</v>
      </c>
      <c r="B628">
        <v>0.99996721820229495</v>
      </c>
      <c r="C628">
        <v>1.1103386166062399</v>
      </c>
      <c r="D628">
        <v>1.04299085449528</v>
      </c>
      <c r="E628">
        <v>1.1476766828140299</v>
      </c>
      <c r="F628">
        <v>1.3176858492741901</v>
      </c>
      <c r="G628">
        <v>1.30937735789262</v>
      </c>
      <c r="H628">
        <v>0.89844689747364703</v>
      </c>
      <c r="I628">
        <v>0.39263047840542298</v>
      </c>
      <c r="J628">
        <v>0.20326737422947899</v>
      </c>
      <c r="K628">
        <v>0.22362891978931601</v>
      </c>
      <c r="L628">
        <v>4243.9092786843903</v>
      </c>
      <c r="M628">
        <v>67.544408477180198</v>
      </c>
      <c r="N628">
        <v>63.3388425140338</v>
      </c>
      <c r="O628">
        <v>62.776385325713697</v>
      </c>
      <c r="P628">
        <v>-0.2127790818112</v>
      </c>
      <c r="Q628">
        <v>0.20896497495365701</v>
      </c>
      <c r="R628">
        <v>0.859790969766275</v>
      </c>
      <c r="S628" t="s">
        <v>6454</v>
      </c>
      <c r="T628" t="s">
        <v>11650</v>
      </c>
      <c r="U628" t="s">
        <v>11650</v>
      </c>
      <c r="V628" t="s">
        <v>11650</v>
      </c>
      <c r="W628" t="s">
        <v>12267</v>
      </c>
      <c r="X628">
        <v>5</v>
      </c>
      <c r="Y628" t="s">
        <v>18028</v>
      </c>
      <c r="Z628" t="s">
        <v>23690</v>
      </c>
      <c r="AA628">
        <v>0.81214648992902594</v>
      </c>
      <c r="AB628" t="str">
        <f>HYPERLINK("Melting_Curves/meltCurve_F5H2J3_VMP1.pdf", "Melting_Curves/meltCurve_F5H2J3_VMP1.pdf")</f>
        <v>Melting_Curves/meltCurve_F5H2J3_VMP1.pdf</v>
      </c>
    </row>
    <row r="629" spans="1:28" x14ac:dyDescent="0.25">
      <c r="A629" t="s">
        <v>633</v>
      </c>
      <c r="B629">
        <v>0.99996721820229495</v>
      </c>
      <c r="C629">
        <v>0.95547237350438297</v>
      </c>
      <c r="D629">
        <v>1.2061221685965</v>
      </c>
      <c r="E629">
        <v>1.36288161977001</v>
      </c>
      <c r="F629">
        <v>1.65040189438283</v>
      </c>
      <c r="G629">
        <v>1.6375386861838801</v>
      </c>
      <c r="H629">
        <v>0.92677156727366805</v>
      </c>
      <c r="I629">
        <v>0.44066301090841897</v>
      </c>
      <c r="J629">
        <v>0.23096491343407</v>
      </c>
      <c r="K629">
        <v>0.175011735668368</v>
      </c>
      <c r="L629">
        <v>4249.1267254501099</v>
      </c>
      <c r="M629">
        <v>67.202666188755501</v>
      </c>
      <c r="N629">
        <v>63.690193389101701</v>
      </c>
      <c r="O629">
        <v>63.172624922530403</v>
      </c>
      <c r="P629">
        <v>-0.21467369447749801</v>
      </c>
      <c r="Q629">
        <v>0.19280004873911499</v>
      </c>
      <c r="R629">
        <v>0.60943468431222203</v>
      </c>
      <c r="S629" t="s">
        <v>6455</v>
      </c>
      <c r="T629" t="s">
        <v>11650</v>
      </c>
      <c r="U629" t="s">
        <v>11650</v>
      </c>
      <c r="V629" t="s">
        <v>11650</v>
      </c>
      <c r="W629" t="s">
        <v>12268</v>
      </c>
      <c r="X629">
        <v>13</v>
      </c>
      <c r="Y629" t="s">
        <v>18029</v>
      </c>
      <c r="Z629" t="s">
        <v>23691</v>
      </c>
      <c r="AA629">
        <v>0.81899763098124967</v>
      </c>
      <c r="AB629" t="str">
        <f>HYPERLINK("Melting_Curves/meltCurve_F5H2Q7_KIAA1715.pdf", "Melting_Curves/meltCurve_F5H2Q7_KIAA1715.pdf")</f>
        <v>Melting_Curves/meltCurve_F5H2Q7_KIAA1715.pdf</v>
      </c>
    </row>
    <row r="630" spans="1:28" x14ac:dyDescent="0.25">
      <c r="A630" t="s">
        <v>634</v>
      </c>
      <c r="B630">
        <v>0.99996721820229495</v>
      </c>
      <c r="C630">
        <v>1.02356879597823</v>
      </c>
      <c r="D630">
        <v>1.0859219569826599</v>
      </c>
      <c r="E630">
        <v>1.5509492385774499</v>
      </c>
      <c r="F630">
        <v>1.33173550714315</v>
      </c>
      <c r="G630">
        <v>1.36067446224217</v>
      </c>
      <c r="H630">
        <v>1.13635621397871</v>
      </c>
      <c r="I630">
        <v>1.1418535864092501</v>
      </c>
      <c r="J630">
        <v>0.89647762934020103</v>
      </c>
      <c r="K630">
        <v>0.67957395411639199</v>
      </c>
      <c r="L630">
        <v>15000</v>
      </c>
      <c r="M630">
        <v>223.140594186653</v>
      </c>
      <c r="O630">
        <v>67.216807059287802</v>
      </c>
      <c r="P630">
        <v>-0.26596947351828198</v>
      </c>
      <c r="Q630">
        <v>0.67952733841149904</v>
      </c>
      <c r="R630">
        <v>-5.79108174840786E-2</v>
      </c>
      <c r="S630" t="s">
        <v>6456</v>
      </c>
      <c r="T630" t="s">
        <v>11650</v>
      </c>
      <c r="U630" t="s">
        <v>11650</v>
      </c>
      <c r="V630" t="s">
        <v>11650</v>
      </c>
      <c r="W630" t="s">
        <v>12269</v>
      </c>
      <c r="X630">
        <v>27</v>
      </c>
      <c r="Y630" t="s">
        <v>18030</v>
      </c>
      <c r="Z630" t="s">
        <v>23692</v>
      </c>
      <c r="AA630">
        <v>0.97037324604471209</v>
      </c>
      <c r="AB630" t="str">
        <f>HYPERLINK("Melting_Curves/meltCurve_F5H2S7_DCTN2.pdf", "Melting_Curves/meltCurve_F5H2S7_DCTN2.pdf")</f>
        <v>Melting_Curves/meltCurve_F5H2S7_DCTN2.pdf</v>
      </c>
    </row>
    <row r="631" spans="1:28" x14ac:dyDescent="0.25">
      <c r="A631" t="s">
        <v>635</v>
      </c>
      <c r="B631">
        <v>0.99996721820229495</v>
      </c>
      <c r="C631">
        <v>0.80001678703699897</v>
      </c>
      <c r="D631">
        <v>0.65802549807705901</v>
      </c>
      <c r="E631">
        <v>1.0597477172596901</v>
      </c>
      <c r="F631">
        <v>1.6305224703558201</v>
      </c>
      <c r="G631">
        <v>1.6518775513010999</v>
      </c>
      <c r="H631">
        <v>1.4429992289348901</v>
      </c>
      <c r="I631">
        <v>1.2351019871071001</v>
      </c>
      <c r="J631">
        <v>0.83312869424615799</v>
      </c>
      <c r="K631">
        <v>1.17967070025714</v>
      </c>
      <c r="L631">
        <v>12575.248422336699</v>
      </c>
      <c r="M631">
        <v>250</v>
      </c>
      <c r="O631">
        <v>50.297782482913597</v>
      </c>
      <c r="P631">
        <v>0.40867026723869698</v>
      </c>
      <c r="Q631">
        <v>1.3288832805742901</v>
      </c>
      <c r="R631">
        <v>0.40120794399451798</v>
      </c>
      <c r="S631" t="s">
        <v>6457</v>
      </c>
      <c r="T631" t="s">
        <v>11650</v>
      </c>
      <c r="U631" t="s">
        <v>11650</v>
      </c>
      <c r="V631" t="s">
        <v>11650</v>
      </c>
      <c r="W631" t="s">
        <v>12270</v>
      </c>
      <c r="X631">
        <v>2</v>
      </c>
      <c r="Y631" t="s">
        <v>18031</v>
      </c>
      <c r="Z631" t="s">
        <v>23693</v>
      </c>
      <c r="AA631">
        <v>1.215926761002379</v>
      </c>
      <c r="AB631" t="str">
        <f>HYPERLINK("Melting_Curves/meltCurve_F5H2U8_HMGA2.pdf", "Melting_Curves/meltCurve_F5H2U8_HMGA2.pdf")</f>
        <v>Melting_Curves/meltCurve_F5H2U8_HMGA2.pdf</v>
      </c>
    </row>
    <row r="632" spans="1:28" x14ac:dyDescent="0.25">
      <c r="A632" t="s">
        <v>636</v>
      </c>
      <c r="B632">
        <v>0.99996721820229495</v>
      </c>
      <c r="C632">
        <v>0.95491869832685705</v>
      </c>
      <c r="D632">
        <v>0.93472895547398505</v>
      </c>
      <c r="E632">
        <v>0.88074449779029296</v>
      </c>
      <c r="F632">
        <v>0.92300093534671601</v>
      </c>
      <c r="G632">
        <v>0.85686928586246802</v>
      </c>
      <c r="H632">
        <v>0.54156902966091403</v>
      </c>
      <c r="I632">
        <v>0.308531234810064</v>
      </c>
      <c r="J632">
        <v>0.22608422914999601</v>
      </c>
      <c r="K632">
        <v>0.222176229537207</v>
      </c>
      <c r="L632">
        <v>1447.4389460533801</v>
      </c>
      <c r="M632">
        <v>24.002818387420199</v>
      </c>
      <c r="N632">
        <v>61.359677687587599</v>
      </c>
      <c r="O632">
        <v>59.888984498713597</v>
      </c>
      <c r="P632">
        <v>-8.3234874289246405E-2</v>
      </c>
      <c r="Q632">
        <v>0.16930200737454901</v>
      </c>
      <c r="R632">
        <v>0.97516777981408598</v>
      </c>
      <c r="S632" t="s">
        <v>6458</v>
      </c>
      <c r="T632" t="s">
        <v>11650</v>
      </c>
      <c r="U632" t="s">
        <v>11650</v>
      </c>
      <c r="V632" t="s">
        <v>11650</v>
      </c>
      <c r="W632" t="s">
        <v>12271</v>
      </c>
      <c r="X632">
        <v>7</v>
      </c>
      <c r="Y632" t="s">
        <v>18032</v>
      </c>
      <c r="Z632" t="s">
        <v>23694</v>
      </c>
      <c r="AA632">
        <v>0.73756970895384977</v>
      </c>
      <c r="AB632" t="str">
        <f>HYPERLINK("Melting_Curves/meltCurve_F5H2X3_NRP2.pdf", "Melting_Curves/meltCurve_F5H2X3_NRP2.pdf")</f>
        <v>Melting_Curves/meltCurve_F5H2X3_NRP2.pdf</v>
      </c>
    </row>
    <row r="633" spans="1:28" x14ac:dyDescent="0.25">
      <c r="A633" t="s">
        <v>637</v>
      </c>
      <c r="B633">
        <v>0.99996721820229495</v>
      </c>
      <c r="C633">
        <v>1.0135949812505201</v>
      </c>
      <c r="D633">
        <v>0.86650519896273304</v>
      </c>
      <c r="E633">
        <v>0.64184464039290101</v>
      </c>
      <c r="F633">
        <v>0.58992588958705305</v>
      </c>
      <c r="G633">
        <v>0.54886922427959695</v>
      </c>
      <c r="H633">
        <v>0.383572670242049</v>
      </c>
      <c r="I633">
        <v>0.30163935322616098</v>
      </c>
      <c r="J633">
        <v>0.29640619867415602</v>
      </c>
      <c r="K633">
        <v>0.25239380701962399</v>
      </c>
      <c r="L633">
        <v>536.79225686603104</v>
      </c>
      <c r="M633">
        <v>10.1058814400923</v>
      </c>
      <c r="N633">
        <v>56.035226333032398</v>
      </c>
      <c r="O633">
        <v>51.162777403024002</v>
      </c>
      <c r="P633">
        <v>-3.92952485243881E-2</v>
      </c>
      <c r="Q633">
        <v>0.20461551218142399</v>
      </c>
      <c r="R633">
        <v>0.97198906055675705</v>
      </c>
      <c r="S633" t="s">
        <v>6459</v>
      </c>
      <c r="T633" t="s">
        <v>11650</v>
      </c>
      <c r="U633" t="s">
        <v>11650</v>
      </c>
      <c r="V633" t="s">
        <v>11650</v>
      </c>
      <c r="W633" t="s">
        <v>12272</v>
      </c>
      <c r="X633">
        <v>8</v>
      </c>
      <c r="Y633" t="s">
        <v>18033</v>
      </c>
      <c r="Z633" t="s">
        <v>23695</v>
      </c>
      <c r="AA633">
        <v>0.57898044916481017</v>
      </c>
      <c r="AB633" t="str">
        <f>HYPERLINK("Melting_Curves/meltCurve_F5H357_RBPMS.pdf", "Melting_Curves/meltCurve_F5H357_RBPMS.pdf")</f>
        <v>Melting_Curves/meltCurve_F5H357_RBPMS.pdf</v>
      </c>
    </row>
    <row r="634" spans="1:28" x14ac:dyDescent="0.25">
      <c r="A634" t="s">
        <v>638</v>
      </c>
      <c r="B634">
        <v>0.99996721820229495</v>
      </c>
      <c r="C634">
        <v>0.95161059331862097</v>
      </c>
      <c r="D634">
        <v>1.0341525240574601</v>
      </c>
      <c r="E634">
        <v>0.96452865354964301</v>
      </c>
      <c r="F634">
        <v>0.42926995141237101</v>
      </c>
      <c r="G634">
        <v>0.349552466761203</v>
      </c>
      <c r="H634">
        <v>0.220791209220005</v>
      </c>
      <c r="I634">
        <v>0.15044564249268999</v>
      </c>
      <c r="J634">
        <v>0.117454035825365</v>
      </c>
      <c r="K634">
        <v>8.9548614646558194E-2</v>
      </c>
      <c r="L634">
        <v>2833.10509632405</v>
      </c>
      <c r="M634">
        <v>54.189902448437003</v>
      </c>
      <c r="N634">
        <v>52.719457945924702</v>
      </c>
      <c r="O634">
        <v>52.210001971599802</v>
      </c>
      <c r="P634">
        <v>-0.212414078901764</v>
      </c>
      <c r="Q634">
        <v>0.181387569141894</v>
      </c>
      <c r="R634">
        <v>0.969797622862687</v>
      </c>
      <c r="S634" t="s">
        <v>6460</v>
      </c>
      <c r="T634" t="s">
        <v>11650</v>
      </c>
      <c r="U634" t="s">
        <v>11650</v>
      </c>
      <c r="V634" t="s">
        <v>11650</v>
      </c>
      <c r="W634" t="s">
        <v>12273</v>
      </c>
      <c r="X634">
        <v>23</v>
      </c>
      <c r="Y634" t="s">
        <v>18034</v>
      </c>
      <c r="Z634" t="s">
        <v>23696</v>
      </c>
      <c r="AA634">
        <v>0.51810741650716274</v>
      </c>
      <c r="AB634" t="str">
        <f>HYPERLINK("Melting_Curves/meltCurve_F5H365_SEC23A.pdf", "Melting_Curves/meltCurve_F5H365_SEC23A.pdf")</f>
        <v>Melting_Curves/meltCurve_F5H365_SEC23A.pdf</v>
      </c>
    </row>
    <row r="635" spans="1:28" x14ac:dyDescent="0.25">
      <c r="A635" t="s">
        <v>639</v>
      </c>
      <c r="B635">
        <v>0.99996721820229495</v>
      </c>
      <c r="C635">
        <v>0.93835551474418399</v>
      </c>
      <c r="D635">
        <v>0.86136131912877101</v>
      </c>
      <c r="E635">
        <v>0.83738261056256702</v>
      </c>
      <c r="F635">
        <v>0.85865896021617405</v>
      </c>
      <c r="G635">
        <v>0.70217068250999204</v>
      </c>
      <c r="H635">
        <v>0.55726231187233299</v>
      </c>
      <c r="I635">
        <v>0.471427867863151</v>
      </c>
      <c r="J635">
        <v>0.38912005823033602</v>
      </c>
      <c r="K635">
        <v>0.27494577428064099</v>
      </c>
      <c r="L635">
        <v>472.93682602614899</v>
      </c>
      <c r="M635">
        <v>7.5344938679698501</v>
      </c>
      <c r="N635">
        <v>62.769554175047702</v>
      </c>
      <c r="O635">
        <v>58.804678238184103</v>
      </c>
      <c r="P635">
        <v>-3.2077137434922798E-2</v>
      </c>
      <c r="Q635">
        <v>0</v>
      </c>
      <c r="R635">
        <v>0.97511744516754695</v>
      </c>
      <c r="S635" t="s">
        <v>6461</v>
      </c>
      <c r="T635" t="s">
        <v>11650</v>
      </c>
      <c r="U635" t="s">
        <v>11650</v>
      </c>
      <c r="V635" t="s">
        <v>11650</v>
      </c>
      <c r="W635" t="s">
        <v>12274</v>
      </c>
      <c r="X635">
        <v>3</v>
      </c>
      <c r="Y635" t="s">
        <v>18035</v>
      </c>
      <c r="Z635" t="s">
        <v>23697</v>
      </c>
      <c r="AA635">
        <v>0.70783499402275796</v>
      </c>
      <c r="AB635" t="str">
        <f>HYPERLINK("Melting_Curves/meltCurve_F5H3B6_SHROOM2.pdf", "Melting_Curves/meltCurve_F5H3B6_SHROOM2.pdf")</f>
        <v>Melting_Curves/meltCurve_F5H3B6_SHROOM2.pdf</v>
      </c>
    </row>
    <row r="636" spans="1:28" x14ac:dyDescent="0.25">
      <c r="A636" t="s">
        <v>640</v>
      </c>
      <c r="B636">
        <v>0.99996721820229495</v>
      </c>
      <c r="C636">
        <v>1.1348583715891201</v>
      </c>
      <c r="D636">
        <v>1.2537875284717801</v>
      </c>
      <c r="E636">
        <v>1.12291658597042</v>
      </c>
      <c r="F636">
        <v>1.5276934504070401</v>
      </c>
      <c r="G636">
        <v>1.69130462892806</v>
      </c>
      <c r="H636">
        <v>0.986811932492628</v>
      </c>
      <c r="I636">
        <v>0.965144188956094</v>
      </c>
      <c r="J636">
        <v>0.64114739013169697</v>
      </c>
      <c r="K636">
        <v>0.70085143512504899</v>
      </c>
      <c r="L636">
        <v>15000</v>
      </c>
      <c r="M636">
        <v>232.24440164058399</v>
      </c>
      <c r="O636">
        <v>64.582343572967503</v>
      </c>
      <c r="P636">
        <v>-0.295807386432557</v>
      </c>
      <c r="Q636">
        <v>0.67096844375934805</v>
      </c>
      <c r="R636">
        <v>0.116371708400649</v>
      </c>
      <c r="S636" t="s">
        <v>6462</v>
      </c>
      <c r="T636" t="s">
        <v>11650</v>
      </c>
      <c r="U636" t="s">
        <v>11650</v>
      </c>
      <c r="V636" t="s">
        <v>11650</v>
      </c>
      <c r="W636" t="s">
        <v>12275</v>
      </c>
      <c r="X636">
        <v>1</v>
      </c>
      <c r="Y636" t="s">
        <v>18036</v>
      </c>
      <c r="Z636" t="s">
        <v>23698</v>
      </c>
      <c r="AA636">
        <v>0.94067641317446948</v>
      </c>
      <c r="AB636" t="str">
        <f>HYPERLINK("Melting_Curves/meltCurve_F5H3M3_MANSC1.pdf", "Melting_Curves/meltCurve_F5H3M3_MANSC1.pdf")</f>
        <v>Melting_Curves/meltCurve_F5H3M3_MANSC1.pdf</v>
      </c>
    </row>
    <row r="637" spans="1:28" x14ac:dyDescent="0.25">
      <c r="A637" t="s">
        <v>641</v>
      </c>
      <c r="B637">
        <v>0.99996721820229495</v>
      </c>
      <c r="C637">
        <v>0.88760335621338604</v>
      </c>
      <c r="D637">
        <v>0.91577351321599398</v>
      </c>
      <c r="E637">
        <v>0.741591554061933</v>
      </c>
      <c r="F637">
        <v>0.35572120984365202</v>
      </c>
      <c r="G637">
        <v>0.25823887772670101</v>
      </c>
      <c r="H637">
        <v>0.151170737834601</v>
      </c>
      <c r="I637">
        <v>8.2999892003442599E-2</v>
      </c>
      <c r="J637">
        <v>4.5078808505589998E-2</v>
      </c>
      <c r="K637">
        <v>4.6232702788445601E-2</v>
      </c>
      <c r="L637">
        <v>871.27173799478305</v>
      </c>
      <c r="M637">
        <v>16.768676817661401</v>
      </c>
      <c r="N637">
        <v>52.248393233244101</v>
      </c>
      <c r="O637">
        <v>51.2362229687472</v>
      </c>
      <c r="P637">
        <v>-7.8188445736996404E-2</v>
      </c>
      <c r="Q637">
        <v>4.4451890984732297E-2</v>
      </c>
      <c r="R637">
        <v>0.98348298225126496</v>
      </c>
      <c r="S637" t="s">
        <v>6463</v>
      </c>
      <c r="T637" t="s">
        <v>11650</v>
      </c>
      <c r="U637" t="s">
        <v>11650</v>
      </c>
      <c r="V637" t="s">
        <v>11650</v>
      </c>
      <c r="W637" t="s">
        <v>12276</v>
      </c>
      <c r="X637">
        <v>10</v>
      </c>
      <c r="Y637" t="s">
        <v>18037</v>
      </c>
      <c r="Z637" t="s">
        <v>23699</v>
      </c>
      <c r="AA637">
        <v>0.44326152474553271</v>
      </c>
      <c r="AB637" t="str">
        <f>HYPERLINK("Melting_Curves/meltCurve_F5H442_TSG101.pdf", "Melting_Curves/meltCurve_F5H442_TSG101.pdf")</f>
        <v>Melting_Curves/meltCurve_F5H442_TSG101.pdf</v>
      </c>
    </row>
    <row r="638" spans="1:28" x14ac:dyDescent="0.25">
      <c r="A638" t="s">
        <v>642</v>
      </c>
      <c r="B638">
        <v>0.99996721820229495</v>
      </c>
      <c r="C638">
        <v>0.85078176799928795</v>
      </c>
      <c r="D638">
        <v>0.94512123297552197</v>
      </c>
      <c r="E638">
        <v>1.10144536935354</v>
      </c>
      <c r="F638">
        <v>0.71498682998680696</v>
      </c>
      <c r="G638">
        <v>0.53200154639291997</v>
      </c>
      <c r="H638">
        <v>0.38230056947403301</v>
      </c>
      <c r="I638">
        <v>0.34202006345388303</v>
      </c>
      <c r="J638">
        <v>0.24183774236732899</v>
      </c>
      <c r="K638">
        <v>0.23190001638939101</v>
      </c>
      <c r="L638">
        <v>1169.21573728312</v>
      </c>
      <c r="M638">
        <v>21.027139628209699</v>
      </c>
      <c r="N638">
        <v>57.521560548893099</v>
      </c>
      <c r="O638">
        <v>55.109479568303797</v>
      </c>
      <c r="P638">
        <v>-7.1366348690894296E-2</v>
      </c>
      <c r="Q638">
        <v>0.25185118949041702</v>
      </c>
      <c r="R638">
        <v>0.93435205820884604</v>
      </c>
      <c r="S638" t="s">
        <v>6464</v>
      </c>
      <c r="T638" t="s">
        <v>11650</v>
      </c>
      <c r="U638" t="s">
        <v>11650</v>
      </c>
      <c r="V638" t="s">
        <v>11650</v>
      </c>
      <c r="W638" t="s">
        <v>12277</v>
      </c>
      <c r="X638">
        <v>1</v>
      </c>
      <c r="Y638" t="s">
        <v>18038</v>
      </c>
      <c r="Z638" t="s">
        <v>23700</v>
      </c>
      <c r="AA638">
        <v>0.65011015257114246</v>
      </c>
      <c r="AB638" t="str">
        <f>HYPERLINK("Melting_Curves/meltCurve_F5H456_RRP12.pdf", "Melting_Curves/meltCurve_F5H456_RRP12.pdf")</f>
        <v>Melting_Curves/meltCurve_F5H456_RRP12.pdf</v>
      </c>
    </row>
    <row r="639" spans="1:28" x14ac:dyDescent="0.25">
      <c r="A639" t="s">
        <v>643</v>
      </c>
      <c r="B639">
        <v>0.99996721820229495</v>
      </c>
      <c r="C639">
        <v>0.84816938063935998</v>
      </c>
      <c r="D639">
        <v>0.59456991675466697</v>
      </c>
      <c r="E639">
        <v>0.33447133655699302</v>
      </c>
      <c r="F639">
        <v>0.23292378701087799</v>
      </c>
      <c r="G639">
        <v>0.18597059858388101</v>
      </c>
      <c r="H639">
        <v>0.12797088864299</v>
      </c>
      <c r="I639">
        <v>9.0562949082135399E-2</v>
      </c>
      <c r="J639">
        <v>6.7119167825492002E-2</v>
      </c>
      <c r="K639">
        <v>6.0856448269125701E-2</v>
      </c>
      <c r="L639">
        <v>741.59204077326797</v>
      </c>
      <c r="M639">
        <v>15.7591088839061</v>
      </c>
      <c r="N639">
        <v>47.616356204538903</v>
      </c>
      <c r="O639">
        <v>46.319811867601203</v>
      </c>
      <c r="P639">
        <v>-7.7886949079498405E-2</v>
      </c>
      <c r="Q639">
        <v>8.4362573765317098E-2</v>
      </c>
      <c r="R639">
        <v>0.99214928996181595</v>
      </c>
      <c r="S639" t="s">
        <v>6465</v>
      </c>
      <c r="T639" t="s">
        <v>11650</v>
      </c>
      <c r="U639" t="s">
        <v>11650</v>
      </c>
      <c r="V639" t="s">
        <v>11650</v>
      </c>
      <c r="W639" t="s">
        <v>12278</v>
      </c>
      <c r="X639">
        <v>13</v>
      </c>
      <c r="Y639" t="s">
        <v>18039</v>
      </c>
      <c r="Z639" t="s">
        <v>23701</v>
      </c>
      <c r="AA639">
        <v>0.32215754107831218</v>
      </c>
      <c r="AB639" t="str">
        <f>HYPERLINK("Melting_Curves/meltCurve_F5H4G7_KPNA6.pdf", "Melting_Curves/meltCurve_F5H4G7_KPNA6.pdf")</f>
        <v>Melting_Curves/meltCurve_F5H4G7_KPNA6.pdf</v>
      </c>
    </row>
    <row r="640" spans="1:28" x14ac:dyDescent="0.25">
      <c r="A640" t="s">
        <v>644</v>
      </c>
      <c r="B640">
        <v>0.99996721820229495</v>
      </c>
      <c r="C640">
        <v>0.94973214480434898</v>
      </c>
      <c r="D640">
        <v>1.0140158177273599</v>
      </c>
      <c r="E640">
        <v>1.0336835430951701</v>
      </c>
      <c r="F640">
        <v>1.09360670108795</v>
      </c>
      <c r="G640">
        <v>1.02992418956937</v>
      </c>
      <c r="H640">
        <v>0.73153840942197002</v>
      </c>
      <c r="I640">
        <v>0.40925224460106502</v>
      </c>
      <c r="J640">
        <v>0.226789491487077</v>
      </c>
      <c r="K640">
        <v>0.20364763667663799</v>
      </c>
      <c r="L640">
        <v>2487.36617829429</v>
      </c>
      <c r="M640">
        <v>39.976560514580498</v>
      </c>
      <c r="N640">
        <v>62.988334924554898</v>
      </c>
      <c r="O640">
        <v>62.0655278597715</v>
      </c>
      <c r="P640">
        <v>-0.12997339478657799</v>
      </c>
      <c r="Q640">
        <v>0.19284195961793399</v>
      </c>
      <c r="R640">
        <v>0.98589704192941396</v>
      </c>
      <c r="S640" t="s">
        <v>6466</v>
      </c>
      <c r="T640" t="s">
        <v>11650</v>
      </c>
      <c r="U640" t="s">
        <v>11650</v>
      </c>
      <c r="V640" t="s">
        <v>11650</v>
      </c>
      <c r="W640" t="s">
        <v>12279</v>
      </c>
      <c r="X640">
        <v>10</v>
      </c>
      <c r="Y640" t="s">
        <v>18040</v>
      </c>
      <c r="Z640" t="s">
        <v>23702</v>
      </c>
      <c r="AA640">
        <v>0.7935119617520231</v>
      </c>
      <c r="AB640" t="str">
        <f>HYPERLINK("Melting_Curves/meltCurve_F5H4K0_WLS.pdf", "Melting_Curves/meltCurve_F5H4K0_WLS.pdf")</f>
        <v>Melting_Curves/meltCurve_F5H4K0_WLS.pdf</v>
      </c>
    </row>
    <row r="641" spans="1:28" x14ac:dyDescent="0.25">
      <c r="A641" t="s">
        <v>645</v>
      </c>
      <c r="B641">
        <v>0.99996721820229495</v>
      </c>
      <c r="C641">
        <v>0.98510906221414896</v>
      </c>
      <c r="D641">
        <v>0.88327114570779397</v>
      </c>
      <c r="E641">
        <v>0.59158231081060997</v>
      </c>
      <c r="F641">
        <v>0.72193056960082802</v>
      </c>
      <c r="G641">
        <v>0.52818367669197297</v>
      </c>
      <c r="H641">
        <v>0.25880374653923399</v>
      </c>
      <c r="I641">
        <v>0.169420760809635</v>
      </c>
      <c r="J641">
        <v>5.8393128517046901E-2</v>
      </c>
      <c r="K641">
        <v>4.1755805434657997E-2</v>
      </c>
      <c r="L641">
        <v>602.39368462454604</v>
      </c>
      <c r="M641">
        <v>10.8741484957424</v>
      </c>
      <c r="N641">
        <v>55.396860253687997</v>
      </c>
      <c r="O641">
        <v>53.622158208693399</v>
      </c>
      <c r="P641">
        <v>-5.0715897205543703E-2</v>
      </c>
      <c r="Q641">
        <v>0</v>
      </c>
      <c r="R641">
        <v>0.95181171615604099</v>
      </c>
      <c r="S641" t="s">
        <v>6467</v>
      </c>
      <c r="T641" t="s">
        <v>11650</v>
      </c>
      <c r="U641" t="s">
        <v>11650</v>
      </c>
      <c r="V641" t="s">
        <v>11650</v>
      </c>
      <c r="W641" t="s">
        <v>12280</v>
      </c>
      <c r="X641">
        <v>1</v>
      </c>
      <c r="Y641" t="s">
        <v>18041</v>
      </c>
      <c r="Z641" t="s">
        <v>23703</v>
      </c>
      <c r="AA641">
        <v>0.53661910393647494</v>
      </c>
      <c r="AB641" t="str">
        <f>HYPERLINK("Melting_Curves/meltCurve_F5H4N4_PXMP2.pdf", "Melting_Curves/meltCurve_F5H4N4_PXMP2.pdf")</f>
        <v>Melting_Curves/meltCurve_F5H4N4_PXMP2.pdf</v>
      </c>
    </row>
    <row r="642" spans="1:28" x14ac:dyDescent="0.25">
      <c r="A642" t="s">
        <v>646</v>
      </c>
      <c r="B642">
        <v>0.99996721820229495</v>
      </c>
      <c r="C642">
        <v>0.96979796205907098</v>
      </c>
      <c r="D642">
        <v>0.97373284297435703</v>
      </c>
      <c r="E642">
        <v>0.90314929393715004</v>
      </c>
      <c r="F642">
        <v>0.74654299099629096</v>
      </c>
      <c r="G642">
        <v>0.62806147550075597</v>
      </c>
      <c r="H642">
        <v>0.41310304751781002</v>
      </c>
      <c r="I642">
        <v>0.30287655037206901</v>
      </c>
      <c r="J642">
        <v>0.246148634711499</v>
      </c>
      <c r="K642">
        <v>0.204648220760271</v>
      </c>
      <c r="L642">
        <v>703.27698685847804</v>
      </c>
      <c r="M642">
        <v>12.1220004790099</v>
      </c>
      <c r="N642">
        <v>59.067512431508</v>
      </c>
      <c r="O642">
        <v>56.505386410322799</v>
      </c>
      <c r="P642">
        <v>-4.8440878013092797E-2</v>
      </c>
      <c r="Q642">
        <v>9.7001787689643196E-2</v>
      </c>
      <c r="R642">
        <v>0.99657773303619102</v>
      </c>
      <c r="S642" t="s">
        <v>6468</v>
      </c>
      <c r="T642" t="s">
        <v>11650</v>
      </c>
      <c r="U642" t="s">
        <v>11650</v>
      </c>
      <c r="V642" t="s">
        <v>11650</v>
      </c>
      <c r="W642" t="s">
        <v>12281</v>
      </c>
      <c r="X642">
        <v>2</v>
      </c>
      <c r="Y642" t="s">
        <v>18042</v>
      </c>
      <c r="Z642" t="s">
        <v>23704</v>
      </c>
      <c r="AA642">
        <v>0.65078981570223304</v>
      </c>
      <c r="AB642" t="str">
        <f>HYPERLINK("Melting_Curves/meltCurve_F5H4Q5_VPS37C.pdf", "Melting_Curves/meltCurve_F5H4Q5_VPS37C.pdf")</f>
        <v>Melting_Curves/meltCurve_F5H4Q5_VPS37C.pdf</v>
      </c>
    </row>
    <row r="643" spans="1:28" x14ac:dyDescent="0.25">
      <c r="A643" t="s">
        <v>647</v>
      </c>
      <c r="B643">
        <v>0.99996721820229495</v>
      </c>
      <c r="C643">
        <v>1.01421354964531</v>
      </c>
      <c r="D643">
        <v>0.99108624357552499</v>
      </c>
      <c r="E643">
        <v>0.64134036898356295</v>
      </c>
      <c r="F643">
        <v>0.46446484332794302</v>
      </c>
      <c r="G643">
        <v>0.38609934502659699</v>
      </c>
      <c r="H643">
        <v>0.305621524165615</v>
      </c>
      <c r="I643">
        <v>0.188707056265592</v>
      </c>
      <c r="J643">
        <v>0.13137154645059501</v>
      </c>
      <c r="K643">
        <v>0.149197254406052</v>
      </c>
      <c r="L643">
        <v>818.89802015429098</v>
      </c>
      <c r="M643">
        <v>15.7883448818563</v>
      </c>
      <c r="N643">
        <v>53.159663661806498</v>
      </c>
      <c r="O643">
        <v>51.056554150472302</v>
      </c>
      <c r="P643">
        <v>-6.4992012981493402E-2</v>
      </c>
      <c r="Q643">
        <v>0.15938157441964099</v>
      </c>
      <c r="R643">
        <v>0.97586346331458196</v>
      </c>
      <c r="S643" t="s">
        <v>6469</v>
      </c>
      <c r="T643" t="s">
        <v>11650</v>
      </c>
      <c r="U643" t="s">
        <v>11650</v>
      </c>
      <c r="V643" t="s">
        <v>11650</v>
      </c>
      <c r="W643" t="s">
        <v>12282</v>
      </c>
      <c r="X643">
        <v>9</v>
      </c>
      <c r="Y643" t="s">
        <v>18043</v>
      </c>
      <c r="Z643" t="s">
        <v>23705</v>
      </c>
      <c r="AA643">
        <v>0.50932891014079895</v>
      </c>
      <c r="AB643" t="str">
        <f>HYPERLINK("Melting_Curves/meltCurve_F5H4R0_EVI5.pdf", "Melting_Curves/meltCurve_F5H4R0_EVI5.pdf")</f>
        <v>Melting_Curves/meltCurve_F5H4R0_EVI5.pdf</v>
      </c>
    </row>
    <row r="644" spans="1:28" x14ac:dyDescent="0.25">
      <c r="A644" t="s">
        <v>648</v>
      </c>
      <c r="B644">
        <v>0.99996721820229495</v>
      </c>
      <c r="C644">
        <v>1.0818142282205701</v>
      </c>
      <c r="D644">
        <v>0.79546561422016204</v>
      </c>
      <c r="E644">
        <v>0.37772039556669001</v>
      </c>
      <c r="F644">
        <v>0.34160592555994002</v>
      </c>
      <c r="G644">
        <v>0.333508393903516</v>
      </c>
      <c r="H644">
        <v>0.198980496035708</v>
      </c>
      <c r="I644">
        <v>5.1118064937688501E-2</v>
      </c>
      <c r="J644">
        <v>0</v>
      </c>
      <c r="K644">
        <v>4.8916890715488499E-2</v>
      </c>
      <c r="L644">
        <v>777.82774380406704</v>
      </c>
      <c r="M644">
        <v>15.6765674390877</v>
      </c>
      <c r="N644">
        <v>50.123286795029202</v>
      </c>
      <c r="O644">
        <v>48.830879318643902</v>
      </c>
      <c r="P644">
        <v>-7.4391375764198894E-2</v>
      </c>
      <c r="Q644">
        <v>7.3193128922559705E-2</v>
      </c>
      <c r="R644">
        <v>0.94195190061801004</v>
      </c>
      <c r="S644" t="s">
        <v>6470</v>
      </c>
      <c r="T644" t="s">
        <v>11650</v>
      </c>
      <c r="U644" t="s">
        <v>11650</v>
      </c>
      <c r="V644" t="s">
        <v>11650</v>
      </c>
      <c r="W644" t="s">
        <v>12283</v>
      </c>
      <c r="X644">
        <v>1</v>
      </c>
      <c r="Y644" t="s">
        <v>18044</v>
      </c>
      <c r="Z644" t="s">
        <v>23706</v>
      </c>
      <c r="AA644">
        <v>0.39094721843374469</v>
      </c>
      <c r="AB644" t="str">
        <f>HYPERLINK("Melting_Curves/meltCurve_F5H4S8_NFATC1.pdf", "Melting_Curves/meltCurve_F5H4S8_NFATC1.pdf")</f>
        <v>Melting_Curves/meltCurve_F5H4S8_NFATC1.pdf</v>
      </c>
    </row>
    <row r="645" spans="1:28" x14ac:dyDescent="0.25">
      <c r="A645" t="s">
        <v>649</v>
      </c>
      <c r="B645">
        <v>0.99996721820229495</v>
      </c>
      <c r="C645">
        <v>0.99634715900395998</v>
      </c>
      <c r="D645">
        <v>1.0747046251147101</v>
      </c>
      <c r="E645">
        <v>1.05527464957978</v>
      </c>
      <c r="F645">
        <v>1.3837527576689901</v>
      </c>
      <c r="G645">
        <v>1.35413715658384</v>
      </c>
      <c r="H645">
        <v>0.87429050183398105</v>
      </c>
      <c r="I645">
        <v>0.34524028678516699</v>
      </c>
      <c r="J645">
        <v>0.17431077896528299</v>
      </c>
      <c r="K645">
        <v>9.2122208460105506E-2</v>
      </c>
      <c r="L645">
        <v>3832.92831521888</v>
      </c>
      <c r="M645">
        <v>60.953336718429199</v>
      </c>
      <c r="N645">
        <v>63.170259963121502</v>
      </c>
      <c r="O645">
        <v>62.815417529233002</v>
      </c>
      <c r="P645">
        <v>-0.21322555108857399</v>
      </c>
      <c r="Q645">
        <v>0.12104263363946299</v>
      </c>
      <c r="R645">
        <v>0.85476288110982002</v>
      </c>
      <c r="S645" t="s">
        <v>6471</v>
      </c>
      <c r="T645" t="s">
        <v>11650</v>
      </c>
      <c r="U645" t="s">
        <v>11650</v>
      </c>
      <c r="V645" t="s">
        <v>11650</v>
      </c>
      <c r="W645" t="s">
        <v>12284</v>
      </c>
      <c r="X645">
        <v>2</v>
      </c>
      <c r="Y645" t="s">
        <v>18045</v>
      </c>
      <c r="Z645" t="s">
        <v>23707</v>
      </c>
      <c r="AA645">
        <v>0.79304027740718619</v>
      </c>
      <c r="AB645" t="str">
        <f>HYPERLINK("Melting_Curves/meltCurve_F5H523_KLHL42.pdf", "Melting_Curves/meltCurve_F5H523_KLHL42.pdf")</f>
        <v>Melting_Curves/meltCurve_F5H523_KLHL42.pdf</v>
      </c>
    </row>
    <row r="646" spans="1:28" x14ac:dyDescent="0.25">
      <c r="A646" t="s">
        <v>650</v>
      </c>
      <c r="B646">
        <v>0.99996721820229495</v>
      </c>
      <c r="C646">
        <v>1.00522489092734</v>
      </c>
      <c r="D646">
        <v>0.98213970414568397</v>
      </c>
      <c r="E646">
        <v>1.0509111872455299</v>
      </c>
      <c r="F646">
        <v>1.0487015500255199</v>
      </c>
      <c r="G646">
        <v>0.50185673106444395</v>
      </c>
      <c r="H646">
        <v>0.30210054839623401</v>
      </c>
      <c r="I646">
        <v>0.22512250469819201</v>
      </c>
      <c r="J646">
        <v>0.193991024917153</v>
      </c>
      <c r="K646">
        <v>0.141419428299558</v>
      </c>
      <c r="L646">
        <v>4314.7070671555603</v>
      </c>
      <c r="M646">
        <v>76.231256558511404</v>
      </c>
      <c r="N646">
        <v>57.0190584235731</v>
      </c>
      <c r="O646">
        <v>56.561321752401298</v>
      </c>
      <c r="P646">
        <v>-0.26470728643052399</v>
      </c>
      <c r="Q646">
        <v>0.214380450962459</v>
      </c>
      <c r="R646">
        <v>0.98722205172451005</v>
      </c>
      <c r="S646" t="s">
        <v>6472</v>
      </c>
      <c r="T646" t="s">
        <v>11650</v>
      </c>
      <c r="U646" t="s">
        <v>11650</v>
      </c>
      <c r="V646" t="s">
        <v>11650</v>
      </c>
      <c r="W646" t="s">
        <v>12285</v>
      </c>
      <c r="X646">
        <v>18</v>
      </c>
      <c r="Y646" t="s">
        <v>18046</v>
      </c>
      <c r="Z646" t="s">
        <v>23708</v>
      </c>
      <c r="AA646">
        <v>0.64993720672801869</v>
      </c>
      <c r="AB646" t="str">
        <f>HYPERLINK("Melting_Curves/meltCurve_F5H533_AMPH.pdf", "Melting_Curves/meltCurve_F5H533_AMPH.pdf")</f>
        <v>Melting_Curves/meltCurve_F5H533_AMPH.pdf</v>
      </c>
    </row>
    <row r="647" spans="1:28" x14ac:dyDescent="0.25">
      <c r="A647" t="s">
        <v>651</v>
      </c>
      <c r="B647">
        <v>0.99996721820229495</v>
      </c>
      <c r="C647">
        <v>1.0056402473516499</v>
      </c>
      <c r="D647">
        <v>1.0687484244091501</v>
      </c>
      <c r="E647">
        <v>1.4398142102899301</v>
      </c>
      <c r="F647">
        <v>2.3201004962224401</v>
      </c>
      <c r="G647">
        <v>2.0964610098688201</v>
      </c>
      <c r="H647">
        <v>1.7085232023586201</v>
      </c>
      <c r="I647">
        <v>0.52219213507558704</v>
      </c>
      <c r="J647">
        <v>0.34419695163922498</v>
      </c>
      <c r="K647">
        <v>0.30166509489049498</v>
      </c>
      <c r="L647">
        <v>15000</v>
      </c>
      <c r="M647">
        <v>235.24888810372701</v>
      </c>
      <c r="N647">
        <v>64.044802854474497</v>
      </c>
      <c r="O647">
        <v>63.757651172557999</v>
      </c>
      <c r="P647">
        <v>-0.62457404454716703</v>
      </c>
      <c r="Q647">
        <v>0.32290651370479101</v>
      </c>
      <c r="R647">
        <v>0.18333191086796799</v>
      </c>
      <c r="S647" t="s">
        <v>6473</v>
      </c>
      <c r="T647" t="s">
        <v>11650</v>
      </c>
      <c r="U647" t="s">
        <v>11650</v>
      </c>
      <c r="V647" t="s">
        <v>11650</v>
      </c>
      <c r="W647" t="s">
        <v>12286</v>
      </c>
      <c r="X647">
        <v>6</v>
      </c>
      <c r="Y647" t="s">
        <v>18047</v>
      </c>
      <c r="Z647" t="s">
        <v>23709</v>
      </c>
      <c r="AA647">
        <v>0.85930105913800758</v>
      </c>
      <c r="AB647" t="str">
        <f>HYPERLINK("Melting_Curves/meltCurve_F5H569_ATP6V0A1.pdf", "Melting_Curves/meltCurve_F5H569_ATP6V0A1.pdf")</f>
        <v>Melting_Curves/meltCurve_F5H569_ATP6V0A1.pdf</v>
      </c>
    </row>
    <row r="648" spans="1:28" x14ac:dyDescent="0.25">
      <c r="A648" t="s">
        <v>652</v>
      </c>
      <c r="B648">
        <v>0.99996721820229495</v>
      </c>
      <c r="C648">
        <v>0.91421384913276904</v>
      </c>
      <c r="D648">
        <v>0.86822279819264503</v>
      </c>
      <c r="E648">
        <v>0.92789014981198703</v>
      </c>
      <c r="F648">
        <v>1.2228690324432701</v>
      </c>
      <c r="G648">
        <v>1.18030685676605</v>
      </c>
      <c r="H648">
        <v>0.96637291148868998</v>
      </c>
      <c r="I648">
        <v>0.90976562110860004</v>
      </c>
      <c r="J648">
        <v>0.65154639761475297</v>
      </c>
      <c r="K648">
        <v>0.48395606918781398</v>
      </c>
      <c r="L648">
        <v>2985.32815343224</v>
      </c>
      <c r="M648">
        <v>45.032520317767201</v>
      </c>
      <c r="N648">
        <v>69.467952310002403</v>
      </c>
      <c r="O648">
        <v>66.162388878889203</v>
      </c>
      <c r="P648">
        <v>-9.5941293764477298E-2</v>
      </c>
      <c r="Q648">
        <v>0.436167755483514</v>
      </c>
      <c r="R648">
        <v>0.73931735425562495</v>
      </c>
      <c r="S648" t="s">
        <v>6474</v>
      </c>
      <c r="T648" t="s">
        <v>11650</v>
      </c>
      <c r="U648" t="s">
        <v>11650</v>
      </c>
      <c r="V648" t="s">
        <v>11650</v>
      </c>
      <c r="W648" t="s">
        <v>12287</v>
      </c>
      <c r="X648">
        <v>11</v>
      </c>
      <c r="Y648" t="s">
        <v>18048</v>
      </c>
      <c r="Z648" t="s">
        <v>23710</v>
      </c>
      <c r="AA648">
        <v>0.92950095309208502</v>
      </c>
      <c r="AB648" t="str">
        <f>HYPERLINK("Melting_Curves/meltCurve_F5H577_BRK1.pdf", "Melting_Curves/meltCurve_F5H577_BRK1.pdf")</f>
        <v>Melting_Curves/meltCurve_F5H577_BRK1.pdf</v>
      </c>
    </row>
    <row r="649" spans="1:28" x14ac:dyDescent="0.25">
      <c r="A649" t="s">
        <v>653</v>
      </c>
      <c r="B649">
        <v>0.99996721820229495</v>
      </c>
      <c r="C649">
        <v>1.1521185271666901</v>
      </c>
      <c r="D649">
        <v>1.1870147394753801</v>
      </c>
      <c r="E649">
        <v>1.26788208263902</v>
      </c>
      <c r="F649">
        <v>1.39700700389977</v>
      </c>
      <c r="G649">
        <v>1.59500559528501</v>
      </c>
      <c r="H649">
        <v>0.35806555613650998</v>
      </c>
      <c r="I649">
        <v>0.103824801980561</v>
      </c>
      <c r="J649">
        <v>5.0308545238001302E-2</v>
      </c>
      <c r="K649">
        <v>4.0344602288136203E-2</v>
      </c>
      <c r="L649">
        <v>12293.9818624526</v>
      </c>
      <c r="M649">
        <v>202.32408101224701</v>
      </c>
      <c r="N649">
        <v>60.805531675862298</v>
      </c>
      <c r="O649">
        <v>60.757875328480701</v>
      </c>
      <c r="P649">
        <v>-0.77854531685652495</v>
      </c>
      <c r="Q649">
        <v>6.4812121175966894E-2</v>
      </c>
      <c r="R649">
        <v>0.80710890831283499</v>
      </c>
      <c r="S649" t="s">
        <v>6475</v>
      </c>
      <c r="T649" t="s">
        <v>11650</v>
      </c>
      <c r="U649" t="s">
        <v>11650</v>
      </c>
      <c r="V649" t="s">
        <v>11650</v>
      </c>
      <c r="W649" t="s">
        <v>12288</v>
      </c>
      <c r="X649">
        <v>31</v>
      </c>
      <c r="Y649" t="s">
        <v>18049</v>
      </c>
      <c r="Z649" t="s">
        <v>23711</v>
      </c>
      <c r="AA649">
        <v>0.71223316178415152</v>
      </c>
      <c r="AB649" t="str">
        <f>HYPERLINK("Melting_Curves/meltCurve_F5H5D3_TUBA1C.pdf", "Melting_Curves/meltCurve_F5H5D3_TUBA1C.pdf")</f>
        <v>Melting_Curves/meltCurve_F5H5D3_TUBA1C.pdf</v>
      </c>
    </row>
    <row r="650" spans="1:28" x14ac:dyDescent="0.25">
      <c r="A650" t="s">
        <v>654</v>
      </c>
      <c r="B650">
        <v>0.99996721820229495</v>
      </c>
      <c r="C650">
        <v>0.83199975869503595</v>
      </c>
      <c r="D650">
        <v>0.796091465135079</v>
      </c>
      <c r="E650">
        <v>0.80214333319736697</v>
      </c>
      <c r="F650">
        <v>0.87395886471463902</v>
      </c>
      <c r="G650">
        <v>0.75701532620901402</v>
      </c>
      <c r="H650">
        <v>0.51926458939130105</v>
      </c>
      <c r="I650">
        <v>0.39904830919450801</v>
      </c>
      <c r="J650">
        <v>0.32924571405567998</v>
      </c>
      <c r="K650">
        <v>0.283479018649956</v>
      </c>
      <c r="L650">
        <v>449.62501570630599</v>
      </c>
      <c r="M650">
        <v>7.26890663970216</v>
      </c>
      <c r="N650">
        <v>61.855934730469301</v>
      </c>
      <c r="O650">
        <v>57.689624830683201</v>
      </c>
      <c r="P650">
        <v>-3.1550905526175697E-2</v>
      </c>
      <c r="Q650">
        <v>0</v>
      </c>
      <c r="R650">
        <v>0.89468392779793404</v>
      </c>
      <c r="S650" t="s">
        <v>6476</v>
      </c>
      <c r="T650" t="s">
        <v>11650</v>
      </c>
      <c r="U650" t="s">
        <v>11650</v>
      </c>
      <c r="V650" t="s">
        <v>11650</v>
      </c>
      <c r="W650" t="s">
        <v>12289</v>
      </c>
      <c r="X650">
        <v>5</v>
      </c>
      <c r="Y650" t="s">
        <v>18050</v>
      </c>
      <c r="Z650" t="s">
        <v>23712</v>
      </c>
      <c r="AA650">
        <v>0.68582860796679246</v>
      </c>
      <c r="AB650" t="str">
        <f>HYPERLINK("Melting_Curves/meltCurve_F5H5M7_IFNGR1.pdf", "Melting_Curves/meltCurve_F5H5M7_IFNGR1.pdf")</f>
        <v>Melting_Curves/meltCurve_F5H5M7_IFNGR1.pdf</v>
      </c>
    </row>
    <row r="651" spans="1:28" x14ac:dyDescent="0.25">
      <c r="A651" t="s">
        <v>655</v>
      </c>
      <c r="B651">
        <v>0.99996721820229495</v>
      </c>
      <c r="C651">
        <v>0.76615770746116996</v>
      </c>
      <c r="D651">
        <v>0.72912887976393703</v>
      </c>
      <c r="E651">
        <v>0.79133501576115495</v>
      </c>
      <c r="F651">
        <v>0.79953943938606897</v>
      </c>
      <c r="G651">
        <v>1.09208115608956</v>
      </c>
      <c r="H651">
        <v>0.61288478695211401</v>
      </c>
      <c r="I651">
        <v>0.48528359100644097</v>
      </c>
      <c r="J651">
        <v>0.32938099255617098</v>
      </c>
      <c r="K651">
        <v>0.25578528918661197</v>
      </c>
      <c r="L651">
        <v>901.90200027136098</v>
      </c>
      <c r="M651">
        <v>14.074713636377799</v>
      </c>
      <c r="N651">
        <v>64.079576306915996</v>
      </c>
      <c r="O651">
        <v>62.827621979975</v>
      </c>
      <c r="P651">
        <v>-5.60125363588816E-2</v>
      </c>
      <c r="Q651">
        <v>0</v>
      </c>
      <c r="R651">
        <v>0.62265051570283703</v>
      </c>
      <c r="S651" t="s">
        <v>6477</v>
      </c>
      <c r="T651" t="s">
        <v>11650</v>
      </c>
      <c r="U651" t="s">
        <v>11650</v>
      </c>
      <c r="V651" t="s">
        <v>11650</v>
      </c>
      <c r="W651" t="s">
        <v>12290</v>
      </c>
      <c r="X651">
        <v>2</v>
      </c>
      <c r="Y651" t="s">
        <v>18051</v>
      </c>
      <c r="Z651" t="s">
        <v>23713</v>
      </c>
      <c r="AA651">
        <v>0.7820956726089473</v>
      </c>
      <c r="AB651" t="str">
        <f>HYPERLINK("Melting_Curves/meltCurve_F5H5N0_CDC42BPA.pdf", "Melting_Curves/meltCurve_F5H5N0_CDC42BPA.pdf")</f>
        <v>Melting_Curves/meltCurve_F5H5N0_CDC42BPA.pdf</v>
      </c>
    </row>
    <row r="652" spans="1:28" x14ac:dyDescent="0.25">
      <c r="A652" t="s">
        <v>656</v>
      </c>
      <c r="B652">
        <v>0.99996721820229495</v>
      </c>
      <c r="C652">
        <v>1.02769106966461</v>
      </c>
      <c r="D652">
        <v>1.19554355042981</v>
      </c>
      <c r="E652">
        <v>1.66674060652878</v>
      </c>
      <c r="F652">
        <v>1.0466540459956699</v>
      </c>
      <c r="G652">
        <v>0.81161587151166903</v>
      </c>
      <c r="H652">
        <v>0.32308803454097401</v>
      </c>
      <c r="I652">
        <v>0.17232446532300499</v>
      </c>
      <c r="J652">
        <v>8.9445996101287603E-2</v>
      </c>
      <c r="K652">
        <v>8.9618695373789095E-2</v>
      </c>
      <c r="L652">
        <v>2228.94387109122</v>
      </c>
      <c r="M652">
        <v>37.637101004228697</v>
      </c>
      <c r="N652">
        <v>59.553901625104402</v>
      </c>
      <c r="O652">
        <v>59.055554782934301</v>
      </c>
      <c r="P652">
        <v>-0.14425424148704699</v>
      </c>
      <c r="Q652">
        <v>9.4617869923394493E-2</v>
      </c>
      <c r="R652">
        <v>0.81588581718627795</v>
      </c>
      <c r="S652" t="s">
        <v>6478</v>
      </c>
      <c r="T652" t="s">
        <v>11650</v>
      </c>
      <c r="U652" t="s">
        <v>11650</v>
      </c>
      <c r="V652" t="s">
        <v>11650</v>
      </c>
      <c r="W652" t="s">
        <v>12291</v>
      </c>
      <c r="X652">
        <v>3</v>
      </c>
      <c r="Y652" t="s">
        <v>18052</v>
      </c>
      <c r="Z652" t="s">
        <v>23714</v>
      </c>
      <c r="AA652">
        <v>0.67870265875504843</v>
      </c>
      <c r="AB652" t="str">
        <f>HYPERLINK("Melting_Curves/meltCurve_F5H5P2_BCKDHA.pdf", "Melting_Curves/meltCurve_F5H5P2_BCKDHA.pdf")</f>
        <v>Melting_Curves/meltCurve_F5H5P2_BCKDHA.pdf</v>
      </c>
    </row>
    <row r="653" spans="1:28" x14ac:dyDescent="0.25">
      <c r="A653" t="s">
        <v>657</v>
      </c>
      <c r="B653">
        <v>0.99996721820229495</v>
      </c>
      <c r="C653">
        <v>1.02638204342265</v>
      </c>
      <c r="D653">
        <v>0.76314450745639595</v>
      </c>
      <c r="E653">
        <v>0.28115698922651999</v>
      </c>
      <c r="F653">
        <v>0.24656887180656101</v>
      </c>
      <c r="G653">
        <v>0.25352675724165702</v>
      </c>
      <c r="H653">
        <v>0.15428673341830501</v>
      </c>
      <c r="I653">
        <v>9.3807036317536799E-2</v>
      </c>
      <c r="J653">
        <v>7.3533006791361197E-2</v>
      </c>
      <c r="K653">
        <v>4.34496200652554E-2</v>
      </c>
      <c r="L653">
        <v>1308.91350621219</v>
      </c>
      <c r="M653">
        <v>27.436077815322399</v>
      </c>
      <c r="N653">
        <v>48.224672981380301</v>
      </c>
      <c r="O653">
        <v>47.4564669385503</v>
      </c>
      <c r="P653">
        <v>-0.126121290029404</v>
      </c>
      <c r="Q653">
        <v>0.127395130154068</v>
      </c>
      <c r="R653">
        <v>0.97330800137767504</v>
      </c>
      <c r="S653" t="s">
        <v>6479</v>
      </c>
      <c r="T653" t="s">
        <v>11650</v>
      </c>
      <c r="U653" t="s">
        <v>11650</v>
      </c>
      <c r="V653" t="s">
        <v>11650</v>
      </c>
      <c r="W653" t="s">
        <v>12292</v>
      </c>
      <c r="X653">
        <v>5</v>
      </c>
      <c r="Y653" t="s">
        <v>18053</v>
      </c>
      <c r="Z653" t="s">
        <v>23715</v>
      </c>
      <c r="AA653">
        <v>0.35791986750410359</v>
      </c>
      <c r="AB653" t="str">
        <f>HYPERLINK("Melting_Curves/meltCurve_F5H5R8_NAT1.pdf", "Melting_Curves/meltCurve_F5H5R8_NAT1.pdf")</f>
        <v>Melting_Curves/meltCurve_F5H5R8_NAT1.pdf</v>
      </c>
    </row>
    <row r="654" spans="1:28" x14ac:dyDescent="0.25">
      <c r="A654" t="s">
        <v>658</v>
      </c>
      <c r="B654">
        <v>0.99996721820229495</v>
      </c>
      <c r="C654">
        <v>0.98734401247265502</v>
      </c>
      <c r="D654">
        <v>0.91126305273628905</v>
      </c>
      <c r="E654">
        <v>0.70551516821535698</v>
      </c>
      <c r="F654">
        <v>0.52969693546603902</v>
      </c>
      <c r="G654">
        <v>0.43674779742432801</v>
      </c>
      <c r="H654">
        <v>0.26231574112886502</v>
      </c>
      <c r="I654">
        <v>0.18799652213227899</v>
      </c>
      <c r="J654">
        <v>0.132097342612119</v>
      </c>
      <c r="K654">
        <v>0.123612811273887</v>
      </c>
      <c r="L654">
        <v>623.80819425748905</v>
      </c>
      <c r="M654">
        <v>11.5850971719269</v>
      </c>
      <c r="N654">
        <v>54.473036415163499</v>
      </c>
      <c r="O654">
        <v>52.316405283884002</v>
      </c>
      <c r="P654">
        <v>-5.19179631031806E-2</v>
      </c>
      <c r="Q654">
        <v>6.2447096277775199E-2</v>
      </c>
      <c r="R654">
        <v>0.99333269385179301</v>
      </c>
      <c r="S654" t="s">
        <v>6480</v>
      </c>
      <c r="T654" t="s">
        <v>11650</v>
      </c>
      <c r="U654" t="s">
        <v>11650</v>
      </c>
      <c r="V654" t="s">
        <v>11650</v>
      </c>
      <c r="W654" t="s">
        <v>12293</v>
      </c>
      <c r="X654">
        <v>17</v>
      </c>
      <c r="Y654" t="s">
        <v>18054</v>
      </c>
      <c r="Z654" t="s">
        <v>23716</v>
      </c>
      <c r="AA654">
        <v>0.52082270384014318</v>
      </c>
      <c r="AB654" t="str">
        <f>HYPERLINK("Melting_Curves/meltCurve_F5H604_CLASP2.pdf", "Melting_Curves/meltCurve_F5H604_CLASP2.pdf")</f>
        <v>Melting_Curves/meltCurve_F5H604_CLASP2.pdf</v>
      </c>
    </row>
    <row r="655" spans="1:28" x14ac:dyDescent="0.25">
      <c r="A655" t="s">
        <v>659</v>
      </c>
      <c r="B655">
        <v>0.99996721820229495</v>
      </c>
      <c r="C655">
        <v>0.93280877464622602</v>
      </c>
      <c r="D655">
        <v>0.82062267549164403</v>
      </c>
      <c r="E655">
        <v>0.67270100657605303</v>
      </c>
      <c r="F655">
        <v>0.82278390291339698</v>
      </c>
      <c r="G655">
        <v>0.81037440862207899</v>
      </c>
      <c r="H655">
        <v>0.57837569322600102</v>
      </c>
      <c r="I655">
        <v>0.41177467410006702</v>
      </c>
      <c r="J655">
        <v>0.51652130907286098</v>
      </c>
      <c r="K655">
        <v>0.235275757784004</v>
      </c>
      <c r="L655">
        <v>369.69832295484099</v>
      </c>
      <c r="M655">
        <v>5.84070969060941</v>
      </c>
      <c r="N655">
        <v>63.296824509715101</v>
      </c>
      <c r="O655">
        <v>57.061781284148402</v>
      </c>
      <c r="P655">
        <v>-2.5680598533364799E-2</v>
      </c>
      <c r="Q655">
        <v>0</v>
      </c>
      <c r="R655">
        <v>0.829317467803944</v>
      </c>
      <c r="S655" t="s">
        <v>6481</v>
      </c>
      <c r="T655" t="s">
        <v>11650</v>
      </c>
      <c r="U655" t="s">
        <v>11650</v>
      </c>
      <c r="V655" t="s">
        <v>11650</v>
      </c>
      <c r="W655" t="s">
        <v>12294</v>
      </c>
      <c r="X655">
        <v>14</v>
      </c>
      <c r="Y655" t="s">
        <v>18055</v>
      </c>
      <c r="Z655" t="s">
        <v>23717</v>
      </c>
      <c r="AA655">
        <v>0.69311683627490439</v>
      </c>
      <c r="AB655" t="str">
        <f>HYPERLINK("Melting_Curves/meltCurve_F5H607_TUFT1.pdf", "Melting_Curves/meltCurve_F5H607_TUFT1.pdf")</f>
        <v>Melting_Curves/meltCurve_F5H607_TUFT1.pdf</v>
      </c>
    </row>
    <row r="656" spans="1:28" x14ac:dyDescent="0.25">
      <c r="A656" t="s">
        <v>660</v>
      </c>
      <c r="B656">
        <v>0.99996721820229495</v>
      </c>
      <c r="C656">
        <v>1.1078707349588</v>
      </c>
      <c r="D656">
        <v>1.04768117169735</v>
      </c>
      <c r="E656">
        <v>0.92772098216579801</v>
      </c>
      <c r="F656">
        <v>0.89406981186985002</v>
      </c>
      <c r="G656">
        <v>0.37558970426937199</v>
      </c>
      <c r="H656">
        <v>0.23628107442215701</v>
      </c>
      <c r="I656">
        <v>0.13944863067954399</v>
      </c>
      <c r="J656">
        <v>0.107614117548091</v>
      </c>
      <c r="K656">
        <v>7.8735360187604395E-2</v>
      </c>
      <c r="L656">
        <v>1748.86948402385</v>
      </c>
      <c r="M656">
        <v>31.368451137960601</v>
      </c>
      <c r="N656">
        <v>56.223389271191202</v>
      </c>
      <c r="O656">
        <v>55.527372275893498</v>
      </c>
      <c r="P656">
        <v>-0.124915168883281</v>
      </c>
      <c r="Q656">
        <v>0.115522257305385</v>
      </c>
      <c r="R656">
        <v>0.98536488404520095</v>
      </c>
      <c r="S656" t="s">
        <v>6482</v>
      </c>
      <c r="T656" t="s">
        <v>11650</v>
      </c>
      <c r="U656" t="s">
        <v>11650</v>
      </c>
      <c r="V656" t="s">
        <v>11650</v>
      </c>
      <c r="W656" t="s">
        <v>12295</v>
      </c>
      <c r="X656">
        <v>5</v>
      </c>
      <c r="Y656" t="s">
        <v>18056</v>
      </c>
      <c r="Z656" t="s">
        <v>23718</v>
      </c>
      <c r="AA656">
        <v>0.58537024637533597</v>
      </c>
      <c r="AB656" t="str">
        <f>HYPERLINK("Melting_Curves/meltCurve_F5H620_OXNAD1.pdf", "Melting_Curves/meltCurve_F5H620_OXNAD1.pdf")</f>
        <v>Melting_Curves/meltCurve_F5H620_OXNAD1.pdf</v>
      </c>
    </row>
    <row r="657" spans="1:28" x14ac:dyDescent="0.25">
      <c r="A657" t="s">
        <v>661</v>
      </c>
      <c r="B657">
        <v>0.99996721820229495</v>
      </c>
      <c r="C657">
        <v>0.968476569860234</v>
      </c>
      <c r="D657">
        <v>0.83937394807526799</v>
      </c>
      <c r="E657">
        <v>0.70150195047205</v>
      </c>
      <c r="F657">
        <v>0.87775734847062303</v>
      </c>
      <c r="G657">
        <v>0.65083758371356204</v>
      </c>
      <c r="H657">
        <v>0.44737893212362101</v>
      </c>
      <c r="I657">
        <v>0.32032784864535102</v>
      </c>
      <c r="J657">
        <v>0.297495283436994</v>
      </c>
      <c r="K657">
        <v>0.21480892551012101</v>
      </c>
      <c r="L657">
        <v>489.87151266625801</v>
      </c>
      <c r="M657">
        <v>8.1971735753549009</v>
      </c>
      <c r="N657">
        <v>59.761027019775298</v>
      </c>
      <c r="O657">
        <v>56.520484970950498</v>
      </c>
      <c r="P657">
        <v>-3.6294971023287798E-2</v>
      </c>
      <c r="Q657">
        <v>0</v>
      </c>
      <c r="R657">
        <v>0.93743413464110203</v>
      </c>
      <c r="S657" t="s">
        <v>6483</v>
      </c>
      <c r="T657" t="s">
        <v>11650</v>
      </c>
      <c r="U657" t="s">
        <v>11650</v>
      </c>
      <c r="V657" t="s">
        <v>11650</v>
      </c>
      <c r="W657" t="s">
        <v>12296</v>
      </c>
      <c r="X657">
        <v>7</v>
      </c>
      <c r="Y657" t="s">
        <v>18057</v>
      </c>
      <c r="Z657" t="s">
        <v>23719</v>
      </c>
      <c r="AA657">
        <v>0.6472837959150457</v>
      </c>
      <c r="AB657" t="str">
        <f>HYPERLINK("Melting_Curves/meltCurve_F5H6Z0_CDK17.pdf", "Melting_Curves/meltCurve_F5H6Z0_CDK17.pdf")</f>
        <v>Melting_Curves/meltCurve_F5H6Z0_CDK17.pdf</v>
      </c>
    </row>
    <row r="658" spans="1:28" x14ac:dyDescent="0.25">
      <c r="A658" t="s">
        <v>662</v>
      </c>
      <c r="B658">
        <v>0.99996721820229495</v>
      </c>
      <c r="C658">
        <v>1.01225400771716</v>
      </c>
      <c r="D658">
        <v>1.0056082683508201</v>
      </c>
      <c r="E658">
        <v>1.18147680606835</v>
      </c>
      <c r="F658">
        <v>1.44114023159772</v>
      </c>
      <c r="G658">
        <v>1.52951385830033</v>
      </c>
      <c r="H658">
        <v>1.09128022888563</v>
      </c>
      <c r="I658">
        <v>0.98512435666847298</v>
      </c>
      <c r="J658">
        <v>0.90325399686071695</v>
      </c>
      <c r="K658">
        <v>0.86824897483284003</v>
      </c>
      <c r="L658">
        <v>5041.14246695364</v>
      </c>
      <c r="M658">
        <v>76.255934222442406</v>
      </c>
      <c r="O658">
        <v>66.062776503767196</v>
      </c>
      <c r="P658">
        <v>-3.8418390642951397E-2</v>
      </c>
      <c r="Q658">
        <v>0.86686805798754796</v>
      </c>
      <c r="R658">
        <v>-0.174483668377304</v>
      </c>
      <c r="S658" t="s">
        <v>6484</v>
      </c>
      <c r="T658" t="s">
        <v>11650</v>
      </c>
      <c r="U658" t="s">
        <v>11650</v>
      </c>
      <c r="V658" t="s">
        <v>11650</v>
      </c>
      <c r="W658" t="s">
        <v>12297</v>
      </c>
      <c r="X658">
        <v>12</v>
      </c>
      <c r="Y658" t="s">
        <v>18058</v>
      </c>
      <c r="Z658" t="s">
        <v>23720</v>
      </c>
      <c r="AA658">
        <v>0.98283208179368797</v>
      </c>
      <c r="AB658" t="str">
        <f>HYPERLINK("Melting_Curves/meltCurve_F5H721_WBP11.pdf", "Melting_Curves/meltCurve_F5H721_WBP11.pdf")</f>
        <v>Melting_Curves/meltCurve_F5H721_WBP11.pdf</v>
      </c>
    </row>
    <row r="659" spans="1:28" x14ac:dyDescent="0.25">
      <c r="A659" t="s">
        <v>663</v>
      </c>
      <c r="B659">
        <v>0.99996721820229495</v>
      </c>
      <c r="C659">
        <v>0.74643656150527804</v>
      </c>
      <c r="D659">
        <v>0.952722279823489</v>
      </c>
      <c r="E659">
        <v>0.97674318483757006</v>
      </c>
      <c r="F659">
        <v>1.2242350202126699</v>
      </c>
      <c r="G659">
        <v>1.33335213025774</v>
      </c>
      <c r="H659">
        <v>0.91822440913304504</v>
      </c>
      <c r="I659">
        <v>0.68387896749260402</v>
      </c>
      <c r="J659">
        <v>0.39463885260949</v>
      </c>
      <c r="K659">
        <v>0.34356685736960901</v>
      </c>
      <c r="L659">
        <v>3175.6750524466001</v>
      </c>
      <c r="M659">
        <v>49.555527367558</v>
      </c>
      <c r="N659">
        <v>65.515129962357193</v>
      </c>
      <c r="O659">
        <v>63.979065954526902</v>
      </c>
      <c r="P659">
        <v>-0.12959656453398399</v>
      </c>
      <c r="Q659">
        <v>0.33073378909413798</v>
      </c>
      <c r="R659">
        <v>0.751894069853008</v>
      </c>
      <c r="S659" t="s">
        <v>6485</v>
      </c>
      <c r="T659" t="s">
        <v>11650</v>
      </c>
      <c r="U659" t="s">
        <v>11650</v>
      </c>
      <c r="V659" t="s">
        <v>11650</v>
      </c>
      <c r="W659" t="s">
        <v>12298</v>
      </c>
      <c r="X659">
        <v>9</v>
      </c>
      <c r="Y659" t="s">
        <v>18059</v>
      </c>
      <c r="Z659" t="s">
        <v>23721</v>
      </c>
      <c r="AA659">
        <v>0.86938550399524173</v>
      </c>
      <c r="AB659" t="str">
        <f>HYPERLINK("Melting_Curves/meltCurve_F5H740_VDAC3.pdf", "Melting_Curves/meltCurve_F5H740_VDAC3.pdf")</f>
        <v>Melting_Curves/meltCurve_F5H740_VDAC3.pdf</v>
      </c>
    </row>
    <row r="660" spans="1:28" x14ac:dyDescent="0.25">
      <c r="A660" t="s">
        <v>664</v>
      </c>
      <c r="B660">
        <v>0.99996721820229495</v>
      </c>
      <c r="C660">
        <v>1.0822407210456799</v>
      </c>
      <c r="D660">
        <v>1.491069561939</v>
      </c>
      <c r="E660">
        <v>2.90519904297091</v>
      </c>
      <c r="F660">
        <v>2.2409784937718</v>
      </c>
      <c r="G660">
        <v>2.69941078625321</v>
      </c>
      <c r="H660">
        <v>1.6323657571954</v>
      </c>
      <c r="I660">
        <v>0.28946401660563298</v>
      </c>
      <c r="J660">
        <v>6.4426811516457599E-2</v>
      </c>
      <c r="K660">
        <v>7.7360968750087106E-2</v>
      </c>
      <c r="L660">
        <v>15000</v>
      </c>
      <c r="M660">
        <v>235.55307300482099</v>
      </c>
      <c r="N660">
        <v>63.721262917863299</v>
      </c>
      <c r="O660">
        <v>63.675327653696101</v>
      </c>
      <c r="P660">
        <v>-0.85929071734843299</v>
      </c>
      <c r="Q660">
        <v>7.0857094971000498E-2</v>
      </c>
      <c r="R660">
        <v>0.104741227953695</v>
      </c>
      <c r="S660" t="s">
        <v>6486</v>
      </c>
      <c r="T660" t="s">
        <v>11650</v>
      </c>
      <c r="U660" t="s">
        <v>11650</v>
      </c>
      <c r="V660" t="s">
        <v>11650</v>
      </c>
      <c r="W660" t="s">
        <v>12299</v>
      </c>
      <c r="X660">
        <v>31</v>
      </c>
      <c r="Y660" t="s">
        <v>18060</v>
      </c>
      <c r="Z660" t="s">
        <v>23722</v>
      </c>
      <c r="AA660">
        <v>0.80437494212372096</v>
      </c>
      <c r="AB660" t="str">
        <f>HYPERLINK("Melting_Curves/meltCurve_F5H780_TXNRD1.pdf", "Melting_Curves/meltCurve_F5H780_TXNRD1.pdf")</f>
        <v>Melting_Curves/meltCurve_F5H780_TXNRD1.pdf</v>
      </c>
    </row>
    <row r="661" spans="1:28" x14ac:dyDescent="0.25">
      <c r="A661" t="s">
        <v>665</v>
      </c>
      <c r="B661">
        <v>0.99996721820229495</v>
      </c>
      <c r="C661">
        <v>0.97345518821884702</v>
      </c>
      <c r="D661">
        <v>0.92931993936281698</v>
      </c>
      <c r="E661">
        <v>0.86423891192096103</v>
      </c>
      <c r="F661">
        <v>0.86440937704760101</v>
      </c>
      <c r="G661">
        <v>0.618922114691564</v>
      </c>
      <c r="H661">
        <v>0.42708047363427298</v>
      </c>
      <c r="I661">
        <v>0.421541625004411</v>
      </c>
      <c r="J661">
        <v>0.42881768791111602</v>
      </c>
      <c r="K661">
        <v>0.31006965665243402</v>
      </c>
      <c r="L661">
        <v>798.92775842312699</v>
      </c>
      <c r="M661">
        <v>14.1657575607561</v>
      </c>
      <c r="N661">
        <v>60.339685155075401</v>
      </c>
      <c r="O661">
        <v>55.310283756329099</v>
      </c>
      <c r="P661">
        <v>-4.4711451032297199E-2</v>
      </c>
      <c r="Q661">
        <v>0.301783749237645</v>
      </c>
      <c r="R661">
        <v>0.97613315837438397</v>
      </c>
      <c r="S661" t="s">
        <v>6487</v>
      </c>
      <c r="T661" t="s">
        <v>11650</v>
      </c>
      <c r="U661" t="s">
        <v>11650</v>
      </c>
      <c r="V661" t="s">
        <v>11650</v>
      </c>
      <c r="W661" t="s">
        <v>12300</v>
      </c>
      <c r="X661">
        <v>7</v>
      </c>
      <c r="Y661" t="s">
        <v>18061</v>
      </c>
      <c r="Z661" t="s">
        <v>23723</v>
      </c>
      <c r="AA661">
        <v>0.69580445686445458</v>
      </c>
      <c r="AB661" t="str">
        <f>HYPERLINK("Melting_Curves/meltCurve_F5H7C4_MSRB3.pdf", "Melting_Curves/meltCurve_F5H7C4_MSRB3.pdf")</f>
        <v>Melting_Curves/meltCurve_F5H7C4_MSRB3.pdf</v>
      </c>
    </row>
    <row r="662" spans="1:28" x14ac:dyDescent="0.25">
      <c r="A662" t="s">
        <v>666</v>
      </c>
      <c r="B662">
        <v>0.99996721820229495</v>
      </c>
      <c r="C662">
        <v>0.71391595320714196</v>
      </c>
      <c r="D662">
        <v>0.88070678443429196</v>
      </c>
      <c r="E662">
        <v>0.91443485161106797</v>
      </c>
      <c r="F662">
        <v>1.1059600135918899</v>
      </c>
      <c r="G662">
        <v>0.97024672462717398</v>
      </c>
      <c r="H662">
        <v>0.67180050024918403</v>
      </c>
      <c r="I662">
        <v>0.39085437560633901</v>
      </c>
      <c r="J662">
        <v>0.21604587401214101</v>
      </c>
      <c r="K662">
        <v>0.16537597714491201</v>
      </c>
      <c r="L662">
        <v>2030.08969911695</v>
      </c>
      <c r="M662">
        <v>32.7341472507878</v>
      </c>
      <c r="N662">
        <v>62.698970751124598</v>
      </c>
      <c r="O662">
        <v>61.787411558688</v>
      </c>
      <c r="P662">
        <v>-0.112621248825673</v>
      </c>
      <c r="Q662">
        <v>0.14968998825680199</v>
      </c>
      <c r="R662">
        <v>0.88659906861820803</v>
      </c>
      <c r="S662" t="s">
        <v>6488</v>
      </c>
      <c r="T662" t="s">
        <v>11650</v>
      </c>
      <c r="U662" t="s">
        <v>11650</v>
      </c>
      <c r="V662" t="s">
        <v>11650</v>
      </c>
      <c r="W662" t="s">
        <v>12301</v>
      </c>
      <c r="X662">
        <v>21</v>
      </c>
      <c r="Y662" t="s">
        <v>18062</v>
      </c>
      <c r="Z662" t="s">
        <v>23724</v>
      </c>
      <c r="AA662">
        <v>0.77747185111442429</v>
      </c>
      <c r="AB662" t="str">
        <f>HYPERLINK("Melting_Curves/meltCurve_F5H7N9_MFGE8.pdf", "Melting_Curves/meltCurve_F5H7N9_MFGE8.pdf")</f>
        <v>Melting_Curves/meltCurve_F5H7N9_MFGE8.pdf</v>
      </c>
    </row>
    <row r="663" spans="1:28" x14ac:dyDescent="0.25">
      <c r="A663" t="s">
        <v>667</v>
      </c>
      <c r="B663">
        <v>0.99996721820229495</v>
      </c>
      <c r="C663">
        <v>1.0328949084773</v>
      </c>
      <c r="D663">
        <v>1.27870202832623</v>
      </c>
      <c r="E663">
        <v>2.1345492601207998</v>
      </c>
      <c r="F663">
        <v>0.77380028778773202</v>
      </c>
      <c r="G663">
        <v>0.67396059929140695</v>
      </c>
      <c r="H663">
        <v>0.40240592963570698</v>
      </c>
      <c r="I663">
        <v>0.30623974425839501</v>
      </c>
      <c r="J663">
        <v>0.233910265777517</v>
      </c>
      <c r="K663">
        <v>0.17667653282565299</v>
      </c>
      <c r="L663">
        <v>1779.55225205332</v>
      </c>
      <c r="M663">
        <v>30.7514800304114</v>
      </c>
      <c r="N663">
        <v>59.038120688036003</v>
      </c>
      <c r="O663">
        <v>57.625768817049199</v>
      </c>
      <c r="P663">
        <v>-0.10298445793849401</v>
      </c>
      <c r="Q663">
        <v>0.22806664825416401</v>
      </c>
      <c r="R663">
        <v>0.56041992863380696</v>
      </c>
      <c r="S663" t="s">
        <v>6489</v>
      </c>
      <c r="T663" t="s">
        <v>11650</v>
      </c>
      <c r="U663" t="s">
        <v>11650</v>
      </c>
      <c r="V663" t="s">
        <v>11650</v>
      </c>
      <c r="W663" t="s">
        <v>12302</v>
      </c>
      <c r="X663">
        <v>10</v>
      </c>
      <c r="Y663" t="s">
        <v>18063</v>
      </c>
      <c r="Z663" t="s">
        <v>23725</v>
      </c>
      <c r="AA663">
        <v>0.69273677574490111</v>
      </c>
      <c r="AB663" t="str">
        <f>HYPERLINK("Melting_Curves/meltCurve_F5H801_OGDH.pdf", "Melting_Curves/meltCurve_F5H801_OGDH.pdf")</f>
        <v>Melting_Curves/meltCurve_F5H801_OGDH.pdf</v>
      </c>
    </row>
    <row r="664" spans="1:28" x14ac:dyDescent="0.25">
      <c r="A664" t="s">
        <v>668</v>
      </c>
      <c r="B664">
        <v>0.99996721820229495</v>
      </c>
      <c r="C664">
        <v>0.80259350686129505</v>
      </c>
      <c r="D664">
        <v>0.75553205710567795</v>
      </c>
      <c r="E664">
        <v>0.95837685029019104</v>
      </c>
      <c r="F664">
        <v>0.67357116093723701</v>
      </c>
      <c r="G664">
        <v>0.57149614297624896</v>
      </c>
      <c r="H664">
        <v>0.42916653420712397</v>
      </c>
      <c r="I664">
        <v>0.474914077227723</v>
      </c>
      <c r="J664">
        <v>0.24567169909266101</v>
      </c>
      <c r="K664">
        <v>0.403647233460802</v>
      </c>
      <c r="L664">
        <v>342.81003035266798</v>
      </c>
      <c r="M664">
        <v>5.6791821838066996</v>
      </c>
      <c r="N664">
        <v>60.421576666231502</v>
      </c>
      <c r="O664">
        <v>54.1296084499022</v>
      </c>
      <c r="P664">
        <v>-2.6259953229202999E-2</v>
      </c>
      <c r="Q664">
        <v>2.7652050564275698E-3</v>
      </c>
      <c r="R664">
        <v>0.83891943890772402</v>
      </c>
      <c r="S664" t="s">
        <v>6490</v>
      </c>
      <c r="T664" t="s">
        <v>11650</v>
      </c>
      <c r="U664" t="s">
        <v>11650</v>
      </c>
      <c r="V664" t="s">
        <v>11650</v>
      </c>
      <c r="W664" t="s">
        <v>12303</v>
      </c>
      <c r="X664">
        <v>1</v>
      </c>
      <c r="Y664" t="s">
        <v>18064</v>
      </c>
      <c r="Z664" t="s">
        <v>23726</v>
      </c>
      <c r="AA664">
        <v>0.63680303255199022</v>
      </c>
      <c r="AB664" t="str">
        <f>HYPERLINK("Melting_Curves/meltCurve_F5H827_POMGNT1.pdf", "Melting_Curves/meltCurve_F5H827_POMGNT1.pdf")</f>
        <v>Melting_Curves/meltCurve_F5H827_POMGNT1.pdf</v>
      </c>
    </row>
    <row r="665" spans="1:28" x14ac:dyDescent="0.25">
      <c r="A665" t="s">
        <v>669</v>
      </c>
      <c r="B665">
        <v>0.99996721820229495</v>
      </c>
      <c r="C665">
        <v>0.82412777209688004</v>
      </c>
      <c r="D665">
        <v>0.98719369387540801</v>
      </c>
      <c r="E665">
        <v>1.23243412776493</v>
      </c>
      <c r="F665">
        <v>1.7970531203482101</v>
      </c>
      <c r="G665">
        <v>1.99657479562521</v>
      </c>
      <c r="H665">
        <v>1.5967832277438501</v>
      </c>
      <c r="I665">
        <v>1.18682281920873</v>
      </c>
      <c r="J665">
        <v>0.69892493969867597</v>
      </c>
      <c r="K665">
        <v>1.0762245423247401</v>
      </c>
      <c r="L665">
        <v>12481.2120752882</v>
      </c>
      <c r="M665">
        <v>250</v>
      </c>
      <c r="O665">
        <v>49.921672187977002</v>
      </c>
      <c r="P665">
        <v>0.49084891077769699</v>
      </c>
      <c r="Q665">
        <v>1.3920638278631501</v>
      </c>
      <c r="R665">
        <v>0.24719688415941601</v>
      </c>
      <c r="S665" t="s">
        <v>6491</v>
      </c>
      <c r="T665" t="s">
        <v>11650</v>
      </c>
      <c r="U665" t="s">
        <v>11650</v>
      </c>
      <c r="V665" t="s">
        <v>11650</v>
      </c>
      <c r="W665" t="s">
        <v>12304</v>
      </c>
      <c r="X665">
        <v>2</v>
      </c>
      <c r="Y665" t="s">
        <v>18065</v>
      </c>
      <c r="Z665" t="s">
        <v>23727</v>
      </c>
      <c r="AA665">
        <v>1.2623236757463021</v>
      </c>
      <c r="AB665" t="str">
        <f>HYPERLINK("Melting_Curves/meltCurve_F5H843_SLC16A7.pdf", "Melting_Curves/meltCurve_F5H843_SLC16A7.pdf")</f>
        <v>Melting_Curves/meltCurve_F5H843_SLC16A7.pdf</v>
      </c>
    </row>
    <row r="666" spans="1:28" x14ac:dyDescent="0.25">
      <c r="A666" t="s">
        <v>670</v>
      </c>
      <c r="B666">
        <v>0.99996721820229495</v>
      </c>
      <c r="C666">
        <v>1.02579338205558</v>
      </c>
      <c r="D666">
        <v>0.99202672578096496</v>
      </c>
      <c r="E666">
        <v>1.05255109630056</v>
      </c>
      <c r="F666">
        <v>0.85306288036721101</v>
      </c>
      <c r="G666">
        <v>0.538396309803718</v>
      </c>
      <c r="H666">
        <v>0.315908470682361</v>
      </c>
      <c r="I666">
        <v>0.221872886009715</v>
      </c>
      <c r="J666">
        <v>0.16640037889324999</v>
      </c>
      <c r="K666">
        <v>0.14296588174001701</v>
      </c>
      <c r="L666">
        <v>1353.91994307458</v>
      </c>
      <c r="M666">
        <v>23.838571684629699</v>
      </c>
      <c r="N666">
        <v>57.675515099338902</v>
      </c>
      <c r="O666">
        <v>56.400214146527198</v>
      </c>
      <c r="P666">
        <v>-8.9556006585425799E-2</v>
      </c>
      <c r="Q666">
        <v>0.152483644872633</v>
      </c>
      <c r="R666">
        <v>0.99285502901174905</v>
      </c>
      <c r="S666" t="s">
        <v>6492</v>
      </c>
      <c r="T666" t="s">
        <v>11650</v>
      </c>
      <c r="U666" t="s">
        <v>11650</v>
      </c>
      <c r="V666" t="s">
        <v>11650</v>
      </c>
      <c r="W666" t="s">
        <v>12305</v>
      </c>
      <c r="X666">
        <v>8</v>
      </c>
      <c r="Y666" t="s">
        <v>18066</v>
      </c>
      <c r="Z666" t="s">
        <v>23728</v>
      </c>
      <c r="AA666">
        <v>0.63521720827177885</v>
      </c>
      <c r="AB666" t="str">
        <f>HYPERLINK("Melting_Curves/meltCurve_F5H860_INPP4A.pdf", "Melting_Curves/meltCurve_F5H860_INPP4A.pdf")</f>
        <v>Melting_Curves/meltCurve_F5H860_INPP4A.pdf</v>
      </c>
    </row>
    <row r="667" spans="1:28" x14ac:dyDescent="0.25">
      <c r="A667" t="s">
        <v>671</v>
      </c>
      <c r="B667">
        <v>0.99996721820229495</v>
      </c>
      <c r="C667">
        <v>1.02459642989288</v>
      </c>
      <c r="D667">
        <v>1.01803010657268</v>
      </c>
      <c r="E667">
        <v>1.0458809340067501</v>
      </c>
      <c r="F667">
        <v>0.29533865464092102</v>
      </c>
      <c r="G667">
        <v>0.18408172833857001</v>
      </c>
      <c r="H667">
        <v>9.3864608536864902E-2</v>
      </c>
      <c r="I667">
        <v>5.7784253059644297E-2</v>
      </c>
      <c r="J667">
        <v>3.9905029123566901E-2</v>
      </c>
      <c r="K667">
        <v>3.0625675485708801E-2</v>
      </c>
      <c r="L667">
        <v>13186.859208884</v>
      </c>
      <c r="M667">
        <v>250</v>
      </c>
      <c r="N667">
        <v>52.7848810717934</v>
      </c>
      <c r="O667">
        <v>52.744061366874902</v>
      </c>
      <c r="P667">
        <v>-1.0886862853074699</v>
      </c>
      <c r="Q667">
        <v>8.12522215160002E-2</v>
      </c>
      <c r="R667">
        <v>0.99080213795744698</v>
      </c>
      <c r="S667" t="s">
        <v>6493</v>
      </c>
      <c r="T667" t="s">
        <v>11650</v>
      </c>
      <c r="U667" t="s">
        <v>11650</v>
      </c>
      <c r="V667" t="s">
        <v>11650</v>
      </c>
      <c r="W667" t="s">
        <v>12306</v>
      </c>
      <c r="X667">
        <v>35</v>
      </c>
      <c r="Y667" t="s">
        <v>18067</v>
      </c>
      <c r="Z667" t="s">
        <v>23729</v>
      </c>
      <c r="AA667">
        <v>0.47172657998674022</v>
      </c>
      <c r="AB667" t="str">
        <f>HYPERLINK("Melting_Curves/meltCurve_F5H897_TRAP1.pdf", "Melting_Curves/meltCurve_F5H897_TRAP1.pdf")</f>
        <v>Melting_Curves/meltCurve_F5H897_TRAP1.pdf</v>
      </c>
    </row>
    <row r="668" spans="1:28" x14ac:dyDescent="0.25">
      <c r="A668" t="s">
        <v>672</v>
      </c>
      <c r="B668">
        <v>0.99996721820229495</v>
      </c>
      <c r="C668">
        <v>1.1064760262065301</v>
      </c>
      <c r="D668">
        <v>0.98581575542464905</v>
      </c>
      <c r="E668">
        <v>1.01720872177488</v>
      </c>
      <c r="F668">
        <v>1.0214991172328101</v>
      </c>
      <c r="G668">
        <v>0.68273615786335595</v>
      </c>
      <c r="H668">
        <v>0.259509357009304</v>
      </c>
      <c r="I668">
        <v>0.16236126901633</v>
      </c>
      <c r="J668">
        <v>0.10621819076446599</v>
      </c>
      <c r="K668">
        <v>8.77193707125552E-2</v>
      </c>
      <c r="L668">
        <v>1994.7133034635301</v>
      </c>
      <c r="M668">
        <v>34.311790055587302</v>
      </c>
      <c r="N668">
        <v>58.528178515713101</v>
      </c>
      <c r="O668">
        <v>57.9385155271098</v>
      </c>
      <c r="P668">
        <v>-0.13281124946397399</v>
      </c>
      <c r="Q668">
        <v>0.10294889897924001</v>
      </c>
      <c r="R668">
        <v>0.99074576138202497</v>
      </c>
      <c r="S668" t="s">
        <v>6494</v>
      </c>
      <c r="T668" t="s">
        <v>11650</v>
      </c>
      <c r="U668" t="s">
        <v>11650</v>
      </c>
      <c r="V668" t="s">
        <v>11650</v>
      </c>
      <c r="W668" t="s">
        <v>12307</v>
      </c>
      <c r="X668">
        <v>12</v>
      </c>
      <c r="Y668" t="s">
        <v>18068</v>
      </c>
      <c r="Z668" t="s">
        <v>23730</v>
      </c>
      <c r="AA668">
        <v>0.64989445523248401</v>
      </c>
      <c r="AB668" t="str">
        <f>HYPERLINK("Melting_Curves/meltCurve_F5H8H2_MVK.pdf", "Melting_Curves/meltCurve_F5H8H2_MVK.pdf")</f>
        <v>Melting_Curves/meltCurve_F5H8H2_MVK.pdf</v>
      </c>
    </row>
    <row r="669" spans="1:28" x14ac:dyDescent="0.25">
      <c r="A669" t="s">
        <v>673</v>
      </c>
      <c r="B669">
        <v>0.99996721820229495</v>
      </c>
      <c r="C669">
        <v>0.98671338735760905</v>
      </c>
      <c r="D669">
        <v>0.96351065394214397</v>
      </c>
      <c r="E669">
        <v>0.51700801279212905</v>
      </c>
      <c r="F669">
        <v>0.42823250559515502</v>
      </c>
      <c r="G669">
        <v>0.36651785230811601</v>
      </c>
      <c r="H669">
        <v>0.24144268102889599</v>
      </c>
      <c r="I669">
        <v>0.15503476688106799</v>
      </c>
      <c r="J669">
        <v>0.122118734738036</v>
      </c>
      <c r="K669">
        <v>8.5330446382929706E-2</v>
      </c>
      <c r="L669">
        <v>767.62133693637395</v>
      </c>
      <c r="M669">
        <v>15.037579062319001</v>
      </c>
      <c r="N669">
        <v>52.025006330168097</v>
      </c>
      <c r="O669">
        <v>50.169632287109899</v>
      </c>
      <c r="P669">
        <v>-6.5713150998385594E-2</v>
      </c>
      <c r="Q669">
        <v>0.123136544365631</v>
      </c>
      <c r="R669">
        <v>0.96754825091732499</v>
      </c>
      <c r="S669" t="s">
        <v>6495</v>
      </c>
      <c r="T669" t="s">
        <v>11650</v>
      </c>
      <c r="U669" t="s">
        <v>11650</v>
      </c>
      <c r="V669" t="s">
        <v>11650</v>
      </c>
      <c r="W669" t="s">
        <v>12308</v>
      </c>
      <c r="X669">
        <v>7</v>
      </c>
      <c r="Y669" t="s">
        <v>18069</v>
      </c>
      <c r="Z669" t="s">
        <v>23731</v>
      </c>
      <c r="AA669">
        <v>0.46616955457885612</v>
      </c>
      <c r="AB669" t="str">
        <f>HYPERLINK("Melting_Curves/meltCurve_F5H8J3_CLPTM1.pdf", "Melting_Curves/meltCurve_F5H8J3_CLPTM1.pdf")</f>
        <v>Melting_Curves/meltCurve_F5H8J3_CLPTM1.pdf</v>
      </c>
    </row>
    <row r="670" spans="1:28" x14ac:dyDescent="0.25">
      <c r="A670" t="s">
        <v>674</v>
      </c>
      <c r="B670">
        <v>0.99996721820229495</v>
      </c>
      <c r="C670">
        <v>1.1045370780257</v>
      </c>
      <c r="D670">
        <v>1.0368485221538399</v>
      </c>
      <c r="E670">
        <v>1.21241798262821</v>
      </c>
      <c r="F670">
        <v>1.4952451226492001</v>
      </c>
      <c r="G670">
        <v>1.24569245216156</v>
      </c>
      <c r="H670">
        <v>0.60104885167629196</v>
      </c>
      <c r="I670">
        <v>0.40742968366215498</v>
      </c>
      <c r="J670">
        <v>0.334243394579048</v>
      </c>
      <c r="K670">
        <v>0.228689439876953</v>
      </c>
      <c r="L670">
        <v>5689.5983860265096</v>
      </c>
      <c r="M670">
        <v>93.593323971657298</v>
      </c>
      <c r="N670">
        <v>61.462725132099202</v>
      </c>
      <c r="O670">
        <v>60.762913081983797</v>
      </c>
      <c r="P670">
        <v>-0.26173133834890699</v>
      </c>
      <c r="Q670">
        <v>0.32031240008289602</v>
      </c>
      <c r="R670">
        <v>0.78145288955619796</v>
      </c>
      <c r="S670" t="s">
        <v>6496</v>
      </c>
      <c r="T670" t="s">
        <v>11650</v>
      </c>
      <c r="U670" t="s">
        <v>11650</v>
      </c>
      <c r="V670" t="s">
        <v>11650</v>
      </c>
      <c r="W670" t="s">
        <v>12309</v>
      </c>
      <c r="X670">
        <v>15</v>
      </c>
      <c r="Y670" t="s">
        <v>18070</v>
      </c>
      <c r="Z670" t="s">
        <v>23732</v>
      </c>
      <c r="AA670">
        <v>0.79186847934725291</v>
      </c>
      <c r="AB670" t="str">
        <f>HYPERLINK("Melting_Curves/meltCurve_F6PQP6_EPN2.pdf", "Melting_Curves/meltCurve_F6PQP6_EPN2.pdf")</f>
        <v>Melting_Curves/meltCurve_F6PQP6_EPN2.pdf</v>
      </c>
    </row>
    <row r="671" spans="1:28" x14ac:dyDescent="0.25">
      <c r="A671" t="s">
        <v>675</v>
      </c>
      <c r="B671">
        <v>0.99996721820229495</v>
      </c>
      <c r="C671">
        <v>0.97913121054400698</v>
      </c>
      <c r="D671">
        <v>1.0007610679752099</v>
      </c>
      <c r="E671">
        <v>0.983700679130461</v>
      </c>
      <c r="F671">
        <v>0.57022074942893097</v>
      </c>
      <c r="G671">
        <v>0.36515740587709999</v>
      </c>
      <c r="H671">
        <v>0.214768292673165</v>
      </c>
      <c r="I671">
        <v>0.15039515542892101</v>
      </c>
      <c r="J671">
        <v>0.10376262093251901</v>
      </c>
      <c r="K671">
        <v>7.7942355147311501E-2</v>
      </c>
      <c r="L671">
        <v>1205.40912326987</v>
      </c>
      <c r="M671">
        <v>22.2524541355547</v>
      </c>
      <c r="N671">
        <v>54.773582890864098</v>
      </c>
      <c r="O671">
        <v>53.737935846363897</v>
      </c>
      <c r="P671">
        <v>-9.22641476977034E-2</v>
      </c>
      <c r="Q671">
        <v>0.10877624818445</v>
      </c>
      <c r="R671">
        <v>0.98385646056935205</v>
      </c>
      <c r="S671" t="s">
        <v>6497</v>
      </c>
      <c r="T671" t="s">
        <v>11650</v>
      </c>
      <c r="U671" t="s">
        <v>11650</v>
      </c>
      <c r="V671" t="s">
        <v>11650</v>
      </c>
      <c r="W671" t="s">
        <v>12310</v>
      </c>
      <c r="X671">
        <v>15</v>
      </c>
      <c r="Y671" t="s">
        <v>18071</v>
      </c>
      <c r="Z671" t="s">
        <v>23733</v>
      </c>
      <c r="AA671">
        <v>0.53985000330713351</v>
      </c>
      <c r="AB671" t="str">
        <f>HYPERLINK("Melting_Curves/meltCurve_F6T1Q0_PDE12.pdf", "Melting_Curves/meltCurve_F6T1Q0_PDE12.pdf")</f>
        <v>Melting_Curves/meltCurve_F6T1Q0_PDE12.pdf</v>
      </c>
    </row>
    <row r="672" spans="1:28" x14ac:dyDescent="0.25">
      <c r="A672" t="s">
        <v>676</v>
      </c>
      <c r="B672">
        <v>0.99996721820229495</v>
      </c>
      <c r="C672">
        <v>0.99974114000494396</v>
      </c>
      <c r="D672">
        <v>0.99646160381545401</v>
      </c>
      <c r="E672">
        <v>0.76104086414717098</v>
      </c>
      <c r="F672">
        <v>1.08464429935335</v>
      </c>
      <c r="G672">
        <v>0.64522090045423897</v>
      </c>
      <c r="H672">
        <v>0.473684395099568</v>
      </c>
      <c r="I672">
        <v>0.40231724553970899</v>
      </c>
      <c r="J672">
        <v>0.45245769941124298</v>
      </c>
      <c r="K672">
        <v>0.241245677270707</v>
      </c>
      <c r="L672">
        <v>4780.9984716896397</v>
      </c>
      <c r="M672">
        <v>84.200815025096801</v>
      </c>
      <c r="N672">
        <v>57.831506133131697</v>
      </c>
      <c r="O672">
        <v>56.748899539604601</v>
      </c>
      <c r="P672">
        <v>-0.22564281636016001</v>
      </c>
      <c r="Q672">
        <v>0.391693290423758</v>
      </c>
      <c r="R672">
        <v>0.88315737834152797</v>
      </c>
      <c r="S672" t="s">
        <v>6498</v>
      </c>
      <c r="T672" t="s">
        <v>11650</v>
      </c>
      <c r="U672" t="s">
        <v>11650</v>
      </c>
      <c r="V672" t="s">
        <v>11650</v>
      </c>
      <c r="W672" t="s">
        <v>12311</v>
      </c>
      <c r="X672">
        <v>4</v>
      </c>
      <c r="Y672" t="s">
        <v>18072</v>
      </c>
      <c r="Z672" t="s">
        <v>23734</v>
      </c>
      <c r="AA672">
        <v>0.73249315821314931</v>
      </c>
      <c r="AB672" t="str">
        <f>HYPERLINK("Melting_Curves/meltCurve_F6TQG2_SMARCA1.pdf", "Melting_Curves/meltCurve_F6TQG2_SMARCA1.pdf")</f>
        <v>Melting_Curves/meltCurve_F6TQG2_SMARCA1.pdf</v>
      </c>
    </row>
    <row r="673" spans="1:28" x14ac:dyDescent="0.25">
      <c r="A673" t="s">
        <v>677</v>
      </c>
      <c r="B673">
        <v>0.99996721820229495</v>
      </c>
      <c r="C673">
        <v>1.04234493426443</v>
      </c>
      <c r="D673">
        <v>1.03484052371001</v>
      </c>
      <c r="E673">
        <v>1.0568848771661601</v>
      </c>
      <c r="F673">
        <v>1.1725464679802799</v>
      </c>
      <c r="G673">
        <v>1.2235312268256999</v>
      </c>
      <c r="H673">
        <v>0.78610793567172699</v>
      </c>
      <c r="I673">
        <v>0.77504269724368702</v>
      </c>
      <c r="J673">
        <v>0.75850992114955695</v>
      </c>
      <c r="K673">
        <v>0.42568875918481702</v>
      </c>
      <c r="L673">
        <v>1283.7433026845899</v>
      </c>
      <c r="M673">
        <v>18.487482365457499</v>
      </c>
      <c r="N673">
        <v>69.438526570879503</v>
      </c>
      <c r="O673">
        <v>68.641364342198699</v>
      </c>
      <c r="P673">
        <v>-6.7336595755012996E-2</v>
      </c>
      <c r="Q673">
        <v>0</v>
      </c>
      <c r="R673">
        <v>0.75114824790786605</v>
      </c>
      <c r="S673" t="s">
        <v>6499</v>
      </c>
      <c r="T673" t="s">
        <v>11650</v>
      </c>
      <c r="U673" t="s">
        <v>11650</v>
      </c>
      <c r="V673" t="s">
        <v>11650</v>
      </c>
      <c r="W673" t="s">
        <v>12312</v>
      </c>
      <c r="X673">
        <v>8</v>
      </c>
      <c r="Y673" t="s">
        <v>18073</v>
      </c>
      <c r="Z673" t="s">
        <v>23735</v>
      </c>
      <c r="AA673">
        <v>0.91302657693903244</v>
      </c>
      <c r="AB673" t="str">
        <f>HYPERLINK("Melting_Curves/meltCurve_F6U1T9_PPP3R1.pdf", "Melting_Curves/meltCurve_F6U1T9_PPP3R1.pdf")</f>
        <v>Melting_Curves/meltCurve_F6U1T9_PPP3R1.pdf</v>
      </c>
    </row>
    <row r="674" spans="1:28" x14ac:dyDescent="0.25">
      <c r="A674" t="s">
        <v>678</v>
      </c>
      <c r="B674">
        <v>0.99996721820229495</v>
      </c>
      <c r="C674">
        <v>0.889607257064712</v>
      </c>
      <c r="D674">
        <v>0.62875273745933402</v>
      </c>
      <c r="E674">
        <v>0.39648724996134199</v>
      </c>
      <c r="F674">
        <v>0.20074050598373799</v>
      </c>
      <c r="G674">
        <v>0.16829307147202599</v>
      </c>
      <c r="H674">
        <v>0.101172363060057</v>
      </c>
      <c r="I674">
        <v>5.9303135793147499E-2</v>
      </c>
      <c r="J674">
        <v>4.6798995505778998E-2</v>
      </c>
      <c r="K674">
        <v>3.6038169473547002E-2</v>
      </c>
      <c r="L674">
        <v>737.69722552115195</v>
      </c>
      <c r="M674">
        <v>15.4039251615739</v>
      </c>
      <c r="N674">
        <v>48.2158050141784</v>
      </c>
      <c r="O674">
        <v>47.104848396051601</v>
      </c>
      <c r="P674">
        <v>-7.7722011144346598E-2</v>
      </c>
      <c r="Q674">
        <v>4.9397680926970403E-2</v>
      </c>
      <c r="R674">
        <v>0.99300905022615404</v>
      </c>
      <c r="S674" t="s">
        <v>6500</v>
      </c>
      <c r="T674" t="s">
        <v>11650</v>
      </c>
      <c r="U674" t="s">
        <v>11650</v>
      </c>
      <c r="V674" t="s">
        <v>11650</v>
      </c>
      <c r="W674" t="s">
        <v>12313</v>
      </c>
      <c r="X674">
        <v>1</v>
      </c>
      <c r="Y674" t="s">
        <v>18074</v>
      </c>
      <c r="Z674" t="s">
        <v>23736</v>
      </c>
      <c r="AA674">
        <v>0.32273165516954128</v>
      </c>
      <c r="AB674" t="str">
        <f>HYPERLINK("Melting_Curves/meltCurve_F6WCX7_MAP2K7.pdf", "Melting_Curves/meltCurve_F6WCX7_MAP2K7.pdf")</f>
        <v>Melting_Curves/meltCurve_F6WCX7_MAP2K7.pdf</v>
      </c>
    </row>
    <row r="675" spans="1:28" x14ac:dyDescent="0.25">
      <c r="A675" t="s">
        <v>679</v>
      </c>
      <c r="B675">
        <v>0.99996721820229495</v>
      </c>
      <c r="C675">
        <v>1.0347459661725</v>
      </c>
      <c r="D675">
        <v>1.10466477137323</v>
      </c>
      <c r="E675">
        <v>1.2052574766923001</v>
      </c>
      <c r="F675">
        <v>1.93226245192338</v>
      </c>
      <c r="G675">
        <v>2.83726119600919</v>
      </c>
      <c r="H675">
        <v>2.2833498870370001</v>
      </c>
      <c r="I675">
        <v>0.79516680673843498</v>
      </c>
      <c r="J675">
        <v>0.27684155787258902</v>
      </c>
      <c r="K675">
        <v>0.198752912094117</v>
      </c>
      <c r="L675">
        <v>15000</v>
      </c>
      <c r="M675">
        <v>233.37365025064099</v>
      </c>
      <c r="N675">
        <v>64.452828314716001</v>
      </c>
      <c r="O675">
        <v>64.269881214089594</v>
      </c>
      <c r="P675">
        <v>-0.69194825591292497</v>
      </c>
      <c r="Q675">
        <v>0.237764209996568</v>
      </c>
      <c r="R675">
        <v>7.6370706145083497E-2</v>
      </c>
      <c r="S675" t="s">
        <v>6501</v>
      </c>
      <c r="T675" t="s">
        <v>11650</v>
      </c>
      <c r="U675" t="s">
        <v>11650</v>
      </c>
      <c r="V675" t="s">
        <v>11650</v>
      </c>
      <c r="W675" t="s">
        <v>11959</v>
      </c>
      <c r="X675">
        <v>11</v>
      </c>
      <c r="Y675" t="s">
        <v>18075</v>
      </c>
      <c r="Z675" t="s">
        <v>23737</v>
      </c>
      <c r="AA675">
        <v>0.85462872744258511</v>
      </c>
      <c r="AB675" t="str">
        <f>HYPERLINK("Melting_Curves/meltCurve_F6XY72_NME2.pdf", "Melting_Curves/meltCurve_F6XY72_NME2.pdf")</f>
        <v>Melting_Curves/meltCurve_F6XY72_NME2.pdf</v>
      </c>
    </row>
    <row r="676" spans="1:28" x14ac:dyDescent="0.25">
      <c r="A676" t="s">
        <v>680</v>
      </c>
      <c r="B676">
        <v>0.99996721820229495</v>
      </c>
      <c r="C676">
        <v>1.0276938145524801</v>
      </c>
      <c r="D676">
        <v>1.01503245049845</v>
      </c>
      <c r="E676">
        <v>1.11843708288377</v>
      </c>
      <c r="F676">
        <v>1.4107382711285901</v>
      </c>
      <c r="G676">
        <v>1.5834571470424801</v>
      </c>
      <c r="H676">
        <v>1.0927594485385299</v>
      </c>
      <c r="I676">
        <v>1.27690339734684</v>
      </c>
      <c r="J676">
        <v>1.53855802243879</v>
      </c>
      <c r="K676">
        <v>1.7478549522323801</v>
      </c>
      <c r="L676">
        <v>3162.25237912185</v>
      </c>
      <c r="M676">
        <v>62.217489305317599</v>
      </c>
      <c r="O676">
        <v>50.773373539481497</v>
      </c>
      <c r="P676">
        <v>0.137012589666962</v>
      </c>
      <c r="Q676">
        <v>1.4472431023091401</v>
      </c>
      <c r="R676">
        <v>0.59144932359354196</v>
      </c>
      <c r="S676" t="s">
        <v>6502</v>
      </c>
      <c r="T676" t="s">
        <v>11650</v>
      </c>
      <c r="U676" t="s">
        <v>11650</v>
      </c>
      <c r="V676" t="s">
        <v>11650</v>
      </c>
      <c r="W676" t="s">
        <v>12314</v>
      </c>
      <c r="X676">
        <v>26</v>
      </c>
      <c r="Y676" t="s">
        <v>17880</v>
      </c>
      <c r="Z676" t="s">
        <v>23738</v>
      </c>
      <c r="AA676">
        <v>1.285204986816542</v>
      </c>
      <c r="AB676" t="str">
        <f>HYPERLINK("Melting_Curves/meltCurve_F8VP89_EIF4B.pdf", "Melting_Curves/meltCurve_F8VP89_EIF4B.pdf")</f>
        <v>Melting_Curves/meltCurve_F8VP89_EIF4B.pdf</v>
      </c>
    </row>
    <row r="677" spans="1:28" x14ac:dyDescent="0.25">
      <c r="A677" t="s">
        <v>681</v>
      </c>
      <c r="B677">
        <v>0.99996721820229495</v>
      </c>
      <c r="C677">
        <v>1.1412276443345399</v>
      </c>
      <c r="D677">
        <v>1.1071929640209299</v>
      </c>
      <c r="E677">
        <v>0.99476488958403397</v>
      </c>
      <c r="F677">
        <v>0.94368521720066101</v>
      </c>
      <c r="G677">
        <v>0.57849654135711503</v>
      </c>
      <c r="H677">
        <v>0.38425473896297202</v>
      </c>
      <c r="I677">
        <v>0.32491621327687598</v>
      </c>
      <c r="J677">
        <v>5.2210540366099602E-2</v>
      </c>
      <c r="K677">
        <v>3.1602318721242299E-2</v>
      </c>
      <c r="L677">
        <v>1038.4536774139201</v>
      </c>
      <c r="M677">
        <v>17.526533041170499</v>
      </c>
      <c r="N677">
        <v>59.2503766200877</v>
      </c>
      <c r="O677">
        <v>58.495171732449499</v>
      </c>
      <c r="P677">
        <v>-7.4910001048838701E-2</v>
      </c>
      <c r="Q677">
        <v>0</v>
      </c>
      <c r="R677">
        <v>0.96315381936085998</v>
      </c>
      <c r="S677" t="s">
        <v>6503</v>
      </c>
      <c r="T677" t="s">
        <v>11650</v>
      </c>
      <c r="U677" t="s">
        <v>11650</v>
      </c>
      <c r="V677" t="s">
        <v>11650</v>
      </c>
      <c r="W677" t="s">
        <v>12315</v>
      </c>
      <c r="X677">
        <v>1</v>
      </c>
      <c r="Y677" t="s">
        <v>18076</v>
      </c>
      <c r="Z677" t="s">
        <v>23739</v>
      </c>
      <c r="AA677">
        <v>0.65177263725864687</v>
      </c>
      <c r="AB677" t="str">
        <f>HYPERLINK("Melting_Curves/meltCurve_F8VPD4_CAD.pdf", "Melting_Curves/meltCurve_F8VPD4_CAD.pdf")</f>
        <v>Melting_Curves/meltCurve_F8VPD4_CAD.pdf</v>
      </c>
    </row>
    <row r="678" spans="1:28" x14ac:dyDescent="0.25">
      <c r="A678" t="s">
        <v>682</v>
      </c>
      <c r="B678">
        <v>0.99996721820229495</v>
      </c>
      <c r="C678">
        <v>0.85129922885432396</v>
      </c>
      <c r="D678">
        <v>1.0398188665921999</v>
      </c>
      <c r="E678">
        <v>1.32992550904295</v>
      </c>
      <c r="F678">
        <v>1.99453443886657</v>
      </c>
      <c r="G678">
        <v>2.96958341210438</v>
      </c>
      <c r="H678">
        <v>2.4301566218996902</v>
      </c>
      <c r="I678">
        <v>1.7226194157271499</v>
      </c>
      <c r="J678">
        <v>1.302370902864</v>
      </c>
      <c r="K678">
        <v>1.2840606951651901</v>
      </c>
      <c r="L678">
        <v>12466.8681266449</v>
      </c>
      <c r="M678">
        <v>250</v>
      </c>
      <c r="O678">
        <v>49.864281660905803</v>
      </c>
      <c r="P678">
        <v>0.62670110166885995</v>
      </c>
      <c r="Q678">
        <v>1.5</v>
      </c>
      <c r="R678">
        <v>0.18965792924170399</v>
      </c>
      <c r="S678" t="s">
        <v>6504</v>
      </c>
      <c r="T678" t="s">
        <v>11650</v>
      </c>
      <c r="U678" t="s">
        <v>11650</v>
      </c>
      <c r="V678" t="s">
        <v>11650</v>
      </c>
      <c r="W678" t="s">
        <v>12316</v>
      </c>
      <c r="X678">
        <v>3</v>
      </c>
      <c r="Y678" t="s">
        <v>18077</v>
      </c>
      <c r="Z678" t="s">
        <v>23740</v>
      </c>
      <c r="AA678">
        <v>1.3354983665712701</v>
      </c>
      <c r="AB678" t="str">
        <f>HYPERLINK("Melting_Curves/meltCurve_F8VQD4_C12orf75.pdf", "Melting_Curves/meltCurve_F8VQD4_C12orf75.pdf")</f>
        <v>Melting_Curves/meltCurve_F8VQD4_C12orf75.pdf</v>
      </c>
    </row>
    <row r="679" spans="1:28" x14ac:dyDescent="0.25">
      <c r="A679" t="s">
        <v>683</v>
      </c>
      <c r="B679">
        <v>0.99996721820229495</v>
      </c>
      <c r="C679">
        <v>0.89056938226029103</v>
      </c>
      <c r="D679">
        <v>0.93573302078216603</v>
      </c>
      <c r="E679">
        <v>0.84396850271843904</v>
      </c>
      <c r="F679">
        <v>0.91188323251038195</v>
      </c>
      <c r="G679">
        <v>1.23302132845616</v>
      </c>
      <c r="H679">
        <v>0.91866757060478199</v>
      </c>
      <c r="I679">
        <v>0.57586147195043103</v>
      </c>
      <c r="J679">
        <v>0.33931517239623599</v>
      </c>
      <c r="K679">
        <v>0.224495251837529</v>
      </c>
      <c r="L679">
        <v>3018.2009511030901</v>
      </c>
      <c r="M679">
        <v>47.319075620716497</v>
      </c>
      <c r="N679">
        <v>64.658515938930606</v>
      </c>
      <c r="O679">
        <v>63.670417670243502</v>
      </c>
      <c r="P679">
        <v>-0.14188481775940001</v>
      </c>
      <c r="Q679">
        <v>0.236345564662087</v>
      </c>
      <c r="R679">
        <v>0.87943767892173097</v>
      </c>
      <c r="S679" t="s">
        <v>6505</v>
      </c>
      <c r="T679" t="s">
        <v>11650</v>
      </c>
      <c r="U679" t="s">
        <v>11650</v>
      </c>
      <c r="V679" t="s">
        <v>11650</v>
      </c>
      <c r="W679" t="s">
        <v>12317</v>
      </c>
      <c r="X679">
        <v>14</v>
      </c>
      <c r="Y679" t="s">
        <v>18078</v>
      </c>
      <c r="Z679" t="s">
        <v>23741</v>
      </c>
      <c r="AA679">
        <v>0.8435271430629564</v>
      </c>
      <c r="AB679" t="str">
        <f>HYPERLINK("Melting_Curves/meltCurve_F8VQZ7_METAP2.pdf", "Melting_Curves/meltCurve_F8VQZ7_METAP2.pdf")</f>
        <v>Melting_Curves/meltCurve_F8VQZ7_METAP2.pdf</v>
      </c>
    </row>
    <row r="680" spans="1:28" x14ac:dyDescent="0.25">
      <c r="A680" t="s">
        <v>684</v>
      </c>
      <c r="B680">
        <v>0.99996721820229495</v>
      </c>
      <c r="C680">
        <v>1.01719176754189</v>
      </c>
      <c r="D680">
        <v>0.99944978381746596</v>
      </c>
      <c r="E680">
        <v>1.18017328096534</v>
      </c>
      <c r="F680">
        <v>1.51390366875673</v>
      </c>
      <c r="G680">
        <v>1.4654527970545901</v>
      </c>
      <c r="H680">
        <v>1.09292190539961</v>
      </c>
      <c r="I680">
        <v>0.908168701724969</v>
      </c>
      <c r="J680">
        <v>0.69768179954015896</v>
      </c>
      <c r="K680">
        <v>0.38470007785085802</v>
      </c>
      <c r="L680">
        <v>3020.3169010739898</v>
      </c>
      <c r="M680">
        <v>44.754062981620201</v>
      </c>
      <c r="N680">
        <v>68.631897813024906</v>
      </c>
      <c r="O680">
        <v>67.352658757989204</v>
      </c>
      <c r="P680">
        <v>-0.122428164110141</v>
      </c>
      <c r="Q680">
        <v>0.26300757594289698</v>
      </c>
      <c r="R680">
        <v>0.47209791033549497</v>
      </c>
      <c r="S680" t="s">
        <v>6506</v>
      </c>
      <c r="T680" t="s">
        <v>11650</v>
      </c>
      <c r="U680" t="s">
        <v>11650</v>
      </c>
      <c r="V680" t="s">
        <v>11650</v>
      </c>
      <c r="W680" t="s">
        <v>12318</v>
      </c>
      <c r="X680">
        <v>2</v>
      </c>
      <c r="Y680" t="s">
        <v>18079</v>
      </c>
      <c r="Z680" t="s">
        <v>23742</v>
      </c>
      <c r="AA680">
        <v>0.93334049974895916</v>
      </c>
      <c r="AB680" t="str">
        <f>HYPERLINK("Melting_Curves/meltCurve_F8VSI3_DCN.pdf", "Melting_Curves/meltCurve_F8VSI3_DCN.pdf")</f>
        <v>Melting_Curves/meltCurve_F8VSI3_DCN.pdf</v>
      </c>
    </row>
    <row r="681" spans="1:28" x14ac:dyDescent="0.25">
      <c r="A681" t="s">
        <v>685</v>
      </c>
      <c r="B681">
        <v>0.99996721820229495</v>
      </c>
      <c r="C681">
        <v>1.24162541350502</v>
      </c>
      <c r="D681">
        <v>1.0559245707095499</v>
      </c>
      <c r="E681">
        <v>1.1426296296515199</v>
      </c>
      <c r="F681">
        <v>1.1033121240899399</v>
      </c>
      <c r="G681">
        <v>1.1272761075315001</v>
      </c>
      <c r="H681">
        <v>0.71385473721724202</v>
      </c>
      <c r="I681">
        <v>0.55689430170598897</v>
      </c>
      <c r="J681">
        <v>0.44461869997710302</v>
      </c>
      <c r="K681">
        <v>0.29788553938874102</v>
      </c>
      <c r="L681">
        <v>2101.70210831128</v>
      </c>
      <c r="M681">
        <v>33.730721317375497</v>
      </c>
      <c r="N681">
        <v>64.428337358533895</v>
      </c>
      <c r="O681">
        <v>62.090461348237397</v>
      </c>
      <c r="P681">
        <v>-9.02870949726301E-2</v>
      </c>
      <c r="Q681">
        <v>0.33521197350639498</v>
      </c>
      <c r="R681">
        <v>0.87387544172234399</v>
      </c>
      <c r="S681" t="s">
        <v>6507</v>
      </c>
      <c r="T681" t="s">
        <v>11650</v>
      </c>
      <c r="U681" t="s">
        <v>11650</v>
      </c>
      <c r="V681" t="s">
        <v>11650</v>
      </c>
      <c r="W681" t="s">
        <v>12319</v>
      </c>
      <c r="X681">
        <v>1</v>
      </c>
      <c r="Y681" t="s">
        <v>18080</v>
      </c>
      <c r="Z681" t="s">
        <v>23743</v>
      </c>
      <c r="AA681">
        <v>0.83224848350676306</v>
      </c>
      <c r="AB681" t="str">
        <f>HYPERLINK("Melting_Curves/meltCurve_F8VSL3_NFYB.pdf", "Melting_Curves/meltCurve_F8VSL3_NFYB.pdf")</f>
        <v>Melting_Curves/meltCurve_F8VSL3_NFYB.pdf</v>
      </c>
    </row>
    <row r="682" spans="1:28" x14ac:dyDescent="0.25">
      <c r="A682" t="s">
        <v>686</v>
      </c>
      <c r="B682">
        <v>0.99996721820229495</v>
      </c>
      <c r="C682">
        <v>1.05597854133673</v>
      </c>
      <c r="D682">
        <v>1.13741755034458</v>
      </c>
      <c r="E682">
        <v>1.2521224816565899</v>
      </c>
      <c r="F682">
        <v>1.60955887816733</v>
      </c>
      <c r="G682">
        <v>0.95704621610827001</v>
      </c>
      <c r="H682">
        <v>0.57565663092076602</v>
      </c>
      <c r="I682">
        <v>0.43585733398033499</v>
      </c>
      <c r="J682">
        <v>0.33099622437293102</v>
      </c>
      <c r="K682">
        <v>0.29451941485808603</v>
      </c>
      <c r="L682">
        <v>2711.1702471510198</v>
      </c>
      <c r="M682">
        <v>44.856538562600598</v>
      </c>
      <c r="N682">
        <v>61.916887332721799</v>
      </c>
      <c r="O682">
        <v>60.321158393607199</v>
      </c>
      <c r="P682">
        <v>-0.124860313251734</v>
      </c>
      <c r="Q682">
        <v>0.32837361147580602</v>
      </c>
      <c r="R682">
        <v>0.73051203711991997</v>
      </c>
      <c r="S682" t="s">
        <v>6508</v>
      </c>
      <c r="T682" t="s">
        <v>11650</v>
      </c>
      <c r="U682" t="s">
        <v>11650</v>
      </c>
      <c r="V682" t="s">
        <v>11650</v>
      </c>
      <c r="W682" t="s">
        <v>12320</v>
      </c>
      <c r="X682">
        <v>7</v>
      </c>
      <c r="Y682" t="s">
        <v>18081</v>
      </c>
      <c r="Z682" t="s">
        <v>23744</v>
      </c>
      <c r="AA682">
        <v>0.78813006092758497</v>
      </c>
      <c r="AB682" t="str">
        <f>HYPERLINK("Melting_Curves/meltCurve_F8VSZ4_PLXNA1.pdf", "Melting_Curves/meltCurve_F8VSZ4_PLXNA1.pdf")</f>
        <v>Melting_Curves/meltCurve_F8VSZ4_PLXNA1.pdf</v>
      </c>
    </row>
    <row r="683" spans="1:28" x14ac:dyDescent="0.25">
      <c r="A683" t="s">
        <v>687</v>
      </c>
      <c r="B683">
        <v>0.99996721820229495</v>
      </c>
      <c r="C683">
        <v>0.82164050069941796</v>
      </c>
      <c r="D683">
        <v>0.92499593455530404</v>
      </c>
      <c r="E683">
        <v>0.90574090849206201</v>
      </c>
      <c r="F683">
        <v>1.0903004808860099</v>
      </c>
      <c r="G683">
        <v>0.934477145129188</v>
      </c>
      <c r="H683">
        <v>0.57841026486204405</v>
      </c>
      <c r="I683">
        <v>0.39400829959605899</v>
      </c>
      <c r="J683">
        <v>0.28312842133614702</v>
      </c>
      <c r="K683">
        <v>0.189534274963161</v>
      </c>
      <c r="L683">
        <v>1817.4533964094901</v>
      </c>
      <c r="M683">
        <v>29.755446740410601</v>
      </c>
      <c r="N683">
        <v>62.179660863244898</v>
      </c>
      <c r="O683">
        <v>60.8058016878161</v>
      </c>
      <c r="P683">
        <v>-9.7304762140145898E-2</v>
      </c>
      <c r="Q683">
        <v>0.20462907971597</v>
      </c>
      <c r="R683">
        <v>0.93699912725713597</v>
      </c>
      <c r="S683" t="s">
        <v>6509</v>
      </c>
      <c r="T683" t="s">
        <v>11650</v>
      </c>
      <c r="U683" t="s">
        <v>11650</v>
      </c>
      <c r="V683" t="s">
        <v>11650</v>
      </c>
      <c r="W683" t="s">
        <v>12321</v>
      </c>
      <c r="X683">
        <v>7</v>
      </c>
      <c r="Y683" t="s">
        <v>18082</v>
      </c>
      <c r="Z683" t="s">
        <v>23745</v>
      </c>
      <c r="AA683">
        <v>0.76788120558272155</v>
      </c>
      <c r="AB683" t="str">
        <f>HYPERLINK("Melting_Curves/meltCurve_F8VU90_FKBP11.pdf", "Melting_Curves/meltCurve_F8VU90_FKBP11.pdf")</f>
        <v>Melting_Curves/meltCurve_F8VU90_FKBP11.pdf</v>
      </c>
    </row>
    <row r="684" spans="1:28" x14ac:dyDescent="0.25">
      <c r="A684" t="s">
        <v>688</v>
      </c>
      <c r="B684">
        <v>0.99996721820229495</v>
      </c>
      <c r="C684">
        <v>0.75331014472342095</v>
      </c>
      <c r="D684">
        <v>0.89820566780113498</v>
      </c>
      <c r="E684">
        <v>0.47659285632051301</v>
      </c>
      <c r="F684">
        <v>0.484717758576102</v>
      </c>
      <c r="G684">
        <v>0.26817672605974702</v>
      </c>
      <c r="H684">
        <v>0.16547844099635001</v>
      </c>
      <c r="I684">
        <v>0.106918227041901</v>
      </c>
      <c r="J684">
        <v>8.0501038248387002E-2</v>
      </c>
      <c r="K684">
        <v>8.0888349043324204E-2</v>
      </c>
      <c r="L684">
        <v>521.44622613532204</v>
      </c>
      <c r="M684">
        <v>10.1322536552735</v>
      </c>
      <c r="N684">
        <v>51.463977739150202</v>
      </c>
      <c r="O684">
        <v>49.580012726282703</v>
      </c>
      <c r="P684">
        <v>-5.1114047667428698E-2</v>
      </c>
      <c r="Q684">
        <v>0</v>
      </c>
      <c r="R684">
        <v>0.95492534627135905</v>
      </c>
      <c r="S684" t="s">
        <v>6510</v>
      </c>
      <c r="T684" t="s">
        <v>11650</v>
      </c>
      <c r="U684" t="s">
        <v>11650</v>
      </c>
      <c r="V684" t="s">
        <v>11650</v>
      </c>
      <c r="W684" t="s">
        <v>12322</v>
      </c>
      <c r="X684">
        <v>5</v>
      </c>
      <c r="Y684" t="s">
        <v>18083</v>
      </c>
      <c r="Z684" t="s">
        <v>23746</v>
      </c>
      <c r="AA684">
        <v>0.42144009785224762</v>
      </c>
      <c r="AB684" t="str">
        <f>HYPERLINK("Melting_Curves/meltCurve_F8VUJ3_POC1B_GALNT4.pdf", "Melting_Curves/meltCurve_F8VUJ3_POC1B_GALNT4.pdf")</f>
        <v>Melting_Curves/meltCurve_F8VUJ3_POC1B_GALNT4.pdf</v>
      </c>
    </row>
    <row r="685" spans="1:28" x14ac:dyDescent="0.25">
      <c r="A685" t="s">
        <v>689</v>
      </c>
      <c r="B685">
        <v>0.99996721820229495</v>
      </c>
      <c r="C685">
        <v>0.77180319762857297</v>
      </c>
      <c r="D685">
        <v>0.86122697048237395</v>
      </c>
      <c r="E685">
        <v>1.0614808364556201</v>
      </c>
      <c r="F685">
        <v>1.2622367937247101</v>
      </c>
      <c r="G685">
        <v>1.2732140264456999</v>
      </c>
      <c r="H685">
        <v>1.14220521806936</v>
      </c>
      <c r="I685">
        <v>0.84070781527010097</v>
      </c>
      <c r="J685">
        <v>0.61291661328732205</v>
      </c>
      <c r="K685">
        <v>0.77521399640015398</v>
      </c>
      <c r="L685">
        <v>15000</v>
      </c>
      <c r="M685">
        <v>234.45776055477299</v>
      </c>
      <c r="O685">
        <v>63.972750790022097</v>
      </c>
      <c r="P685">
        <v>-0.28031122252525098</v>
      </c>
      <c r="Q685">
        <v>0.69406376986007401</v>
      </c>
      <c r="R685">
        <v>0.43838219436554998</v>
      </c>
      <c r="S685" t="s">
        <v>6511</v>
      </c>
      <c r="T685" t="s">
        <v>11650</v>
      </c>
      <c r="U685" t="s">
        <v>11650</v>
      </c>
      <c r="V685" t="s">
        <v>11650</v>
      </c>
      <c r="W685" t="s">
        <v>12323</v>
      </c>
      <c r="X685">
        <v>6</v>
      </c>
      <c r="Y685" t="s">
        <v>18084</v>
      </c>
      <c r="Z685" t="s">
        <v>23747</v>
      </c>
      <c r="AA685">
        <v>0.93862142866816134</v>
      </c>
      <c r="AB685" t="str">
        <f>HYPERLINK("Melting_Curves/meltCurve_F8VV56_CD63.pdf", "Melting_Curves/meltCurve_F8VV56_CD63.pdf")</f>
        <v>Melting_Curves/meltCurve_F8VV56_CD63.pdf</v>
      </c>
    </row>
    <row r="686" spans="1:28" x14ac:dyDescent="0.25">
      <c r="A686" t="s">
        <v>690</v>
      </c>
      <c r="B686">
        <v>0.99996721820229495</v>
      </c>
      <c r="C686">
        <v>0.98733418430840103</v>
      </c>
      <c r="D686">
        <v>1.0927995441382099</v>
      </c>
      <c r="E686">
        <v>1.1338218704218701</v>
      </c>
      <c r="F686">
        <v>0.51868294897981304</v>
      </c>
      <c r="G686">
        <v>0.36968197196503899</v>
      </c>
      <c r="H686">
        <v>0.19700156658911799</v>
      </c>
      <c r="I686">
        <v>0.163586876321754</v>
      </c>
      <c r="J686">
        <v>6.3325678213261696E-2</v>
      </c>
      <c r="K686">
        <v>8.2315287142788907E-2</v>
      </c>
      <c r="L686">
        <v>13232.1212066138</v>
      </c>
      <c r="M686">
        <v>250</v>
      </c>
      <c r="N686">
        <v>53.019961649117903</v>
      </c>
      <c r="O686">
        <v>52.925108569654498</v>
      </c>
      <c r="P686">
        <v>-0.97403899926548199</v>
      </c>
      <c r="Q686">
        <v>0.17518225238454299</v>
      </c>
      <c r="R686">
        <v>0.95183928878699697</v>
      </c>
      <c r="S686" t="s">
        <v>6512</v>
      </c>
      <c r="T686" t="s">
        <v>11650</v>
      </c>
      <c r="U686" t="s">
        <v>11650</v>
      </c>
      <c r="V686" t="s">
        <v>11650</v>
      </c>
      <c r="W686" t="s">
        <v>12324</v>
      </c>
      <c r="X686">
        <v>10</v>
      </c>
      <c r="Y686" t="s">
        <v>18085</v>
      </c>
      <c r="Z686" t="s">
        <v>23748</v>
      </c>
      <c r="AA686">
        <v>0.53071365976031826</v>
      </c>
      <c r="AB686" t="str">
        <f>HYPERLINK("Melting_Curves/meltCurve_F8VV59_NAP1L1.pdf", "Melting_Curves/meltCurve_F8VV59_NAP1L1.pdf")</f>
        <v>Melting_Curves/meltCurve_F8VV59_NAP1L1.pdf</v>
      </c>
    </row>
    <row r="687" spans="1:28" x14ac:dyDescent="0.25">
      <c r="A687" t="s">
        <v>691</v>
      </c>
      <c r="B687">
        <v>0.99996721820229495</v>
      </c>
      <c r="C687">
        <v>1.0285092291035201</v>
      </c>
      <c r="D687">
        <v>0.85771089300948899</v>
      </c>
      <c r="E687">
        <v>0.76250516968841098</v>
      </c>
      <c r="F687">
        <v>0.88901108484920699</v>
      </c>
      <c r="G687">
        <v>0.36901862991631901</v>
      </c>
      <c r="H687">
        <v>0.28459928473101398</v>
      </c>
      <c r="I687">
        <v>0.22324227809521999</v>
      </c>
      <c r="J687">
        <v>0.15572594489420799</v>
      </c>
      <c r="K687">
        <v>0.165946743977469</v>
      </c>
      <c r="L687">
        <v>890.88081403471301</v>
      </c>
      <c r="M687">
        <v>16.065059337706501</v>
      </c>
      <c r="N687">
        <v>56.384245248270197</v>
      </c>
      <c r="O687">
        <v>54.616629627812202</v>
      </c>
      <c r="P687">
        <v>-6.49844502344612E-2</v>
      </c>
      <c r="Q687">
        <v>0.116353364554136</v>
      </c>
      <c r="R687">
        <v>0.94563058868140404</v>
      </c>
      <c r="S687" t="s">
        <v>6513</v>
      </c>
      <c r="T687" t="s">
        <v>11650</v>
      </c>
      <c r="U687" t="s">
        <v>11650</v>
      </c>
      <c r="V687" t="s">
        <v>11650</v>
      </c>
      <c r="W687" t="s">
        <v>12325</v>
      </c>
      <c r="X687">
        <v>4</v>
      </c>
      <c r="Y687" t="s">
        <v>18086</v>
      </c>
      <c r="Z687" t="s">
        <v>23749</v>
      </c>
      <c r="AA687">
        <v>0.58689944126417137</v>
      </c>
      <c r="AB687" t="str">
        <f>HYPERLINK("Melting_Curves/meltCurve_F8VV64_TENC1.pdf", "Melting_Curves/meltCurve_F8VV64_TENC1.pdf")</f>
        <v>Melting_Curves/meltCurve_F8VV64_TENC1.pdf</v>
      </c>
    </row>
    <row r="688" spans="1:28" x14ac:dyDescent="0.25">
      <c r="A688" t="s">
        <v>692</v>
      </c>
      <c r="B688">
        <v>0.99996721820229495</v>
      </c>
      <c r="C688">
        <v>1.0825174540798701</v>
      </c>
      <c r="D688">
        <v>1.19990042927026</v>
      </c>
      <c r="E688">
        <v>1.1192321284612901</v>
      </c>
      <c r="F688">
        <v>0.85350221899298895</v>
      </c>
      <c r="G688">
        <v>0.86240546911004201</v>
      </c>
      <c r="H688">
        <v>0.51193957186900096</v>
      </c>
      <c r="I688">
        <v>0.67033523729217703</v>
      </c>
      <c r="J688">
        <v>0.28953004820164502</v>
      </c>
      <c r="K688">
        <v>0.22015988126156899</v>
      </c>
      <c r="L688">
        <v>864.80300454540202</v>
      </c>
      <c r="M688">
        <v>13.5415138461792</v>
      </c>
      <c r="N688">
        <v>63.863084802804103</v>
      </c>
      <c r="O688">
        <v>62.518636256374798</v>
      </c>
      <c r="P688">
        <v>-5.4158070900564501E-2</v>
      </c>
      <c r="Q688">
        <v>0</v>
      </c>
      <c r="R688">
        <v>0.87721805781269502</v>
      </c>
      <c r="S688" t="s">
        <v>6514</v>
      </c>
      <c r="T688" t="s">
        <v>11650</v>
      </c>
      <c r="U688" t="s">
        <v>11650</v>
      </c>
      <c r="V688" t="s">
        <v>11650</v>
      </c>
      <c r="W688" t="s">
        <v>12326</v>
      </c>
      <c r="X688">
        <v>1</v>
      </c>
      <c r="Y688" t="s">
        <v>18087</v>
      </c>
      <c r="Z688" t="s">
        <v>23750</v>
      </c>
      <c r="AA688">
        <v>0.77472256383259608</v>
      </c>
      <c r="AB688" t="str">
        <f>HYPERLINK("Melting_Curves/meltCurve_F8VVA2_DDX23.pdf", "Melting_Curves/meltCurve_F8VVA2_DDX23.pdf")</f>
        <v>Melting_Curves/meltCurve_F8VVA2_DDX23.pdf</v>
      </c>
    </row>
    <row r="689" spans="1:28" x14ac:dyDescent="0.25">
      <c r="A689" t="s">
        <v>693</v>
      </c>
      <c r="B689">
        <v>0.99996721820229495</v>
      </c>
      <c r="C689">
        <v>1.02798552778587</v>
      </c>
      <c r="D689">
        <v>0.98407507374640102</v>
      </c>
      <c r="E689">
        <v>1.09259587081823</v>
      </c>
      <c r="F689">
        <v>0.86905100255023404</v>
      </c>
      <c r="G689">
        <v>0.55296480431487005</v>
      </c>
      <c r="H689">
        <v>0.23264083473434799</v>
      </c>
      <c r="I689">
        <v>0.121352049636111</v>
      </c>
      <c r="J689">
        <v>6.7363538916544299E-2</v>
      </c>
      <c r="K689">
        <v>6.8365964820286798E-2</v>
      </c>
      <c r="L689">
        <v>1498.4657510884099</v>
      </c>
      <c r="M689">
        <v>26.164221330225899</v>
      </c>
      <c r="N689">
        <v>57.5534773079468</v>
      </c>
      <c r="O689">
        <v>56.940138711241801</v>
      </c>
      <c r="P689">
        <v>-0.107967911130902</v>
      </c>
      <c r="Q689">
        <v>6.0145737014251598E-2</v>
      </c>
      <c r="R689">
        <v>0.99132117306142598</v>
      </c>
      <c r="S689" t="s">
        <v>6515</v>
      </c>
      <c r="T689" t="s">
        <v>11650</v>
      </c>
      <c r="U689" t="s">
        <v>11650</v>
      </c>
      <c r="V689" t="s">
        <v>11650</v>
      </c>
      <c r="W689" t="s">
        <v>12327</v>
      </c>
      <c r="X689">
        <v>7</v>
      </c>
      <c r="Y689" t="s">
        <v>18088</v>
      </c>
      <c r="Z689" t="s">
        <v>23751</v>
      </c>
      <c r="AA689">
        <v>0.60907088629378947</v>
      </c>
      <c r="AB689" t="str">
        <f>HYPERLINK("Melting_Curves/meltCurve_F8VVA7_COPZ1.pdf", "Melting_Curves/meltCurve_F8VVA7_COPZ1.pdf")</f>
        <v>Melting_Curves/meltCurve_F8VVA7_COPZ1.pdf</v>
      </c>
    </row>
    <row r="690" spans="1:28" x14ac:dyDescent="0.25">
      <c r="A690" t="s">
        <v>694</v>
      </c>
      <c r="B690">
        <v>0.99996721820229495</v>
      </c>
      <c r="C690">
        <v>1.01825444961205</v>
      </c>
      <c r="D690">
        <v>1.01843354704208</v>
      </c>
      <c r="E690">
        <v>1.0108053597192499</v>
      </c>
      <c r="F690">
        <v>0.958208740482137</v>
      </c>
      <c r="G690">
        <v>0.89755515191379598</v>
      </c>
      <c r="H690">
        <v>0.44402018137438298</v>
      </c>
      <c r="I690">
        <v>0.28321836736707501</v>
      </c>
      <c r="J690">
        <v>0.13905598587693099</v>
      </c>
      <c r="K690">
        <v>0.146815924466077</v>
      </c>
      <c r="L690">
        <v>1959.8375286635901</v>
      </c>
      <c r="M690">
        <v>32.597026998587502</v>
      </c>
      <c r="N690">
        <v>60.716396886713298</v>
      </c>
      <c r="O690">
        <v>59.898275481496803</v>
      </c>
      <c r="P690">
        <v>-0.117499017163064</v>
      </c>
      <c r="Q690">
        <v>0.13636839826209199</v>
      </c>
      <c r="R690">
        <v>0.99607822775008303</v>
      </c>
      <c r="S690" t="s">
        <v>6516</v>
      </c>
      <c r="T690" t="s">
        <v>11650</v>
      </c>
      <c r="U690" t="s">
        <v>11650</v>
      </c>
      <c r="V690" t="s">
        <v>11650</v>
      </c>
      <c r="W690" t="s">
        <v>12328</v>
      </c>
      <c r="X690">
        <v>6</v>
      </c>
      <c r="Y690" t="s">
        <v>18089</v>
      </c>
      <c r="Z690" t="s">
        <v>23752</v>
      </c>
      <c r="AA690">
        <v>0.72032168180456402</v>
      </c>
      <c r="AB690" t="str">
        <f>HYPERLINK("Melting_Curves/meltCurve_F8VW41_PACS2.pdf", "Melting_Curves/meltCurve_F8VW41_PACS2.pdf")</f>
        <v>Melting_Curves/meltCurve_F8VW41_PACS2.pdf</v>
      </c>
    </row>
    <row r="691" spans="1:28" x14ac:dyDescent="0.25">
      <c r="A691" t="s">
        <v>695</v>
      </c>
      <c r="B691">
        <v>0.99996721820229495</v>
      </c>
      <c r="C691">
        <v>1.0735874638049101</v>
      </c>
      <c r="D691">
        <v>1.04064360262487</v>
      </c>
      <c r="E691">
        <v>1.2295185531598001</v>
      </c>
      <c r="F691">
        <v>1.7734612092089299</v>
      </c>
      <c r="G691">
        <v>1.90825295008451</v>
      </c>
      <c r="H691">
        <v>1.21773078006189</v>
      </c>
      <c r="I691">
        <v>1.0080352206134799</v>
      </c>
      <c r="J691">
        <v>0.85063653590849897</v>
      </c>
      <c r="K691">
        <v>0.51599329742281297</v>
      </c>
      <c r="L691">
        <v>15000</v>
      </c>
      <c r="M691">
        <v>223.07368943550799</v>
      </c>
      <c r="O691">
        <v>67.236971816496407</v>
      </c>
      <c r="P691">
        <v>-0.40151153063851602</v>
      </c>
      <c r="Q691">
        <v>0.51591941468564795</v>
      </c>
      <c r="R691">
        <v>-3.3860918641201998E-3</v>
      </c>
      <c r="S691" t="s">
        <v>6517</v>
      </c>
      <c r="T691" t="s">
        <v>11650</v>
      </c>
      <c r="U691" t="s">
        <v>11650</v>
      </c>
      <c r="V691" t="s">
        <v>11650</v>
      </c>
      <c r="W691" t="s">
        <v>12329</v>
      </c>
      <c r="X691">
        <v>13</v>
      </c>
      <c r="Y691" t="s">
        <v>18090</v>
      </c>
      <c r="Z691" t="s">
        <v>23753</v>
      </c>
      <c r="AA691">
        <v>0.95557351242809629</v>
      </c>
      <c r="AB691" t="str">
        <f>HYPERLINK("Melting_Curves/meltCurve_F8VW96_CSRP2.pdf", "Melting_Curves/meltCurve_F8VW96_CSRP2.pdf")</f>
        <v>Melting_Curves/meltCurve_F8VW96_CSRP2.pdf</v>
      </c>
    </row>
    <row r="692" spans="1:28" x14ac:dyDescent="0.25">
      <c r="A692" t="s">
        <v>696</v>
      </c>
      <c r="B692">
        <v>0.99996721820229495</v>
      </c>
      <c r="C692">
        <v>1.02597959654167</v>
      </c>
      <c r="D692">
        <v>1.01242316222194</v>
      </c>
      <c r="E692">
        <v>0.91929782104607705</v>
      </c>
      <c r="F692">
        <v>0.414562309013915</v>
      </c>
      <c r="G692">
        <v>0.35927468347733998</v>
      </c>
      <c r="H692">
        <v>0.25407861257151099</v>
      </c>
      <c r="I692">
        <v>0.199770970746905</v>
      </c>
      <c r="J692">
        <v>0.14348000249312301</v>
      </c>
      <c r="K692">
        <v>9.4125629636207603E-2</v>
      </c>
      <c r="L692">
        <v>2444.3967781766301</v>
      </c>
      <c r="M692">
        <v>46.993879745992601</v>
      </c>
      <c r="N692">
        <v>52.602592527014103</v>
      </c>
      <c r="O692">
        <v>51.921286375739498</v>
      </c>
      <c r="P692">
        <v>-0.18008133839379101</v>
      </c>
      <c r="Q692">
        <v>0.20414789049992799</v>
      </c>
      <c r="R692">
        <v>0.97143456148599305</v>
      </c>
      <c r="S692" t="s">
        <v>6518</v>
      </c>
      <c r="T692" t="s">
        <v>11650</v>
      </c>
      <c r="U692" t="s">
        <v>11650</v>
      </c>
      <c r="V692" t="s">
        <v>11650</v>
      </c>
      <c r="W692" t="s">
        <v>12330</v>
      </c>
      <c r="X692">
        <v>9</v>
      </c>
      <c r="Y692" t="s">
        <v>18091</v>
      </c>
      <c r="Z692" t="s">
        <v>23754</v>
      </c>
      <c r="AA692">
        <v>0.52496070712037757</v>
      </c>
      <c r="AB692" t="str">
        <f>HYPERLINK("Melting_Curves/meltCurve_F8VWA6_MON2.pdf", "Melting_Curves/meltCurve_F8VWA6_MON2.pdf")</f>
        <v>Melting_Curves/meltCurve_F8VWA6_MON2.pdf</v>
      </c>
    </row>
    <row r="693" spans="1:28" x14ac:dyDescent="0.25">
      <c r="A693" t="s">
        <v>697</v>
      </c>
      <c r="B693">
        <v>0.99996721820229495</v>
      </c>
      <c r="C693">
        <v>0.83801626682834196</v>
      </c>
      <c r="D693">
        <v>0.95224850778402603</v>
      </c>
      <c r="E693">
        <v>1.11965311073345</v>
      </c>
      <c r="F693">
        <v>1.8524381110188901</v>
      </c>
      <c r="G693">
        <v>2.2602083920716298</v>
      </c>
      <c r="H693">
        <v>1.7716942619448</v>
      </c>
      <c r="I693">
        <v>1.33742326879837</v>
      </c>
      <c r="J693">
        <v>0.97395447218166697</v>
      </c>
      <c r="K693">
        <v>0.81537684098994501</v>
      </c>
      <c r="L693">
        <v>12557.822208772301</v>
      </c>
      <c r="M693">
        <v>250</v>
      </c>
      <c r="O693">
        <v>50.228074378114599</v>
      </c>
      <c r="P693">
        <v>0.62216201658567705</v>
      </c>
      <c r="Q693">
        <v>1.5</v>
      </c>
      <c r="R693">
        <v>0.29895037938801799</v>
      </c>
      <c r="S693" t="s">
        <v>6519</v>
      </c>
      <c r="T693" t="s">
        <v>11650</v>
      </c>
      <c r="U693" t="s">
        <v>11650</v>
      </c>
      <c r="V693" t="s">
        <v>11650</v>
      </c>
      <c r="W693" t="s">
        <v>12331</v>
      </c>
      <c r="X693">
        <v>5</v>
      </c>
      <c r="Y693" t="s">
        <v>18092</v>
      </c>
      <c r="Z693" t="s">
        <v>23755</v>
      </c>
      <c r="AA693">
        <v>1.3294344418501129</v>
      </c>
      <c r="AB693" t="str">
        <f>HYPERLINK("Melting_Curves/meltCurve_F8VWE0_TSPAN31.pdf", "Melting_Curves/meltCurve_F8VWE0_TSPAN31.pdf")</f>
        <v>Melting_Curves/meltCurve_F8VWE0_TSPAN31.pdf</v>
      </c>
    </row>
    <row r="694" spans="1:28" x14ac:dyDescent="0.25">
      <c r="A694" t="s">
        <v>698</v>
      </c>
      <c r="B694">
        <v>0.99996721820229495</v>
      </c>
      <c r="C694">
        <v>1.1477450764609101</v>
      </c>
      <c r="D694">
        <v>1.3292571065248799</v>
      </c>
      <c r="E694">
        <v>1.7590296434324599</v>
      </c>
      <c r="F694">
        <v>1.16946258754471</v>
      </c>
      <c r="G694">
        <v>1.2520018017773</v>
      </c>
      <c r="H694">
        <v>0.83928617718073495</v>
      </c>
      <c r="I694">
        <v>0.83994527452172396</v>
      </c>
      <c r="J694">
        <v>0.63841775074696805</v>
      </c>
      <c r="K694">
        <v>0.59738656082674202</v>
      </c>
      <c r="L694">
        <v>2140.3526710409801</v>
      </c>
      <c r="M694">
        <v>33.324808008445103</v>
      </c>
      <c r="O694">
        <v>63.997050426235703</v>
      </c>
      <c r="P694">
        <v>-5.6237952414377901E-2</v>
      </c>
      <c r="Q694">
        <v>0.56800379497421105</v>
      </c>
      <c r="R694">
        <v>0.26710314266793</v>
      </c>
      <c r="S694" t="s">
        <v>6520</v>
      </c>
      <c r="T694" t="s">
        <v>11650</v>
      </c>
      <c r="U694" t="s">
        <v>11650</v>
      </c>
      <c r="V694" t="s">
        <v>11650</v>
      </c>
      <c r="W694" t="s">
        <v>12332</v>
      </c>
      <c r="X694">
        <v>4</v>
      </c>
      <c r="Y694" t="s">
        <v>18093</v>
      </c>
      <c r="Z694" t="s">
        <v>23756</v>
      </c>
      <c r="AA694">
        <v>0.91744690861656086</v>
      </c>
      <c r="AB694" t="str">
        <f>HYPERLINK("Melting_Curves/meltCurve_F8VXC8_SMARCC2.pdf", "Melting_Curves/meltCurve_F8VXC8_SMARCC2.pdf")</f>
        <v>Melting_Curves/meltCurve_F8VXC8_SMARCC2.pdf</v>
      </c>
    </row>
    <row r="695" spans="1:28" x14ac:dyDescent="0.25">
      <c r="A695" t="s">
        <v>699</v>
      </c>
      <c r="B695">
        <v>0.99996721820229495</v>
      </c>
      <c r="C695">
        <v>0.93573668269846699</v>
      </c>
      <c r="D695">
        <v>0.91956051667074201</v>
      </c>
      <c r="E695">
        <v>0.835108269337966</v>
      </c>
      <c r="F695">
        <v>0.94210401948658196</v>
      </c>
      <c r="G695">
        <v>0.99176940682252102</v>
      </c>
      <c r="H695">
        <v>0.73267834238512697</v>
      </c>
      <c r="I695">
        <v>0.73579398443354005</v>
      </c>
      <c r="J695">
        <v>0.66046206991005496</v>
      </c>
      <c r="K695">
        <v>0.65726479348762601</v>
      </c>
      <c r="L695">
        <v>345.57830743728698</v>
      </c>
      <c r="M695">
        <v>4.3461008827537402</v>
      </c>
      <c r="O695">
        <v>66.928019100016897</v>
      </c>
      <c r="P695">
        <v>-1.6393560073121701E-2</v>
      </c>
      <c r="Q695">
        <v>0</v>
      </c>
      <c r="R695">
        <v>0.75835607942300298</v>
      </c>
      <c r="S695" t="s">
        <v>6521</v>
      </c>
      <c r="T695" t="s">
        <v>11650</v>
      </c>
      <c r="U695" t="s">
        <v>11650</v>
      </c>
      <c r="V695" t="s">
        <v>11650</v>
      </c>
      <c r="W695" t="s">
        <v>12333</v>
      </c>
      <c r="X695">
        <v>7</v>
      </c>
      <c r="Y695" t="s">
        <v>18094</v>
      </c>
      <c r="Z695" t="s">
        <v>23757</v>
      </c>
      <c r="AA695">
        <v>0.85305488056036693</v>
      </c>
      <c r="AB695" t="str">
        <f>HYPERLINK("Melting_Curves/meltCurve_F8VXG7_SCAF11.pdf", "Melting_Curves/meltCurve_F8VXG7_SCAF11.pdf")</f>
        <v>Melting_Curves/meltCurve_F8VXG7_SCAF11.pdf</v>
      </c>
    </row>
    <row r="696" spans="1:28" x14ac:dyDescent="0.25">
      <c r="A696" t="s">
        <v>700</v>
      </c>
      <c r="B696">
        <v>0.99996721820229495</v>
      </c>
      <c r="C696">
        <v>0.99656873185004702</v>
      </c>
      <c r="D696">
        <v>1.0499001742191001</v>
      </c>
      <c r="E696">
        <v>0.96953279621466304</v>
      </c>
      <c r="F696">
        <v>0.35792826980845799</v>
      </c>
      <c r="G696">
        <v>0.244953934752698</v>
      </c>
      <c r="H696">
        <v>0.15341865452968301</v>
      </c>
      <c r="I696">
        <v>0.122376213144439</v>
      </c>
      <c r="J696">
        <v>5.3401794502089497E-2</v>
      </c>
      <c r="K696">
        <v>5.9148489649684402E-2</v>
      </c>
      <c r="L696">
        <v>3543.8863580306702</v>
      </c>
      <c r="M696">
        <v>67.856526361305498</v>
      </c>
      <c r="N696">
        <v>52.449444560144102</v>
      </c>
      <c r="O696">
        <v>52.180864736580901</v>
      </c>
      <c r="P696">
        <v>-0.28432080683863797</v>
      </c>
      <c r="Q696">
        <v>0.12544290298469901</v>
      </c>
      <c r="R696">
        <v>0.984901931011822</v>
      </c>
      <c r="S696" t="s">
        <v>6522</v>
      </c>
      <c r="T696" t="s">
        <v>11650</v>
      </c>
      <c r="U696" t="s">
        <v>11650</v>
      </c>
      <c r="V696" t="s">
        <v>11650</v>
      </c>
      <c r="W696" t="s">
        <v>12334</v>
      </c>
      <c r="X696">
        <v>9</v>
      </c>
      <c r="Y696" t="s">
        <v>18085</v>
      </c>
      <c r="Z696" t="s">
        <v>23758</v>
      </c>
      <c r="AA696">
        <v>0.48295006330959123</v>
      </c>
      <c r="AB696" t="str">
        <f>HYPERLINK("Melting_Curves/meltCurve_F8VY35_NAP1L1.pdf", "Melting_Curves/meltCurve_F8VY35_NAP1L1.pdf")</f>
        <v>Melting_Curves/meltCurve_F8VY35_NAP1L1.pdf</v>
      </c>
    </row>
    <row r="697" spans="1:28" x14ac:dyDescent="0.25">
      <c r="A697" t="s">
        <v>701</v>
      </c>
      <c r="B697">
        <v>0.99996721820229495</v>
      </c>
      <c r="C697">
        <v>1.1721793789041299</v>
      </c>
      <c r="D697">
        <v>1.0261968477153001</v>
      </c>
      <c r="E697">
        <v>0.68997486539744801</v>
      </c>
      <c r="F697">
        <v>0.53813628663100999</v>
      </c>
      <c r="G697">
        <v>0.52098320999610104</v>
      </c>
      <c r="H697">
        <v>0.33350005903394703</v>
      </c>
      <c r="I697">
        <v>0.22830946125589399</v>
      </c>
      <c r="J697">
        <v>0.13212266326291799</v>
      </c>
      <c r="K697">
        <v>0.102575143361469</v>
      </c>
      <c r="L697">
        <v>660.15776618749703</v>
      </c>
      <c r="M697">
        <v>11.9929737911185</v>
      </c>
      <c r="N697">
        <v>55.690758670102198</v>
      </c>
      <c r="O697">
        <v>53.581918132439696</v>
      </c>
      <c r="P697">
        <v>-5.2338545603478698E-2</v>
      </c>
      <c r="Q697">
        <v>6.4878406965199004E-2</v>
      </c>
      <c r="R697">
        <v>0.93876821375779995</v>
      </c>
      <c r="S697" t="s">
        <v>6523</v>
      </c>
      <c r="T697" t="s">
        <v>11650</v>
      </c>
      <c r="U697" t="s">
        <v>11650</v>
      </c>
      <c r="V697" t="s">
        <v>11650</v>
      </c>
      <c r="W697" t="s">
        <v>12335</v>
      </c>
      <c r="X697">
        <v>5</v>
      </c>
      <c r="Y697" t="s">
        <v>18095</v>
      </c>
      <c r="Z697" t="s">
        <v>23759</v>
      </c>
      <c r="AA697">
        <v>0.55567070690319165</v>
      </c>
      <c r="AB697" t="str">
        <f>HYPERLINK("Melting_Curves/meltCurve_F8VYN9_ARL1.pdf", "Melting_Curves/meltCurve_F8VYN9_ARL1.pdf")</f>
        <v>Melting_Curves/meltCurve_F8VYN9_ARL1.pdf</v>
      </c>
    </row>
    <row r="698" spans="1:28" x14ac:dyDescent="0.25">
      <c r="A698" t="s">
        <v>702</v>
      </c>
      <c r="B698">
        <v>0.99996721820229495</v>
      </c>
      <c r="C698">
        <v>0.88186154901193103</v>
      </c>
      <c r="D698">
        <v>0.7687005683432</v>
      </c>
      <c r="E698">
        <v>0.79180889393522902</v>
      </c>
      <c r="F698">
        <v>0.99394624865150905</v>
      </c>
      <c r="G698">
        <v>0.57081652581796005</v>
      </c>
      <c r="H698">
        <v>0.74959324683758899</v>
      </c>
      <c r="I698">
        <v>0.270212213251182</v>
      </c>
      <c r="J698">
        <v>0.14100212470906201</v>
      </c>
      <c r="K698">
        <v>0.104108828216709</v>
      </c>
      <c r="L698">
        <v>800.20897142813601</v>
      </c>
      <c r="M698">
        <v>13.155045078150501</v>
      </c>
      <c r="N698">
        <v>60.829055912173096</v>
      </c>
      <c r="O698">
        <v>59.4749212853459</v>
      </c>
      <c r="P698">
        <v>-5.5305934070362897E-2</v>
      </c>
      <c r="Q698">
        <v>0</v>
      </c>
      <c r="R698">
        <v>0.80894313571648702</v>
      </c>
      <c r="S698" t="s">
        <v>6524</v>
      </c>
      <c r="T698" t="s">
        <v>11650</v>
      </c>
      <c r="U698" t="s">
        <v>11650</v>
      </c>
      <c r="V698" t="s">
        <v>11650</v>
      </c>
      <c r="W698" t="s">
        <v>12336</v>
      </c>
      <c r="X698">
        <v>1</v>
      </c>
      <c r="Y698" t="s">
        <v>18096</v>
      </c>
      <c r="Z698" t="s">
        <v>23760</v>
      </c>
      <c r="AA698">
        <v>0.69441508438735966</v>
      </c>
      <c r="AB698" t="str">
        <f>HYPERLINK("Melting_Curves/meltCurve_F8VYY5_DNAJC14.pdf", "Melting_Curves/meltCurve_F8VYY5_DNAJC14.pdf")</f>
        <v>Melting_Curves/meltCurve_F8VYY5_DNAJC14.pdf</v>
      </c>
    </row>
    <row r="699" spans="1:28" x14ac:dyDescent="0.25">
      <c r="A699" t="s">
        <v>703</v>
      </c>
      <c r="B699">
        <v>0.99996721820229495</v>
      </c>
      <c r="C699">
        <v>1.0083165666062801</v>
      </c>
      <c r="D699">
        <v>0.967238731327552</v>
      </c>
      <c r="E699">
        <v>1.0713969937686301</v>
      </c>
      <c r="F699">
        <v>1.0571587905851301</v>
      </c>
      <c r="G699">
        <v>0.52937129644355996</v>
      </c>
      <c r="H699">
        <v>0.31378601814086698</v>
      </c>
      <c r="I699">
        <v>0.19001184059592799</v>
      </c>
      <c r="J699">
        <v>0.11740316351371</v>
      </c>
      <c r="K699">
        <v>9.5622225803112304E-2</v>
      </c>
      <c r="L699">
        <v>2073.9483861403701</v>
      </c>
      <c r="M699">
        <v>36.336010171978302</v>
      </c>
      <c r="N699">
        <v>57.633463011496097</v>
      </c>
      <c r="O699">
        <v>56.904902426537298</v>
      </c>
      <c r="P699">
        <v>-0.13601589562674801</v>
      </c>
      <c r="Q699">
        <v>0.14795860695209301</v>
      </c>
      <c r="R699">
        <v>0.97892101663762499</v>
      </c>
      <c r="S699" t="s">
        <v>6525</v>
      </c>
      <c r="T699" t="s">
        <v>11650</v>
      </c>
      <c r="U699" t="s">
        <v>11650</v>
      </c>
      <c r="V699" t="s">
        <v>11650</v>
      </c>
      <c r="W699" t="s">
        <v>12337</v>
      </c>
      <c r="X699">
        <v>5</v>
      </c>
      <c r="Y699" t="s">
        <v>18097</v>
      </c>
      <c r="Z699" t="s">
        <v>23761</v>
      </c>
      <c r="AA699">
        <v>0.63696190319955193</v>
      </c>
      <c r="AB699" t="str">
        <f>HYPERLINK("Melting_Curves/meltCurve_F8VZ44_AAAS.pdf", "Melting_Curves/meltCurve_F8VZ44_AAAS.pdf")</f>
        <v>Melting_Curves/meltCurve_F8VZ44_AAAS.pdf</v>
      </c>
    </row>
    <row r="700" spans="1:28" x14ac:dyDescent="0.25">
      <c r="A700" t="s">
        <v>704</v>
      </c>
      <c r="B700">
        <v>0.99996721820229495</v>
      </c>
      <c r="C700">
        <v>1.25412794764836</v>
      </c>
      <c r="D700">
        <v>1.14276640873333</v>
      </c>
      <c r="E700">
        <v>1.1105819016591201</v>
      </c>
      <c r="F700">
        <v>1.27006561132966</v>
      </c>
      <c r="G700">
        <v>1.2723330304933</v>
      </c>
      <c r="H700">
        <v>0.98419526227796605</v>
      </c>
      <c r="I700">
        <v>0.89261139073766205</v>
      </c>
      <c r="J700">
        <v>1.10381321941508</v>
      </c>
      <c r="K700">
        <v>1.0056635173214401</v>
      </c>
      <c r="L700">
        <v>10229.9263510205</v>
      </c>
      <c r="M700">
        <v>250</v>
      </c>
      <c r="O700">
        <v>40.9170886025586</v>
      </c>
      <c r="P700">
        <v>0.175856441154008</v>
      </c>
      <c r="Q700">
        <v>1.1151285321814399</v>
      </c>
      <c r="R700">
        <v>7.4817416621075106E-2</v>
      </c>
      <c r="S700" t="s">
        <v>6526</v>
      </c>
      <c r="T700" t="s">
        <v>11650</v>
      </c>
      <c r="U700" t="s">
        <v>11650</v>
      </c>
      <c r="V700" t="s">
        <v>11650</v>
      </c>
      <c r="W700" t="s">
        <v>12338</v>
      </c>
      <c r="X700">
        <v>6</v>
      </c>
      <c r="Y700" t="s">
        <v>18098</v>
      </c>
      <c r="Z700" t="s">
        <v>23762</v>
      </c>
      <c r="AA700">
        <v>1.1115888905744531</v>
      </c>
      <c r="AB700" t="str">
        <f>HYPERLINK("Melting_Curves/meltCurve_F8VZJ2_NACA.pdf", "Melting_Curves/meltCurve_F8VZJ2_NACA.pdf")</f>
        <v>Melting_Curves/meltCurve_F8VZJ2_NACA.pdf</v>
      </c>
    </row>
    <row r="701" spans="1:28" x14ac:dyDescent="0.25">
      <c r="A701" t="s">
        <v>705</v>
      </c>
      <c r="B701">
        <v>0.99996721820229495</v>
      </c>
      <c r="C701">
        <v>1.08352147929544</v>
      </c>
      <c r="D701">
        <v>0.98959152133629602</v>
      </c>
      <c r="E701">
        <v>0.86164595272855005</v>
      </c>
      <c r="F701">
        <v>1.0257000696423599</v>
      </c>
      <c r="G701">
        <v>0.74849666696925798</v>
      </c>
      <c r="H701">
        <v>0.44715420579436499</v>
      </c>
      <c r="I701">
        <v>0.38671815236731799</v>
      </c>
      <c r="J701">
        <v>0.33463899938823199</v>
      </c>
      <c r="K701">
        <v>0.19991800341839699</v>
      </c>
      <c r="L701">
        <v>1283.57081944117</v>
      </c>
      <c r="M701">
        <v>21.748538886637601</v>
      </c>
      <c r="N701">
        <v>60.748745118636101</v>
      </c>
      <c r="O701">
        <v>58.526534642931502</v>
      </c>
      <c r="P701">
        <v>-7.1455324224068195E-2</v>
      </c>
      <c r="Q701">
        <v>0.23085686721214899</v>
      </c>
      <c r="R701">
        <v>0.961941281451268</v>
      </c>
      <c r="S701" t="s">
        <v>6527</v>
      </c>
      <c r="T701" t="s">
        <v>11650</v>
      </c>
      <c r="U701" t="s">
        <v>11650</v>
      </c>
      <c r="V701" t="s">
        <v>11650</v>
      </c>
      <c r="W701" t="s">
        <v>12339</v>
      </c>
      <c r="X701">
        <v>6</v>
      </c>
      <c r="Y701" t="s">
        <v>18099</v>
      </c>
      <c r="Z701" t="s">
        <v>23763</v>
      </c>
      <c r="AA701">
        <v>0.72571641058611103</v>
      </c>
      <c r="AB701" t="str">
        <f>HYPERLINK("Melting_Curves/meltCurve_F8W038_C17orf49.pdf", "Melting_Curves/meltCurve_F8W038_C17orf49.pdf")</f>
        <v>Melting_Curves/meltCurve_F8W038_C17orf49.pdf</v>
      </c>
    </row>
    <row r="702" spans="1:28" x14ac:dyDescent="0.25">
      <c r="A702" t="s">
        <v>706</v>
      </c>
      <c r="B702">
        <v>0.99996721820229495</v>
      </c>
      <c r="C702">
        <v>0.651542678004289</v>
      </c>
      <c r="D702">
        <v>0.51743623313921605</v>
      </c>
      <c r="E702">
        <v>1.1543040052415099</v>
      </c>
      <c r="F702">
        <v>1.20507285160772</v>
      </c>
      <c r="G702">
        <v>1.1446086085787299</v>
      </c>
      <c r="H702">
        <v>0.76359395277977204</v>
      </c>
      <c r="I702">
        <v>0.88410258516425999</v>
      </c>
      <c r="J702">
        <v>0.81515487690267496</v>
      </c>
      <c r="K702">
        <v>0.71483197546266397</v>
      </c>
      <c r="L702">
        <v>14780.2310320285</v>
      </c>
      <c r="M702">
        <v>250</v>
      </c>
      <c r="O702">
        <v>59.117140812691197</v>
      </c>
      <c r="P702">
        <v>-0.21736035457061001</v>
      </c>
      <c r="Q702">
        <v>0.79440443733886101</v>
      </c>
      <c r="R702">
        <v>7.4795270647884299E-2</v>
      </c>
      <c r="S702" t="s">
        <v>6528</v>
      </c>
      <c r="T702" t="s">
        <v>11650</v>
      </c>
      <c r="U702" t="s">
        <v>11650</v>
      </c>
      <c r="V702" t="s">
        <v>11650</v>
      </c>
      <c r="W702" t="s">
        <v>12340</v>
      </c>
      <c r="X702">
        <v>2</v>
      </c>
      <c r="Y702" t="s">
        <v>18100</v>
      </c>
      <c r="Z702" t="s">
        <v>23764</v>
      </c>
      <c r="AA702">
        <v>0.92546500766477691</v>
      </c>
      <c r="AB702" t="str">
        <f>HYPERLINK("Melting_Curves/meltCurve_F8W0Q9_PPHLN1.pdf", "Melting_Curves/meltCurve_F8W0Q9_PPHLN1.pdf")</f>
        <v>Melting_Curves/meltCurve_F8W0Q9_PPHLN1.pdf</v>
      </c>
    </row>
    <row r="703" spans="1:28" x14ac:dyDescent="0.25">
      <c r="A703" t="s">
        <v>707</v>
      </c>
      <c r="B703">
        <v>0.99996721820229495</v>
      </c>
      <c r="C703">
        <v>0.82042687148442095</v>
      </c>
      <c r="D703">
        <v>1.01835491656542</v>
      </c>
      <c r="E703">
        <v>1.02272519681299</v>
      </c>
      <c r="F703">
        <v>1.1605567285398799</v>
      </c>
      <c r="G703">
        <v>0.86361763052001095</v>
      </c>
      <c r="H703">
        <v>0.610135155850969</v>
      </c>
      <c r="I703">
        <v>0.60094078532350703</v>
      </c>
      <c r="J703">
        <v>0.33724801080228101</v>
      </c>
      <c r="K703">
        <v>0.449100748464132</v>
      </c>
      <c r="L703">
        <v>1702.3197609543599</v>
      </c>
      <c r="M703">
        <v>28.319948562412399</v>
      </c>
      <c r="N703">
        <v>63.925918726078699</v>
      </c>
      <c r="O703">
        <v>59.8129502641888</v>
      </c>
      <c r="P703">
        <v>-7.0101531345044904E-2</v>
      </c>
      <c r="Q703">
        <v>0.40777510828486802</v>
      </c>
      <c r="R703">
        <v>0.87225047463049399</v>
      </c>
      <c r="S703" t="s">
        <v>6529</v>
      </c>
      <c r="T703" t="s">
        <v>11650</v>
      </c>
      <c r="U703" t="s">
        <v>11650</v>
      </c>
      <c r="V703" t="s">
        <v>11650</v>
      </c>
      <c r="W703" t="s">
        <v>12341</v>
      </c>
      <c r="X703">
        <v>1</v>
      </c>
      <c r="Y703" t="s">
        <v>18101</v>
      </c>
      <c r="Z703" t="s">
        <v>23765</v>
      </c>
      <c r="AA703">
        <v>0.80859538954653198</v>
      </c>
      <c r="AB703" t="str">
        <f>HYPERLINK("Melting_Curves/meltCurve_F8W1P7_SLC11A2.pdf", "Melting_Curves/meltCurve_F8W1P7_SLC11A2.pdf")</f>
        <v>Melting_Curves/meltCurve_F8W1P7_SLC11A2.pdf</v>
      </c>
    </row>
    <row r="704" spans="1:28" x14ac:dyDescent="0.25">
      <c r="A704" t="s">
        <v>708</v>
      </c>
      <c r="B704">
        <v>0.99996721820229495</v>
      </c>
      <c r="C704">
        <v>0.94992808035629395</v>
      </c>
      <c r="D704">
        <v>1.1157059346134699</v>
      </c>
      <c r="E704">
        <v>1.1361597311587901</v>
      </c>
      <c r="F704">
        <v>1.2692567670254</v>
      </c>
      <c r="G704">
        <v>1.4041121962322201</v>
      </c>
      <c r="H704">
        <v>1.00405199783032</v>
      </c>
      <c r="I704">
        <v>0.87677249706571703</v>
      </c>
      <c r="J704">
        <v>0.86115356513318098</v>
      </c>
      <c r="K704">
        <v>0.67891408242988505</v>
      </c>
      <c r="L704">
        <v>2000.17675431875</v>
      </c>
      <c r="M704">
        <v>29.2507874210518</v>
      </c>
      <c r="O704">
        <v>68.063059079930099</v>
      </c>
      <c r="P704">
        <v>-5.1027212342146001E-2</v>
      </c>
      <c r="Q704">
        <v>0.52506671461166199</v>
      </c>
      <c r="R704">
        <v>0.30571947935785099</v>
      </c>
      <c r="S704" t="s">
        <v>6530</v>
      </c>
      <c r="T704" t="s">
        <v>11650</v>
      </c>
      <c r="U704" t="s">
        <v>11650</v>
      </c>
      <c r="V704" t="s">
        <v>11650</v>
      </c>
      <c r="W704" t="s">
        <v>12342</v>
      </c>
      <c r="X704">
        <v>1</v>
      </c>
      <c r="Y704" t="s">
        <v>18102</v>
      </c>
      <c r="Z704" t="s">
        <v>23766</v>
      </c>
      <c r="AA704">
        <v>0.9612567505675228</v>
      </c>
      <c r="AB704" t="str">
        <f>HYPERLINK("Melting_Curves/meltCurve_F8W1T6_RBMS2.pdf", "Melting_Curves/meltCurve_F8W1T6_RBMS2.pdf")</f>
        <v>Melting_Curves/meltCurve_F8W1T6_RBMS2.pdf</v>
      </c>
    </row>
    <row r="705" spans="1:28" x14ac:dyDescent="0.25">
      <c r="A705" t="s">
        <v>709</v>
      </c>
      <c r="B705">
        <v>0.99996721820229495</v>
      </c>
      <c r="C705">
        <v>1.6426601682130599</v>
      </c>
      <c r="D705">
        <v>1.4499023657285</v>
      </c>
      <c r="E705">
        <v>1.4199128705722399</v>
      </c>
      <c r="F705">
        <v>1.34034724084659</v>
      </c>
      <c r="G705">
        <v>1.4105060426777001</v>
      </c>
      <c r="H705">
        <v>1.1219508434108201</v>
      </c>
      <c r="I705">
        <v>1.33624380105409</v>
      </c>
      <c r="J705">
        <v>0.84915750656391897</v>
      </c>
      <c r="K705">
        <v>0.67531663447671597</v>
      </c>
      <c r="L705">
        <v>15000</v>
      </c>
      <c r="M705">
        <v>223.73810407210499</v>
      </c>
      <c r="O705">
        <v>67.037308706466504</v>
      </c>
      <c r="P705">
        <v>-0.27093608550016202</v>
      </c>
      <c r="Q705">
        <v>0.67528414503008305</v>
      </c>
      <c r="R705">
        <v>-0.45455572940199601</v>
      </c>
      <c r="S705" t="s">
        <v>6531</v>
      </c>
      <c r="T705" t="s">
        <v>11650</v>
      </c>
      <c r="U705" t="s">
        <v>11650</v>
      </c>
      <c r="V705" t="s">
        <v>11650</v>
      </c>
      <c r="W705" t="s">
        <v>12343</v>
      </c>
      <c r="X705">
        <v>1</v>
      </c>
      <c r="Y705" t="s">
        <v>18103</v>
      </c>
      <c r="Z705" t="s">
        <v>23767</v>
      </c>
      <c r="AA705">
        <v>0.96803769811949514</v>
      </c>
      <c r="AB705" t="str">
        <f>HYPERLINK("Melting_Curves/meltCurve_F8W689_RFX5.pdf", "Melting_Curves/meltCurve_F8W689_RFX5.pdf")</f>
        <v>Melting_Curves/meltCurve_F8W689_RFX5.pdf</v>
      </c>
    </row>
    <row r="706" spans="1:28" x14ac:dyDescent="0.25">
      <c r="A706" t="s">
        <v>710</v>
      </c>
      <c r="B706">
        <v>0.99996721820229495</v>
      </c>
      <c r="C706">
        <v>1.0845877132201001</v>
      </c>
      <c r="D706">
        <v>0.906527646226158</v>
      </c>
      <c r="E706">
        <v>0.71826987511476303</v>
      </c>
      <c r="F706">
        <v>0.80773773942920801</v>
      </c>
      <c r="G706">
        <v>0.494201539507719</v>
      </c>
      <c r="H706">
        <v>0.34223595992314998</v>
      </c>
      <c r="I706">
        <v>0.21766695550708501</v>
      </c>
      <c r="J706">
        <v>0.19797090310972601</v>
      </c>
      <c r="K706">
        <v>0.17491447459426801</v>
      </c>
      <c r="L706">
        <v>661.04143390970398</v>
      </c>
      <c r="M706">
        <v>11.7117156428566</v>
      </c>
      <c r="N706">
        <v>57.144419498219001</v>
      </c>
      <c r="O706">
        <v>54.872533933143103</v>
      </c>
      <c r="P706">
        <v>-4.9798275177244701E-2</v>
      </c>
      <c r="Q706">
        <v>6.6973938656986906E-2</v>
      </c>
      <c r="R706">
        <v>0.96561324484248601</v>
      </c>
      <c r="S706" t="s">
        <v>6532</v>
      </c>
      <c r="T706" t="s">
        <v>11650</v>
      </c>
      <c r="U706" t="s">
        <v>11650</v>
      </c>
      <c r="V706" t="s">
        <v>11650</v>
      </c>
      <c r="W706" t="s">
        <v>12344</v>
      </c>
      <c r="X706">
        <v>1</v>
      </c>
      <c r="Y706" t="s">
        <v>18104</v>
      </c>
      <c r="Z706" t="s">
        <v>23768</v>
      </c>
      <c r="AA706">
        <v>0.59605179808650299</v>
      </c>
      <c r="AB706" t="str">
        <f>HYPERLINK("Melting_Curves/meltCurve_F8W6D9_SENP6.pdf", "Melting_Curves/meltCurve_F8W6D9_SENP6.pdf")</f>
        <v>Melting_Curves/meltCurve_F8W6D9_SENP6.pdf</v>
      </c>
    </row>
    <row r="707" spans="1:28" x14ac:dyDescent="0.25">
      <c r="A707" t="s">
        <v>711</v>
      </c>
      <c r="B707">
        <v>0.99996721820229495</v>
      </c>
      <c r="C707">
        <v>1.1667739091156599</v>
      </c>
      <c r="D707">
        <v>1.1464152572973201</v>
      </c>
      <c r="E707">
        <v>1.1287985296776299</v>
      </c>
      <c r="F707">
        <v>0.887536707377653</v>
      </c>
      <c r="G707">
        <v>0.75147879653946903</v>
      </c>
      <c r="H707">
        <v>0.40785343021322701</v>
      </c>
      <c r="I707">
        <v>0.58278223334211499</v>
      </c>
      <c r="J707">
        <v>0.23423867793061201</v>
      </c>
      <c r="K707">
        <v>0.224040749701336</v>
      </c>
      <c r="L707">
        <v>1068.9699722743301</v>
      </c>
      <c r="M707">
        <v>17.9307759385525</v>
      </c>
      <c r="N707">
        <v>61.398302082883298</v>
      </c>
      <c r="O707">
        <v>58.8898104081266</v>
      </c>
      <c r="P707">
        <v>-6.0682377265532002E-2</v>
      </c>
      <c r="Q707">
        <v>0.20284656903176199</v>
      </c>
      <c r="R707">
        <v>0.89269947461129195</v>
      </c>
      <c r="S707" t="s">
        <v>6533</v>
      </c>
      <c r="T707" t="s">
        <v>11650</v>
      </c>
      <c r="U707" t="s">
        <v>11650</v>
      </c>
      <c r="V707" t="s">
        <v>11650</v>
      </c>
      <c r="W707" t="s">
        <v>12345</v>
      </c>
      <c r="X707">
        <v>13</v>
      </c>
      <c r="Y707" t="s">
        <v>18105</v>
      </c>
      <c r="Z707" t="s">
        <v>23769</v>
      </c>
      <c r="AA707">
        <v>0.73144605065597268</v>
      </c>
      <c r="AB707" t="str">
        <f>HYPERLINK("Melting_Curves/meltCurve_F8W6I7_HNRNPA1.pdf", "Melting_Curves/meltCurve_F8W6I7_HNRNPA1.pdf")</f>
        <v>Melting_Curves/meltCurve_F8W6I7_HNRNPA1.pdf</v>
      </c>
    </row>
    <row r="708" spans="1:28" x14ac:dyDescent="0.25">
      <c r="A708" t="s">
        <v>712</v>
      </c>
      <c r="B708">
        <v>0.99996721820229495</v>
      </c>
      <c r="C708">
        <v>0.65071725173582395</v>
      </c>
      <c r="D708">
        <v>0.46156524440083102</v>
      </c>
      <c r="E708">
        <v>0.33847133099364302</v>
      </c>
      <c r="F708">
        <v>0.24574147727665599</v>
      </c>
      <c r="G708">
        <v>0.15215673419713899</v>
      </c>
      <c r="H708">
        <v>9.9118633312551094E-2</v>
      </c>
      <c r="I708">
        <v>7.5333577804336194E-2</v>
      </c>
      <c r="J708">
        <v>3.7711536691358398E-2</v>
      </c>
      <c r="K708">
        <v>5.3864338565765599E-2</v>
      </c>
      <c r="L708">
        <v>570.537673931884</v>
      </c>
      <c r="M708">
        <v>12.436021998245501</v>
      </c>
      <c r="N708">
        <v>46.303499499804197</v>
      </c>
      <c r="O708">
        <v>44.739989261390299</v>
      </c>
      <c r="P708">
        <v>-6.5750733242020007E-2</v>
      </c>
      <c r="Q708">
        <v>5.40161533232969E-2</v>
      </c>
      <c r="R708">
        <v>0.96601819860480698</v>
      </c>
      <c r="S708" t="s">
        <v>6534</v>
      </c>
      <c r="T708" t="s">
        <v>11650</v>
      </c>
      <c r="U708" t="s">
        <v>11650</v>
      </c>
      <c r="V708" t="s">
        <v>11650</v>
      </c>
      <c r="W708" t="s">
        <v>12346</v>
      </c>
      <c r="X708">
        <v>2</v>
      </c>
      <c r="Y708" t="s">
        <v>18106</v>
      </c>
      <c r="Z708" t="s">
        <v>23770</v>
      </c>
      <c r="AA708">
        <v>0.28003915072405028</v>
      </c>
      <c r="AB708" t="str">
        <f>HYPERLINK("Melting_Curves/meltCurve_F8W6N8_TRIM5.pdf", "Melting_Curves/meltCurve_F8W6N8_TRIM5.pdf")</f>
        <v>Melting_Curves/meltCurve_F8W6N8_TRIM5.pdf</v>
      </c>
    </row>
    <row r="709" spans="1:28" x14ac:dyDescent="0.25">
      <c r="A709" t="s">
        <v>713</v>
      </c>
      <c r="B709">
        <v>0.99996721820229495</v>
      </c>
      <c r="C709">
        <v>1.0290715261284</v>
      </c>
      <c r="D709">
        <v>0.99811034949178001</v>
      </c>
      <c r="E709">
        <v>1.0424503490017201</v>
      </c>
      <c r="F709">
        <v>0.98044413158408805</v>
      </c>
      <c r="G709">
        <v>0.688672656778334</v>
      </c>
      <c r="H709">
        <v>0.29726351313660598</v>
      </c>
      <c r="I709">
        <v>0.24580299326678501</v>
      </c>
      <c r="J709">
        <v>0.21402830380250801</v>
      </c>
      <c r="K709">
        <v>0.15154474884723501</v>
      </c>
      <c r="L709">
        <v>2016.61487388248</v>
      </c>
      <c r="M709">
        <v>34.883729264857699</v>
      </c>
      <c r="N709">
        <v>58.611999208325798</v>
      </c>
      <c r="O709">
        <v>57.620626692701698</v>
      </c>
      <c r="P709">
        <v>-0.122617500153943</v>
      </c>
      <c r="Q709">
        <v>0.18984909536768901</v>
      </c>
      <c r="R709">
        <v>0.995679094671301</v>
      </c>
      <c r="S709" t="s">
        <v>6535</v>
      </c>
      <c r="T709" t="s">
        <v>11650</v>
      </c>
      <c r="U709" t="s">
        <v>11650</v>
      </c>
      <c r="V709" t="s">
        <v>11650</v>
      </c>
      <c r="W709" t="s">
        <v>12347</v>
      </c>
      <c r="X709">
        <v>20</v>
      </c>
      <c r="Y709" t="s">
        <v>18107</v>
      </c>
      <c r="Z709" t="s">
        <v>23771</v>
      </c>
      <c r="AA709">
        <v>0.67490559366865865</v>
      </c>
      <c r="AB709" t="str">
        <f>HYPERLINK("Melting_Curves/meltCurve_F8W717_EML1.pdf", "Melting_Curves/meltCurve_F8W717_EML1.pdf")</f>
        <v>Melting_Curves/meltCurve_F8W717_EML1.pdf</v>
      </c>
    </row>
    <row r="710" spans="1:28" x14ac:dyDescent="0.25">
      <c r="A710" t="s">
        <v>714</v>
      </c>
      <c r="B710">
        <v>0.99996721820229495</v>
      </c>
      <c r="C710">
        <v>0.73624152298689305</v>
      </c>
      <c r="D710">
        <v>0.735593129171349</v>
      </c>
      <c r="E710">
        <v>0.908173099504748</v>
      </c>
      <c r="F710">
        <v>0.89026786909718303</v>
      </c>
      <c r="G710">
        <v>1.02710351555823</v>
      </c>
      <c r="H710">
        <v>0.646334626935687</v>
      </c>
      <c r="I710">
        <v>0.47294536598104497</v>
      </c>
      <c r="J710">
        <v>0.44606970448420902</v>
      </c>
      <c r="K710">
        <v>0.482692325221107</v>
      </c>
      <c r="L710">
        <v>431.98170649237898</v>
      </c>
      <c r="M710">
        <v>6.4042349603755699</v>
      </c>
      <c r="N710">
        <v>67.452507464165606</v>
      </c>
      <c r="O710">
        <v>61.776328891857503</v>
      </c>
      <c r="P710">
        <v>-2.5983440647679101E-2</v>
      </c>
      <c r="Q710">
        <v>0</v>
      </c>
      <c r="R710">
        <v>0.55324977535992803</v>
      </c>
      <c r="S710" t="s">
        <v>6536</v>
      </c>
      <c r="T710" t="s">
        <v>11650</v>
      </c>
      <c r="U710" t="s">
        <v>11650</v>
      </c>
      <c r="V710" t="s">
        <v>11650</v>
      </c>
      <c r="W710" t="s">
        <v>12348</v>
      </c>
      <c r="X710">
        <v>28</v>
      </c>
      <c r="Y710" t="s">
        <v>18108</v>
      </c>
      <c r="Z710" t="s">
        <v>23772</v>
      </c>
      <c r="AA710">
        <v>0.77429878284913878</v>
      </c>
      <c r="AB710" t="str">
        <f>HYPERLINK("Melting_Curves/meltCurve_F8W726_UBAP2L.pdf", "Melting_Curves/meltCurve_F8W726_UBAP2L.pdf")</f>
        <v>Melting_Curves/meltCurve_F8W726_UBAP2L.pdf</v>
      </c>
    </row>
    <row r="711" spans="1:28" x14ac:dyDescent="0.25">
      <c r="A711" t="s">
        <v>715</v>
      </c>
      <c r="B711">
        <v>0.99996721820229495</v>
      </c>
      <c r="C711">
        <v>0.91976125371567397</v>
      </c>
      <c r="D711">
        <v>1.03559822024031</v>
      </c>
      <c r="E711">
        <v>1.5469427611433599</v>
      </c>
      <c r="F711">
        <v>2.0683740758353402</v>
      </c>
      <c r="G711">
        <v>2.8259602034958098</v>
      </c>
      <c r="H711">
        <v>1.5477986680356499</v>
      </c>
      <c r="I711">
        <v>0.55221697986074403</v>
      </c>
      <c r="J711">
        <v>0.28498518010456197</v>
      </c>
      <c r="K711">
        <v>0.20854504171281299</v>
      </c>
      <c r="L711">
        <v>15000</v>
      </c>
      <c r="M711">
        <v>234.75727289138399</v>
      </c>
      <c r="N711">
        <v>64.081467205515906</v>
      </c>
      <c r="O711">
        <v>63.891160972591699</v>
      </c>
      <c r="P711">
        <v>-0.69192171678550696</v>
      </c>
      <c r="Q711">
        <v>0.246750969786941</v>
      </c>
      <c r="R711">
        <v>0.15588728430677001</v>
      </c>
      <c r="S711" t="s">
        <v>6537</v>
      </c>
      <c r="T711" t="s">
        <v>11650</v>
      </c>
      <c r="U711" t="s">
        <v>11650</v>
      </c>
      <c r="V711" t="s">
        <v>11650</v>
      </c>
      <c r="W711" t="s">
        <v>12349</v>
      </c>
      <c r="X711">
        <v>4</v>
      </c>
      <c r="Y711" t="s">
        <v>18109</v>
      </c>
      <c r="Z711" t="s">
        <v>23773</v>
      </c>
      <c r="AA711">
        <v>0.84682930124972089</v>
      </c>
      <c r="AB711" t="str">
        <f>HYPERLINK("Melting_Curves/meltCurve_F8W7D6_GPHN.pdf", "Melting_Curves/meltCurve_F8W7D6_GPHN.pdf")</f>
        <v>Melting_Curves/meltCurve_F8W7D6_GPHN.pdf</v>
      </c>
    </row>
    <row r="712" spans="1:28" x14ac:dyDescent="0.25">
      <c r="A712" t="s">
        <v>716</v>
      </c>
      <c r="B712">
        <v>0.99996721820229495</v>
      </c>
      <c r="C712">
        <v>0.60855691090409303</v>
      </c>
      <c r="D712">
        <v>0.67683712785670702</v>
      </c>
      <c r="E712">
        <v>1.23762359019909</v>
      </c>
      <c r="F712">
        <v>1.46439817786601</v>
      </c>
      <c r="G712">
        <v>1.03986537623705</v>
      </c>
      <c r="H712">
        <v>1.2696079291239</v>
      </c>
      <c r="I712">
        <v>0.95975186753699104</v>
      </c>
      <c r="J712">
        <v>0.77171830372424999</v>
      </c>
      <c r="K712">
        <v>1.1534806565388001</v>
      </c>
      <c r="S712" t="s">
        <v>6538</v>
      </c>
      <c r="T712" t="s">
        <v>11650</v>
      </c>
      <c r="U712" t="s">
        <v>11651</v>
      </c>
      <c r="V712" t="s">
        <v>11650</v>
      </c>
      <c r="W712" t="s">
        <v>12350</v>
      </c>
      <c r="X712">
        <v>3</v>
      </c>
      <c r="Y712" t="s">
        <v>18110</v>
      </c>
      <c r="Z712" t="s">
        <v>23774</v>
      </c>
      <c r="AB712" t="str">
        <f>HYPERLINK("Melting_Curves/meltCurve_F8W7Q4_FAM162A.pdf", "Melting_Curves/meltCurve_F8W7Q4_FAM162A.pdf")</f>
        <v>Melting_Curves/meltCurve_F8W7Q4_FAM162A.pdf</v>
      </c>
    </row>
    <row r="713" spans="1:28" x14ac:dyDescent="0.25">
      <c r="A713" t="s">
        <v>717</v>
      </c>
      <c r="B713">
        <v>0.99996721820229495</v>
      </c>
      <c r="C713">
        <v>0.70698146802276696</v>
      </c>
      <c r="D713">
        <v>0.49174849036052498</v>
      </c>
      <c r="E713">
        <v>0.14335283627523099</v>
      </c>
      <c r="F713">
        <v>0.123743481151003</v>
      </c>
      <c r="G713">
        <v>0.107643553989617</v>
      </c>
      <c r="H713">
        <v>6.4931423852132103E-2</v>
      </c>
      <c r="I713">
        <v>5.3379760643454802E-2</v>
      </c>
      <c r="J713">
        <v>3.6328735116853902E-2</v>
      </c>
      <c r="K713">
        <v>2.1718134637956899E-2</v>
      </c>
      <c r="L713">
        <v>882.83916218292302</v>
      </c>
      <c r="M713">
        <v>19.485429135733199</v>
      </c>
      <c r="N713">
        <v>45.5555834344975</v>
      </c>
      <c r="O713">
        <v>44.838551166306601</v>
      </c>
      <c r="P713">
        <v>-0.103179838363346</v>
      </c>
      <c r="Q713">
        <v>5.03124172408023E-2</v>
      </c>
      <c r="R713">
        <v>0.987145747731626</v>
      </c>
      <c r="S713" t="s">
        <v>6539</v>
      </c>
      <c r="T713" t="s">
        <v>11650</v>
      </c>
      <c r="U713" t="s">
        <v>11650</v>
      </c>
      <c r="V713" t="s">
        <v>11650</v>
      </c>
      <c r="W713" t="s">
        <v>12351</v>
      </c>
      <c r="X713">
        <v>1</v>
      </c>
      <c r="Y713" t="s">
        <v>18111</v>
      </c>
      <c r="Z713" t="s">
        <v>23775</v>
      </c>
      <c r="AA713">
        <v>0.23486471415177779</v>
      </c>
      <c r="AB713" t="str">
        <f>HYPERLINK("Melting_Curves/meltCurve_F8W7S1_FAM73A.pdf", "Melting_Curves/meltCurve_F8W7S1_FAM73A.pdf")</f>
        <v>Melting_Curves/meltCurve_F8W7S1_FAM73A.pdf</v>
      </c>
    </row>
    <row r="714" spans="1:28" x14ac:dyDescent="0.25">
      <c r="A714" t="s">
        <v>718</v>
      </c>
      <c r="B714">
        <v>0.99996721820229495</v>
      </c>
      <c r="C714">
        <v>1.0102112392133999</v>
      </c>
      <c r="D714">
        <v>0.81577887327681897</v>
      </c>
      <c r="E714">
        <v>0.531290903030741</v>
      </c>
      <c r="F714">
        <v>0.55891556841865797</v>
      </c>
      <c r="G714">
        <v>0.46867385859638999</v>
      </c>
      <c r="H714">
        <v>0.31078632901201803</v>
      </c>
      <c r="I714">
        <v>0.34107706298188001</v>
      </c>
      <c r="J714">
        <v>0.23849467671104699</v>
      </c>
      <c r="K714">
        <v>0.14034539348493</v>
      </c>
      <c r="L714">
        <v>514.88349896603097</v>
      </c>
      <c r="M714">
        <v>9.8950941085266493</v>
      </c>
      <c r="N714">
        <v>54.070689609414998</v>
      </c>
      <c r="O714">
        <v>50.0427381333024</v>
      </c>
      <c r="P714">
        <v>-4.1764666217516899E-2</v>
      </c>
      <c r="Q714">
        <v>0.15555702434888899</v>
      </c>
      <c r="R714">
        <v>0.94836995554166004</v>
      </c>
      <c r="S714" t="s">
        <v>6540</v>
      </c>
      <c r="T714" t="s">
        <v>11650</v>
      </c>
      <c r="U714" t="s">
        <v>11650</v>
      </c>
      <c r="V714" t="s">
        <v>11650</v>
      </c>
      <c r="W714" t="s">
        <v>12352</v>
      </c>
      <c r="X714">
        <v>3</v>
      </c>
      <c r="Y714" t="s">
        <v>18112</v>
      </c>
      <c r="Z714" t="s">
        <v>23776</v>
      </c>
      <c r="AA714">
        <v>0.52661493446258167</v>
      </c>
      <c r="AB714" t="str">
        <f>HYPERLINK("Melting_Curves/meltCurve_F8W840_YTHDF1.pdf", "Melting_Curves/meltCurve_F8W840_YTHDF1.pdf")</f>
        <v>Melting_Curves/meltCurve_F8W840_YTHDF1.pdf</v>
      </c>
    </row>
    <row r="715" spans="1:28" x14ac:dyDescent="0.25">
      <c r="A715" t="s">
        <v>719</v>
      </c>
      <c r="B715">
        <v>0.99996721820229495</v>
      </c>
      <c r="C715">
        <v>1.00854107367781</v>
      </c>
      <c r="D715">
        <v>1.1532033633802401</v>
      </c>
      <c r="E715">
        <v>1.17996881406586</v>
      </c>
      <c r="F715">
        <v>0.77352986642355404</v>
      </c>
      <c r="G715">
        <v>0.77524883348337403</v>
      </c>
      <c r="H715">
        <v>0.56365345121369503</v>
      </c>
      <c r="I715">
        <v>0.41714833942142099</v>
      </c>
      <c r="J715">
        <v>0.37565758775966801</v>
      </c>
      <c r="K715">
        <v>0.27601278129725698</v>
      </c>
      <c r="L715">
        <v>1013.05500977625</v>
      </c>
      <c r="M715">
        <v>16.985761897118302</v>
      </c>
      <c r="N715">
        <v>62.097502512056003</v>
      </c>
      <c r="O715">
        <v>58.833161074222303</v>
      </c>
      <c r="P715">
        <v>-5.4525617003705902E-2</v>
      </c>
      <c r="Q715">
        <v>0.244610711991925</v>
      </c>
      <c r="R715">
        <v>0.90756505869957504</v>
      </c>
      <c r="S715" t="s">
        <v>6541</v>
      </c>
      <c r="T715" t="s">
        <v>11650</v>
      </c>
      <c r="U715" t="s">
        <v>11650</v>
      </c>
      <c r="V715" t="s">
        <v>11650</v>
      </c>
      <c r="W715" t="s">
        <v>12353</v>
      </c>
      <c r="X715">
        <v>1</v>
      </c>
      <c r="Y715" t="s">
        <v>18113</v>
      </c>
      <c r="Z715" t="s">
        <v>23777</v>
      </c>
      <c r="AA715">
        <v>0.74601446456363119</v>
      </c>
      <c r="AB715" t="str">
        <f>HYPERLINK("Melting_Curves/meltCurve_F8W8C2_VEZT.pdf", "Melting_Curves/meltCurve_F8W8C2_VEZT.pdf")</f>
        <v>Melting_Curves/meltCurve_F8W8C2_VEZT.pdf</v>
      </c>
    </row>
    <row r="716" spans="1:28" x14ac:dyDescent="0.25">
      <c r="A716" t="s">
        <v>720</v>
      </c>
      <c r="B716">
        <v>0.99996721820229495</v>
      </c>
      <c r="C716">
        <v>0.75973364688475897</v>
      </c>
      <c r="D716">
        <v>0.71795076010990699</v>
      </c>
      <c r="E716">
        <v>0.84203784544574201</v>
      </c>
      <c r="F716">
        <v>0.88308909450297501</v>
      </c>
      <c r="G716">
        <v>0.64151144366413204</v>
      </c>
      <c r="H716">
        <v>0.34870267500518498</v>
      </c>
      <c r="I716">
        <v>0.375227325283776</v>
      </c>
      <c r="J716">
        <v>0.21974809988850499</v>
      </c>
      <c r="K716">
        <v>0.31577804958345401</v>
      </c>
      <c r="L716">
        <v>412.28325022040502</v>
      </c>
      <c r="M716">
        <v>6.9334568961128502</v>
      </c>
      <c r="N716">
        <v>59.462871518169798</v>
      </c>
      <c r="O716">
        <v>55.107573531278298</v>
      </c>
      <c r="P716">
        <v>-3.1514583509470701E-2</v>
      </c>
      <c r="Q716">
        <v>0</v>
      </c>
      <c r="R716">
        <v>0.81662259592414199</v>
      </c>
      <c r="S716" t="s">
        <v>6542</v>
      </c>
      <c r="T716" t="s">
        <v>11650</v>
      </c>
      <c r="U716" t="s">
        <v>11650</v>
      </c>
      <c r="V716" t="s">
        <v>11650</v>
      </c>
      <c r="W716" t="s">
        <v>12354</v>
      </c>
      <c r="X716">
        <v>6</v>
      </c>
      <c r="Y716" t="s">
        <v>18114</v>
      </c>
      <c r="Z716" t="s">
        <v>23778</v>
      </c>
      <c r="AA716">
        <v>0.63094527902853537</v>
      </c>
      <c r="AB716" t="str">
        <f>HYPERLINK("Melting_Curves/meltCurve_F8W8I6_TIA1.pdf", "Melting_Curves/meltCurve_F8W8I6_TIA1.pdf")</f>
        <v>Melting_Curves/meltCurve_F8W8I6_TIA1.pdf</v>
      </c>
    </row>
    <row r="717" spans="1:28" x14ac:dyDescent="0.25">
      <c r="A717" t="s">
        <v>721</v>
      </c>
      <c r="B717">
        <v>0.99996721820229495</v>
      </c>
      <c r="C717">
        <v>0.88618601114757101</v>
      </c>
      <c r="D717">
        <v>0.70271698746927402</v>
      </c>
      <c r="E717">
        <v>0.277344017404136</v>
      </c>
      <c r="F717">
        <v>0.38207927590977397</v>
      </c>
      <c r="G717">
        <v>0.20194069300835099</v>
      </c>
      <c r="H717">
        <v>0.189493212710694</v>
      </c>
      <c r="I717">
        <v>0.12592210130161199</v>
      </c>
      <c r="J717">
        <v>5.5470382846496198E-2</v>
      </c>
      <c r="K717">
        <v>3.9784613236015898E-2</v>
      </c>
      <c r="L717">
        <v>707.56002534040499</v>
      </c>
      <c r="M717">
        <v>14.7599102304175</v>
      </c>
      <c r="N717">
        <v>48.612972643475899</v>
      </c>
      <c r="O717">
        <v>47.083786101664998</v>
      </c>
      <c r="P717">
        <v>-7.11165529922341E-2</v>
      </c>
      <c r="Q717">
        <v>9.2656455688603298E-2</v>
      </c>
      <c r="R717">
        <v>0.95977158460071799</v>
      </c>
      <c r="S717" t="s">
        <v>6543</v>
      </c>
      <c r="T717" t="s">
        <v>11650</v>
      </c>
      <c r="U717" t="s">
        <v>11650</v>
      </c>
      <c r="V717" t="s">
        <v>11650</v>
      </c>
      <c r="W717" t="s">
        <v>12355</v>
      </c>
      <c r="X717">
        <v>2</v>
      </c>
      <c r="Y717" t="s">
        <v>18115</v>
      </c>
      <c r="Z717" t="s">
        <v>23779</v>
      </c>
      <c r="AA717">
        <v>0.35691603050245241</v>
      </c>
      <c r="AB717" t="str">
        <f>HYPERLINK("Melting_Curves/meltCurve_F8W8M9_UNC13B.pdf", "Melting_Curves/meltCurve_F8W8M9_UNC13B.pdf")</f>
        <v>Melting_Curves/meltCurve_F8W8M9_UNC13B.pdf</v>
      </c>
    </row>
    <row r="718" spans="1:28" x14ac:dyDescent="0.25">
      <c r="A718" t="s">
        <v>722</v>
      </c>
      <c r="B718">
        <v>0.99996721820229495</v>
      </c>
      <c r="C718">
        <v>1.18819152259274</v>
      </c>
      <c r="D718">
        <v>1.1362156565017001</v>
      </c>
      <c r="E718">
        <v>0.79597247917242997</v>
      </c>
      <c r="F718">
        <v>0.87994490650374202</v>
      </c>
      <c r="G718">
        <v>0.68969427136899697</v>
      </c>
      <c r="H718">
        <v>0.336138304706595</v>
      </c>
      <c r="I718">
        <v>0.16889381061791101</v>
      </c>
      <c r="J718">
        <v>7.9134798331286602E-2</v>
      </c>
      <c r="K718">
        <v>6.5431888668702004E-2</v>
      </c>
      <c r="L718">
        <v>1066.8640630360901</v>
      </c>
      <c r="M718">
        <v>18.133406488784999</v>
      </c>
      <c r="N718">
        <v>58.834178644440797</v>
      </c>
      <c r="O718">
        <v>58.132659018036499</v>
      </c>
      <c r="P718">
        <v>-7.7986609385871694E-2</v>
      </c>
      <c r="Q718">
        <v>0</v>
      </c>
      <c r="R718">
        <v>0.94958581172839096</v>
      </c>
      <c r="S718" t="s">
        <v>6544</v>
      </c>
      <c r="T718" t="s">
        <v>11650</v>
      </c>
      <c r="U718" t="s">
        <v>11650</v>
      </c>
      <c r="V718" t="s">
        <v>11650</v>
      </c>
      <c r="W718" t="s">
        <v>12356</v>
      </c>
      <c r="X718">
        <v>1</v>
      </c>
      <c r="Y718" t="s">
        <v>18116</v>
      </c>
      <c r="Z718" t="s">
        <v>23780</v>
      </c>
      <c r="AA718">
        <v>0.6386903821924742</v>
      </c>
      <c r="AB718" t="str">
        <f>HYPERLINK("Melting_Curves/meltCurve_F8W8R3_POLD2.pdf", "Melting_Curves/meltCurve_F8W8R3_POLD2.pdf")</f>
        <v>Melting_Curves/meltCurve_F8W8R3_POLD2.pdf</v>
      </c>
    </row>
    <row r="719" spans="1:28" x14ac:dyDescent="0.25">
      <c r="A719" t="s">
        <v>723</v>
      </c>
      <c r="B719">
        <v>0.99996721820229495</v>
      </c>
      <c r="C719">
        <v>0.86762209324673101</v>
      </c>
      <c r="D719">
        <v>0.94655830809268204</v>
      </c>
      <c r="E719">
        <v>1.1756151580891701</v>
      </c>
      <c r="F719">
        <v>1.0309286165429199</v>
      </c>
      <c r="G719">
        <v>0.84222348259457003</v>
      </c>
      <c r="H719">
        <v>0.64440208478479299</v>
      </c>
      <c r="I719">
        <v>0.48022948726248399</v>
      </c>
      <c r="J719">
        <v>0.26456204413685303</v>
      </c>
      <c r="K719">
        <v>0.21459641065689999</v>
      </c>
      <c r="L719">
        <v>1284.5537040848999</v>
      </c>
      <c r="M719">
        <v>20.637906120003102</v>
      </c>
      <c r="N719">
        <v>63.146682282059402</v>
      </c>
      <c r="O719">
        <v>61.666890188987097</v>
      </c>
      <c r="P719">
        <v>-7.2965528519407102E-2</v>
      </c>
      <c r="Q719">
        <v>0.127929394593575</v>
      </c>
      <c r="R719">
        <v>0.93917305427976905</v>
      </c>
      <c r="S719" t="s">
        <v>6545</v>
      </c>
      <c r="T719" t="s">
        <v>11650</v>
      </c>
      <c r="U719" t="s">
        <v>11650</v>
      </c>
      <c r="V719" t="s">
        <v>11650</v>
      </c>
      <c r="W719" t="s">
        <v>12357</v>
      </c>
      <c r="X719">
        <v>1</v>
      </c>
      <c r="Y719" t="s">
        <v>18117</v>
      </c>
      <c r="Z719" t="s">
        <v>23781</v>
      </c>
      <c r="AA719">
        <v>0.77678054135168495</v>
      </c>
      <c r="AB719" t="str">
        <f>HYPERLINK("Melting_Curves/meltCurve_F8W921_SCAP.pdf", "Melting_Curves/meltCurve_F8W921_SCAP.pdf")</f>
        <v>Melting_Curves/meltCurve_F8W921_SCAP.pdf</v>
      </c>
    </row>
    <row r="720" spans="1:28" x14ac:dyDescent="0.25">
      <c r="A720" t="s">
        <v>724</v>
      </c>
      <c r="B720">
        <v>0.99996721820229495</v>
      </c>
      <c r="C720">
        <v>1.0455521469578599</v>
      </c>
      <c r="D720">
        <v>1.0887465019092299</v>
      </c>
      <c r="E720">
        <v>1.1555051679005901</v>
      </c>
      <c r="F720">
        <v>1.0074766656301499</v>
      </c>
      <c r="G720">
        <v>0.87089595614462001</v>
      </c>
      <c r="H720">
        <v>0.434575109630015</v>
      </c>
      <c r="I720">
        <v>0.39061476133965101</v>
      </c>
      <c r="J720">
        <v>0.29566460474221701</v>
      </c>
      <c r="K720">
        <v>0.24566929429829601</v>
      </c>
      <c r="L720">
        <v>2248.74951826287</v>
      </c>
      <c r="M720">
        <v>38.009399189405102</v>
      </c>
      <c r="N720">
        <v>60.526598997788902</v>
      </c>
      <c r="O720">
        <v>58.999952557479403</v>
      </c>
      <c r="P720">
        <v>-0.114731002331549</v>
      </c>
      <c r="Q720">
        <v>0.28763892527460999</v>
      </c>
      <c r="R720">
        <v>0.96546547182118203</v>
      </c>
      <c r="S720" t="s">
        <v>6546</v>
      </c>
      <c r="T720" t="s">
        <v>11650</v>
      </c>
      <c r="U720" t="s">
        <v>11650</v>
      </c>
      <c r="V720" t="s">
        <v>11650</v>
      </c>
      <c r="W720" t="s">
        <v>12358</v>
      </c>
      <c r="X720">
        <v>2</v>
      </c>
      <c r="Y720" t="s">
        <v>18118</v>
      </c>
      <c r="Z720" t="s">
        <v>23782</v>
      </c>
      <c r="AA720">
        <v>0.74574776232660878</v>
      </c>
      <c r="AB720" t="str">
        <f>HYPERLINK("Melting_Curves/meltCurve_F8W930_IGF2BP2.pdf", "Melting_Curves/meltCurve_F8W930_IGF2BP2.pdf")</f>
        <v>Melting_Curves/meltCurve_F8W930_IGF2BP2.pdf</v>
      </c>
    </row>
    <row r="721" spans="1:28" x14ac:dyDescent="0.25">
      <c r="A721" t="s">
        <v>725</v>
      </c>
      <c r="B721">
        <v>0.99996721820229495</v>
      </c>
      <c r="C721">
        <v>1.0038230209980901</v>
      </c>
      <c r="D721">
        <v>0.94133385733624297</v>
      </c>
      <c r="E721">
        <v>0.82633130801143095</v>
      </c>
      <c r="F721">
        <v>0.29429743534541403</v>
      </c>
      <c r="G721">
        <v>0.16113956279302299</v>
      </c>
      <c r="H721">
        <v>4.2708357844001302E-2</v>
      </c>
      <c r="I721">
        <v>0.18065416375417501</v>
      </c>
      <c r="J721">
        <v>0</v>
      </c>
      <c r="K721">
        <v>0</v>
      </c>
      <c r="L721">
        <v>2123.4907590514599</v>
      </c>
      <c r="M721">
        <v>41.105028328675097</v>
      </c>
      <c r="N721">
        <v>51.850648108716797</v>
      </c>
      <c r="O721">
        <v>51.538302172260401</v>
      </c>
      <c r="P721">
        <v>-0.18541493099151801</v>
      </c>
      <c r="Q721">
        <v>7.0094012618245702E-2</v>
      </c>
      <c r="R721">
        <v>0.98200196969425102</v>
      </c>
      <c r="S721" t="s">
        <v>6547</v>
      </c>
      <c r="T721" t="s">
        <v>11650</v>
      </c>
      <c r="U721" t="s">
        <v>11650</v>
      </c>
      <c r="V721" t="s">
        <v>11650</v>
      </c>
      <c r="W721" t="s">
        <v>12359</v>
      </c>
      <c r="X721">
        <v>1</v>
      </c>
      <c r="Y721" t="s">
        <v>18119</v>
      </c>
      <c r="Z721" t="s">
        <v>23783</v>
      </c>
      <c r="AA721">
        <v>0.43466364884452552</v>
      </c>
      <c r="AB721" t="str">
        <f>HYPERLINK("Melting_Curves/meltCurve_F8W9B4_RFC5.pdf", "Melting_Curves/meltCurve_F8W9B4_RFC5.pdf")</f>
        <v>Melting_Curves/meltCurve_F8W9B4_RFC5.pdf</v>
      </c>
    </row>
    <row r="722" spans="1:28" x14ac:dyDescent="0.25">
      <c r="A722" t="s">
        <v>726</v>
      </c>
      <c r="B722">
        <v>0.99996721820229495</v>
      </c>
      <c r="C722">
        <v>1.1228133066264101</v>
      </c>
      <c r="D722">
        <v>1.1402922623756699</v>
      </c>
      <c r="E722">
        <v>1.1906977942294901</v>
      </c>
      <c r="F722">
        <v>1.8612589366024399</v>
      </c>
      <c r="G722">
        <v>2.7363315872871401</v>
      </c>
      <c r="H722">
        <v>2.3977425593791502</v>
      </c>
      <c r="I722">
        <v>1.5730703010179701</v>
      </c>
      <c r="J722">
        <v>1.33798101319957</v>
      </c>
      <c r="K722">
        <v>1.15793302473598</v>
      </c>
      <c r="L722">
        <v>12524.180752349001</v>
      </c>
      <c r="M722">
        <v>250</v>
      </c>
      <c r="O722">
        <v>50.093516485000499</v>
      </c>
      <c r="P722">
        <v>0.62383321861963004</v>
      </c>
      <c r="Q722">
        <v>1.5</v>
      </c>
      <c r="R722">
        <v>0.173451525591268</v>
      </c>
      <c r="S722" t="s">
        <v>6548</v>
      </c>
      <c r="T722" t="s">
        <v>11650</v>
      </c>
      <c r="U722" t="s">
        <v>11650</v>
      </c>
      <c r="V722" t="s">
        <v>11650</v>
      </c>
      <c r="W722" t="s">
        <v>12360</v>
      </c>
      <c r="X722">
        <v>2</v>
      </c>
      <c r="Y722" t="s">
        <v>18120</v>
      </c>
      <c r="Z722" t="s">
        <v>23784</v>
      </c>
      <c r="AA722">
        <v>1.3316773236921311</v>
      </c>
      <c r="AB722" t="str">
        <f>HYPERLINK("Melting_Curves/meltCurve_F8W9E3_NRG1.pdf", "Melting_Curves/meltCurve_F8W9E3_NRG1.pdf")</f>
        <v>Melting_Curves/meltCurve_F8W9E3_NRG1.pdf</v>
      </c>
    </row>
    <row r="723" spans="1:28" x14ac:dyDescent="0.25">
      <c r="A723" t="s">
        <v>727</v>
      </c>
      <c r="B723">
        <v>0.99996721820229495</v>
      </c>
      <c r="C723">
        <v>0.89669768709069098</v>
      </c>
      <c r="D723">
        <v>0.749986121186209</v>
      </c>
      <c r="E723">
        <v>0.45821328368423597</v>
      </c>
      <c r="F723">
        <v>0.53351233740296999</v>
      </c>
      <c r="G723">
        <v>0.44667063950352398</v>
      </c>
      <c r="H723">
        <v>0.30211427583186301</v>
      </c>
      <c r="I723">
        <v>4.7460364320597997E-2</v>
      </c>
      <c r="J723">
        <v>0</v>
      </c>
      <c r="K723">
        <v>0</v>
      </c>
      <c r="L723">
        <v>493.88294735886302</v>
      </c>
      <c r="M723">
        <v>9.4762312900140202</v>
      </c>
      <c r="N723">
        <v>52.118071625622299</v>
      </c>
      <c r="O723">
        <v>49.955373762249103</v>
      </c>
      <c r="P723">
        <v>-4.7451802269337699E-2</v>
      </c>
      <c r="Q723">
        <v>0</v>
      </c>
      <c r="R723">
        <v>0.92680920958608703</v>
      </c>
      <c r="S723" t="s">
        <v>6549</v>
      </c>
      <c r="T723" t="s">
        <v>11650</v>
      </c>
      <c r="U723" t="s">
        <v>11650</v>
      </c>
      <c r="V723" t="s">
        <v>11650</v>
      </c>
      <c r="W723" t="s">
        <v>12361</v>
      </c>
      <c r="X723">
        <v>1</v>
      </c>
      <c r="Y723" t="s">
        <v>18121</v>
      </c>
      <c r="Z723" t="s">
        <v>23785</v>
      </c>
      <c r="AA723">
        <v>0.44361515541952729</v>
      </c>
      <c r="AB723" t="str">
        <f>HYPERLINK("Melting_Curves/meltCurve_F8W9W2_GRK6.pdf", "Melting_Curves/meltCurve_F8W9W2_GRK6.pdf")</f>
        <v>Melting_Curves/meltCurve_F8W9W2_GRK6.pdf</v>
      </c>
    </row>
    <row r="724" spans="1:28" x14ac:dyDescent="0.25">
      <c r="A724" t="s">
        <v>728</v>
      </c>
      <c r="B724">
        <v>0.99996721820229495</v>
      </c>
      <c r="C724">
        <v>0.984715506087399</v>
      </c>
      <c r="D724">
        <v>0.75281417909510095</v>
      </c>
      <c r="E724">
        <v>0.45663299238296501</v>
      </c>
      <c r="F724">
        <v>0.39368525242088098</v>
      </c>
      <c r="G724">
        <v>0.31979766371158502</v>
      </c>
      <c r="H724">
        <v>0.209187103668658</v>
      </c>
      <c r="I724">
        <v>0.154301769656673</v>
      </c>
      <c r="J724">
        <v>0.130459015946844</v>
      </c>
      <c r="K724">
        <v>0.105537938694935</v>
      </c>
      <c r="L724">
        <v>693.17021118263995</v>
      </c>
      <c r="M724">
        <v>14.0344280213634</v>
      </c>
      <c r="N724">
        <v>50.473731832914197</v>
      </c>
      <c r="O724">
        <v>48.4203433558719</v>
      </c>
      <c r="P724">
        <v>-6.3048726717055303E-2</v>
      </c>
      <c r="Q724">
        <v>0.130013439805127</v>
      </c>
      <c r="R724">
        <v>0.98039644342657195</v>
      </c>
      <c r="S724" t="s">
        <v>6550</v>
      </c>
      <c r="T724" t="s">
        <v>11650</v>
      </c>
      <c r="U724" t="s">
        <v>11650</v>
      </c>
      <c r="V724" t="s">
        <v>11650</v>
      </c>
      <c r="W724" t="s">
        <v>12362</v>
      </c>
      <c r="X724">
        <v>14</v>
      </c>
      <c r="Y724" t="s">
        <v>18122</v>
      </c>
      <c r="Z724" t="s">
        <v>23786</v>
      </c>
      <c r="AA724">
        <v>0.42622440712988302</v>
      </c>
      <c r="AB724" t="str">
        <f>HYPERLINK("Melting_Curves/meltCurve_F8WA11_CLASP1.pdf", "Melting_Curves/meltCurve_F8WA11_CLASP1.pdf")</f>
        <v>Melting_Curves/meltCurve_F8WA11_CLASP1.pdf</v>
      </c>
    </row>
    <row r="725" spans="1:28" x14ac:dyDescent="0.25">
      <c r="A725" t="s">
        <v>729</v>
      </c>
      <c r="B725">
        <v>0.99996721820229495</v>
      </c>
      <c r="C725">
        <v>0.91404805975210401</v>
      </c>
      <c r="D725">
        <v>0.77327322136269205</v>
      </c>
      <c r="E725">
        <v>0.54466184951877605</v>
      </c>
      <c r="F725">
        <v>0.410237138783203</v>
      </c>
      <c r="G725">
        <v>0.37482049383458599</v>
      </c>
      <c r="H725">
        <v>0.24396769789488201</v>
      </c>
      <c r="I725">
        <v>0.14135734105780001</v>
      </c>
      <c r="J725">
        <v>0.125455652948924</v>
      </c>
      <c r="K725">
        <v>7.6984704220447495E-2</v>
      </c>
      <c r="L725">
        <v>517.13877495797306</v>
      </c>
      <c r="M725">
        <v>10.061875000327801</v>
      </c>
      <c r="N725">
        <v>51.876204453055003</v>
      </c>
      <c r="O725">
        <v>49.489570498752002</v>
      </c>
      <c r="P725">
        <v>-4.8590545258501303E-2</v>
      </c>
      <c r="Q725">
        <v>4.4478963954651403E-2</v>
      </c>
      <c r="R725">
        <v>0.985608660665377</v>
      </c>
      <c r="S725" t="s">
        <v>6551</v>
      </c>
      <c r="T725" t="s">
        <v>11650</v>
      </c>
      <c r="U725" t="s">
        <v>11650</v>
      </c>
      <c r="V725" t="s">
        <v>11650</v>
      </c>
      <c r="W725" t="s">
        <v>12363</v>
      </c>
      <c r="X725">
        <v>5</v>
      </c>
      <c r="Y725" t="s">
        <v>18123</v>
      </c>
      <c r="Z725" t="s">
        <v>23787</v>
      </c>
      <c r="AA725">
        <v>0.44554489643237982</v>
      </c>
      <c r="AB725" t="str">
        <f>HYPERLINK("Melting_Curves/meltCurve_F8WA39_MTMR1.pdf", "Melting_Curves/meltCurve_F8WA39_MTMR1.pdf")</f>
        <v>Melting_Curves/meltCurve_F8WA39_MTMR1.pdf</v>
      </c>
    </row>
    <row r="726" spans="1:28" x14ac:dyDescent="0.25">
      <c r="A726" t="s">
        <v>730</v>
      </c>
      <c r="B726">
        <v>0.99996721820229495</v>
      </c>
      <c r="C726">
        <v>0.49866221518156301</v>
      </c>
      <c r="D726">
        <v>0.35287278123460197</v>
      </c>
      <c r="E726">
        <v>0.29037947169783601</v>
      </c>
      <c r="F726">
        <v>0.321558994589903</v>
      </c>
      <c r="G726">
        <v>0.18215354478835699</v>
      </c>
      <c r="H726">
        <v>0.13578378527489701</v>
      </c>
      <c r="I726">
        <v>0.102666589830351</v>
      </c>
      <c r="J726">
        <v>9.1982661063959401E-2</v>
      </c>
      <c r="K726">
        <v>8.0370315583705096E-2</v>
      </c>
      <c r="L726">
        <v>904.48731662202999</v>
      </c>
      <c r="M726">
        <v>20.945102272431502</v>
      </c>
      <c r="N726">
        <v>43.980711206706999</v>
      </c>
      <c r="O726">
        <v>42.7958567312957</v>
      </c>
      <c r="P726">
        <v>-0.103035561000047</v>
      </c>
      <c r="Q726">
        <v>0.15791772060529699</v>
      </c>
      <c r="R726">
        <v>0.89548726504481302</v>
      </c>
      <c r="S726" t="s">
        <v>6552</v>
      </c>
      <c r="T726" t="s">
        <v>11650</v>
      </c>
      <c r="U726" t="s">
        <v>11650</v>
      </c>
      <c r="V726" t="s">
        <v>11650</v>
      </c>
      <c r="W726" t="s">
        <v>12364</v>
      </c>
      <c r="X726">
        <v>1</v>
      </c>
      <c r="Y726" t="s">
        <v>18124</v>
      </c>
      <c r="Z726" t="s">
        <v>23788</v>
      </c>
      <c r="AA726">
        <v>0.26450852640287958</v>
      </c>
      <c r="AB726" t="str">
        <f>HYPERLINK("Melting_Curves/meltCurve_F8WB74_SEPW1.pdf", "Melting_Curves/meltCurve_F8WB74_SEPW1.pdf")</f>
        <v>Melting_Curves/meltCurve_F8WB74_SEPW1.pdf</v>
      </c>
    </row>
    <row r="727" spans="1:28" x14ac:dyDescent="0.25">
      <c r="A727" t="s">
        <v>731</v>
      </c>
      <c r="B727">
        <v>0.99996721820229495</v>
      </c>
      <c r="C727">
        <v>1.0025159880488901</v>
      </c>
      <c r="D727">
        <v>1.0180657175117001</v>
      </c>
      <c r="E727">
        <v>1.2100952932939899</v>
      </c>
      <c r="F727">
        <v>1.1321708729173201</v>
      </c>
      <c r="G727">
        <v>1.52443295979966</v>
      </c>
      <c r="H727">
        <v>0.83997801511243098</v>
      </c>
      <c r="I727">
        <v>0.33951840952286799</v>
      </c>
      <c r="J727">
        <v>0.19991788991002299</v>
      </c>
      <c r="K727">
        <v>0.15644953582736601</v>
      </c>
      <c r="L727">
        <v>3953.3595957391599</v>
      </c>
      <c r="M727">
        <v>63.227433538934598</v>
      </c>
      <c r="N727">
        <v>62.9527419576875</v>
      </c>
      <c r="O727">
        <v>62.4635636011432</v>
      </c>
      <c r="P727">
        <v>-0.20895368192966801</v>
      </c>
      <c r="Q727">
        <v>0.17428333507072399</v>
      </c>
      <c r="R727">
        <v>0.821306031772849</v>
      </c>
      <c r="S727" t="s">
        <v>6553</v>
      </c>
      <c r="T727" t="s">
        <v>11650</v>
      </c>
      <c r="U727" t="s">
        <v>11650</v>
      </c>
      <c r="V727" t="s">
        <v>11650</v>
      </c>
      <c r="W727" t="s">
        <v>12365</v>
      </c>
      <c r="X727">
        <v>1</v>
      </c>
      <c r="Y727" t="s">
        <v>18125</v>
      </c>
      <c r="Z727" t="s">
        <v>23789</v>
      </c>
      <c r="AA727">
        <v>0.79566672525618287</v>
      </c>
      <c r="AB727" t="str">
        <f>HYPERLINK("Melting_Curves/meltCurve_F8WBS5_RPL35A.pdf", "Melting_Curves/meltCurve_F8WBS5_RPL35A.pdf")</f>
        <v>Melting_Curves/meltCurve_F8WBS5_RPL35A.pdf</v>
      </c>
    </row>
    <row r="728" spans="1:28" x14ac:dyDescent="0.25">
      <c r="A728" t="s">
        <v>732</v>
      </c>
      <c r="B728">
        <v>0.99996721820229495</v>
      </c>
      <c r="C728">
        <v>0.76111260732748398</v>
      </c>
      <c r="D728">
        <v>0.64240420435780998</v>
      </c>
      <c r="E728">
        <v>0.77459465357232304</v>
      </c>
      <c r="F728">
        <v>0.348902070889133</v>
      </c>
      <c r="G728">
        <v>0.22703537779080901</v>
      </c>
      <c r="H728">
        <v>0.187192187447144</v>
      </c>
      <c r="I728">
        <v>0.14377256059194701</v>
      </c>
      <c r="J728">
        <v>9.3328143752221801E-2</v>
      </c>
      <c r="K728">
        <v>0.10086548005578</v>
      </c>
      <c r="L728">
        <v>465.05759030774402</v>
      </c>
      <c r="M728">
        <v>9.0814266953534499</v>
      </c>
      <c r="N728">
        <v>51.209738253537303</v>
      </c>
      <c r="O728">
        <v>48.909783150256501</v>
      </c>
      <c r="P728">
        <v>-4.6451855510852999E-2</v>
      </c>
      <c r="Q728">
        <v>0</v>
      </c>
      <c r="R728">
        <v>0.92021130675192198</v>
      </c>
      <c r="S728" t="s">
        <v>6554</v>
      </c>
      <c r="T728" t="s">
        <v>11650</v>
      </c>
      <c r="U728" t="s">
        <v>11650</v>
      </c>
      <c r="V728" t="s">
        <v>11650</v>
      </c>
      <c r="W728" t="s">
        <v>12366</v>
      </c>
      <c r="X728">
        <v>2</v>
      </c>
      <c r="Y728" t="s">
        <v>18126</v>
      </c>
      <c r="Z728" t="s">
        <v>23790</v>
      </c>
      <c r="AA728">
        <v>0.41930056572637192</v>
      </c>
      <c r="AB728" t="str">
        <f>HYPERLINK("Melting_Curves/meltCurve_F8WC68_DOM3Z.pdf", "Melting_Curves/meltCurve_F8WC68_DOM3Z.pdf")</f>
        <v>Melting_Curves/meltCurve_F8WC68_DOM3Z.pdf</v>
      </c>
    </row>
    <row r="729" spans="1:28" x14ac:dyDescent="0.25">
      <c r="A729" t="s">
        <v>733</v>
      </c>
      <c r="B729">
        <v>0.99996721820229495</v>
      </c>
      <c r="C729">
        <v>1.14097226055625</v>
      </c>
      <c r="D729">
        <v>1.3374608748618</v>
      </c>
      <c r="E729">
        <v>1.0094981461505099</v>
      </c>
      <c r="F729">
        <v>0.49810084295173301</v>
      </c>
      <c r="G729">
        <v>0.434833444654808</v>
      </c>
      <c r="H729">
        <v>0.22574339305926699</v>
      </c>
      <c r="I729">
        <v>0.152917445406689</v>
      </c>
      <c r="J729">
        <v>0.104711564329439</v>
      </c>
      <c r="K729">
        <v>8.8639536263742102E-2</v>
      </c>
      <c r="L729">
        <v>1334.1511703758299</v>
      </c>
      <c r="M729">
        <v>24.733127249380299</v>
      </c>
      <c r="N729">
        <v>54.644398275328797</v>
      </c>
      <c r="O729">
        <v>53.592957609711199</v>
      </c>
      <c r="P729">
        <v>-9.9663401390069795E-2</v>
      </c>
      <c r="Q729">
        <v>0.13618999497680001</v>
      </c>
      <c r="R729">
        <v>0.90117790235614603</v>
      </c>
      <c r="S729" t="s">
        <v>6555</v>
      </c>
      <c r="T729" t="s">
        <v>11650</v>
      </c>
      <c r="U729" t="s">
        <v>11650</v>
      </c>
      <c r="V729" t="s">
        <v>11650</v>
      </c>
      <c r="W729" t="s">
        <v>12367</v>
      </c>
      <c r="X729">
        <v>6</v>
      </c>
      <c r="Y729" t="s">
        <v>18127</v>
      </c>
      <c r="Z729" t="s">
        <v>23791</v>
      </c>
      <c r="AA729">
        <v>0.54577741824529868</v>
      </c>
      <c r="AB729" t="str">
        <f>HYPERLINK("Melting_Curves/meltCurve_F8WD04_ATL1.pdf", "Melting_Curves/meltCurve_F8WD04_ATL1.pdf")</f>
        <v>Melting_Curves/meltCurve_F8WD04_ATL1.pdf</v>
      </c>
    </row>
    <row r="730" spans="1:28" x14ac:dyDescent="0.25">
      <c r="A730" t="s">
        <v>734</v>
      </c>
      <c r="B730">
        <v>0.99996721820229495</v>
      </c>
      <c r="C730">
        <v>0.93203079357042196</v>
      </c>
      <c r="D730">
        <v>0.67979467453194697</v>
      </c>
      <c r="E730">
        <v>0.62347867614655605</v>
      </c>
      <c r="F730">
        <v>0.51147454688069804</v>
      </c>
      <c r="G730">
        <v>0.46313611757053402</v>
      </c>
      <c r="H730">
        <v>0.27086190596533699</v>
      </c>
      <c r="I730">
        <v>0.28767601188835001</v>
      </c>
      <c r="J730">
        <v>0.35367374382671601</v>
      </c>
      <c r="K730">
        <v>0.26530535662724802</v>
      </c>
      <c r="L730">
        <v>537.96289945775504</v>
      </c>
      <c r="M730">
        <v>10.8672490223703</v>
      </c>
      <c r="N730">
        <v>52.989343919261103</v>
      </c>
      <c r="O730">
        <v>47.915338064869097</v>
      </c>
      <c r="P730">
        <v>-4.22341470641465E-2</v>
      </c>
      <c r="Q730">
        <v>0.255396386299515</v>
      </c>
      <c r="R730">
        <v>0.95711473758012</v>
      </c>
      <c r="S730" t="s">
        <v>6556</v>
      </c>
      <c r="T730" t="s">
        <v>11650</v>
      </c>
      <c r="U730" t="s">
        <v>11650</v>
      </c>
      <c r="V730" t="s">
        <v>11650</v>
      </c>
      <c r="W730" t="s">
        <v>12368</v>
      </c>
      <c r="X730">
        <v>1</v>
      </c>
      <c r="Y730" t="s">
        <v>18128</v>
      </c>
      <c r="Z730" t="s">
        <v>23792</v>
      </c>
      <c r="AA730">
        <v>0.52226889099810303</v>
      </c>
      <c r="AB730" t="str">
        <f>HYPERLINK("Melting_Curves/meltCurve_F8WDA4_PHC3.pdf", "Melting_Curves/meltCurve_F8WDA4_PHC3.pdf")</f>
        <v>Melting_Curves/meltCurve_F8WDA4_PHC3.pdf</v>
      </c>
    </row>
    <row r="731" spans="1:28" x14ac:dyDescent="0.25">
      <c r="A731" t="s">
        <v>735</v>
      </c>
      <c r="B731">
        <v>0.99996721820229495</v>
      </c>
      <c r="C731">
        <v>1.1228133084132801</v>
      </c>
      <c r="D731">
        <v>1.30095169964377</v>
      </c>
      <c r="E731">
        <v>1.15135709309821</v>
      </c>
      <c r="F731">
        <v>1.36475128165176</v>
      </c>
      <c r="G731">
        <v>2.1613492950037001</v>
      </c>
      <c r="H731">
        <v>1.49373172404154</v>
      </c>
      <c r="I731">
        <v>1.2058718365789101</v>
      </c>
      <c r="J731">
        <v>1.2919965749050799</v>
      </c>
      <c r="K731">
        <v>0.63403726053783505</v>
      </c>
      <c r="L731">
        <v>15000</v>
      </c>
      <c r="M731">
        <v>213.73592499385501</v>
      </c>
      <c r="Q731">
        <v>0</v>
      </c>
      <c r="R731">
        <v>-0.44431266243386702</v>
      </c>
      <c r="S731" t="s">
        <v>6557</v>
      </c>
      <c r="T731" t="s">
        <v>11650</v>
      </c>
      <c r="U731" t="s">
        <v>11650</v>
      </c>
      <c r="V731" t="s">
        <v>11650</v>
      </c>
      <c r="W731" t="s">
        <v>12369</v>
      </c>
      <c r="X731">
        <v>2</v>
      </c>
      <c r="Y731" t="s">
        <v>18129</v>
      </c>
      <c r="Z731" t="s">
        <v>23793</v>
      </c>
      <c r="AA731">
        <v>0.99509043680997789</v>
      </c>
      <c r="AB731" t="str">
        <f>HYPERLINK("Melting_Curves/meltCurve_F8WE91_DNMT3A.pdf", "Melting_Curves/meltCurve_F8WE91_DNMT3A.pdf")</f>
        <v>Melting_Curves/meltCurve_F8WE91_DNMT3A.pdf</v>
      </c>
    </row>
    <row r="732" spans="1:28" x14ac:dyDescent="0.25">
      <c r="A732" t="s">
        <v>736</v>
      </c>
      <c r="B732">
        <v>0.99996721820229495</v>
      </c>
      <c r="C732">
        <v>1.12277561402086</v>
      </c>
      <c r="D732">
        <v>1.0101284505763699</v>
      </c>
      <c r="E732">
        <v>0.75959842743691997</v>
      </c>
      <c r="F732">
        <v>0.58130295619142303</v>
      </c>
      <c r="G732">
        <v>0.47017317456341701</v>
      </c>
      <c r="H732">
        <v>0.28286976177929901</v>
      </c>
      <c r="I732">
        <v>0.19315581664253301</v>
      </c>
      <c r="J732">
        <v>0.139561348964205</v>
      </c>
      <c r="K732">
        <v>0.109312542878598</v>
      </c>
      <c r="L732">
        <v>757.20228273563998</v>
      </c>
      <c r="M732">
        <v>13.8438501539064</v>
      </c>
      <c r="N732">
        <v>55.434634263398401</v>
      </c>
      <c r="O732">
        <v>53.592548820999198</v>
      </c>
      <c r="P732">
        <v>-5.9147802092398498E-2</v>
      </c>
      <c r="Q732">
        <v>8.4230689844926404E-2</v>
      </c>
      <c r="R732">
        <v>0.97412342133936103</v>
      </c>
      <c r="S732" t="s">
        <v>6558</v>
      </c>
      <c r="T732" t="s">
        <v>11650</v>
      </c>
      <c r="U732" t="s">
        <v>11650</v>
      </c>
      <c r="V732" t="s">
        <v>11650</v>
      </c>
      <c r="W732" t="s">
        <v>12370</v>
      </c>
      <c r="X732">
        <v>6</v>
      </c>
      <c r="Y732" t="s">
        <v>18130</v>
      </c>
      <c r="Z732" t="s">
        <v>23794</v>
      </c>
      <c r="AA732">
        <v>0.55245727534084799</v>
      </c>
      <c r="AB732" t="str">
        <f>HYPERLINK("Melting_Curves/meltCurve_F8WEC0_MMADHC.pdf", "Melting_Curves/meltCurve_F8WEC0_MMADHC.pdf")</f>
        <v>Melting_Curves/meltCurve_F8WEC0_MMADHC.pdf</v>
      </c>
    </row>
    <row r="733" spans="1:28" x14ac:dyDescent="0.25">
      <c r="A733" t="s">
        <v>737</v>
      </c>
      <c r="B733">
        <v>0.99996721820229495</v>
      </c>
      <c r="C733">
        <v>0.76414094207868799</v>
      </c>
      <c r="D733">
        <v>0.91830542493046996</v>
      </c>
      <c r="E733">
        <v>0.91269736145205804</v>
      </c>
      <c r="F733">
        <v>0.78844093480892596</v>
      </c>
      <c r="G733">
        <v>0.70208660291216596</v>
      </c>
      <c r="H733">
        <v>0.418696797276641</v>
      </c>
      <c r="I733">
        <v>0.277715289822897</v>
      </c>
      <c r="J733">
        <v>0.20910384967470599</v>
      </c>
      <c r="K733">
        <v>0.191917098367623</v>
      </c>
      <c r="L733">
        <v>654.81547320073503</v>
      </c>
      <c r="M733">
        <v>10.981550561457899</v>
      </c>
      <c r="N733">
        <v>59.6286899263973</v>
      </c>
      <c r="O733">
        <v>57.753681940910397</v>
      </c>
      <c r="P733">
        <v>-4.75522912131617E-2</v>
      </c>
      <c r="Q733">
        <v>0</v>
      </c>
      <c r="R733">
        <v>0.93053578935826997</v>
      </c>
      <c r="S733" t="s">
        <v>6559</v>
      </c>
      <c r="T733" t="s">
        <v>11650</v>
      </c>
      <c r="U733" t="s">
        <v>11650</v>
      </c>
      <c r="V733" t="s">
        <v>11650</v>
      </c>
      <c r="W733" t="s">
        <v>12371</v>
      </c>
      <c r="X733">
        <v>7</v>
      </c>
      <c r="Y733" t="s">
        <v>18131</v>
      </c>
      <c r="Z733" t="s">
        <v>23795</v>
      </c>
      <c r="AA733">
        <v>0.65634691646085097</v>
      </c>
      <c r="AB733" t="str">
        <f>HYPERLINK("Melting_Curves/meltCurve_F8WF48_SEC62.pdf", "Melting_Curves/meltCurve_F8WF48_SEC62.pdf")</f>
        <v>Melting_Curves/meltCurve_F8WF48_SEC62.pdf</v>
      </c>
    </row>
    <row r="734" spans="1:28" x14ac:dyDescent="0.25">
      <c r="A734" t="s">
        <v>738</v>
      </c>
      <c r="B734">
        <v>0.99996721820229495</v>
      </c>
      <c r="C734">
        <v>1.06104191163697</v>
      </c>
      <c r="D734">
        <v>1.04691893270207</v>
      </c>
      <c r="E734">
        <v>1.3213281496373499</v>
      </c>
      <c r="F734">
        <v>1.4405566893170301</v>
      </c>
      <c r="G734">
        <v>0.82927751404234695</v>
      </c>
      <c r="H734">
        <v>0.43235113385896401</v>
      </c>
      <c r="I734">
        <v>0.37359472312292102</v>
      </c>
      <c r="J734">
        <v>0.23413030210545099</v>
      </c>
      <c r="K734">
        <v>0.17456106701322999</v>
      </c>
      <c r="L734">
        <v>2274.9514735133898</v>
      </c>
      <c r="M734">
        <v>38.250913048432302</v>
      </c>
      <c r="N734">
        <v>60.473049651009902</v>
      </c>
      <c r="O734">
        <v>59.312578167543002</v>
      </c>
      <c r="P734">
        <v>-0.12347627084178001</v>
      </c>
      <c r="Q734">
        <v>0.234143476928176</v>
      </c>
      <c r="R734">
        <v>0.82721337762815605</v>
      </c>
      <c r="S734" t="s">
        <v>6560</v>
      </c>
      <c r="T734" t="s">
        <v>11650</v>
      </c>
      <c r="U734" t="s">
        <v>11650</v>
      </c>
      <c r="V734" t="s">
        <v>11650</v>
      </c>
      <c r="W734" t="s">
        <v>12372</v>
      </c>
      <c r="X734">
        <v>7</v>
      </c>
      <c r="Y734" t="s">
        <v>18132</v>
      </c>
      <c r="Z734" t="s">
        <v>23796</v>
      </c>
      <c r="AA734">
        <v>0.73455813039854734</v>
      </c>
      <c r="AB734" t="str">
        <f>HYPERLINK("Melting_Curves/meltCurve_F8WJN3_CPSF6.pdf", "Melting_Curves/meltCurve_F8WJN3_CPSF6.pdf")</f>
        <v>Melting_Curves/meltCurve_F8WJN3_CPSF6.pdf</v>
      </c>
    </row>
    <row r="735" spans="1:28" x14ac:dyDescent="0.25">
      <c r="A735" t="s">
        <v>739</v>
      </c>
      <c r="B735">
        <v>0.99996721820229495</v>
      </c>
      <c r="C735">
        <v>1.06579705571512</v>
      </c>
      <c r="D735">
        <v>1.16059858247005</v>
      </c>
      <c r="E735">
        <v>1.45824688240093</v>
      </c>
      <c r="F735">
        <v>2.3300907641237698</v>
      </c>
      <c r="G735">
        <v>0.96505046366865299</v>
      </c>
      <c r="H735">
        <v>0.35530118016998902</v>
      </c>
      <c r="I735">
        <v>0.22137116072189</v>
      </c>
      <c r="J735">
        <v>0.19063147340077899</v>
      </c>
      <c r="K735">
        <v>0.13488919527493501</v>
      </c>
      <c r="L735">
        <v>4005.4385354016599</v>
      </c>
      <c r="M735">
        <v>66.9342606436268</v>
      </c>
      <c r="N735">
        <v>60.236728802656103</v>
      </c>
      <c r="O735">
        <v>59.788033847368901</v>
      </c>
      <c r="P735">
        <v>-0.230128608485621</v>
      </c>
      <c r="Q735">
        <v>0.17776440140696201</v>
      </c>
      <c r="R735">
        <v>0.53309075314674803</v>
      </c>
      <c r="S735" t="s">
        <v>6561</v>
      </c>
      <c r="T735" t="s">
        <v>11650</v>
      </c>
      <c r="U735" t="s">
        <v>11650</v>
      </c>
      <c r="V735" t="s">
        <v>11650</v>
      </c>
      <c r="W735" t="s">
        <v>12373</v>
      </c>
      <c r="X735">
        <v>15</v>
      </c>
      <c r="Y735" t="s">
        <v>18133</v>
      </c>
      <c r="Z735" t="s">
        <v>23797</v>
      </c>
      <c r="AA735">
        <v>0.72278004138900254</v>
      </c>
      <c r="AB735" t="str">
        <f>HYPERLINK("Melting_Curves/meltCurve_G3V0I5_NDUFV1.pdf", "Melting_Curves/meltCurve_G3V0I5_NDUFV1.pdf")</f>
        <v>Melting_Curves/meltCurve_G3V0I5_NDUFV1.pdf</v>
      </c>
    </row>
    <row r="736" spans="1:28" x14ac:dyDescent="0.25">
      <c r="A736" t="s">
        <v>740</v>
      </c>
      <c r="B736">
        <v>0.99996721820229495</v>
      </c>
      <c r="C736">
        <v>0.95607390244929003</v>
      </c>
      <c r="D736">
        <v>0.79510677758957404</v>
      </c>
      <c r="E736">
        <v>0.38859967029209702</v>
      </c>
      <c r="F736">
        <v>0.31128136617756502</v>
      </c>
      <c r="G736">
        <v>0.25227531768464501</v>
      </c>
      <c r="H736">
        <v>0.16685737556441901</v>
      </c>
      <c r="I736">
        <v>0.114004860087025</v>
      </c>
      <c r="J736">
        <v>7.7312695592095595E-2</v>
      </c>
      <c r="K736">
        <v>6.3485460721826995E-2</v>
      </c>
      <c r="L736">
        <v>850.615910728004</v>
      </c>
      <c r="M736">
        <v>17.431886306613499</v>
      </c>
      <c r="N736">
        <v>49.478114107525798</v>
      </c>
      <c r="O736">
        <v>48.167960647485501</v>
      </c>
      <c r="P736">
        <v>-8.0822186765062795E-2</v>
      </c>
      <c r="Q736">
        <v>0.106735318782877</v>
      </c>
      <c r="R736">
        <v>0.98443841931463705</v>
      </c>
      <c r="S736" t="s">
        <v>6562</v>
      </c>
      <c r="T736" t="s">
        <v>11650</v>
      </c>
      <c r="U736" t="s">
        <v>11650</v>
      </c>
      <c r="V736" t="s">
        <v>11650</v>
      </c>
      <c r="W736" t="s">
        <v>12374</v>
      </c>
      <c r="X736">
        <v>16</v>
      </c>
      <c r="Y736" t="s">
        <v>18134</v>
      </c>
      <c r="Z736" t="s">
        <v>23798</v>
      </c>
      <c r="AA736">
        <v>0.38522339479401418</v>
      </c>
      <c r="AB736" t="str">
        <f>HYPERLINK("Melting_Curves/meltCurve_G3V169_CASP1.pdf", "Melting_Curves/meltCurve_G3V169_CASP1.pdf")</f>
        <v>Melting_Curves/meltCurve_G3V169_CASP1.pdf</v>
      </c>
    </row>
    <row r="737" spans="1:28" x14ac:dyDescent="0.25">
      <c r="A737" t="s">
        <v>741</v>
      </c>
      <c r="B737">
        <v>0.99996721820229495</v>
      </c>
      <c r="C737">
        <v>1.1093936672387701</v>
      </c>
      <c r="D737">
        <v>0.94149883366329001</v>
      </c>
      <c r="E737">
        <v>0.60206966094639403</v>
      </c>
      <c r="F737">
        <v>0.34889192018716902</v>
      </c>
      <c r="G737">
        <v>0.30385416939550502</v>
      </c>
      <c r="H737">
        <v>0.16079204021402599</v>
      </c>
      <c r="I737">
        <v>8.1555728619763401E-2</v>
      </c>
      <c r="J737">
        <v>6.4649918777161197E-2</v>
      </c>
      <c r="K737">
        <v>2.96885427722978E-2</v>
      </c>
      <c r="L737">
        <v>951.13053727971896</v>
      </c>
      <c r="M737">
        <v>18.569403606467699</v>
      </c>
      <c r="N737">
        <v>51.678736541934597</v>
      </c>
      <c r="O737">
        <v>50.637379644917502</v>
      </c>
      <c r="P737">
        <v>-8.4720427267594295E-2</v>
      </c>
      <c r="Q737">
        <v>7.5935160167594995E-2</v>
      </c>
      <c r="R737">
        <v>0.97460113407597804</v>
      </c>
      <c r="S737" t="s">
        <v>6563</v>
      </c>
      <c r="T737" t="s">
        <v>11650</v>
      </c>
      <c r="U737" t="s">
        <v>11650</v>
      </c>
      <c r="V737" t="s">
        <v>11650</v>
      </c>
      <c r="W737" t="s">
        <v>12375</v>
      </c>
      <c r="X737">
        <v>3</v>
      </c>
      <c r="Y737" t="s">
        <v>18135</v>
      </c>
      <c r="Z737" t="s">
        <v>23799</v>
      </c>
      <c r="AA737">
        <v>0.43623069088160321</v>
      </c>
      <c r="AB737" t="str">
        <f>HYPERLINK("Melting_Curves/meltCurve_G3V1A6_GSDMD.pdf", "Melting_Curves/meltCurve_G3V1A6_GSDMD.pdf")</f>
        <v>Melting_Curves/meltCurve_G3V1A6_GSDMD.pdf</v>
      </c>
    </row>
    <row r="738" spans="1:28" x14ac:dyDescent="0.25">
      <c r="A738" t="s">
        <v>742</v>
      </c>
      <c r="B738">
        <v>0.99996721820229495</v>
      </c>
      <c r="C738">
        <v>1.0079294794362701</v>
      </c>
      <c r="D738">
        <v>1.00852387287203</v>
      </c>
      <c r="E738">
        <v>1.0705647660008399</v>
      </c>
      <c r="F738">
        <v>1.66979100510081</v>
      </c>
      <c r="G738">
        <v>1.8178070412202501</v>
      </c>
      <c r="H738">
        <v>1.48356421019993</v>
      </c>
      <c r="I738">
        <v>1.1628552322558601</v>
      </c>
      <c r="J738">
        <v>0.88033708030830704</v>
      </c>
      <c r="K738">
        <v>0.616543447956444</v>
      </c>
      <c r="L738">
        <v>15000</v>
      </c>
      <c r="M738">
        <v>223.08977124382801</v>
      </c>
      <c r="O738">
        <v>67.232127701893901</v>
      </c>
      <c r="P738">
        <v>-0.31814520063575802</v>
      </c>
      <c r="Q738">
        <v>0.61648495257665503</v>
      </c>
      <c r="R738">
        <v>-0.107077817942729</v>
      </c>
      <c r="S738" t="s">
        <v>6564</v>
      </c>
      <c r="T738" t="s">
        <v>11650</v>
      </c>
      <c r="U738" t="s">
        <v>11650</v>
      </c>
      <c r="V738" t="s">
        <v>11650</v>
      </c>
      <c r="W738" t="s">
        <v>12376</v>
      </c>
      <c r="X738">
        <v>3</v>
      </c>
      <c r="Y738" t="s">
        <v>18136</v>
      </c>
      <c r="Z738" t="s">
        <v>23800</v>
      </c>
      <c r="AA738">
        <v>0.96474094410811562</v>
      </c>
      <c r="AB738" t="str">
        <f>HYPERLINK("Melting_Curves/meltCurve_G3V1B5_DSCAML1.pdf", "Melting_Curves/meltCurve_G3V1B5_DSCAML1.pdf")</f>
        <v>Melting_Curves/meltCurve_G3V1B5_DSCAML1.pdf</v>
      </c>
    </row>
    <row r="739" spans="1:28" x14ac:dyDescent="0.25">
      <c r="A739" t="s">
        <v>743</v>
      </c>
      <c r="B739">
        <v>0.99996721820229495</v>
      </c>
      <c r="C739">
        <v>0.97301580786743702</v>
      </c>
      <c r="D739">
        <v>1.17262544812804</v>
      </c>
      <c r="E739">
        <v>2.4266276060918401</v>
      </c>
      <c r="F739">
        <v>2.6073552423664399</v>
      </c>
      <c r="G739">
        <v>5.1148352040534801</v>
      </c>
      <c r="H739">
        <v>3.3033714488997599</v>
      </c>
      <c r="I739">
        <v>1.4591337982964701</v>
      </c>
      <c r="J739">
        <v>0.49929270956453897</v>
      </c>
      <c r="K739">
        <v>1.9497244759110099</v>
      </c>
      <c r="L739">
        <v>11529.439108037001</v>
      </c>
      <c r="M739">
        <v>250</v>
      </c>
      <c r="O739">
        <v>46.114806669930701</v>
      </c>
      <c r="P739">
        <v>0.67765655518884405</v>
      </c>
      <c r="Q739">
        <v>1.5</v>
      </c>
      <c r="R739">
        <v>-0.13927781219136301</v>
      </c>
      <c r="S739" t="s">
        <v>6565</v>
      </c>
      <c r="T739" t="s">
        <v>11650</v>
      </c>
      <c r="U739" t="s">
        <v>11650</v>
      </c>
      <c r="V739" t="s">
        <v>11650</v>
      </c>
      <c r="W739" t="s">
        <v>12377</v>
      </c>
      <c r="X739">
        <v>5</v>
      </c>
      <c r="Y739" t="s">
        <v>18137</v>
      </c>
      <c r="Z739" t="s">
        <v>23801</v>
      </c>
      <c r="AA739">
        <v>1.39799692482514</v>
      </c>
      <c r="AB739" t="str">
        <f>HYPERLINK("Melting_Curves/meltCurve_G3V1B8_SSSCA1.pdf", "Melting_Curves/meltCurve_G3V1B8_SSSCA1.pdf")</f>
        <v>Melting_Curves/meltCurve_G3V1B8_SSSCA1.pdf</v>
      </c>
    </row>
    <row r="740" spans="1:28" x14ac:dyDescent="0.25">
      <c r="A740" t="s">
        <v>744</v>
      </c>
      <c r="B740">
        <v>0.99996721820229495</v>
      </c>
      <c r="C740">
        <v>0.96543392699333597</v>
      </c>
      <c r="D740">
        <v>0.93257406488756101</v>
      </c>
      <c r="E740">
        <v>0.85714138927609895</v>
      </c>
      <c r="F740">
        <v>0.38946436090612802</v>
      </c>
      <c r="G740">
        <v>0.307516416357137</v>
      </c>
      <c r="H740">
        <v>0.204953340981607</v>
      </c>
      <c r="I740">
        <v>0.11780604932005501</v>
      </c>
      <c r="J740">
        <v>7.2637954366625901E-2</v>
      </c>
      <c r="K740">
        <v>6.5339310629279404E-2</v>
      </c>
      <c r="L740">
        <v>1097.0514771723999</v>
      </c>
      <c r="M740">
        <v>20.907133665349701</v>
      </c>
      <c r="N740">
        <v>53.027742083728199</v>
      </c>
      <c r="O740">
        <v>51.999609162566799</v>
      </c>
      <c r="P740">
        <v>-9.0638633695701798E-2</v>
      </c>
      <c r="Q740">
        <v>9.8289633839750506E-2</v>
      </c>
      <c r="R740">
        <v>0.976776221743613</v>
      </c>
      <c r="S740" t="s">
        <v>6566</v>
      </c>
      <c r="T740" t="s">
        <v>11650</v>
      </c>
      <c r="U740" t="s">
        <v>11650</v>
      </c>
      <c r="V740" t="s">
        <v>11650</v>
      </c>
      <c r="W740" t="s">
        <v>12378</v>
      </c>
      <c r="X740">
        <v>5</v>
      </c>
      <c r="Y740" t="s">
        <v>18138</v>
      </c>
      <c r="Z740" t="s">
        <v>23802</v>
      </c>
      <c r="AA740">
        <v>0.48468704580639821</v>
      </c>
      <c r="AB740" t="str">
        <f>HYPERLINK("Melting_Curves/meltCurve_G3V1K3_PON2.pdf", "Melting_Curves/meltCurve_G3V1K3_PON2.pdf")</f>
        <v>Melting_Curves/meltCurve_G3V1K3_PON2.pdf</v>
      </c>
    </row>
    <row r="741" spans="1:28" x14ac:dyDescent="0.25">
      <c r="A741" t="s">
        <v>745</v>
      </c>
      <c r="B741">
        <v>0.99996721820229495</v>
      </c>
      <c r="C741">
        <v>0.87713330002664802</v>
      </c>
      <c r="D741">
        <v>0.93863578843681195</v>
      </c>
      <c r="E741">
        <v>0.97922167302359597</v>
      </c>
      <c r="F741">
        <v>0.91513008966155496</v>
      </c>
      <c r="G741">
        <v>0.82705573942239097</v>
      </c>
      <c r="H741">
        <v>0.40113238037089499</v>
      </c>
      <c r="I741">
        <v>0.32093796814237602</v>
      </c>
      <c r="J741">
        <v>0.255722524461998</v>
      </c>
      <c r="K741">
        <v>0.16099651841023899</v>
      </c>
      <c r="L741">
        <v>1529.97215027383</v>
      </c>
      <c r="M741">
        <v>25.811407091686601</v>
      </c>
      <c r="N741">
        <v>60.338978585271398</v>
      </c>
      <c r="O741">
        <v>58.922695417517197</v>
      </c>
      <c r="P741">
        <v>-8.9494096266946793E-2</v>
      </c>
      <c r="Q741">
        <v>0.18281570869635999</v>
      </c>
      <c r="R741">
        <v>0.97196071767121495</v>
      </c>
      <c r="S741" t="s">
        <v>6567</v>
      </c>
      <c r="T741" t="s">
        <v>11650</v>
      </c>
      <c r="U741" t="s">
        <v>11650</v>
      </c>
      <c r="V741" t="s">
        <v>11650</v>
      </c>
      <c r="W741" t="s">
        <v>12379</v>
      </c>
      <c r="X741">
        <v>47</v>
      </c>
      <c r="Y741" t="s">
        <v>18139</v>
      </c>
      <c r="Z741" t="s">
        <v>23803</v>
      </c>
      <c r="AA741">
        <v>0.71417029594500081</v>
      </c>
      <c r="AB741" t="str">
        <f>HYPERLINK("Melting_Curves/meltCurve_G3V1L9_TJP1.pdf", "Melting_Curves/meltCurve_G3V1L9_TJP1.pdf")</f>
        <v>Melting_Curves/meltCurve_G3V1L9_TJP1.pdf</v>
      </c>
    </row>
    <row r="742" spans="1:28" x14ac:dyDescent="0.25">
      <c r="A742" t="s">
        <v>746</v>
      </c>
      <c r="B742">
        <v>0.99996721820229495</v>
      </c>
      <c r="C742">
        <v>0.91472356564993396</v>
      </c>
      <c r="D742">
        <v>1.11718111858723</v>
      </c>
      <c r="E742">
        <v>1.2709048961562399</v>
      </c>
      <c r="F742">
        <v>1.7040258957188099</v>
      </c>
      <c r="G742">
        <v>1.8331076096657699</v>
      </c>
      <c r="H742">
        <v>1.2362551963556601</v>
      </c>
      <c r="I742">
        <v>2.4594781257471299</v>
      </c>
      <c r="J742">
        <v>0.32654728431852598</v>
      </c>
      <c r="K742">
        <v>0.58976360757013302</v>
      </c>
      <c r="L742">
        <v>5615.0094043342397</v>
      </c>
      <c r="M742">
        <v>84.587236463830195</v>
      </c>
      <c r="N742">
        <v>68.130418620274696</v>
      </c>
      <c r="O742">
        <v>66.3441951392888</v>
      </c>
      <c r="P742">
        <v>-0.17753892164380899</v>
      </c>
      <c r="Q742">
        <v>0.443004476193532</v>
      </c>
      <c r="R742">
        <v>-4.3401360133395399E-2</v>
      </c>
      <c r="S742" t="s">
        <v>6568</v>
      </c>
      <c r="T742" t="s">
        <v>11650</v>
      </c>
      <c r="U742" t="s">
        <v>11650</v>
      </c>
      <c r="V742" t="s">
        <v>11650</v>
      </c>
      <c r="W742" t="s">
        <v>12380</v>
      </c>
      <c r="X742">
        <v>4</v>
      </c>
      <c r="Y742" t="s">
        <v>18140</v>
      </c>
      <c r="Z742" t="s">
        <v>23804</v>
      </c>
      <c r="AA742">
        <v>0.93317243819617857</v>
      </c>
      <c r="AB742" t="str">
        <f>HYPERLINK("Melting_Curves/meltCurve_G3V1N2_HBA2.pdf", "Melting_Curves/meltCurve_G3V1N2_HBA2.pdf")</f>
        <v>Melting_Curves/meltCurve_G3V1N2_HBA2.pdf</v>
      </c>
    </row>
    <row r="743" spans="1:28" x14ac:dyDescent="0.25">
      <c r="A743" t="s">
        <v>747</v>
      </c>
      <c r="B743">
        <v>0.99996721820229495</v>
      </c>
      <c r="C743">
        <v>1.0101156068666</v>
      </c>
      <c r="D743">
        <v>0.97208264430320102</v>
      </c>
      <c r="E743">
        <v>1.05962052994989</v>
      </c>
      <c r="F743">
        <v>1.25034846120249</v>
      </c>
      <c r="G743">
        <v>1.0058624145667601</v>
      </c>
      <c r="H743">
        <v>0.51125850958084795</v>
      </c>
      <c r="I743">
        <v>0.27252307415641103</v>
      </c>
      <c r="J743">
        <v>0.17819274698149701</v>
      </c>
      <c r="K743">
        <v>0.13621819807372401</v>
      </c>
      <c r="L743">
        <v>3003.5564076422702</v>
      </c>
      <c r="M743">
        <v>49.5035798855981</v>
      </c>
      <c r="N743">
        <v>61.1837057770991</v>
      </c>
      <c r="O743">
        <v>60.574735704248297</v>
      </c>
      <c r="P743">
        <v>-0.16975928711847299</v>
      </c>
      <c r="Q743">
        <v>0.16910107170102401</v>
      </c>
      <c r="R743">
        <v>0.95412906356631999</v>
      </c>
      <c r="S743" t="s">
        <v>6569</v>
      </c>
      <c r="T743" t="s">
        <v>11650</v>
      </c>
      <c r="U743" t="s">
        <v>11650</v>
      </c>
      <c r="V743" t="s">
        <v>11650</v>
      </c>
      <c r="W743" t="s">
        <v>12381</v>
      </c>
      <c r="X743">
        <v>13</v>
      </c>
      <c r="Y743" t="s">
        <v>18141</v>
      </c>
      <c r="Z743" t="s">
        <v>23805</v>
      </c>
      <c r="AA743">
        <v>0.74389195760387516</v>
      </c>
      <c r="AB743" t="str">
        <f>HYPERLINK("Melting_Curves/meltCurve_G3V1P3_LOH12CR1.pdf", "Melting_Curves/meltCurve_G3V1P3_LOH12CR1.pdf")</f>
        <v>Melting_Curves/meltCurve_G3V1P3_LOH12CR1.pdf</v>
      </c>
    </row>
    <row r="744" spans="1:28" x14ac:dyDescent="0.25">
      <c r="A744" t="s">
        <v>748</v>
      </c>
      <c r="B744">
        <v>0.99996721820229495</v>
      </c>
      <c r="C744">
        <v>0.91518802781092101</v>
      </c>
      <c r="D744">
        <v>0.88180033831531601</v>
      </c>
      <c r="E744">
        <v>0.99231757641546703</v>
      </c>
      <c r="F744">
        <v>1.2230564185964501</v>
      </c>
      <c r="G744">
        <v>1.5555141727450901</v>
      </c>
      <c r="H744">
        <v>1.15680697850123</v>
      </c>
      <c r="I744">
        <v>1.01257524137443</v>
      </c>
      <c r="J744">
        <v>0.83432544480543502</v>
      </c>
      <c r="K744">
        <v>0.81148674237843799</v>
      </c>
      <c r="L744">
        <v>15000</v>
      </c>
      <c r="M744">
        <v>225.86010768422599</v>
      </c>
      <c r="O744">
        <v>66.4075924874804</v>
      </c>
      <c r="P744">
        <v>-0.16030608329764401</v>
      </c>
      <c r="Q744">
        <v>0.81146666909061804</v>
      </c>
      <c r="R744">
        <v>0.106736542226735</v>
      </c>
      <c r="S744" t="s">
        <v>6570</v>
      </c>
      <c r="T744" t="s">
        <v>11650</v>
      </c>
      <c r="U744" t="s">
        <v>11650</v>
      </c>
      <c r="V744" t="s">
        <v>11650</v>
      </c>
      <c r="W744" t="s">
        <v>12382</v>
      </c>
      <c r="X744">
        <v>5</v>
      </c>
      <c r="Y744" t="s">
        <v>18142</v>
      </c>
      <c r="Z744" t="s">
        <v>23806</v>
      </c>
      <c r="AA744">
        <v>0.9774832853620683</v>
      </c>
      <c r="AB744" t="str">
        <f>HYPERLINK("Melting_Curves/meltCurve_G3V1R3_ZEB1.pdf", "Melting_Curves/meltCurve_G3V1R3_ZEB1.pdf")</f>
        <v>Melting_Curves/meltCurve_G3V1R3_ZEB1.pdf</v>
      </c>
    </row>
    <row r="745" spans="1:28" x14ac:dyDescent="0.25">
      <c r="A745" t="s">
        <v>749</v>
      </c>
      <c r="B745">
        <v>0.99996721820229495</v>
      </c>
      <c r="C745">
        <v>0.97036248662632496</v>
      </c>
      <c r="D745">
        <v>1.0223349503618</v>
      </c>
      <c r="E745">
        <v>1.2176616139101399</v>
      </c>
      <c r="F745">
        <v>1.6710004256197499</v>
      </c>
      <c r="G745">
        <v>1.8727996579967201</v>
      </c>
      <c r="H745">
        <v>1.1927959176865</v>
      </c>
      <c r="I745">
        <v>0.69934149970367698</v>
      </c>
      <c r="J745">
        <v>0.32035222406525399</v>
      </c>
      <c r="K745">
        <v>0.31240871179935997</v>
      </c>
      <c r="L745">
        <v>15000</v>
      </c>
      <c r="M745">
        <v>234.132968993894</v>
      </c>
      <c r="N745">
        <v>64.341426145587505</v>
      </c>
      <c r="O745">
        <v>64.061484687784699</v>
      </c>
      <c r="P745">
        <v>-0.62463770186820999</v>
      </c>
      <c r="Q745">
        <v>0.31636764063224099</v>
      </c>
      <c r="R745">
        <v>0.43938066989746</v>
      </c>
      <c r="S745" t="s">
        <v>6571</v>
      </c>
      <c r="T745" t="s">
        <v>11650</v>
      </c>
      <c r="U745" t="s">
        <v>11650</v>
      </c>
      <c r="V745" t="s">
        <v>11650</v>
      </c>
      <c r="W745" t="s">
        <v>12383</v>
      </c>
      <c r="X745">
        <v>6</v>
      </c>
      <c r="Y745" t="s">
        <v>18143</v>
      </c>
      <c r="Z745" t="s">
        <v>23807</v>
      </c>
      <c r="AA745">
        <v>0.86486877882044466</v>
      </c>
      <c r="AB745" t="str">
        <f>HYPERLINK("Melting_Curves/meltCurve_G3V1R9_ISYNA1.pdf", "Melting_Curves/meltCurve_G3V1R9_ISYNA1.pdf")</f>
        <v>Melting_Curves/meltCurve_G3V1R9_ISYNA1.pdf</v>
      </c>
    </row>
    <row r="746" spans="1:28" x14ac:dyDescent="0.25">
      <c r="A746" t="s">
        <v>750</v>
      </c>
      <c r="B746">
        <v>0.99996721820229495</v>
      </c>
      <c r="C746">
        <v>1.0082965898076599</v>
      </c>
      <c r="D746">
        <v>0.91078064029389005</v>
      </c>
      <c r="E746">
        <v>0.74684934046387597</v>
      </c>
      <c r="F746">
        <v>0.69687047642261801</v>
      </c>
      <c r="G746">
        <v>0.63720025360596699</v>
      </c>
      <c r="H746">
        <v>0.43817984270098798</v>
      </c>
      <c r="I746">
        <v>0.33185652346811001</v>
      </c>
      <c r="J746">
        <v>0.28014169015017198</v>
      </c>
      <c r="K746">
        <v>0.20023986404011901</v>
      </c>
      <c r="L746">
        <v>480.32151543566903</v>
      </c>
      <c r="M746">
        <v>8.1366660205077306</v>
      </c>
      <c r="N746">
        <v>59.031735383597798</v>
      </c>
      <c r="O746">
        <v>55.787210381278399</v>
      </c>
      <c r="P746">
        <v>-3.65016617876779E-2</v>
      </c>
      <c r="Q746">
        <v>0</v>
      </c>
      <c r="R746">
        <v>0.98413763054070902</v>
      </c>
      <c r="S746" t="s">
        <v>6572</v>
      </c>
      <c r="T746" t="s">
        <v>11650</v>
      </c>
      <c r="U746" t="s">
        <v>11650</v>
      </c>
      <c r="V746" t="s">
        <v>11650</v>
      </c>
      <c r="W746" t="s">
        <v>12384</v>
      </c>
      <c r="X746">
        <v>2</v>
      </c>
      <c r="Y746" t="s">
        <v>18144</v>
      </c>
      <c r="Z746" t="s">
        <v>23808</v>
      </c>
      <c r="AA746">
        <v>0.62945771059700806</v>
      </c>
      <c r="AB746" t="str">
        <f>HYPERLINK("Melting_Curves/meltCurve_G3V1T4_NUP107.pdf", "Melting_Curves/meltCurve_G3V1T4_NUP107.pdf")</f>
        <v>Melting_Curves/meltCurve_G3V1T4_NUP107.pdf</v>
      </c>
    </row>
    <row r="747" spans="1:28" x14ac:dyDescent="0.25">
      <c r="A747" t="s">
        <v>751</v>
      </c>
      <c r="B747">
        <v>0.99996721820229495</v>
      </c>
      <c r="C747">
        <v>1.0293764434671799</v>
      </c>
      <c r="D747">
        <v>0.87939644215055901</v>
      </c>
      <c r="E747">
        <v>0.741453358574098</v>
      </c>
      <c r="F747">
        <v>0.80990566246486395</v>
      </c>
      <c r="G747">
        <v>0.85315860067376903</v>
      </c>
      <c r="H747">
        <v>0.62221635197070202</v>
      </c>
      <c r="I747">
        <v>0.51036499056078399</v>
      </c>
      <c r="J747">
        <v>0.447734461681777</v>
      </c>
      <c r="K747">
        <v>0.31414685649280699</v>
      </c>
      <c r="L747">
        <v>443.02664278031699</v>
      </c>
      <c r="M747">
        <v>6.8450332336661504</v>
      </c>
      <c r="N747">
        <v>64.722350767441995</v>
      </c>
      <c r="O747">
        <v>59.873383796639402</v>
      </c>
      <c r="P747">
        <v>-2.8638797025041102E-2</v>
      </c>
      <c r="Q747">
        <v>0</v>
      </c>
      <c r="R747">
        <v>0.90294512313075004</v>
      </c>
      <c r="S747" t="s">
        <v>6573</v>
      </c>
      <c r="T747" t="s">
        <v>11650</v>
      </c>
      <c r="U747" t="s">
        <v>11650</v>
      </c>
      <c r="V747" t="s">
        <v>11650</v>
      </c>
      <c r="W747" t="s">
        <v>12385</v>
      </c>
      <c r="X747">
        <v>2</v>
      </c>
      <c r="Y747" t="s">
        <v>18145</v>
      </c>
      <c r="Z747" t="s">
        <v>23809</v>
      </c>
      <c r="AA747">
        <v>0.73607111599195152</v>
      </c>
      <c r="AB747" t="str">
        <f>HYPERLINK("Melting_Curves/meltCurve_G3V1U0_ATF7IP.pdf", "Melting_Curves/meltCurve_G3V1U0_ATF7IP.pdf")</f>
        <v>Melting_Curves/meltCurve_G3V1U0_ATF7IP.pdf</v>
      </c>
    </row>
    <row r="748" spans="1:28" x14ac:dyDescent="0.25">
      <c r="A748" t="s">
        <v>752</v>
      </c>
      <c r="B748">
        <v>0.99996721820229495</v>
      </c>
      <c r="C748">
        <v>1.1044300908112801</v>
      </c>
      <c r="D748">
        <v>1.0293315794592901</v>
      </c>
      <c r="E748">
        <v>1.2070706378276701</v>
      </c>
      <c r="F748">
        <v>1.9722970077821</v>
      </c>
      <c r="G748">
        <v>3.2947692467793801</v>
      </c>
      <c r="H748">
        <v>2.57648296663054</v>
      </c>
      <c r="I748">
        <v>2.7391032956194001</v>
      </c>
      <c r="J748">
        <v>2.5213282006336502</v>
      </c>
      <c r="K748">
        <v>1.69597190290893</v>
      </c>
      <c r="L748">
        <v>12517.342825292801</v>
      </c>
      <c r="M748">
        <v>250</v>
      </c>
      <c r="O748">
        <v>50.066167219404498</v>
      </c>
      <c r="P748">
        <v>0.62417400389058797</v>
      </c>
      <c r="Q748">
        <v>1.5</v>
      </c>
      <c r="R748">
        <v>-0.162802193025534</v>
      </c>
      <c r="S748" t="s">
        <v>6574</v>
      </c>
      <c r="T748" t="s">
        <v>11650</v>
      </c>
      <c r="U748" t="s">
        <v>11650</v>
      </c>
      <c r="V748" t="s">
        <v>11650</v>
      </c>
      <c r="W748" t="s">
        <v>12386</v>
      </c>
      <c r="X748">
        <v>12</v>
      </c>
      <c r="Y748" t="s">
        <v>18146</v>
      </c>
      <c r="Z748" t="s">
        <v>23810</v>
      </c>
      <c r="AA748">
        <v>1.332133209496789</v>
      </c>
      <c r="AB748" t="str">
        <f>HYPERLINK("Melting_Curves/meltCurve_G3V1V0_MYL6.pdf", "Melting_Curves/meltCurve_G3V1V0_MYL6.pdf")</f>
        <v>Melting_Curves/meltCurve_G3V1V0_MYL6.pdf</v>
      </c>
    </row>
    <row r="749" spans="1:28" x14ac:dyDescent="0.25">
      <c r="A749" t="s">
        <v>753</v>
      </c>
      <c r="B749">
        <v>0.99996721820229495</v>
      </c>
      <c r="C749">
        <v>1.22957142332631</v>
      </c>
      <c r="D749">
        <v>1.1187939734235299</v>
      </c>
      <c r="E749">
        <v>0.92094315123183002</v>
      </c>
      <c r="F749">
        <v>0.73400723016159297</v>
      </c>
      <c r="G749">
        <v>1.05142197768052</v>
      </c>
      <c r="H749">
        <v>0.61396335238991395</v>
      </c>
      <c r="I749">
        <v>0.35766319492071502</v>
      </c>
      <c r="J749">
        <v>0</v>
      </c>
      <c r="K749">
        <v>0.12507779243849501</v>
      </c>
      <c r="L749">
        <v>2200.2171951445298</v>
      </c>
      <c r="M749">
        <v>35.4714879121492</v>
      </c>
      <c r="N749">
        <v>62.195888629166802</v>
      </c>
      <c r="O749">
        <v>61.831617111212097</v>
      </c>
      <c r="P749">
        <v>-0.13686381848471599</v>
      </c>
      <c r="Q749">
        <v>4.5714394238202401E-2</v>
      </c>
      <c r="R749">
        <v>0.89505762723895199</v>
      </c>
      <c r="S749" t="s">
        <v>6575</v>
      </c>
      <c r="T749" t="s">
        <v>11650</v>
      </c>
      <c r="U749" t="s">
        <v>11650</v>
      </c>
      <c r="V749" t="s">
        <v>11650</v>
      </c>
      <c r="W749" t="s">
        <v>12387</v>
      </c>
      <c r="X749">
        <v>1</v>
      </c>
      <c r="Y749" t="s">
        <v>18147</v>
      </c>
      <c r="Z749" t="s">
        <v>23811</v>
      </c>
      <c r="AA749">
        <v>0.75030047909071684</v>
      </c>
      <c r="AB749" t="str">
        <f>HYPERLINK("Melting_Curves/meltCurve_G3V1Y1_ACTR6.pdf", "Melting_Curves/meltCurve_G3V1Y1_ACTR6.pdf")</f>
        <v>Melting_Curves/meltCurve_G3V1Y1_ACTR6.pdf</v>
      </c>
    </row>
    <row r="750" spans="1:28" x14ac:dyDescent="0.25">
      <c r="A750" t="s">
        <v>754</v>
      </c>
      <c r="B750">
        <v>0.99996721820229495</v>
      </c>
      <c r="C750">
        <v>1.1764595573602401</v>
      </c>
      <c r="D750">
        <v>1.4567476321291299</v>
      </c>
      <c r="E750">
        <v>1.49731094388869</v>
      </c>
      <c r="F750">
        <v>0.73894753809658098</v>
      </c>
      <c r="G750">
        <v>0.44620945242325399</v>
      </c>
      <c r="H750">
        <v>0.24357536050185299</v>
      </c>
      <c r="I750">
        <v>0.142073872357142</v>
      </c>
      <c r="J750">
        <v>7.4093115150225097E-2</v>
      </c>
      <c r="K750">
        <v>7.3227621368275E-2</v>
      </c>
      <c r="L750">
        <v>1789.84029258749</v>
      </c>
      <c r="M750">
        <v>31.918816133132101</v>
      </c>
      <c r="N750">
        <v>56.5106605314623</v>
      </c>
      <c r="O750">
        <v>55.856042978042503</v>
      </c>
      <c r="P750">
        <v>-0.12727377271430099</v>
      </c>
      <c r="Q750">
        <v>0.10911819920104</v>
      </c>
      <c r="R750">
        <v>0.81536861397711102</v>
      </c>
      <c r="S750" t="s">
        <v>6576</v>
      </c>
      <c r="T750" t="s">
        <v>11650</v>
      </c>
      <c r="U750" t="s">
        <v>11650</v>
      </c>
      <c r="V750" t="s">
        <v>11650</v>
      </c>
      <c r="W750" t="s">
        <v>12388</v>
      </c>
      <c r="X750">
        <v>5</v>
      </c>
      <c r="Y750" t="s">
        <v>18148</v>
      </c>
      <c r="Z750" t="s">
        <v>23812</v>
      </c>
      <c r="AA750">
        <v>0.5917734603819742</v>
      </c>
      <c r="AB750" t="str">
        <f>HYPERLINK("Melting_Curves/meltCurve_G3V203_RPL18.pdf", "Melting_Curves/meltCurve_G3V203_RPL18.pdf")</f>
        <v>Melting_Curves/meltCurve_G3V203_RPL18.pdf</v>
      </c>
    </row>
    <row r="751" spans="1:28" x14ac:dyDescent="0.25">
      <c r="A751" t="s">
        <v>755</v>
      </c>
      <c r="B751">
        <v>0.99996721820229495</v>
      </c>
      <c r="C751">
        <v>0.88191299139720902</v>
      </c>
      <c r="D751">
        <v>0.66684045643616296</v>
      </c>
      <c r="E751">
        <v>0.36301296791284499</v>
      </c>
      <c r="F751">
        <v>0.33751346463757897</v>
      </c>
      <c r="G751">
        <v>0.13364620741028499</v>
      </c>
      <c r="H751">
        <v>0.17668762205397001</v>
      </c>
      <c r="I751">
        <v>0.11497510626271901</v>
      </c>
      <c r="J751">
        <v>4.2900151218433297E-2</v>
      </c>
      <c r="K751">
        <v>0.100439971992784</v>
      </c>
      <c r="L751">
        <v>716.43021063874505</v>
      </c>
      <c r="M751">
        <v>14.9424235652665</v>
      </c>
      <c r="N751">
        <v>48.578628002436197</v>
      </c>
      <c r="O751">
        <v>47.111881764580502</v>
      </c>
      <c r="P751">
        <v>-7.2289412800321404E-2</v>
      </c>
      <c r="Q751">
        <v>8.8409792664501496E-2</v>
      </c>
      <c r="R751">
        <v>0.98424698604053595</v>
      </c>
      <c r="S751" t="s">
        <v>6577</v>
      </c>
      <c r="T751" t="s">
        <v>11650</v>
      </c>
      <c r="U751" t="s">
        <v>11650</v>
      </c>
      <c r="V751" t="s">
        <v>11650</v>
      </c>
      <c r="W751" t="s">
        <v>12389</v>
      </c>
      <c r="X751">
        <v>1</v>
      </c>
      <c r="Y751" t="s">
        <v>18149</v>
      </c>
      <c r="Z751" t="s">
        <v>23813</v>
      </c>
      <c r="AA751">
        <v>0.35355972498309868</v>
      </c>
      <c r="AB751" t="str">
        <f>HYPERLINK("Melting_Curves/meltCurve_G3V2F4_TDP1.pdf", "Melting_Curves/meltCurve_G3V2F4_TDP1.pdf")</f>
        <v>Melting_Curves/meltCurve_G3V2F4_TDP1.pdf</v>
      </c>
    </row>
    <row r="752" spans="1:28" x14ac:dyDescent="0.25">
      <c r="A752" t="s">
        <v>756</v>
      </c>
      <c r="B752">
        <v>0.99996721820229495</v>
      </c>
      <c r="C752">
        <v>0.93096700863326098</v>
      </c>
      <c r="D752">
        <v>0.853875556381544</v>
      </c>
      <c r="E752">
        <v>0.81354109872629599</v>
      </c>
      <c r="F752">
        <v>0.95669514324164096</v>
      </c>
      <c r="G752">
        <v>0.71384849602839395</v>
      </c>
      <c r="H752">
        <v>0.214930062116096</v>
      </c>
      <c r="I752">
        <v>0.100327902156139</v>
      </c>
      <c r="J752">
        <v>5.3728159406540001E-2</v>
      </c>
      <c r="K752">
        <v>5.4818161715610297E-2</v>
      </c>
      <c r="L752">
        <v>1895.6564129246301</v>
      </c>
      <c r="M752">
        <v>32.483271650415801</v>
      </c>
      <c r="N752">
        <v>58.520073178036398</v>
      </c>
      <c r="O752">
        <v>58.138088604128797</v>
      </c>
      <c r="P752">
        <v>-0.133670869659574</v>
      </c>
      <c r="Q752">
        <v>4.3035830696074702E-2</v>
      </c>
      <c r="R752">
        <v>0.96010653569246995</v>
      </c>
      <c r="S752" t="s">
        <v>6578</v>
      </c>
      <c r="T752" t="s">
        <v>11650</v>
      </c>
      <c r="U752" t="s">
        <v>11650</v>
      </c>
      <c r="V752" t="s">
        <v>11650</v>
      </c>
      <c r="W752" t="s">
        <v>12390</v>
      </c>
      <c r="X752">
        <v>13</v>
      </c>
      <c r="Y752" t="s">
        <v>18150</v>
      </c>
      <c r="Z752" t="s">
        <v>23814</v>
      </c>
      <c r="AA752">
        <v>0.63411260850474571</v>
      </c>
      <c r="AB752" t="str">
        <f>HYPERLINK("Melting_Curves/meltCurve_G3V2F7_TMEM189.pdf", "Melting_Curves/meltCurve_G3V2F7_TMEM189.pdf")</f>
        <v>Melting_Curves/meltCurve_G3V2F7_TMEM189.pdf</v>
      </c>
    </row>
    <row r="753" spans="1:28" x14ac:dyDescent="0.25">
      <c r="A753" t="s">
        <v>757</v>
      </c>
      <c r="B753">
        <v>0.99996721820229495</v>
      </c>
      <c r="C753">
        <v>1.1104657028946601</v>
      </c>
      <c r="D753">
        <v>0.90749563098826602</v>
      </c>
      <c r="E753">
        <v>0.71227344236651102</v>
      </c>
      <c r="F753">
        <v>0.89429092997529802</v>
      </c>
      <c r="G753">
        <v>0.74881877298389299</v>
      </c>
      <c r="H753">
        <v>0.51940009687824396</v>
      </c>
      <c r="I753">
        <v>0.53017345113853698</v>
      </c>
      <c r="J753">
        <v>0.48460452751023397</v>
      </c>
      <c r="K753">
        <v>0.38152751390596201</v>
      </c>
      <c r="L753">
        <v>464.85134663177899</v>
      </c>
      <c r="M753">
        <v>7.5960908574332802</v>
      </c>
      <c r="N753">
        <v>64.712321130399701</v>
      </c>
      <c r="O753">
        <v>57.386817154723303</v>
      </c>
      <c r="P753">
        <v>-2.75341170516516E-2</v>
      </c>
      <c r="Q753">
        <v>0.16908262832545701</v>
      </c>
      <c r="R753">
        <v>0.88221869052912305</v>
      </c>
      <c r="S753" t="s">
        <v>6579</v>
      </c>
      <c r="T753" t="s">
        <v>11650</v>
      </c>
      <c r="U753" t="s">
        <v>11650</v>
      </c>
      <c r="V753" t="s">
        <v>11650</v>
      </c>
      <c r="W753" t="s">
        <v>12391</v>
      </c>
      <c r="X753">
        <v>1</v>
      </c>
      <c r="Y753" t="s">
        <v>18151</v>
      </c>
      <c r="Z753" t="s">
        <v>23815</v>
      </c>
      <c r="AA753">
        <v>0.7300729015819295</v>
      </c>
      <c r="AB753" t="str">
        <f>HYPERLINK("Melting_Curves/meltCurve_G3V2N3_PRRX1.pdf", "Melting_Curves/meltCurve_G3V2N3_PRRX1.pdf")</f>
        <v>Melting_Curves/meltCurve_G3V2N3_PRRX1.pdf</v>
      </c>
    </row>
    <row r="754" spans="1:28" x14ac:dyDescent="0.25">
      <c r="A754" t="s">
        <v>758</v>
      </c>
      <c r="B754">
        <v>0.99996721820229495</v>
      </c>
      <c r="C754">
        <v>0.96804341916051495</v>
      </c>
      <c r="D754">
        <v>0.88272487174149405</v>
      </c>
      <c r="E754">
        <v>0.82907184872758299</v>
      </c>
      <c r="F754">
        <v>0.83213975118626304</v>
      </c>
      <c r="G754">
        <v>0.55519814884390295</v>
      </c>
      <c r="H754">
        <v>0.35313693444303301</v>
      </c>
      <c r="I754">
        <v>0.27792745324664397</v>
      </c>
      <c r="J754">
        <v>0.19610723793264401</v>
      </c>
      <c r="K754">
        <v>0.148065917005126</v>
      </c>
      <c r="L754">
        <v>638.28892593148896</v>
      </c>
      <c r="M754">
        <v>10.9389386248859</v>
      </c>
      <c r="N754">
        <v>58.3501578962357</v>
      </c>
      <c r="O754">
        <v>56.501786023649103</v>
      </c>
      <c r="P754">
        <v>-4.8417536794229298E-2</v>
      </c>
      <c r="Q754">
        <v>0</v>
      </c>
      <c r="R754">
        <v>0.98681990939926501</v>
      </c>
      <c r="S754" t="s">
        <v>6580</v>
      </c>
      <c r="T754" t="s">
        <v>11650</v>
      </c>
      <c r="U754" t="s">
        <v>11650</v>
      </c>
      <c r="V754" t="s">
        <v>11650</v>
      </c>
      <c r="W754" t="s">
        <v>12392</v>
      </c>
      <c r="X754">
        <v>6</v>
      </c>
      <c r="Y754" t="s">
        <v>18152</v>
      </c>
      <c r="Z754" t="s">
        <v>23816</v>
      </c>
      <c r="AA754">
        <v>0.62132251013803064</v>
      </c>
      <c r="AB754" t="str">
        <f>HYPERLINK("Melting_Curves/meltCurve_G3V2U7_ACYP1.pdf", "Melting_Curves/meltCurve_G3V2U7_ACYP1.pdf")</f>
        <v>Melting_Curves/meltCurve_G3V2U7_ACYP1.pdf</v>
      </c>
    </row>
    <row r="755" spans="1:28" x14ac:dyDescent="0.25">
      <c r="A755" t="s">
        <v>759</v>
      </c>
      <c r="B755">
        <v>0.99996721820229495</v>
      </c>
      <c r="C755">
        <v>0.84029027722352101</v>
      </c>
      <c r="D755">
        <v>1.2129050252547899</v>
      </c>
      <c r="E755">
        <v>1.69603417586691</v>
      </c>
      <c r="F755">
        <v>2.8193811908476101</v>
      </c>
      <c r="G755">
        <v>2.9184006685566399</v>
      </c>
      <c r="H755">
        <v>2.3665698049128201</v>
      </c>
      <c r="I755">
        <v>2.06798053178249</v>
      </c>
      <c r="J755">
        <v>1.0336261545355401</v>
      </c>
      <c r="K755">
        <v>1.49114515596047</v>
      </c>
      <c r="L755">
        <v>11513.752479704401</v>
      </c>
      <c r="M755">
        <v>250</v>
      </c>
      <c r="O755">
        <v>46.052062593965701</v>
      </c>
      <c r="P755">
        <v>0.67857981167352199</v>
      </c>
      <c r="Q755">
        <v>1.5</v>
      </c>
      <c r="R755">
        <v>2.7369278088826301E-2</v>
      </c>
      <c r="S755" t="s">
        <v>6581</v>
      </c>
      <c r="T755" t="s">
        <v>11650</v>
      </c>
      <c r="U755" t="s">
        <v>11650</v>
      </c>
      <c r="V755" t="s">
        <v>11650</v>
      </c>
      <c r="W755" t="s">
        <v>12393</v>
      </c>
      <c r="X755">
        <v>2</v>
      </c>
      <c r="Y755" t="s">
        <v>18153</v>
      </c>
      <c r="Z755" t="s">
        <v>23817</v>
      </c>
      <c r="AA755">
        <v>1.39904275510689</v>
      </c>
      <c r="AB755" t="str">
        <f>HYPERLINK("Melting_Curves/meltCurve_G3V3D2_SPATA7.pdf", "Melting_Curves/meltCurve_G3V3D2_SPATA7.pdf")</f>
        <v>Melting_Curves/meltCurve_G3V3D2_SPATA7.pdf</v>
      </c>
    </row>
    <row r="756" spans="1:28" x14ac:dyDescent="0.25">
      <c r="A756" t="s">
        <v>760</v>
      </c>
      <c r="B756">
        <v>0.99996721820229495</v>
      </c>
      <c r="C756">
        <v>1.00606476793068</v>
      </c>
      <c r="D756">
        <v>1.3797684929503899</v>
      </c>
      <c r="E756">
        <v>2.0446249218933001</v>
      </c>
      <c r="F756">
        <v>1.31060126419446</v>
      </c>
      <c r="G756">
        <v>0.80345676255217002</v>
      </c>
      <c r="H756">
        <v>0.50000987619840698</v>
      </c>
      <c r="I756">
        <v>0.371675261861517</v>
      </c>
      <c r="J756">
        <v>0.23297452405872199</v>
      </c>
      <c r="K756">
        <v>0.25929593159105002</v>
      </c>
      <c r="L756">
        <v>2114.2487583696502</v>
      </c>
      <c r="M756">
        <v>35.470750654231999</v>
      </c>
      <c r="N756">
        <v>60.8735897036442</v>
      </c>
      <c r="O756">
        <v>59.4169133830191</v>
      </c>
      <c r="P756">
        <v>-0.110263389850648</v>
      </c>
      <c r="Q756">
        <v>0.26119540734923502</v>
      </c>
      <c r="R756">
        <v>0.55513392786147098</v>
      </c>
      <c r="S756" t="s">
        <v>6582</v>
      </c>
      <c r="T756" t="s">
        <v>11650</v>
      </c>
      <c r="U756" t="s">
        <v>11650</v>
      </c>
      <c r="V756" t="s">
        <v>11650</v>
      </c>
      <c r="W756" t="s">
        <v>12394</v>
      </c>
      <c r="X756">
        <v>8</v>
      </c>
      <c r="Y756" t="s">
        <v>18154</v>
      </c>
      <c r="Z756" t="s">
        <v>23818</v>
      </c>
      <c r="AA756">
        <v>0.74758052228058181</v>
      </c>
      <c r="AB756" t="str">
        <f>HYPERLINK("Melting_Curves/meltCurve_G3V3G9_DCAF8.pdf", "Melting_Curves/meltCurve_G3V3G9_DCAF8.pdf")</f>
        <v>Melting_Curves/meltCurve_G3V3G9_DCAF8.pdf</v>
      </c>
    </row>
    <row r="757" spans="1:28" x14ac:dyDescent="0.25">
      <c r="A757" t="s">
        <v>761</v>
      </c>
      <c r="B757">
        <v>0.99996721820229495</v>
      </c>
      <c r="C757">
        <v>1.07633068818096</v>
      </c>
      <c r="D757">
        <v>0.98832824837717204</v>
      </c>
      <c r="E757">
        <v>0.65478693048958003</v>
      </c>
      <c r="F757">
        <v>0.37689934165733802</v>
      </c>
      <c r="G757">
        <v>0.250708333256213</v>
      </c>
      <c r="H757">
        <v>0.12571655627596501</v>
      </c>
      <c r="I757">
        <v>6.9675124194139196E-2</v>
      </c>
      <c r="J757">
        <v>5.7512028898099803E-2</v>
      </c>
      <c r="K757">
        <v>4.2576631281268401E-2</v>
      </c>
      <c r="L757">
        <v>1076.2657799067099</v>
      </c>
      <c r="M757">
        <v>20.867380252046299</v>
      </c>
      <c r="N757">
        <v>51.939300667463002</v>
      </c>
      <c r="O757">
        <v>51.109817977965399</v>
      </c>
      <c r="P757">
        <v>-9.5151221047679493E-2</v>
      </c>
      <c r="Q757">
        <v>6.7822092453608998E-2</v>
      </c>
      <c r="R757">
        <v>0.98794518461074599</v>
      </c>
      <c r="S757" t="s">
        <v>6583</v>
      </c>
      <c r="T757" t="s">
        <v>11650</v>
      </c>
      <c r="U757" t="s">
        <v>11650</v>
      </c>
      <c r="V757" t="s">
        <v>11650</v>
      </c>
      <c r="W757" t="s">
        <v>12395</v>
      </c>
      <c r="X757">
        <v>7</v>
      </c>
      <c r="Y757" t="s">
        <v>18155</v>
      </c>
      <c r="Z757" t="s">
        <v>23819</v>
      </c>
      <c r="AA757">
        <v>0.43948196236095038</v>
      </c>
      <c r="AB757" t="str">
        <f>HYPERLINK("Melting_Curves/meltCurve_G3V3R7_ATXN3.pdf", "Melting_Curves/meltCurve_G3V3R7_ATXN3.pdf")</f>
        <v>Melting_Curves/meltCurve_G3V3R7_ATXN3.pdf</v>
      </c>
    </row>
    <row r="758" spans="1:28" x14ac:dyDescent="0.25">
      <c r="A758" t="s">
        <v>762</v>
      </c>
      <c r="B758">
        <v>0.99996721820229495</v>
      </c>
      <c r="C758">
        <v>0.94667883636935901</v>
      </c>
      <c r="D758">
        <v>0.98169635118892296</v>
      </c>
      <c r="E758">
        <v>0.76579851539655996</v>
      </c>
      <c r="F758">
        <v>0.79579879010808097</v>
      </c>
      <c r="G758">
        <v>0.82874559948103699</v>
      </c>
      <c r="H758">
        <v>0.62579883491613797</v>
      </c>
      <c r="I758">
        <v>0.50345345702678401</v>
      </c>
      <c r="J758">
        <v>0.52146530146094605</v>
      </c>
      <c r="K758">
        <v>0.25543406222426301</v>
      </c>
      <c r="L758">
        <v>465.63375145445701</v>
      </c>
      <c r="M758">
        <v>7.1989284441664596</v>
      </c>
      <c r="N758">
        <v>64.680980358308204</v>
      </c>
      <c r="O758">
        <v>60.248665955603499</v>
      </c>
      <c r="P758">
        <v>-2.9921697528822001E-2</v>
      </c>
      <c r="Q758">
        <v>0</v>
      </c>
      <c r="R758">
        <v>0.90582397995087904</v>
      </c>
      <c r="S758" t="s">
        <v>6584</v>
      </c>
      <c r="T758" t="s">
        <v>11650</v>
      </c>
      <c r="U758" t="s">
        <v>11650</v>
      </c>
      <c r="V758" t="s">
        <v>11650</v>
      </c>
      <c r="W758" t="s">
        <v>12396</v>
      </c>
      <c r="X758">
        <v>3</v>
      </c>
      <c r="Y758" t="s">
        <v>18156</v>
      </c>
      <c r="Z758" t="s">
        <v>23820</v>
      </c>
      <c r="AA758">
        <v>0.74076919810344111</v>
      </c>
      <c r="AB758" t="str">
        <f>HYPERLINK("Melting_Curves/meltCurve_G3V4K3_VIPAS39.pdf", "Melting_Curves/meltCurve_G3V4K3_VIPAS39.pdf")</f>
        <v>Melting_Curves/meltCurve_G3V4K3_VIPAS39.pdf</v>
      </c>
    </row>
    <row r="759" spans="1:28" x14ac:dyDescent="0.25">
      <c r="A759" t="s">
        <v>763</v>
      </c>
      <c r="B759">
        <v>0.99996721820229495</v>
      </c>
      <c r="C759">
        <v>0.89708636226821903</v>
      </c>
      <c r="D759">
        <v>0.80985306651122801</v>
      </c>
      <c r="E759">
        <v>0.78846651181885696</v>
      </c>
      <c r="F759">
        <v>0.66311333151271201</v>
      </c>
      <c r="G759">
        <v>0.871617706778405</v>
      </c>
      <c r="H759">
        <v>0.58477918849750099</v>
      </c>
      <c r="I759">
        <v>0.28068135777022402</v>
      </c>
      <c r="J759">
        <v>0.15355967506651799</v>
      </c>
      <c r="K759">
        <v>4.3714889202178003E-2</v>
      </c>
      <c r="L759">
        <v>684.87289688045803</v>
      </c>
      <c r="M759">
        <v>11.3973689330148</v>
      </c>
      <c r="N759">
        <v>60.090438524521403</v>
      </c>
      <c r="O759">
        <v>58.329757732725803</v>
      </c>
      <c r="P759">
        <v>-4.8863231465555497E-2</v>
      </c>
      <c r="Q759">
        <v>0</v>
      </c>
      <c r="R759">
        <v>0.83878784732390399</v>
      </c>
      <c r="S759" t="s">
        <v>6585</v>
      </c>
      <c r="T759" t="s">
        <v>11650</v>
      </c>
      <c r="U759" t="s">
        <v>11650</v>
      </c>
      <c r="V759" t="s">
        <v>11650</v>
      </c>
      <c r="W759" t="s">
        <v>12397</v>
      </c>
      <c r="X759">
        <v>2</v>
      </c>
      <c r="Y759" t="s">
        <v>18157</v>
      </c>
      <c r="Z759" t="s">
        <v>23821</v>
      </c>
      <c r="AA759">
        <v>0.669921880603358</v>
      </c>
      <c r="AB759" t="str">
        <f>HYPERLINK("Melting_Curves/meltCurve_G3V4P7_AP4S1.pdf", "Melting_Curves/meltCurve_G3V4P7_AP4S1.pdf")</f>
        <v>Melting_Curves/meltCurve_G3V4P7_AP4S1.pdf</v>
      </c>
    </row>
    <row r="760" spans="1:28" x14ac:dyDescent="0.25">
      <c r="A760" t="s">
        <v>764</v>
      </c>
      <c r="B760">
        <v>0.99996721820229495</v>
      </c>
      <c r="C760">
        <v>0.91586435447595105</v>
      </c>
      <c r="D760">
        <v>0.86787151410819896</v>
      </c>
      <c r="E760">
        <v>0.80763590241357397</v>
      </c>
      <c r="F760">
        <v>0.74862202472815798</v>
      </c>
      <c r="G760">
        <v>0.77002866042179496</v>
      </c>
      <c r="H760">
        <v>0.60199767101218904</v>
      </c>
      <c r="I760">
        <v>0.41443542501249098</v>
      </c>
      <c r="J760">
        <v>0.35761980044290298</v>
      </c>
      <c r="K760">
        <v>0.28962472906821102</v>
      </c>
      <c r="L760">
        <v>434.100634628016</v>
      </c>
      <c r="M760">
        <v>6.9495371202917697</v>
      </c>
      <c r="N760">
        <v>62.4646831297433</v>
      </c>
      <c r="O760">
        <v>57.908195160249001</v>
      </c>
      <c r="P760">
        <v>-3.0059509230147899E-2</v>
      </c>
      <c r="Q760">
        <v>0</v>
      </c>
      <c r="R760">
        <v>0.95111202440984</v>
      </c>
      <c r="S760" t="s">
        <v>6586</v>
      </c>
      <c r="T760" t="s">
        <v>11650</v>
      </c>
      <c r="U760" t="s">
        <v>11650</v>
      </c>
      <c r="V760" t="s">
        <v>11650</v>
      </c>
      <c r="W760" t="s">
        <v>12398</v>
      </c>
      <c r="X760">
        <v>1</v>
      </c>
      <c r="Y760" t="s">
        <v>18158</v>
      </c>
      <c r="Z760" t="s">
        <v>23822</v>
      </c>
      <c r="AA760">
        <v>0.6944118446166605</v>
      </c>
      <c r="AB760" t="str">
        <f>HYPERLINK("Melting_Curves/meltCurve_G3V4T7_FRMD6.pdf", "Melting_Curves/meltCurve_G3V4T7_FRMD6.pdf")</f>
        <v>Melting_Curves/meltCurve_G3V4T7_FRMD6.pdf</v>
      </c>
    </row>
    <row r="761" spans="1:28" x14ac:dyDescent="0.25">
      <c r="A761" t="s">
        <v>765</v>
      </c>
      <c r="B761">
        <v>0.99996721820229495</v>
      </c>
      <c r="C761">
        <v>1.0366465802454701</v>
      </c>
      <c r="D761">
        <v>1.0258139703431499</v>
      </c>
      <c r="E761">
        <v>1.01365453940144</v>
      </c>
      <c r="F761">
        <v>0.90133452643802703</v>
      </c>
      <c r="G761">
        <v>0.84847301758503801</v>
      </c>
      <c r="H761">
        <v>0.5071476088479</v>
      </c>
      <c r="I761">
        <v>0.37500863353860803</v>
      </c>
      <c r="J761">
        <v>0.292922601363792</v>
      </c>
      <c r="K761">
        <v>0.26469974682463498</v>
      </c>
      <c r="L761">
        <v>1435.2351719840401</v>
      </c>
      <c r="M761">
        <v>24.042108249959</v>
      </c>
      <c r="N761">
        <v>61.388013443972099</v>
      </c>
      <c r="O761">
        <v>59.288344039715</v>
      </c>
      <c r="P761">
        <v>-7.6826751644137506E-2</v>
      </c>
      <c r="Q761">
        <v>0.24218667882872399</v>
      </c>
      <c r="R761">
        <v>0.99164835191051703</v>
      </c>
      <c r="S761" t="s">
        <v>6587</v>
      </c>
      <c r="T761" t="s">
        <v>11650</v>
      </c>
      <c r="U761" t="s">
        <v>11650</v>
      </c>
      <c r="V761" t="s">
        <v>11650</v>
      </c>
      <c r="W761" t="s">
        <v>12399</v>
      </c>
      <c r="X761">
        <v>6</v>
      </c>
      <c r="Y761" t="s">
        <v>18159</v>
      </c>
      <c r="Z761" t="s">
        <v>23823</v>
      </c>
      <c r="AA761">
        <v>0.74577793740090093</v>
      </c>
      <c r="AB761" t="str">
        <f>HYPERLINK("Melting_Curves/meltCurve_G3V4U0_FBLN5.pdf", "Melting_Curves/meltCurve_G3V4U0_FBLN5.pdf")</f>
        <v>Melting_Curves/meltCurve_G3V4U0_FBLN5.pdf</v>
      </c>
    </row>
    <row r="762" spans="1:28" x14ac:dyDescent="0.25">
      <c r="A762" t="s">
        <v>766</v>
      </c>
      <c r="B762">
        <v>0.99996721820229495</v>
      </c>
      <c r="C762">
        <v>1.0825254221745799</v>
      </c>
      <c r="D762">
        <v>1.05258432912675</v>
      </c>
      <c r="E762">
        <v>0.78097107880241901</v>
      </c>
      <c r="F762">
        <v>0.64444519708475101</v>
      </c>
      <c r="G762">
        <v>0.56820491417122398</v>
      </c>
      <c r="H762">
        <v>0.39849354721156699</v>
      </c>
      <c r="I762">
        <v>0.68659012278780696</v>
      </c>
      <c r="J762">
        <v>0.28419413283126299</v>
      </c>
      <c r="K762">
        <v>0.286847498539335</v>
      </c>
      <c r="L762">
        <v>810.00094050249095</v>
      </c>
      <c r="M762">
        <v>15.219829176734001</v>
      </c>
      <c r="N762">
        <v>58.385894579035899</v>
      </c>
      <c r="O762">
        <v>52.326707370425403</v>
      </c>
      <c r="P762">
        <v>-4.5819563212919502E-2</v>
      </c>
      <c r="Q762">
        <v>0.369938234694976</v>
      </c>
      <c r="R762">
        <v>0.84690075114812502</v>
      </c>
      <c r="S762" t="s">
        <v>6588</v>
      </c>
      <c r="T762" t="s">
        <v>11650</v>
      </c>
      <c r="U762" t="s">
        <v>11650</v>
      </c>
      <c r="V762" t="s">
        <v>11650</v>
      </c>
      <c r="W762" t="s">
        <v>12400</v>
      </c>
      <c r="X762">
        <v>6</v>
      </c>
      <c r="Y762" t="s">
        <v>18160</v>
      </c>
      <c r="Z762" t="s">
        <v>23824</v>
      </c>
      <c r="AA762">
        <v>0.66075253556278779</v>
      </c>
      <c r="AB762" t="str">
        <f>HYPERLINK("Melting_Curves/meltCurve_G3V4W0_HNRNPC.pdf", "Melting_Curves/meltCurve_G3V4W0_HNRNPC.pdf")</f>
        <v>Melting_Curves/meltCurve_G3V4W0_HNRNPC.pdf</v>
      </c>
    </row>
    <row r="763" spans="1:28" x14ac:dyDescent="0.25">
      <c r="A763" t="s">
        <v>767</v>
      </c>
      <c r="B763">
        <v>0.99996721820229495</v>
      </c>
      <c r="C763">
        <v>0.90048068117466296</v>
      </c>
      <c r="D763">
        <v>0.88090612188452599</v>
      </c>
      <c r="E763">
        <v>1.0631479980766401</v>
      </c>
      <c r="F763">
        <v>1.36983860712767</v>
      </c>
      <c r="G763">
        <v>1.35945059361289</v>
      </c>
      <c r="H763">
        <v>1.0801496418389001</v>
      </c>
      <c r="I763">
        <v>0.852338504617282</v>
      </c>
      <c r="J763">
        <v>0.424118051615821</v>
      </c>
      <c r="K763">
        <v>0.88612096248185401</v>
      </c>
      <c r="L763">
        <v>15000</v>
      </c>
      <c r="M763">
        <v>234.086018092308</v>
      </c>
      <c r="O763">
        <v>64.074331698622501</v>
      </c>
      <c r="P763">
        <v>-0.31498767166713099</v>
      </c>
      <c r="Q763">
        <v>0.65512464721525299</v>
      </c>
      <c r="R763">
        <v>0.38629163421438301</v>
      </c>
      <c r="S763" t="s">
        <v>6589</v>
      </c>
      <c r="T763" t="s">
        <v>11650</v>
      </c>
      <c r="U763" t="s">
        <v>11650</v>
      </c>
      <c r="V763" t="s">
        <v>11650</v>
      </c>
      <c r="W763" t="s">
        <v>12401</v>
      </c>
      <c r="X763">
        <v>37</v>
      </c>
      <c r="Y763" t="s">
        <v>18161</v>
      </c>
      <c r="Z763" t="s">
        <v>23825</v>
      </c>
      <c r="AA763">
        <v>0.93197743953391665</v>
      </c>
      <c r="AB763" t="str">
        <f>HYPERLINK("Melting_Curves/meltCurve_G3V511_LTBP2.pdf", "Melting_Curves/meltCurve_G3V511_LTBP2.pdf")</f>
        <v>Melting_Curves/meltCurve_G3V511_LTBP2.pdf</v>
      </c>
    </row>
    <row r="764" spans="1:28" x14ac:dyDescent="0.25">
      <c r="A764" t="s">
        <v>768</v>
      </c>
      <c r="B764">
        <v>0.99996721820229495</v>
      </c>
      <c r="C764">
        <v>0.79203463982202904</v>
      </c>
      <c r="D764">
        <v>0.77094576207286403</v>
      </c>
      <c r="E764">
        <v>1.1139379888271701</v>
      </c>
      <c r="F764">
        <v>1.4036268212487999</v>
      </c>
      <c r="G764">
        <v>1.35088825401776</v>
      </c>
      <c r="H764">
        <v>0.99413589044629003</v>
      </c>
      <c r="I764">
        <v>0.91368422539750904</v>
      </c>
      <c r="J764">
        <v>0.639185810574466</v>
      </c>
      <c r="K764">
        <v>0.59661561066740199</v>
      </c>
      <c r="L764">
        <v>4850.2012853779897</v>
      </c>
      <c r="M764">
        <v>74.477240439895098</v>
      </c>
      <c r="O764">
        <v>65.076368838704198</v>
      </c>
      <c r="P764">
        <v>-0.116055116400915</v>
      </c>
      <c r="Q764">
        <v>0.59437576250318502</v>
      </c>
      <c r="R764">
        <v>0.41696547159674102</v>
      </c>
      <c r="S764" t="s">
        <v>6590</v>
      </c>
      <c r="T764" t="s">
        <v>11650</v>
      </c>
      <c r="U764" t="s">
        <v>11650</v>
      </c>
      <c r="V764" t="s">
        <v>11650</v>
      </c>
      <c r="W764" t="s">
        <v>12402</v>
      </c>
      <c r="X764">
        <v>3</v>
      </c>
      <c r="Y764" t="s">
        <v>18162</v>
      </c>
      <c r="Z764" t="s">
        <v>23826</v>
      </c>
      <c r="AA764">
        <v>0.93450789059849215</v>
      </c>
      <c r="AB764" t="str">
        <f>HYPERLINK("Melting_Curves/meltCurve_G3V560_NDUFA4L2.pdf", "Melting_Curves/meltCurve_G3V560_NDUFA4L2.pdf")</f>
        <v>Melting_Curves/meltCurve_G3V560_NDUFA4L2.pdf</v>
      </c>
    </row>
    <row r="765" spans="1:28" x14ac:dyDescent="0.25">
      <c r="A765" t="s">
        <v>769</v>
      </c>
      <c r="B765">
        <v>0.99996721820229495</v>
      </c>
      <c r="C765">
        <v>1.1034819836045799</v>
      </c>
      <c r="D765">
        <v>0.99973739839711995</v>
      </c>
      <c r="E765">
        <v>0.90493739516624105</v>
      </c>
      <c r="F765">
        <v>1.10903387409756</v>
      </c>
      <c r="G765">
        <v>1.0672489073081599</v>
      </c>
      <c r="H765">
        <v>0.72426152788100395</v>
      </c>
      <c r="I765">
        <v>0.60676428498828305</v>
      </c>
      <c r="J765">
        <v>0.498669682631324</v>
      </c>
      <c r="K765">
        <v>0.368385859530447</v>
      </c>
      <c r="L765">
        <v>1875.6260036471399</v>
      </c>
      <c r="M765">
        <v>30.109275331838301</v>
      </c>
      <c r="N765">
        <v>65.593763454437294</v>
      </c>
      <c r="O765">
        <v>62.021108611517697</v>
      </c>
      <c r="P765">
        <v>-7.4026771723060505E-2</v>
      </c>
      <c r="Q765">
        <v>0.39006264196056001</v>
      </c>
      <c r="R765">
        <v>0.92154964666828998</v>
      </c>
      <c r="S765" t="s">
        <v>6591</v>
      </c>
      <c r="T765" t="s">
        <v>11650</v>
      </c>
      <c r="U765" t="s">
        <v>11650</v>
      </c>
      <c r="V765" t="s">
        <v>11650</v>
      </c>
      <c r="W765" t="s">
        <v>12403</v>
      </c>
      <c r="X765">
        <v>8</v>
      </c>
      <c r="Y765" t="s">
        <v>18163</v>
      </c>
      <c r="Z765" t="s">
        <v>23827</v>
      </c>
      <c r="AA765">
        <v>0.84593711904241253</v>
      </c>
      <c r="AB765" t="str">
        <f>HYPERLINK("Melting_Curves/meltCurve_G3V583_FAM177A1.pdf", "Melting_Curves/meltCurve_G3V583_FAM177A1.pdf")</f>
        <v>Melting_Curves/meltCurve_G3V583_FAM177A1.pdf</v>
      </c>
    </row>
    <row r="766" spans="1:28" x14ac:dyDescent="0.25">
      <c r="A766" t="s">
        <v>770</v>
      </c>
      <c r="B766">
        <v>0.99996721820229495</v>
      </c>
      <c r="C766">
        <v>0.93936590890589899</v>
      </c>
      <c r="D766">
        <v>0.97274240046891802</v>
      </c>
      <c r="E766">
        <v>0.83505820896985405</v>
      </c>
      <c r="F766">
        <v>0.71168837358412596</v>
      </c>
      <c r="G766">
        <v>0.54498606198770005</v>
      </c>
      <c r="H766">
        <v>0.37830416673143002</v>
      </c>
      <c r="I766">
        <v>0.30983101779598199</v>
      </c>
      <c r="J766">
        <v>0.30075274126024099</v>
      </c>
      <c r="K766">
        <v>0.26072725356082499</v>
      </c>
      <c r="L766">
        <v>728.07213123039196</v>
      </c>
      <c r="M766">
        <v>13.1767375272957</v>
      </c>
      <c r="N766">
        <v>57.701563485974503</v>
      </c>
      <c r="O766">
        <v>54.028219124937998</v>
      </c>
      <c r="P766">
        <v>-4.7927686032639201E-2</v>
      </c>
      <c r="Q766">
        <v>0.21406537866695</v>
      </c>
      <c r="R766">
        <v>0.99574855074243196</v>
      </c>
      <c r="S766" t="s">
        <v>6592</v>
      </c>
      <c r="T766" t="s">
        <v>11650</v>
      </c>
      <c r="U766" t="s">
        <v>11650</v>
      </c>
      <c r="V766" t="s">
        <v>11650</v>
      </c>
      <c r="W766" t="s">
        <v>12404</v>
      </c>
      <c r="X766">
        <v>17</v>
      </c>
      <c r="Y766" t="s">
        <v>18164</v>
      </c>
      <c r="Z766" t="s">
        <v>23828</v>
      </c>
      <c r="AA766">
        <v>0.63040890194291632</v>
      </c>
      <c r="AB766" t="str">
        <f>HYPERLINK("Melting_Curves/meltCurve_G3V599_CTAGE5.pdf", "Melting_Curves/meltCurve_G3V599_CTAGE5.pdf")</f>
        <v>Melting_Curves/meltCurve_G3V599_CTAGE5.pdf</v>
      </c>
    </row>
    <row r="767" spans="1:28" x14ac:dyDescent="0.25">
      <c r="A767" t="s">
        <v>771</v>
      </c>
      <c r="B767">
        <v>0.99996721820229495</v>
      </c>
      <c r="C767">
        <v>0.96782918895713399</v>
      </c>
      <c r="D767">
        <v>0.85095400281441702</v>
      </c>
      <c r="E767">
        <v>0.80530808449760005</v>
      </c>
      <c r="F767">
        <v>0.93641318420446296</v>
      </c>
      <c r="G767">
        <v>0.72405930681040398</v>
      </c>
      <c r="H767">
        <v>0.34923560411635002</v>
      </c>
      <c r="I767">
        <v>0.265710530701741</v>
      </c>
      <c r="J767">
        <v>0.111922594908033</v>
      </c>
      <c r="K767">
        <v>0.13239137420084701</v>
      </c>
      <c r="L767">
        <v>925.38058167978704</v>
      </c>
      <c r="M767">
        <v>15.5650205113855</v>
      </c>
      <c r="N767">
        <v>59.490110757080203</v>
      </c>
      <c r="O767">
        <v>58.497167121723699</v>
      </c>
      <c r="P767">
        <v>-6.6201163722644299E-2</v>
      </c>
      <c r="Q767">
        <v>4.8860830309018898E-3</v>
      </c>
      <c r="R767">
        <v>0.95183479376532298</v>
      </c>
      <c r="S767" t="s">
        <v>6593</v>
      </c>
      <c r="T767" t="s">
        <v>11650</v>
      </c>
      <c r="U767" t="s">
        <v>11650</v>
      </c>
      <c r="V767" t="s">
        <v>11650</v>
      </c>
      <c r="W767" t="s">
        <v>12405</v>
      </c>
      <c r="X767">
        <v>1</v>
      </c>
      <c r="Y767" t="s">
        <v>18165</v>
      </c>
      <c r="Z767" t="s">
        <v>23829</v>
      </c>
      <c r="AA767">
        <v>0.65930219115471578</v>
      </c>
      <c r="AB767" t="str">
        <f>HYPERLINK("Melting_Curves/meltCurve_G3V5I3_SERPINA3.pdf", "Melting_Curves/meltCurve_G3V5I3_SERPINA3.pdf")</f>
        <v>Melting_Curves/meltCurve_G3V5I3_SERPINA3.pdf</v>
      </c>
    </row>
    <row r="768" spans="1:28" x14ac:dyDescent="0.25">
      <c r="A768" t="s">
        <v>772</v>
      </c>
      <c r="B768">
        <v>0.99996721820229495</v>
      </c>
      <c r="C768">
        <v>0.95381615840218104</v>
      </c>
      <c r="D768">
        <v>0.72645042665416304</v>
      </c>
      <c r="E768">
        <v>0.36401164395832297</v>
      </c>
      <c r="F768">
        <v>0.29573976336151597</v>
      </c>
      <c r="G768">
        <v>0.263900640290266</v>
      </c>
      <c r="H768">
        <v>0.177601890360501</v>
      </c>
      <c r="I768">
        <v>0.140916945056557</v>
      </c>
      <c r="J768">
        <v>0.103188002110721</v>
      </c>
      <c r="K768">
        <v>9.8670337998077298E-2</v>
      </c>
      <c r="L768">
        <v>891.52291549281904</v>
      </c>
      <c r="M768">
        <v>18.5944583183155</v>
      </c>
      <c r="N768">
        <v>48.811619080454498</v>
      </c>
      <c r="O768">
        <v>47.401402138607097</v>
      </c>
      <c r="P768">
        <v>-8.42940164414369E-2</v>
      </c>
      <c r="Q768">
        <v>0.140500553915717</v>
      </c>
      <c r="R768">
        <v>0.98521875906516199</v>
      </c>
      <c r="S768" t="s">
        <v>6594</v>
      </c>
      <c r="T768" t="s">
        <v>11650</v>
      </c>
      <c r="U768" t="s">
        <v>11650</v>
      </c>
      <c r="V768" t="s">
        <v>11650</v>
      </c>
      <c r="W768" t="s">
        <v>12406</v>
      </c>
      <c r="X768">
        <v>17</v>
      </c>
      <c r="Y768" t="s">
        <v>18166</v>
      </c>
      <c r="Z768" t="s">
        <v>23830</v>
      </c>
      <c r="AA768">
        <v>0.38241036515303178</v>
      </c>
      <c r="AB768" t="str">
        <f>HYPERLINK("Melting_Curves/meltCurve_G3V5N8_ZFYVE1.pdf", "Melting_Curves/meltCurve_G3V5N8_ZFYVE1.pdf")</f>
        <v>Melting_Curves/meltCurve_G3V5N8_ZFYVE1.pdf</v>
      </c>
    </row>
    <row r="769" spans="1:28" x14ac:dyDescent="0.25">
      <c r="A769" t="s">
        <v>773</v>
      </c>
      <c r="B769">
        <v>0.99996721820229495</v>
      </c>
      <c r="C769">
        <v>1.15883464048757</v>
      </c>
      <c r="D769">
        <v>1.05266074263231</v>
      </c>
      <c r="E769">
        <v>0.89961499919542698</v>
      </c>
      <c r="F769">
        <v>0.57183002731165999</v>
      </c>
      <c r="G769">
        <v>0.314931864477069</v>
      </c>
      <c r="H769">
        <v>0.16850815986335499</v>
      </c>
      <c r="I769">
        <v>0.153611927592157</v>
      </c>
      <c r="J769">
        <v>0.134247306492948</v>
      </c>
      <c r="K769">
        <v>9.9277723527481002E-2</v>
      </c>
      <c r="L769">
        <v>1375.7438271112601</v>
      </c>
      <c r="M769">
        <v>25.738255339848902</v>
      </c>
      <c r="N769">
        <v>54.0854638818561</v>
      </c>
      <c r="O769">
        <v>53.131793234574303</v>
      </c>
      <c r="P769">
        <v>-0.105333244976701</v>
      </c>
      <c r="Q769">
        <v>0.13024769354902599</v>
      </c>
      <c r="R769">
        <v>0.97912829100101195</v>
      </c>
      <c r="S769" t="s">
        <v>6595</v>
      </c>
      <c r="T769" t="s">
        <v>11650</v>
      </c>
      <c r="U769" t="s">
        <v>11650</v>
      </c>
      <c r="V769" t="s">
        <v>11650</v>
      </c>
      <c r="W769" t="s">
        <v>12407</v>
      </c>
      <c r="X769">
        <v>6</v>
      </c>
      <c r="Y769" t="s">
        <v>18167</v>
      </c>
      <c r="Z769" t="s">
        <v>23831</v>
      </c>
      <c r="AA769">
        <v>0.52783173858827392</v>
      </c>
      <c r="AB769" t="str">
        <f>HYPERLINK("Melting_Curves/meltCurve_G3V5T0_GSTZ1.pdf", "Melting_Curves/meltCurve_G3V5T0_GSTZ1.pdf")</f>
        <v>Melting_Curves/meltCurve_G3V5T0_GSTZ1.pdf</v>
      </c>
    </row>
    <row r="770" spans="1:28" x14ac:dyDescent="0.25">
      <c r="A770" t="s">
        <v>774</v>
      </c>
      <c r="B770">
        <v>0.99996721820229495</v>
      </c>
      <c r="C770">
        <v>1.0227092603380401</v>
      </c>
      <c r="D770">
        <v>0.92288148949914695</v>
      </c>
      <c r="E770">
        <v>0.91270466429657604</v>
      </c>
      <c r="F770">
        <v>1.2327063951158601</v>
      </c>
      <c r="G770">
        <v>1.16023323296277</v>
      </c>
      <c r="H770">
        <v>0.61808659675585997</v>
      </c>
      <c r="I770">
        <v>0.45669256126897601</v>
      </c>
      <c r="J770">
        <v>0.27892242842296899</v>
      </c>
      <c r="K770">
        <v>0.21055475136544699</v>
      </c>
      <c r="L770">
        <v>2571.2461898021002</v>
      </c>
      <c r="M770">
        <v>41.806268862710802</v>
      </c>
      <c r="N770">
        <v>62.5604338639831</v>
      </c>
      <c r="O770">
        <v>61.363619787898003</v>
      </c>
      <c r="P770">
        <v>-0.12719486218975801</v>
      </c>
      <c r="Q770">
        <v>0.25321024699414602</v>
      </c>
      <c r="R770">
        <v>0.90208823366137103</v>
      </c>
      <c r="S770" t="s">
        <v>6596</v>
      </c>
      <c r="T770" t="s">
        <v>11650</v>
      </c>
      <c r="U770" t="s">
        <v>11650</v>
      </c>
      <c r="V770" t="s">
        <v>11650</v>
      </c>
      <c r="W770" t="s">
        <v>12408</v>
      </c>
      <c r="X770">
        <v>3</v>
      </c>
      <c r="Y770" t="s">
        <v>18168</v>
      </c>
      <c r="Z770" t="s">
        <v>23832</v>
      </c>
      <c r="AA770">
        <v>0.79109682836141793</v>
      </c>
      <c r="AB770" t="str">
        <f>HYPERLINK("Melting_Curves/meltCurve_G3V5T9_CDK2.pdf", "Melting_Curves/meltCurve_G3V5T9_CDK2.pdf")</f>
        <v>Melting_Curves/meltCurve_G3V5T9_CDK2.pdf</v>
      </c>
    </row>
    <row r="771" spans="1:28" x14ac:dyDescent="0.25">
      <c r="A771" t="s">
        <v>775</v>
      </c>
      <c r="B771">
        <v>0.99996721820229495</v>
      </c>
      <c r="C771">
        <v>0.98997650988674202</v>
      </c>
      <c r="D771">
        <v>0.96982726523461305</v>
      </c>
      <c r="E771">
        <v>1.1377325818291</v>
      </c>
      <c r="F771">
        <v>1.97483754778659</v>
      </c>
      <c r="G771">
        <v>3.1994442877689999</v>
      </c>
      <c r="H771">
        <v>3.6038505484050201</v>
      </c>
      <c r="I771">
        <v>2.0909481852754999</v>
      </c>
      <c r="J771">
        <v>0.39352701759436498</v>
      </c>
      <c r="K771">
        <v>1.92190740685192</v>
      </c>
      <c r="S771" t="s">
        <v>6597</v>
      </c>
      <c r="T771" t="s">
        <v>11650</v>
      </c>
      <c r="U771" t="s">
        <v>11651</v>
      </c>
      <c r="V771" t="s">
        <v>11650</v>
      </c>
      <c r="W771" t="s">
        <v>12409</v>
      </c>
      <c r="X771">
        <v>12</v>
      </c>
      <c r="Y771" t="s">
        <v>18169</v>
      </c>
      <c r="Z771" t="s">
        <v>23833</v>
      </c>
      <c r="AB771" t="str">
        <f>HYPERLINK("Melting_Curves/meltCurve_G3V5Z7_PSMA6.pdf", "Melting_Curves/meltCurve_G3V5Z7_PSMA6.pdf")</f>
        <v>Melting_Curves/meltCurve_G3V5Z7_PSMA6.pdf</v>
      </c>
    </row>
    <row r="772" spans="1:28" x14ac:dyDescent="0.25">
      <c r="A772" t="s">
        <v>776</v>
      </c>
      <c r="B772">
        <v>0.99996721820229495</v>
      </c>
      <c r="C772">
        <v>0.98557527330496797</v>
      </c>
      <c r="D772">
        <v>1.0482970910782401</v>
      </c>
      <c r="E772">
        <v>1.3586481406330999</v>
      </c>
      <c r="F772">
        <v>1.12721781484505</v>
      </c>
      <c r="G772">
        <v>0.39391328085200999</v>
      </c>
      <c r="H772">
        <v>0.191933254269163</v>
      </c>
      <c r="I772">
        <v>0.151976707050578</v>
      </c>
      <c r="J772">
        <v>9.2460419553927406E-2</v>
      </c>
      <c r="K772">
        <v>8.6965180906883405E-2</v>
      </c>
      <c r="L772">
        <v>14202.429676752199</v>
      </c>
      <c r="M772">
        <v>250</v>
      </c>
      <c r="N772">
        <v>56.878738701680497</v>
      </c>
      <c r="O772">
        <v>56.806077032394299</v>
      </c>
      <c r="P772">
        <v>-0.95628636068957995</v>
      </c>
      <c r="Q772">
        <v>0.13083387881523301</v>
      </c>
      <c r="R772">
        <v>0.93188486730583497</v>
      </c>
      <c r="S772" t="s">
        <v>6598</v>
      </c>
      <c r="T772" t="s">
        <v>11650</v>
      </c>
      <c r="U772" t="s">
        <v>11650</v>
      </c>
      <c r="V772" t="s">
        <v>11650</v>
      </c>
      <c r="W772" t="s">
        <v>12410</v>
      </c>
      <c r="X772">
        <v>6</v>
      </c>
      <c r="Y772" t="s">
        <v>18170</v>
      </c>
      <c r="Z772" t="s">
        <v>23834</v>
      </c>
      <c r="AA772">
        <v>0.61793513505309328</v>
      </c>
      <c r="AB772" t="str">
        <f>HYPERLINK("Melting_Curves/meltCurve_G3XA81_TMEM48.pdf", "Melting_Curves/meltCurve_G3XA81_TMEM48.pdf")</f>
        <v>Melting_Curves/meltCurve_G3XA81_TMEM48.pdf</v>
      </c>
    </row>
    <row r="773" spans="1:28" x14ac:dyDescent="0.25">
      <c r="A773" t="s">
        <v>777</v>
      </c>
      <c r="B773">
        <v>0.99996721820229495</v>
      </c>
      <c r="C773">
        <v>1.0838226705313201</v>
      </c>
      <c r="D773">
        <v>1.0029261168772201</v>
      </c>
      <c r="E773">
        <v>0.80097177038029199</v>
      </c>
      <c r="F773">
        <v>0.99074546960535803</v>
      </c>
      <c r="G773">
        <v>1.48000449709468</v>
      </c>
      <c r="H773">
        <v>0.99167310810232701</v>
      </c>
      <c r="I773">
        <v>0.86108610572467503</v>
      </c>
      <c r="J773">
        <v>0.85325231046171401</v>
      </c>
      <c r="K773">
        <v>0.60564723842046897</v>
      </c>
      <c r="L773">
        <v>1838.4916337228699</v>
      </c>
      <c r="M773">
        <v>26.143489533665001</v>
      </c>
      <c r="O773">
        <v>69.915526537887601</v>
      </c>
      <c r="P773">
        <v>-7.7513600871364399E-2</v>
      </c>
      <c r="Q773">
        <v>0.17083092413989201</v>
      </c>
      <c r="R773">
        <v>0.38088433164715602</v>
      </c>
      <c r="S773" t="s">
        <v>6599</v>
      </c>
      <c r="T773" t="s">
        <v>11650</v>
      </c>
      <c r="U773" t="s">
        <v>11650</v>
      </c>
      <c r="V773" t="s">
        <v>11650</v>
      </c>
      <c r="W773" t="s">
        <v>12411</v>
      </c>
      <c r="X773">
        <v>4</v>
      </c>
      <c r="Y773" t="s">
        <v>18171</v>
      </c>
      <c r="Z773" t="s">
        <v>23835</v>
      </c>
      <c r="AA773">
        <v>0.9569671172651899</v>
      </c>
      <c r="AB773" t="str">
        <f>HYPERLINK("Melting_Curves/meltCurve_G3XAA0_ARID1B.pdf", "Melting_Curves/meltCurve_G3XAA0_ARID1B.pdf")</f>
        <v>Melting_Curves/meltCurve_G3XAA0_ARID1B.pdf</v>
      </c>
    </row>
    <row r="774" spans="1:28" x14ac:dyDescent="0.25">
      <c r="A774" t="s">
        <v>778</v>
      </c>
      <c r="B774">
        <v>0.99996721820229495</v>
      </c>
      <c r="C774">
        <v>1.0156530916528499</v>
      </c>
      <c r="D774">
        <v>0.94126077656078599</v>
      </c>
      <c r="E774">
        <v>0.772402102251464</v>
      </c>
      <c r="F774">
        <v>0.37276623811327297</v>
      </c>
      <c r="G774">
        <v>0.32999914394049901</v>
      </c>
      <c r="H774">
        <v>0.249579446723491</v>
      </c>
      <c r="I774">
        <v>0.150641487292412</v>
      </c>
      <c r="J774">
        <v>0.110478654820978</v>
      </c>
      <c r="K774">
        <v>0.116749297087132</v>
      </c>
      <c r="L774">
        <v>1088.4241221351599</v>
      </c>
      <c r="M774">
        <v>21.053013275861701</v>
      </c>
      <c r="N774">
        <v>52.5777466375011</v>
      </c>
      <c r="O774">
        <v>51.239539126204797</v>
      </c>
      <c r="P774">
        <v>-8.7489488587990494E-2</v>
      </c>
      <c r="Q774">
        <v>0.14828308328744999</v>
      </c>
      <c r="R774">
        <v>0.98012921683120802</v>
      </c>
      <c r="S774" t="s">
        <v>6600</v>
      </c>
      <c r="T774" t="s">
        <v>11650</v>
      </c>
      <c r="U774" t="s">
        <v>11650</v>
      </c>
      <c r="V774" t="s">
        <v>11650</v>
      </c>
      <c r="W774" t="s">
        <v>12412</v>
      </c>
      <c r="X774">
        <v>9</v>
      </c>
      <c r="Y774" t="s">
        <v>18172</v>
      </c>
      <c r="Z774" t="s">
        <v>23836</v>
      </c>
      <c r="AA774">
        <v>0.49117056389056019</v>
      </c>
      <c r="AB774" t="str">
        <f>HYPERLINK("Melting_Curves/meltCurve_G3XAH6_PAPOLA.pdf", "Melting_Curves/meltCurve_G3XAH6_PAPOLA.pdf")</f>
        <v>Melting_Curves/meltCurve_G3XAH6_PAPOLA.pdf</v>
      </c>
    </row>
    <row r="775" spans="1:28" x14ac:dyDescent="0.25">
      <c r="A775" t="s">
        <v>779</v>
      </c>
      <c r="B775">
        <v>0.99996721820229495</v>
      </c>
      <c r="C775">
        <v>0.92621530551159603</v>
      </c>
      <c r="D775">
        <v>1.0022955169421399</v>
      </c>
      <c r="E775">
        <v>1.25428752090496</v>
      </c>
      <c r="F775">
        <v>1.1989739842531999</v>
      </c>
      <c r="G775">
        <v>0.63278597613371201</v>
      </c>
      <c r="H775">
        <v>0.387154033785503</v>
      </c>
      <c r="I775">
        <v>0.231797443951825</v>
      </c>
      <c r="J775">
        <v>0.15416456023786301</v>
      </c>
      <c r="K775">
        <v>0.18254527352542399</v>
      </c>
      <c r="L775">
        <v>2186.70122790919</v>
      </c>
      <c r="M775">
        <v>37.823229032064702</v>
      </c>
      <c r="N775">
        <v>58.608690482649102</v>
      </c>
      <c r="O775">
        <v>57.652820069463402</v>
      </c>
      <c r="P775">
        <v>-0.13110190894068099</v>
      </c>
      <c r="Q775">
        <v>0.20066327525560301</v>
      </c>
      <c r="R775">
        <v>0.91783599276063199</v>
      </c>
      <c r="S775" t="s">
        <v>6601</v>
      </c>
      <c r="T775" t="s">
        <v>11650</v>
      </c>
      <c r="U775" t="s">
        <v>11650</v>
      </c>
      <c r="V775" t="s">
        <v>11650</v>
      </c>
      <c r="W775" t="s">
        <v>12413</v>
      </c>
      <c r="X775">
        <v>68</v>
      </c>
      <c r="Y775" t="s">
        <v>18173</v>
      </c>
      <c r="Z775" t="s">
        <v>23837</v>
      </c>
      <c r="AA775">
        <v>0.67879085202155687</v>
      </c>
      <c r="AB775" t="str">
        <f>HYPERLINK("Melting_Curves/meltCurve_G3XAI2_LAMB1.pdf", "Melting_Curves/meltCurve_G3XAI2_LAMB1.pdf")</f>
        <v>Melting_Curves/meltCurve_G3XAI2_LAMB1.pdf</v>
      </c>
    </row>
    <row r="776" spans="1:28" x14ac:dyDescent="0.25">
      <c r="A776" t="s">
        <v>780</v>
      </c>
      <c r="B776">
        <v>0.99996721820229495</v>
      </c>
      <c r="C776">
        <v>1.0118627759513901</v>
      </c>
      <c r="D776">
        <v>0.783292952668174</v>
      </c>
      <c r="E776">
        <v>0.40407979093601998</v>
      </c>
      <c r="F776">
        <v>0.593558585064897</v>
      </c>
      <c r="G776">
        <v>0.59014050774737103</v>
      </c>
      <c r="H776">
        <v>0.47387439156241801</v>
      </c>
      <c r="I776">
        <v>0.38751929551215902</v>
      </c>
      <c r="J776">
        <v>0.23890944810640999</v>
      </c>
      <c r="K776">
        <v>0.2184344532825</v>
      </c>
      <c r="L776">
        <v>406.82952657235001</v>
      </c>
      <c r="M776">
        <v>7.7698455077449298</v>
      </c>
      <c r="N776">
        <v>55.577227017359803</v>
      </c>
      <c r="O776">
        <v>49.2309853172817</v>
      </c>
      <c r="P776">
        <v>-3.2350833537834897E-2</v>
      </c>
      <c r="Q776">
        <v>0.18111236932956701</v>
      </c>
      <c r="R776">
        <v>0.826963821114855</v>
      </c>
      <c r="S776" t="s">
        <v>6602</v>
      </c>
      <c r="T776" t="s">
        <v>11650</v>
      </c>
      <c r="U776" t="s">
        <v>11650</v>
      </c>
      <c r="V776" t="s">
        <v>11650</v>
      </c>
      <c r="W776" t="s">
        <v>12414</v>
      </c>
      <c r="X776">
        <v>2</v>
      </c>
      <c r="Y776" t="s">
        <v>18174</v>
      </c>
      <c r="Z776" t="s">
        <v>23838</v>
      </c>
      <c r="AA776">
        <v>0.5560541177935977</v>
      </c>
      <c r="AB776" t="str">
        <f>HYPERLINK("Melting_Curves/meltCurve_G3XAJ1_RNASEH2B.pdf", "Melting_Curves/meltCurve_G3XAJ1_RNASEH2B.pdf")</f>
        <v>Melting_Curves/meltCurve_G3XAJ1_RNASEH2B.pdf</v>
      </c>
    </row>
    <row r="777" spans="1:28" x14ac:dyDescent="0.25">
      <c r="A777" t="s">
        <v>781</v>
      </c>
      <c r="B777">
        <v>0.99996721820229495</v>
      </c>
      <c r="C777">
        <v>0.70587731984982505</v>
      </c>
      <c r="D777">
        <v>0.70650011287016201</v>
      </c>
      <c r="E777">
        <v>0.81876685844108399</v>
      </c>
      <c r="F777">
        <v>1.19118136053962</v>
      </c>
      <c r="G777">
        <v>1.60238031168662</v>
      </c>
      <c r="H777">
        <v>1.2520204419481</v>
      </c>
      <c r="I777">
        <v>0.89234086759192599</v>
      </c>
      <c r="J777">
        <v>0.865172813975296</v>
      </c>
      <c r="K777">
        <v>0.46170494780925098</v>
      </c>
      <c r="L777">
        <v>2962.2829249346</v>
      </c>
      <c r="M777">
        <v>42.463937603692202</v>
      </c>
      <c r="N777">
        <v>69.7599679333632</v>
      </c>
      <c r="O777">
        <v>69.605773371774305</v>
      </c>
      <c r="P777">
        <v>-0.15251607397749001</v>
      </c>
      <c r="Q777">
        <v>0</v>
      </c>
      <c r="R777">
        <v>0.29637806574556202</v>
      </c>
      <c r="S777" t="s">
        <v>6603</v>
      </c>
      <c r="T777" t="s">
        <v>11650</v>
      </c>
      <c r="U777" t="s">
        <v>11650</v>
      </c>
      <c r="V777" t="s">
        <v>11650</v>
      </c>
      <c r="W777" t="s">
        <v>12415</v>
      </c>
      <c r="X777">
        <v>1</v>
      </c>
      <c r="Y777" t="s">
        <v>18175</v>
      </c>
      <c r="Z777" t="s">
        <v>23839</v>
      </c>
      <c r="AA777">
        <v>0.9598684595183633</v>
      </c>
      <c r="AB777" t="str">
        <f>HYPERLINK("Melting_Curves/meltCurve_G3XAN4_TRAM1.pdf", "Melting_Curves/meltCurve_G3XAN4_TRAM1.pdf")</f>
        <v>Melting_Curves/meltCurve_G3XAN4_TRAM1.pdf</v>
      </c>
    </row>
    <row r="778" spans="1:28" x14ac:dyDescent="0.25">
      <c r="A778" t="s">
        <v>782</v>
      </c>
      <c r="B778">
        <v>0.99996721820229495</v>
      </c>
      <c r="C778">
        <v>0.95231645468785098</v>
      </c>
      <c r="D778">
        <v>1.0586390239519301</v>
      </c>
      <c r="E778">
        <v>1.10782425395534</v>
      </c>
      <c r="F778">
        <v>1.6480570072473599</v>
      </c>
      <c r="G778">
        <v>1.6642310619666401</v>
      </c>
      <c r="H778">
        <v>1.17698474612056</v>
      </c>
      <c r="I778">
        <v>1.1716881373441901</v>
      </c>
      <c r="J778">
        <v>0.98765306223562699</v>
      </c>
      <c r="K778">
        <v>0.58748313466062896</v>
      </c>
      <c r="L778">
        <v>15000</v>
      </c>
      <c r="M778">
        <v>220.399415967316</v>
      </c>
      <c r="O778">
        <v>68.052653066117301</v>
      </c>
      <c r="P778">
        <v>-0.33473941314511002</v>
      </c>
      <c r="Q778">
        <v>0.58657049981086895</v>
      </c>
      <c r="R778">
        <v>-1.4294376896964099E-2</v>
      </c>
      <c r="S778" t="s">
        <v>6604</v>
      </c>
      <c r="T778" t="s">
        <v>11650</v>
      </c>
      <c r="U778" t="s">
        <v>11650</v>
      </c>
      <c r="V778" t="s">
        <v>11650</v>
      </c>
      <c r="W778" t="s">
        <v>12416</v>
      </c>
      <c r="X778">
        <v>4</v>
      </c>
      <c r="Y778" t="s">
        <v>18176</v>
      </c>
      <c r="Z778" t="s">
        <v>23840</v>
      </c>
      <c r="AA778">
        <v>0.9732943626845022</v>
      </c>
      <c r="AB778" t="str">
        <f>HYPERLINK("Melting_Curves/meltCurve_G3XAN8_TIMM8B.pdf", "Melting_Curves/meltCurve_G3XAN8_TIMM8B.pdf")</f>
        <v>Melting_Curves/meltCurve_G3XAN8_TIMM8B.pdf</v>
      </c>
    </row>
    <row r="779" spans="1:28" x14ac:dyDescent="0.25">
      <c r="A779" t="s">
        <v>783</v>
      </c>
      <c r="B779">
        <v>0.99996721820229495</v>
      </c>
      <c r="C779">
        <v>0.87411435885469901</v>
      </c>
      <c r="D779">
        <v>0.88476052974241204</v>
      </c>
      <c r="E779">
        <v>1.0093836412096699</v>
      </c>
      <c r="F779">
        <v>1.19808094188398</v>
      </c>
      <c r="G779">
        <v>1.0486933598805399</v>
      </c>
      <c r="H779">
        <v>0.60410743701491698</v>
      </c>
      <c r="I779">
        <v>0.39283260796604702</v>
      </c>
      <c r="J779">
        <v>0.36681496003476</v>
      </c>
      <c r="K779">
        <v>0.31070571014079701</v>
      </c>
      <c r="L779">
        <v>4807.1602959922902</v>
      </c>
      <c r="M779">
        <v>79.2375391468467</v>
      </c>
      <c r="N779">
        <v>61.617013474931099</v>
      </c>
      <c r="O779">
        <v>60.6291047887402</v>
      </c>
      <c r="P779">
        <v>-0.21155852335810299</v>
      </c>
      <c r="Q779">
        <v>0.35249872549994998</v>
      </c>
      <c r="R779">
        <v>0.92105719146577203</v>
      </c>
      <c r="S779" t="s">
        <v>6605</v>
      </c>
      <c r="T779" t="s">
        <v>11650</v>
      </c>
      <c r="U779" t="s">
        <v>11650</v>
      </c>
      <c r="V779" t="s">
        <v>11650</v>
      </c>
      <c r="W779" t="s">
        <v>12417</v>
      </c>
      <c r="X779">
        <v>3</v>
      </c>
      <c r="Y779" t="s">
        <v>18177</v>
      </c>
      <c r="Z779" t="s">
        <v>23841</v>
      </c>
      <c r="AA779">
        <v>0.79926478727724393</v>
      </c>
      <c r="AB779" t="str">
        <f>HYPERLINK("Melting_Curves/meltCurve_G3XAP3_ABCB8.pdf", "Melting_Curves/meltCurve_G3XAP3_ABCB8.pdf")</f>
        <v>Melting_Curves/meltCurve_G3XAP3_ABCB8.pdf</v>
      </c>
    </row>
    <row r="780" spans="1:28" x14ac:dyDescent="0.25">
      <c r="A780" t="s">
        <v>784</v>
      </c>
      <c r="B780">
        <v>0.99996721820229495</v>
      </c>
      <c r="C780">
        <v>0.92817476820714995</v>
      </c>
      <c r="D780">
        <v>0.78913239940088897</v>
      </c>
      <c r="E780">
        <v>0.73673728875615396</v>
      </c>
      <c r="F780">
        <v>0.47743526422925903</v>
      </c>
      <c r="G780">
        <v>0.30977472658745298</v>
      </c>
      <c r="H780">
        <v>0.15291806249356901</v>
      </c>
      <c r="I780">
        <v>9.8501925745186195E-2</v>
      </c>
      <c r="J780">
        <v>4.9086922948442198E-2</v>
      </c>
      <c r="K780">
        <v>7.8224781401669302E-2</v>
      </c>
      <c r="L780">
        <v>633.88279587208103</v>
      </c>
      <c r="M780">
        <v>11.97687473087</v>
      </c>
      <c r="N780">
        <v>52.925556668930398</v>
      </c>
      <c r="O780">
        <v>51.514837836371498</v>
      </c>
      <c r="P780">
        <v>-5.8137538693557998E-2</v>
      </c>
      <c r="Q780">
        <v>0</v>
      </c>
      <c r="R780">
        <v>0.99010152999793899</v>
      </c>
      <c r="S780" t="s">
        <v>6606</v>
      </c>
      <c r="T780" t="s">
        <v>11650</v>
      </c>
      <c r="U780" t="s">
        <v>11650</v>
      </c>
      <c r="V780" t="s">
        <v>11650</v>
      </c>
      <c r="W780" t="s">
        <v>12418</v>
      </c>
      <c r="X780">
        <v>4</v>
      </c>
      <c r="Y780" t="s">
        <v>18178</v>
      </c>
      <c r="Z780" t="s">
        <v>23842</v>
      </c>
      <c r="AA780">
        <v>0.45955052429719673</v>
      </c>
      <c r="AB780" t="str">
        <f>HYPERLINK("Melting_Curves/meltCurve_G3XAP6_COMP.pdf", "Melting_Curves/meltCurve_G3XAP6_COMP.pdf")</f>
        <v>Melting_Curves/meltCurve_G3XAP6_COMP.pdf</v>
      </c>
    </row>
    <row r="781" spans="1:28" x14ac:dyDescent="0.25">
      <c r="A781" t="s">
        <v>785</v>
      </c>
      <c r="B781">
        <v>0.99996721820229495</v>
      </c>
      <c r="C781">
        <v>0.75630822633029704</v>
      </c>
      <c r="D781">
        <v>0.72389818225673797</v>
      </c>
      <c r="E781">
        <v>0.94106832152312603</v>
      </c>
      <c r="F781">
        <v>1.00253202381465</v>
      </c>
      <c r="G781">
        <v>0.54924003067821803</v>
      </c>
      <c r="H781">
        <v>0.68547907955627196</v>
      </c>
      <c r="I781">
        <v>0.52318588707321101</v>
      </c>
      <c r="J781">
        <v>0.55587280433202502</v>
      </c>
      <c r="K781">
        <v>1.02374376914242</v>
      </c>
      <c r="L781">
        <v>326.86171154307902</v>
      </c>
      <c r="M781">
        <v>7.1794337032169402</v>
      </c>
      <c r="O781">
        <v>42.3926144296545</v>
      </c>
      <c r="P781">
        <v>-1.36579138931781E-2</v>
      </c>
      <c r="Q781">
        <v>0.67795891339903203</v>
      </c>
      <c r="R781">
        <v>0.14094045308068301</v>
      </c>
      <c r="S781" t="s">
        <v>6607</v>
      </c>
      <c r="T781" t="s">
        <v>11650</v>
      </c>
      <c r="U781" t="s">
        <v>11650</v>
      </c>
      <c r="V781" t="s">
        <v>11650</v>
      </c>
      <c r="W781" t="s">
        <v>12419</v>
      </c>
      <c r="X781">
        <v>18</v>
      </c>
      <c r="Y781" t="s">
        <v>18179</v>
      </c>
      <c r="Z781" t="s">
        <v>23843</v>
      </c>
      <c r="AA781">
        <v>0.77096307650350571</v>
      </c>
      <c r="AB781" t="str">
        <f>HYPERLINK("Melting_Curves/meltCurve_G5E972_TMPO.pdf", "Melting_Curves/meltCurve_G5E972_TMPO.pdf")</f>
        <v>Melting_Curves/meltCurve_G5E972_TMPO.pdf</v>
      </c>
    </row>
    <row r="782" spans="1:28" x14ac:dyDescent="0.25">
      <c r="A782" t="s">
        <v>786</v>
      </c>
      <c r="B782">
        <v>0.99996721820229495</v>
      </c>
      <c r="C782">
        <v>0.65555705729539704</v>
      </c>
      <c r="D782">
        <v>0.93000457317042895</v>
      </c>
      <c r="E782">
        <v>1.1606798862447001</v>
      </c>
      <c r="F782">
        <v>1.4324355142226599</v>
      </c>
      <c r="G782">
        <v>1.34758302414547</v>
      </c>
      <c r="H782">
        <v>0.95293835787681902</v>
      </c>
      <c r="I782">
        <v>0.40145063170065598</v>
      </c>
      <c r="J782">
        <v>0.19091586167834401</v>
      </c>
      <c r="K782">
        <v>0.26889254850345201</v>
      </c>
      <c r="L782">
        <v>5412.0102522034204</v>
      </c>
      <c r="M782">
        <v>85.828758796039907</v>
      </c>
      <c r="N782">
        <v>63.508026838922298</v>
      </c>
      <c r="O782">
        <v>63.0216996042099</v>
      </c>
      <c r="P782">
        <v>-0.26264016590525902</v>
      </c>
      <c r="Q782">
        <v>0.228602246778559</v>
      </c>
      <c r="R782">
        <v>0.73390404705777501</v>
      </c>
      <c r="S782" t="s">
        <v>6608</v>
      </c>
      <c r="T782" t="s">
        <v>11650</v>
      </c>
      <c r="U782" t="s">
        <v>11650</v>
      </c>
      <c r="V782" t="s">
        <v>11650</v>
      </c>
      <c r="W782" t="s">
        <v>12420</v>
      </c>
      <c r="X782">
        <v>5</v>
      </c>
      <c r="Y782" t="s">
        <v>18180</v>
      </c>
      <c r="Z782" t="s">
        <v>23844</v>
      </c>
      <c r="AA782">
        <v>0.82216541245012387</v>
      </c>
      <c r="AB782" t="str">
        <f>HYPERLINK("Melting_Curves/meltCurve_G5E994_GPR107.pdf", "Melting_Curves/meltCurve_G5E994_GPR107.pdf")</f>
        <v>Melting_Curves/meltCurve_G5E994_GPR107.pdf</v>
      </c>
    </row>
    <row r="783" spans="1:28" x14ac:dyDescent="0.25">
      <c r="A783" t="s">
        <v>787</v>
      </c>
      <c r="B783">
        <v>0.99996721820229495</v>
      </c>
      <c r="C783">
        <v>0.91711805542422897</v>
      </c>
      <c r="D783">
        <v>0.40597454615792899</v>
      </c>
      <c r="E783">
        <v>0.24317660192016799</v>
      </c>
      <c r="F783">
        <v>0.21351855417969701</v>
      </c>
      <c r="G783">
        <v>0.18908432906095701</v>
      </c>
      <c r="H783">
        <v>0.115143969057974</v>
      </c>
      <c r="I783">
        <v>8.2940954997415106E-2</v>
      </c>
      <c r="J783">
        <v>5.3096679828382301E-2</v>
      </c>
      <c r="K783">
        <v>4.0238714236932302E-2</v>
      </c>
      <c r="L783">
        <v>1536.8667056117899</v>
      </c>
      <c r="M783">
        <v>33.980304151535101</v>
      </c>
      <c r="N783">
        <v>45.614968447874602</v>
      </c>
      <c r="O783">
        <v>45.0723865192926</v>
      </c>
      <c r="P783">
        <v>-0.164884648091566</v>
      </c>
      <c r="Q783">
        <v>0.12517391513527501</v>
      </c>
      <c r="R783">
        <v>0.96840916477785399</v>
      </c>
      <c r="S783" t="s">
        <v>6609</v>
      </c>
      <c r="T783" t="s">
        <v>11650</v>
      </c>
      <c r="U783" t="s">
        <v>11650</v>
      </c>
      <c r="V783" t="s">
        <v>11650</v>
      </c>
      <c r="W783" t="s">
        <v>12192</v>
      </c>
      <c r="X783">
        <v>6</v>
      </c>
      <c r="Y783" t="s">
        <v>18181</v>
      </c>
      <c r="Z783" t="s">
        <v>23845</v>
      </c>
      <c r="AA783">
        <v>0.28177338752738779</v>
      </c>
      <c r="AB783" t="str">
        <f>HYPERLINK("Melting_Curves/meltCurve_G5E9A6_USP11.pdf", "Melting_Curves/meltCurve_G5E9A6_USP11.pdf")</f>
        <v>Melting_Curves/meltCurve_G5E9A6_USP11.pdf</v>
      </c>
    </row>
    <row r="784" spans="1:28" x14ac:dyDescent="0.25">
      <c r="A784" t="s">
        <v>788</v>
      </c>
      <c r="B784">
        <v>0.99996721820229495</v>
      </c>
      <c r="C784">
        <v>0.92982901322966205</v>
      </c>
      <c r="D784">
        <v>0.95946864135481402</v>
      </c>
      <c r="E784">
        <v>0.48286362271524103</v>
      </c>
      <c r="F784">
        <v>0.35210347503903999</v>
      </c>
      <c r="G784">
        <v>0.32555142044631002</v>
      </c>
      <c r="H784">
        <v>0.184313982256266</v>
      </c>
      <c r="I784">
        <v>0.123662015917752</v>
      </c>
      <c r="J784">
        <v>7.5184910333526103E-2</v>
      </c>
      <c r="K784">
        <v>8.8318412840628496E-2</v>
      </c>
      <c r="L784">
        <v>875.81600610563896</v>
      </c>
      <c r="M784">
        <v>17.4458158600685</v>
      </c>
      <c r="N784">
        <v>50.962893995295097</v>
      </c>
      <c r="O784">
        <v>49.556385217926902</v>
      </c>
      <c r="P784">
        <v>-7.7924202630299602E-2</v>
      </c>
      <c r="Q784">
        <v>0.114647046401142</v>
      </c>
      <c r="R784">
        <v>0.96966955857199499</v>
      </c>
      <c r="S784" t="s">
        <v>6610</v>
      </c>
      <c r="T784" t="s">
        <v>11650</v>
      </c>
      <c r="U784" t="s">
        <v>11650</v>
      </c>
      <c r="V784" t="s">
        <v>11650</v>
      </c>
      <c r="W784" t="s">
        <v>12421</v>
      </c>
      <c r="X784">
        <v>14</v>
      </c>
      <c r="Y784" t="s">
        <v>18182</v>
      </c>
      <c r="Z784" t="s">
        <v>23846</v>
      </c>
      <c r="AA784">
        <v>0.43169453935602742</v>
      </c>
      <c r="AB784" t="str">
        <f>HYPERLINK("Melting_Curves/meltCurve_G5E9C8_SOS1.pdf", "Melting_Curves/meltCurve_G5E9C8_SOS1.pdf")</f>
        <v>Melting_Curves/meltCurve_G5E9C8_SOS1.pdf</v>
      </c>
    </row>
    <row r="785" spans="1:28" x14ac:dyDescent="0.25">
      <c r="A785" t="s">
        <v>789</v>
      </c>
      <c r="B785">
        <v>0.99996721820229495</v>
      </c>
      <c r="C785">
        <v>0.78015355258907804</v>
      </c>
      <c r="D785">
        <v>0.84693085579989702</v>
      </c>
      <c r="E785">
        <v>0.86855677059879</v>
      </c>
      <c r="F785">
        <v>1.1315700818890899</v>
      </c>
      <c r="G785">
        <v>1.11060522295072</v>
      </c>
      <c r="H785">
        <v>0.75741729983790795</v>
      </c>
      <c r="I785">
        <v>0.40850394729561901</v>
      </c>
      <c r="J785">
        <v>0.20980643453956699</v>
      </c>
      <c r="K785">
        <v>0.222020855342864</v>
      </c>
      <c r="L785">
        <v>2873.86683856935</v>
      </c>
      <c r="M785">
        <v>46.137968958636101</v>
      </c>
      <c r="N785">
        <v>63.0120466039373</v>
      </c>
      <c r="O785">
        <v>62.171863183430702</v>
      </c>
      <c r="P785">
        <v>-0.14737721569783499</v>
      </c>
      <c r="Q785">
        <v>0.20562560022219301</v>
      </c>
      <c r="R785">
        <v>0.88239345723622498</v>
      </c>
      <c r="S785" t="s">
        <v>6611</v>
      </c>
      <c r="T785" t="s">
        <v>11650</v>
      </c>
      <c r="U785" t="s">
        <v>11650</v>
      </c>
      <c r="V785" t="s">
        <v>11650</v>
      </c>
      <c r="W785" t="s">
        <v>12422</v>
      </c>
      <c r="X785">
        <v>1</v>
      </c>
      <c r="Y785" t="s">
        <v>18183</v>
      </c>
      <c r="Z785" t="s">
        <v>23847</v>
      </c>
      <c r="AA785">
        <v>0.79807909107187103</v>
      </c>
      <c r="AB785" t="str">
        <f>HYPERLINK("Melting_Curves/meltCurve_G5E9D4_ELP4.pdf", "Melting_Curves/meltCurve_G5E9D4_ELP4.pdf")</f>
        <v>Melting_Curves/meltCurve_G5E9D4_ELP4.pdf</v>
      </c>
    </row>
    <row r="786" spans="1:28" x14ac:dyDescent="0.25">
      <c r="A786" t="s">
        <v>790</v>
      </c>
      <c r="B786">
        <v>0.99996721820229495</v>
      </c>
      <c r="C786">
        <v>1.03822015108721</v>
      </c>
      <c r="D786">
        <v>0.86823766370532995</v>
      </c>
      <c r="E786">
        <v>0.33518489583768801</v>
      </c>
      <c r="F786">
        <v>0.27680818119144901</v>
      </c>
      <c r="G786">
        <v>0.20608685168594601</v>
      </c>
      <c r="H786">
        <v>0.123089604407413</v>
      </c>
      <c r="I786">
        <v>0.107848994503788</v>
      </c>
      <c r="J786">
        <v>8.7764286662728105E-2</v>
      </c>
      <c r="K786">
        <v>6.4431174268321303E-2</v>
      </c>
      <c r="L786">
        <v>1381.0526741147301</v>
      </c>
      <c r="M786">
        <v>28.454033990028801</v>
      </c>
      <c r="N786">
        <v>49.021205894184099</v>
      </c>
      <c r="O786">
        <v>48.298430485329</v>
      </c>
      <c r="P786">
        <v>-0.12921685361802099</v>
      </c>
      <c r="Q786">
        <v>0.122666234756026</v>
      </c>
      <c r="R786">
        <v>0.98365232152406201</v>
      </c>
      <c r="S786" t="s">
        <v>6612</v>
      </c>
      <c r="T786" t="s">
        <v>11650</v>
      </c>
      <c r="U786" t="s">
        <v>11650</v>
      </c>
      <c r="V786" t="s">
        <v>11650</v>
      </c>
      <c r="W786" t="s">
        <v>12423</v>
      </c>
      <c r="X786">
        <v>6</v>
      </c>
      <c r="Y786" t="s">
        <v>18184</v>
      </c>
      <c r="Z786" t="s">
        <v>23848</v>
      </c>
      <c r="AA786">
        <v>0.37822999671121671</v>
      </c>
      <c r="AB786" t="str">
        <f>HYPERLINK("Melting_Curves/meltCurve_G5EA30_CELF1.pdf", "Melting_Curves/meltCurve_G5EA30_CELF1.pdf")</f>
        <v>Melting_Curves/meltCurve_G5EA30_CELF1.pdf</v>
      </c>
    </row>
    <row r="787" spans="1:28" x14ac:dyDescent="0.25">
      <c r="A787" t="s">
        <v>791</v>
      </c>
      <c r="B787">
        <v>0.99996721820229495</v>
      </c>
      <c r="C787">
        <v>0.92304392997715501</v>
      </c>
      <c r="D787">
        <v>0.97613981125675198</v>
      </c>
      <c r="E787">
        <v>0.79655444643526696</v>
      </c>
      <c r="F787">
        <v>0.72895509170393602</v>
      </c>
      <c r="G787">
        <v>0.48146432403906297</v>
      </c>
      <c r="H787">
        <v>0.324257324539868</v>
      </c>
      <c r="I787">
        <v>0.24501346737781099</v>
      </c>
      <c r="J787">
        <v>0.17946857483454601</v>
      </c>
      <c r="K787">
        <v>0.322604012240089</v>
      </c>
      <c r="L787">
        <v>846.66148464761704</v>
      </c>
      <c r="M787">
        <v>15.5391062185197</v>
      </c>
      <c r="N787">
        <v>56.417404768538901</v>
      </c>
      <c r="O787">
        <v>53.607415773564</v>
      </c>
      <c r="P787">
        <v>-5.7523140047783902E-2</v>
      </c>
      <c r="Q787">
        <v>0.20628751693860101</v>
      </c>
      <c r="R787">
        <v>0.97565047872231103</v>
      </c>
      <c r="S787" t="s">
        <v>6613</v>
      </c>
      <c r="T787" t="s">
        <v>11650</v>
      </c>
      <c r="U787" t="s">
        <v>11650</v>
      </c>
      <c r="V787" t="s">
        <v>11650</v>
      </c>
      <c r="W787" t="s">
        <v>12424</v>
      </c>
      <c r="X787">
        <v>1</v>
      </c>
      <c r="Y787" t="s">
        <v>18185</v>
      </c>
      <c r="Z787" t="s">
        <v>23849</v>
      </c>
      <c r="AA787">
        <v>0.60472801075655147</v>
      </c>
      <c r="AB787" t="str">
        <f>HYPERLINK("Melting_Curves/meltCurve_G5EA42_TMOD2.pdf", "Melting_Curves/meltCurve_G5EA42_TMOD2.pdf")</f>
        <v>Melting_Curves/meltCurve_G5EA42_TMOD2.pdf</v>
      </c>
    </row>
    <row r="788" spans="1:28" x14ac:dyDescent="0.25">
      <c r="A788" t="s">
        <v>792</v>
      </c>
      <c r="B788">
        <v>0.99996721820229495</v>
      </c>
      <c r="C788">
        <v>0.967044101685966</v>
      </c>
      <c r="D788">
        <v>0.82510934298185001</v>
      </c>
      <c r="E788">
        <v>0.42600443824287199</v>
      </c>
      <c r="F788">
        <v>0.26522180492840502</v>
      </c>
      <c r="G788">
        <v>0.22029730696919</v>
      </c>
      <c r="H788">
        <v>0.132708546177427</v>
      </c>
      <c r="I788">
        <v>8.7072135339769999E-2</v>
      </c>
      <c r="J788">
        <v>6.9298304845836198E-2</v>
      </c>
      <c r="K788">
        <v>5.8831426215883303E-2</v>
      </c>
      <c r="L788">
        <v>951.67591448875305</v>
      </c>
      <c r="M788">
        <v>19.395128212047901</v>
      </c>
      <c r="N788">
        <v>49.578075419506803</v>
      </c>
      <c r="O788">
        <v>48.555085619914401</v>
      </c>
      <c r="P788">
        <v>-9.0829088947246506E-2</v>
      </c>
      <c r="Q788">
        <v>9.0482546604117906E-2</v>
      </c>
      <c r="R788">
        <v>0.99222116650776804</v>
      </c>
      <c r="S788" t="s">
        <v>6614</v>
      </c>
      <c r="T788" t="s">
        <v>11650</v>
      </c>
      <c r="U788" t="s">
        <v>11650</v>
      </c>
      <c r="V788" t="s">
        <v>11650</v>
      </c>
      <c r="W788" t="s">
        <v>12425</v>
      </c>
      <c r="X788">
        <v>51</v>
      </c>
      <c r="Y788" t="s">
        <v>18186</v>
      </c>
      <c r="Z788" t="s">
        <v>23850</v>
      </c>
      <c r="AA788">
        <v>0.37894105214609791</v>
      </c>
      <c r="AB788" t="str">
        <f>HYPERLINK("Melting_Curves/meltCurve_G5EA52_PDIA3.pdf", "Melting_Curves/meltCurve_G5EA52_PDIA3.pdf")</f>
        <v>Melting_Curves/meltCurve_G5EA52_PDIA3.pdf</v>
      </c>
    </row>
    <row r="789" spans="1:28" x14ac:dyDescent="0.25">
      <c r="A789" t="s">
        <v>793</v>
      </c>
      <c r="B789">
        <v>0.99996721820229495</v>
      </c>
      <c r="C789">
        <v>0.90311352391121302</v>
      </c>
      <c r="D789">
        <v>0.82151716276526199</v>
      </c>
      <c r="E789">
        <v>0.66919703954727605</v>
      </c>
      <c r="F789">
        <v>0.64693095282257496</v>
      </c>
      <c r="G789">
        <v>0.71692765900385402</v>
      </c>
      <c r="H789">
        <v>0.47904370995634699</v>
      </c>
      <c r="I789">
        <v>0.52335044643129403</v>
      </c>
      <c r="J789">
        <v>0.37599262297358799</v>
      </c>
      <c r="K789">
        <v>0.27417590218550802</v>
      </c>
      <c r="L789">
        <v>311.16109801788502</v>
      </c>
      <c r="M789">
        <v>5.0845510036831101</v>
      </c>
      <c r="N789">
        <v>61.197364444543702</v>
      </c>
      <c r="O789">
        <v>53.618547092234401</v>
      </c>
      <c r="P789">
        <v>-2.3844208789112E-2</v>
      </c>
      <c r="Q789">
        <v>0</v>
      </c>
      <c r="R789">
        <v>0.91379654821519196</v>
      </c>
      <c r="S789" t="s">
        <v>6615</v>
      </c>
      <c r="T789" t="s">
        <v>11650</v>
      </c>
      <c r="U789" t="s">
        <v>11650</v>
      </c>
      <c r="V789" t="s">
        <v>11650</v>
      </c>
      <c r="W789" t="s">
        <v>12426</v>
      </c>
      <c r="X789">
        <v>4</v>
      </c>
      <c r="Y789" t="s">
        <v>18187</v>
      </c>
      <c r="Z789" t="s">
        <v>23851</v>
      </c>
      <c r="AA789">
        <v>0.64206618247868874</v>
      </c>
      <c r="AB789" t="str">
        <f>HYPERLINK("Melting_Curves/meltCurve_G8JL86_COBLL1.pdf", "Melting_Curves/meltCurve_G8JL86_COBLL1.pdf")</f>
        <v>Melting_Curves/meltCurve_G8JL86_COBLL1.pdf</v>
      </c>
    </row>
    <row r="790" spans="1:28" x14ac:dyDescent="0.25">
      <c r="A790" t="s">
        <v>794</v>
      </c>
      <c r="B790">
        <v>0.99996721820229495</v>
      </c>
      <c r="C790">
        <v>1.0708267221578001</v>
      </c>
      <c r="D790">
        <v>1.0123659404416601</v>
      </c>
      <c r="E790">
        <v>0.78695073991028197</v>
      </c>
      <c r="F790">
        <v>0.92237913459313603</v>
      </c>
      <c r="G790">
        <v>0.57843660375543704</v>
      </c>
      <c r="H790">
        <v>0.38247008387415898</v>
      </c>
      <c r="I790">
        <v>0.24325142378033399</v>
      </c>
      <c r="J790">
        <v>0.185063410486626</v>
      </c>
      <c r="K790">
        <v>0.13918968675785101</v>
      </c>
      <c r="L790">
        <v>867.04555185957895</v>
      </c>
      <c r="M790">
        <v>14.9076670618064</v>
      </c>
      <c r="N790">
        <v>58.713169156700097</v>
      </c>
      <c r="O790">
        <v>57.1445750461817</v>
      </c>
      <c r="P790">
        <v>-6.0959914589601698E-2</v>
      </c>
      <c r="Q790">
        <v>6.5402160143985102E-2</v>
      </c>
      <c r="R790">
        <v>0.97068274931080101</v>
      </c>
      <c r="S790" t="s">
        <v>6616</v>
      </c>
      <c r="T790" t="s">
        <v>11650</v>
      </c>
      <c r="U790" t="s">
        <v>11650</v>
      </c>
      <c r="V790" t="s">
        <v>11650</v>
      </c>
      <c r="W790" t="s">
        <v>12427</v>
      </c>
      <c r="X790">
        <v>1</v>
      </c>
      <c r="Y790" t="s">
        <v>18188</v>
      </c>
      <c r="Z790" t="s">
        <v>23852</v>
      </c>
      <c r="AA790">
        <v>0.64333139582023768</v>
      </c>
      <c r="AB790" t="str">
        <f>HYPERLINK("Melting_Curves/meltCurve_G8JL88_APOL1.pdf", "Melting_Curves/meltCurve_G8JL88_APOL1.pdf")</f>
        <v>Melting_Curves/meltCurve_G8JL88_APOL1.pdf</v>
      </c>
    </row>
    <row r="791" spans="1:28" x14ac:dyDescent="0.25">
      <c r="A791" t="s">
        <v>795</v>
      </c>
      <c r="B791">
        <v>0.99996721820229495</v>
      </c>
      <c r="C791">
        <v>1.02218194205085</v>
      </c>
      <c r="D791">
        <v>1.11244794715138</v>
      </c>
      <c r="E791">
        <v>1.0731598141572101</v>
      </c>
      <c r="F791">
        <v>2.4186843978990198</v>
      </c>
      <c r="G791">
        <v>1.6580332401622699</v>
      </c>
      <c r="H791">
        <v>1.00898778954687</v>
      </c>
      <c r="I791">
        <v>0.65568715703115799</v>
      </c>
      <c r="J791">
        <v>0.58565851809810898</v>
      </c>
      <c r="K791">
        <v>0.36044483203544198</v>
      </c>
      <c r="L791">
        <v>3803.89577433761</v>
      </c>
      <c r="M791">
        <v>59.686335427405702</v>
      </c>
      <c r="N791">
        <v>66.225508732011704</v>
      </c>
      <c r="O791">
        <v>63.660009363872298</v>
      </c>
      <c r="P791">
        <v>-0.12957738016943399</v>
      </c>
      <c r="Q791">
        <v>0.44718376888160999</v>
      </c>
      <c r="R791">
        <v>0.19308729582859799</v>
      </c>
      <c r="S791" t="s">
        <v>6617</v>
      </c>
      <c r="T791" t="s">
        <v>11650</v>
      </c>
      <c r="U791" t="s">
        <v>11650</v>
      </c>
      <c r="V791" t="s">
        <v>11650</v>
      </c>
      <c r="W791" t="s">
        <v>12386</v>
      </c>
      <c r="X791">
        <v>12</v>
      </c>
      <c r="Y791" t="s">
        <v>18146</v>
      </c>
      <c r="Z791" t="s">
        <v>23853</v>
      </c>
      <c r="AA791">
        <v>0.88545919629948033</v>
      </c>
      <c r="AB791" t="str">
        <f>HYPERLINK("Melting_Curves/meltCurve_G8JLA2_MYL6.pdf", "Melting_Curves/meltCurve_G8JLA2_MYL6.pdf")</f>
        <v>Melting_Curves/meltCurve_G8JLA2_MYL6.pdf</v>
      </c>
    </row>
    <row r="792" spans="1:28" x14ac:dyDescent="0.25">
      <c r="A792" t="s">
        <v>796</v>
      </c>
      <c r="B792">
        <v>0.99996721820229495</v>
      </c>
      <c r="C792">
        <v>1.0253964315956099</v>
      </c>
      <c r="D792">
        <v>0.70205584034287505</v>
      </c>
      <c r="E792">
        <v>0.40512694186694298</v>
      </c>
      <c r="F792">
        <v>0.41633462528096599</v>
      </c>
      <c r="G792">
        <v>0.34845410284783102</v>
      </c>
      <c r="H792">
        <v>0.23833316387377301</v>
      </c>
      <c r="I792">
        <v>0.17620782122133399</v>
      </c>
      <c r="J792">
        <v>9.9705892134033205E-2</v>
      </c>
      <c r="K792">
        <v>0.10304595524629299</v>
      </c>
      <c r="L792">
        <v>676.35350547516998</v>
      </c>
      <c r="M792">
        <v>13.7971112840071</v>
      </c>
      <c r="N792">
        <v>50.222484301746</v>
      </c>
      <c r="O792">
        <v>48.0259659812343</v>
      </c>
      <c r="P792">
        <v>-6.1737006786346103E-2</v>
      </c>
      <c r="Q792">
        <v>0.14052575276272</v>
      </c>
      <c r="R792">
        <v>0.95037447288975097</v>
      </c>
      <c r="S792" t="s">
        <v>6618</v>
      </c>
      <c r="T792" t="s">
        <v>11650</v>
      </c>
      <c r="U792" t="s">
        <v>11650</v>
      </c>
      <c r="V792" t="s">
        <v>11650</v>
      </c>
      <c r="W792" t="s">
        <v>12428</v>
      </c>
      <c r="X792">
        <v>5</v>
      </c>
      <c r="Y792" t="s">
        <v>18189</v>
      </c>
      <c r="Z792" t="s">
        <v>23854</v>
      </c>
      <c r="AA792">
        <v>0.42370952861060462</v>
      </c>
      <c r="AB792" t="str">
        <f>HYPERLINK("Melting_Curves/meltCurve_G8JLB3_PUS1.pdf", "Melting_Curves/meltCurve_G8JLB3_PUS1.pdf")</f>
        <v>Melting_Curves/meltCurve_G8JLB3_PUS1.pdf</v>
      </c>
    </row>
    <row r="793" spans="1:28" x14ac:dyDescent="0.25">
      <c r="A793" t="s">
        <v>797</v>
      </c>
      <c r="B793">
        <v>0.99996721820229495</v>
      </c>
      <c r="C793">
        <v>2.13364350597592</v>
      </c>
      <c r="D793">
        <v>2.7351077409334099</v>
      </c>
      <c r="E793">
        <v>3.5580344452042998</v>
      </c>
      <c r="F793">
        <v>6.4932809908722398</v>
      </c>
      <c r="G793">
        <v>11.8998353121873</v>
      </c>
      <c r="H793">
        <v>9.3659616741419196</v>
      </c>
      <c r="I793">
        <v>4.3686436630951304</v>
      </c>
      <c r="J793">
        <v>1.6912207096972001</v>
      </c>
      <c r="K793">
        <v>1.48044627452966</v>
      </c>
      <c r="L793">
        <v>10228.309220340499</v>
      </c>
      <c r="M793">
        <v>250</v>
      </c>
      <c r="O793">
        <v>40.910625826855401</v>
      </c>
      <c r="P793">
        <v>0.76386036219022402</v>
      </c>
      <c r="Q793">
        <v>1.5</v>
      </c>
      <c r="R793">
        <v>-0.72655410460137604</v>
      </c>
      <c r="S793" t="s">
        <v>6619</v>
      </c>
      <c r="T793" t="s">
        <v>11650</v>
      </c>
      <c r="U793" t="s">
        <v>11650</v>
      </c>
      <c r="V793" t="s">
        <v>11650</v>
      </c>
      <c r="W793" t="s">
        <v>12429</v>
      </c>
      <c r="X793">
        <v>1</v>
      </c>
      <c r="Y793" t="s">
        <v>18190</v>
      </c>
      <c r="Z793" t="s">
        <v>23855</v>
      </c>
      <c r="AA793">
        <v>1.484734909233721</v>
      </c>
      <c r="AB793" t="str">
        <f>HYPERLINK("Melting_Curves/meltCurve_G8JLH5_SLC43A2.pdf", "Melting_Curves/meltCurve_G8JLH5_SLC43A2.pdf")</f>
        <v>Melting_Curves/meltCurve_G8JLH5_SLC43A2.pdf</v>
      </c>
    </row>
    <row r="794" spans="1:28" x14ac:dyDescent="0.25">
      <c r="A794" t="s">
        <v>798</v>
      </c>
      <c r="B794">
        <v>0.99996721820229495</v>
      </c>
      <c r="C794">
        <v>0.99695155835972504</v>
      </c>
      <c r="D794">
        <v>1.1201109362478701</v>
      </c>
      <c r="E794">
        <v>1.3351431762085999</v>
      </c>
      <c r="F794">
        <v>1.60569066093152</v>
      </c>
      <c r="G794">
        <v>1.2163131258437501</v>
      </c>
      <c r="H794">
        <v>0.301012924562231</v>
      </c>
      <c r="I794">
        <v>0.16114267934974799</v>
      </c>
      <c r="J794">
        <v>8.40885186143146E-2</v>
      </c>
      <c r="K794">
        <v>9.21341189613782E-2</v>
      </c>
      <c r="L794">
        <v>11816.766297222601</v>
      </c>
      <c r="M794">
        <v>195.02753777628001</v>
      </c>
      <c r="N794">
        <v>60.669490519707502</v>
      </c>
      <c r="O794">
        <v>60.583874146424598</v>
      </c>
      <c r="P794">
        <v>-0.71429182114957301</v>
      </c>
      <c r="Q794">
        <v>0.112441941960048</v>
      </c>
      <c r="R794">
        <v>0.81622018288784004</v>
      </c>
      <c r="S794" t="s">
        <v>6620</v>
      </c>
      <c r="T794" t="s">
        <v>11650</v>
      </c>
      <c r="U794" t="s">
        <v>11650</v>
      </c>
      <c r="V794" t="s">
        <v>11650</v>
      </c>
      <c r="W794" t="s">
        <v>12430</v>
      </c>
      <c r="X794">
        <v>5</v>
      </c>
      <c r="Y794" t="s">
        <v>18191</v>
      </c>
      <c r="Z794" t="s">
        <v>23856</v>
      </c>
      <c r="AA794">
        <v>0.72176497499363079</v>
      </c>
      <c r="AB794" t="str">
        <f>HYPERLINK("Melting_Curves/meltCurve_G8JLI5_WDR45.pdf", "Melting_Curves/meltCurve_G8JLI5_WDR45.pdf")</f>
        <v>Melting_Curves/meltCurve_G8JLI5_WDR45.pdf</v>
      </c>
    </row>
    <row r="795" spans="1:28" x14ac:dyDescent="0.25">
      <c r="A795" t="s">
        <v>799</v>
      </c>
      <c r="B795">
        <v>0.99996721820229495</v>
      </c>
      <c r="C795">
        <v>0.94311005352050703</v>
      </c>
      <c r="D795">
        <v>0.90824099841640604</v>
      </c>
      <c r="E795">
        <v>0.61191133247646601</v>
      </c>
      <c r="F795">
        <v>0.57749217360532001</v>
      </c>
      <c r="G795">
        <v>0.46908418064781499</v>
      </c>
      <c r="H795">
        <v>0.31107314445997603</v>
      </c>
      <c r="I795">
        <v>0.194643935150526</v>
      </c>
      <c r="J795">
        <v>0.130902635742496</v>
      </c>
      <c r="K795">
        <v>0.142200191408764</v>
      </c>
      <c r="L795">
        <v>500.58872892207802</v>
      </c>
      <c r="M795">
        <v>9.1293742771036204</v>
      </c>
      <c r="N795">
        <v>54.880959072494001</v>
      </c>
      <c r="O795">
        <v>52.393998476609603</v>
      </c>
      <c r="P795">
        <v>-4.3417055974650502E-2</v>
      </c>
      <c r="Q795">
        <v>3.9934403646708196E-3</v>
      </c>
      <c r="R795">
        <v>0.98145953724768298</v>
      </c>
      <c r="S795" t="s">
        <v>6621</v>
      </c>
      <c r="T795" t="s">
        <v>11650</v>
      </c>
      <c r="U795" t="s">
        <v>11650</v>
      </c>
      <c r="V795" t="s">
        <v>11650</v>
      </c>
      <c r="W795" t="s">
        <v>12431</v>
      </c>
      <c r="X795">
        <v>7</v>
      </c>
      <c r="Y795" t="s">
        <v>18192</v>
      </c>
      <c r="Z795" t="s">
        <v>23857</v>
      </c>
      <c r="AA795">
        <v>0.52388620647914352</v>
      </c>
      <c r="AB795" t="str">
        <f>HYPERLINK("Melting_Curves/meltCurve_G8JLI6_LEPREL2.pdf", "Melting_Curves/meltCurve_G8JLI6_LEPREL2.pdf")</f>
        <v>Melting_Curves/meltCurve_G8JLI6_LEPREL2.pdf</v>
      </c>
    </row>
    <row r="796" spans="1:28" x14ac:dyDescent="0.25">
      <c r="A796" t="s">
        <v>800</v>
      </c>
      <c r="B796">
        <v>0.99996721820229495</v>
      </c>
      <c r="C796">
        <v>1.07412468614748</v>
      </c>
      <c r="D796">
        <v>1.0523669025836599</v>
      </c>
      <c r="E796">
        <v>1.0852006880701599</v>
      </c>
      <c r="F796">
        <v>1.2243293291349799</v>
      </c>
      <c r="G796">
        <v>1.2515323968426899</v>
      </c>
      <c r="H796">
        <v>0.79016452016605598</v>
      </c>
      <c r="I796">
        <v>0.59554664463792295</v>
      </c>
      <c r="J796">
        <v>0.51161388574723499</v>
      </c>
      <c r="K796">
        <v>0.38666569694283698</v>
      </c>
      <c r="L796">
        <v>2700.2518232320599</v>
      </c>
      <c r="M796">
        <v>43.329204460656101</v>
      </c>
      <c r="N796">
        <v>65.432668481874899</v>
      </c>
      <c r="O796">
        <v>62.187156359522703</v>
      </c>
      <c r="P796">
        <v>-9.8177758049960206E-2</v>
      </c>
      <c r="Q796">
        <v>0.436372367241745</v>
      </c>
      <c r="R796">
        <v>0.83123922961226404</v>
      </c>
      <c r="S796" t="s">
        <v>6622</v>
      </c>
      <c r="T796" t="s">
        <v>11650</v>
      </c>
      <c r="U796" t="s">
        <v>11650</v>
      </c>
      <c r="V796" t="s">
        <v>11650</v>
      </c>
      <c r="W796" t="s">
        <v>12432</v>
      </c>
      <c r="X796">
        <v>37</v>
      </c>
      <c r="Y796" t="s">
        <v>18193</v>
      </c>
      <c r="Z796" t="s">
        <v>23858</v>
      </c>
      <c r="AA796">
        <v>0.85745888820007388</v>
      </c>
      <c r="AB796" t="str">
        <f>HYPERLINK("Melting_Curves/meltCurve_G8JLK4_TACC1.pdf", "Melting_Curves/meltCurve_G8JLK4_TACC1.pdf")</f>
        <v>Melting_Curves/meltCurve_G8JLK4_TACC1.pdf</v>
      </c>
    </row>
    <row r="797" spans="1:28" x14ac:dyDescent="0.25">
      <c r="A797" t="s">
        <v>801</v>
      </c>
      <c r="B797">
        <v>0.99996721820229495</v>
      </c>
      <c r="C797">
        <v>1.0834698143236301</v>
      </c>
      <c r="D797">
        <v>1.1215511260467901</v>
      </c>
      <c r="E797">
        <v>0.92662275454406495</v>
      </c>
      <c r="F797">
        <v>1.1564325640217401</v>
      </c>
      <c r="G797">
        <v>1.06474914856838</v>
      </c>
      <c r="H797">
        <v>0.76785455279667802</v>
      </c>
      <c r="I797">
        <v>0.35127342361855901</v>
      </c>
      <c r="J797">
        <v>0.14575193988570201</v>
      </c>
      <c r="K797">
        <v>0.159186426653285</v>
      </c>
      <c r="L797">
        <v>2991.5406653965201</v>
      </c>
      <c r="M797">
        <v>47.960017289864901</v>
      </c>
      <c r="N797">
        <v>62.805123510943197</v>
      </c>
      <c r="O797">
        <v>62.267562715373003</v>
      </c>
      <c r="P797">
        <v>-0.165640143736447</v>
      </c>
      <c r="Q797">
        <v>0.139783656220269</v>
      </c>
      <c r="R797">
        <v>0.96037520225389905</v>
      </c>
      <c r="S797" t="s">
        <v>6623</v>
      </c>
      <c r="T797" t="s">
        <v>11650</v>
      </c>
      <c r="U797" t="s">
        <v>11650</v>
      </c>
      <c r="V797" t="s">
        <v>11650</v>
      </c>
      <c r="W797" t="s">
        <v>12433</v>
      </c>
      <c r="X797">
        <v>2</v>
      </c>
      <c r="Y797" t="s">
        <v>18194</v>
      </c>
      <c r="Z797" t="s">
        <v>23859</v>
      </c>
      <c r="AA797">
        <v>0.7836909797880407</v>
      </c>
      <c r="AB797" t="str">
        <f>HYPERLINK("Melting_Curves/meltCurve_G8JLL2_PPT2.pdf", "Melting_Curves/meltCurve_G8JLL2_PPT2.pdf")</f>
        <v>Melting_Curves/meltCurve_G8JLL2_PPT2.pdf</v>
      </c>
    </row>
    <row r="798" spans="1:28" x14ac:dyDescent="0.25">
      <c r="A798" t="s">
        <v>802</v>
      </c>
      <c r="B798">
        <v>0.99996721820229495</v>
      </c>
      <c r="C798">
        <v>1.09413840749199</v>
      </c>
      <c r="D798">
        <v>1.0517904587056499</v>
      </c>
      <c r="E798">
        <v>1.05812023950835</v>
      </c>
      <c r="F798">
        <v>0.70424405145181401</v>
      </c>
      <c r="G798">
        <v>0.63055754128922104</v>
      </c>
      <c r="H798">
        <v>0.38567001604953799</v>
      </c>
      <c r="I798">
        <v>0.217423415853915</v>
      </c>
      <c r="J798">
        <v>0.13977696131440301</v>
      </c>
      <c r="K798">
        <v>0.106061218297673</v>
      </c>
      <c r="L798">
        <v>913.18250456643102</v>
      </c>
      <c r="M798">
        <v>15.657604897748399</v>
      </c>
      <c r="N798">
        <v>58.612668919627303</v>
      </c>
      <c r="O798">
        <v>57.395498206061497</v>
      </c>
      <c r="P798">
        <v>-6.5658286370252394E-2</v>
      </c>
      <c r="Q798">
        <v>3.7357657437269202E-2</v>
      </c>
      <c r="R798">
        <v>0.96726317963420405</v>
      </c>
      <c r="S798" t="s">
        <v>6624</v>
      </c>
      <c r="T798" t="s">
        <v>11650</v>
      </c>
      <c r="U798" t="s">
        <v>11650</v>
      </c>
      <c r="V798" t="s">
        <v>11650</v>
      </c>
      <c r="W798" t="s">
        <v>12434</v>
      </c>
      <c r="X798">
        <v>2</v>
      </c>
      <c r="Y798" t="s">
        <v>18195</v>
      </c>
      <c r="Z798" t="s">
        <v>23860</v>
      </c>
      <c r="AA798">
        <v>0.63730972750354553</v>
      </c>
      <c r="AB798" t="str">
        <f>HYPERLINK("Melting_Curves/meltCurve_G8JLL7_MVB12B.pdf", "Melting_Curves/meltCurve_G8JLL7_MVB12B.pdf")</f>
        <v>Melting_Curves/meltCurve_G8JLL7_MVB12B.pdf</v>
      </c>
    </row>
    <row r="799" spans="1:28" x14ac:dyDescent="0.25">
      <c r="A799" t="s">
        <v>803</v>
      </c>
      <c r="B799">
        <v>0.99996721820229495</v>
      </c>
      <c r="C799">
        <v>1.08172578155181</v>
      </c>
      <c r="D799">
        <v>1.09990677121713</v>
      </c>
      <c r="E799">
        <v>1.1965334460405701</v>
      </c>
      <c r="F799">
        <v>1.02737063817621</v>
      </c>
      <c r="G799">
        <v>0.69832730786227704</v>
      </c>
      <c r="H799">
        <v>0.43638888346950599</v>
      </c>
      <c r="I799">
        <v>0.191662551471387</v>
      </c>
      <c r="J799">
        <v>0.10943015888640401</v>
      </c>
      <c r="K799">
        <v>0.13267268177147201</v>
      </c>
      <c r="L799">
        <v>1569.60819989385</v>
      </c>
      <c r="M799">
        <v>26.495623341297001</v>
      </c>
      <c r="N799">
        <v>59.7314026304104</v>
      </c>
      <c r="O799">
        <v>58.905927736397103</v>
      </c>
      <c r="P799">
        <v>-0.10144380322452699</v>
      </c>
      <c r="Q799">
        <v>9.7877309296286102E-2</v>
      </c>
      <c r="R799">
        <v>0.959424686492519</v>
      </c>
      <c r="S799" t="s">
        <v>6625</v>
      </c>
      <c r="T799" t="s">
        <v>11650</v>
      </c>
      <c r="U799" t="s">
        <v>11650</v>
      </c>
      <c r="V799" t="s">
        <v>11650</v>
      </c>
      <c r="W799" t="s">
        <v>12435</v>
      </c>
      <c r="X799">
        <v>5</v>
      </c>
      <c r="Y799" t="s">
        <v>18196</v>
      </c>
      <c r="Z799" t="s">
        <v>23861</v>
      </c>
      <c r="AA799">
        <v>0.68321676397028397</v>
      </c>
      <c r="AB799" t="str">
        <f>HYPERLINK("Melting_Curves/meltCurve_G8JLM0_PRKAG2.pdf", "Melting_Curves/meltCurve_G8JLM0_PRKAG2.pdf")</f>
        <v>Melting_Curves/meltCurve_G8JLM0_PRKAG2.pdf</v>
      </c>
    </row>
    <row r="800" spans="1:28" x14ac:dyDescent="0.25">
      <c r="A800" t="s">
        <v>804</v>
      </c>
      <c r="B800">
        <v>0.99996721820229495</v>
      </c>
      <c r="C800">
        <v>0.84397376812896296</v>
      </c>
      <c r="D800">
        <v>0.71352945404963197</v>
      </c>
      <c r="E800">
        <v>0.89084226957219503</v>
      </c>
      <c r="F800">
        <v>0.801274357515394</v>
      </c>
      <c r="G800">
        <v>0.68443031927847997</v>
      </c>
      <c r="H800">
        <v>0.50123023212821904</v>
      </c>
      <c r="I800">
        <v>0.54456705617723999</v>
      </c>
      <c r="J800">
        <v>0.39913630995650101</v>
      </c>
      <c r="K800">
        <v>0.35173222519943098</v>
      </c>
      <c r="L800">
        <v>324.50413389299501</v>
      </c>
      <c r="M800">
        <v>5.1057202630730698</v>
      </c>
      <c r="N800">
        <v>63.556974882067898</v>
      </c>
      <c r="O800">
        <v>55.738528682243398</v>
      </c>
      <c r="P800">
        <v>-2.3030924142865498E-2</v>
      </c>
      <c r="Q800">
        <v>0</v>
      </c>
      <c r="R800">
        <v>0.86671415146190001</v>
      </c>
      <c r="S800" t="s">
        <v>6626</v>
      </c>
      <c r="T800" t="s">
        <v>11650</v>
      </c>
      <c r="U800" t="s">
        <v>11650</v>
      </c>
      <c r="V800" t="s">
        <v>11650</v>
      </c>
      <c r="W800" t="s">
        <v>12436</v>
      </c>
      <c r="X800">
        <v>2</v>
      </c>
      <c r="Y800" t="s">
        <v>18197</v>
      </c>
      <c r="Z800" t="s">
        <v>23862</v>
      </c>
      <c r="AA800">
        <v>0.68303070324188431</v>
      </c>
      <c r="AB800" t="str">
        <f>HYPERLINK("Melting_Curves/meltCurve_H0Y2M6_CLCN7.pdf", "Melting_Curves/meltCurve_H0Y2M6_CLCN7.pdf")</f>
        <v>Melting_Curves/meltCurve_H0Y2M6_CLCN7.pdf</v>
      </c>
    </row>
    <row r="801" spans="1:28" x14ac:dyDescent="0.25">
      <c r="A801" t="s">
        <v>805</v>
      </c>
      <c r="B801">
        <v>0.99996721820229495</v>
      </c>
      <c r="C801">
        <v>0.91559877221983998</v>
      </c>
      <c r="D801">
        <v>0.94508662727491699</v>
      </c>
      <c r="E801">
        <v>0.87727492549027797</v>
      </c>
      <c r="F801">
        <v>0.39894505109337403</v>
      </c>
      <c r="G801">
        <v>0.30161794753393201</v>
      </c>
      <c r="H801">
        <v>0.19679543886911699</v>
      </c>
      <c r="I801">
        <v>9.7497485588323399E-2</v>
      </c>
      <c r="J801">
        <v>6.4569367787863596E-2</v>
      </c>
      <c r="K801">
        <v>6.7544824266179193E-2</v>
      </c>
      <c r="L801">
        <v>1147.5914818921301</v>
      </c>
      <c r="M801">
        <v>21.812842693591801</v>
      </c>
      <c r="N801">
        <v>53.107646492645202</v>
      </c>
      <c r="O801">
        <v>52.174622559602902</v>
      </c>
      <c r="P801">
        <v>-9.4874225461725095E-2</v>
      </c>
      <c r="Q801">
        <v>9.2293896010753093E-2</v>
      </c>
      <c r="R801">
        <v>0.97316600703008405</v>
      </c>
      <c r="S801" t="s">
        <v>6627</v>
      </c>
      <c r="T801" t="s">
        <v>11650</v>
      </c>
      <c r="U801" t="s">
        <v>11650</v>
      </c>
      <c r="V801" t="s">
        <v>11650</v>
      </c>
      <c r="W801" t="s">
        <v>12437</v>
      </c>
      <c r="X801">
        <v>9</v>
      </c>
      <c r="Y801" t="s">
        <v>18198</v>
      </c>
      <c r="Z801" t="s">
        <v>23863</v>
      </c>
      <c r="AA801">
        <v>0.48459013402762352</v>
      </c>
      <c r="AB801" t="str">
        <f>HYPERLINK("Melting_Curves/meltCurve_H0Y327_MTHFD1L.pdf", "Melting_Curves/meltCurve_H0Y327_MTHFD1L.pdf")</f>
        <v>Melting_Curves/meltCurve_H0Y327_MTHFD1L.pdf</v>
      </c>
    </row>
    <row r="802" spans="1:28" x14ac:dyDescent="0.25">
      <c r="A802" t="s">
        <v>806</v>
      </c>
      <c r="B802">
        <v>0.99996721820229495</v>
      </c>
      <c r="C802">
        <v>1.02903512654861</v>
      </c>
      <c r="D802">
        <v>1.2055744988374799</v>
      </c>
      <c r="E802">
        <v>1.8438706430902601</v>
      </c>
      <c r="F802">
        <v>2.9767896693429901</v>
      </c>
      <c r="G802">
        <v>3.2157218775822698</v>
      </c>
      <c r="H802">
        <v>1.2723366208522899</v>
      </c>
      <c r="I802">
        <v>0.38798752782162799</v>
      </c>
      <c r="J802">
        <v>0.25540876308484001</v>
      </c>
      <c r="K802">
        <v>0.20090554862186</v>
      </c>
      <c r="L802">
        <v>15000</v>
      </c>
      <c r="M802">
        <v>235.71699259504399</v>
      </c>
      <c r="N802">
        <v>63.800552798076097</v>
      </c>
      <c r="O802">
        <v>63.631052443315397</v>
      </c>
      <c r="P802">
        <v>-0.71483139031209897</v>
      </c>
      <c r="Q802">
        <v>0.22813416300827299</v>
      </c>
      <c r="R802">
        <v>4.15682341674131E-2</v>
      </c>
      <c r="S802" t="s">
        <v>6628</v>
      </c>
      <c r="T802" t="s">
        <v>11650</v>
      </c>
      <c r="U802" t="s">
        <v>11650</v>
      </c>
      <c r="V802" t="s">
        <v>11650</v>
      </c>
      <c r="W802" t="s">
        <v>12438</v>
      </c>
      <c r="X802">
        <v>20</v>
      </c>
      <c r="Y802" t="s">
        <v>18199</v>
      </c>
      <c r="Z802" t="s">
        <v>23864</v>
      </c>
      <c r="AA802">
        <v>0.83634904843977453</v>
      </c>
      <c r="AB802" t="str">
        <f>HYPERLINK("Melting_Curves/meltCurve_H0Y360_AMPD2.pdf", "Melting_Curves/meltCurve_H0Y360_AMPD2.pdf")</f>
        <v>Melting_Curves/meltCurve_H0Y360_AMPD2.pdf</v>
      </c>
    </row>
    <row r="803" spans="1:28" x14ac:dyDescent="0.25">
      <c r="A803" t="s">
        <v>807</v>
      </c>
      <c r="B803">
        <v>0.99996721820229495</v>
      </c>
      <c r="C803">
        <v>0.98695331719919399</v>
      </c>
      <c r="D803">
        <v>0.66045680589727296</v>
      </c>
      <c r="E803">
        <v>0.251261353577935</v>
      </c>
      <c r="F803">
        <v>0.26434853531278002</v>
      </c>
      <c r="G803">
        <v>0.220429138983985</v>
      </c>
      <c r="H803">
        <v>0.122854004014045</v>
      </c>
      <c r="I803">
        <v>7.26922806714142E-2</v>
      </c>
      <c r="J803">
        <v>5.3555737913981299E-2</v>
      </c>
      <c r="K803">
        <v>4.2597137687049397E-2</v>
      </c>
      <c r="L803">
        <v>1065.8560824849001</v>
      </c>
      <c r="M803">
        <v>22.565314764645301</v>
      </c>
      <c r="N803">
        <v>47.729457165663</v>
      </c>
      <c r="O803">
        <v>46.867993585486502</v>
      </c>
      <c r="P803">
        <v>-0.10780655515828701</v>
      </c>
      <c r="Q803">
        <v>0.104364248444754</v>
      </c>
      <c r="R803">
        <v>0.97324570556350998</v>
      </c>
      <c r="S803" t="s">
        <v>6629</v>
      </c>
      <c r="T803" t="s">
        <v>11650</v>
      </c>
      <c r="U803" t="s">
        <v>11650</v>
      </c>
      <c r="V803" t="s">
        <v>11650</v>
      </c>
      <c r="W803" t="s">
        <v>12439</v>
      </c>
      <c r="X803">
        <v>7</v>
      </c>
      <c r="Y803" t="s">
        <v>18200</v>
      </c>
      <c r="Z803" t="s">
        <v>23865</v>
      </c>
      <c r="AA803">
        <v>0.33031069793017881</v>
      </c>
      <c r="AB803" t="str">
        <f>HYPERLINK("Melting_Curves/meltCurve_H0Y4G9_MYD88.pdf", "Melting_Curves/meltCurve_H0Y4G9_MYD88.pdf")</f>
        <v>Melting_Curves/meltCurve_H0Y4G9_MYD88.pdf</v>
      </c>
    </row>
    <row r="804" spans="1:28" x14ac:dyDescent="0.25">
      <c r="A804" t="s">
        <v>808</v>
      </c>
      <c r="B804">
        <v>0.99996721820229495</v>
      </c>
      <c r="C804">
        <v>1.0559923496533601</v>
      </c>
      <c r="D804">
        <v>1.0107136694219201</v>
      </c>
      <c r="E804">
        <v>1.1630275151924201</v>
      </c>
      <c r="F804">
        <v>1.3064652605730001</v>
      </c>
      <c r="G804">
        <v>1.61530059977484</v>
      </c>
      <c r="H804">
        <v>0.92385901815847704</v>
      </c>
      <c r="I804">
        <v>0.60027773787865302</v>
      </c>
      <c r="J804">
        <v>0.48447565267588499</v>
      </c>
      <c r="K804">
        <v>0.43228575805312502</v>
      </c>
      <c r="L804">
        <v>4028.4361031194999</v>
      </c>
      <c r="M804">
        <v>63.955431376794699</v>
      </c>
      <c r="N804">
        <v>65.387127845384498</v>
      </c>
      <c r="O804">
        <v>62.926680681133902</v>
      </c>
      <c r="P804">
        <v>-0.13920307443241001</v>
      </c>
      <c r="Q804">
        <v>0.452144442536772</v>
      </c>
      <c r="R804">
        <v>0.59312796912621601</v>
      </c>
      <c r="S804" t="s">
        <v>6630</v>
      </c>
      <c r="T804" t="s">
        <v>11650</v>
      </c>
      <c r="U804" t="s">
        <v>11650</v>
      </c>
      <c r="V804" t="s">
        <v>11650</v>
      </c>
      <c r="W804" t="s">
        <v>12440</v>
      </c>
      <c r="X804">
        <v>2</v>
      </c>
      <c r="Y804" t="s">
        <v>18201</v>
      </c>
      <c r="Z804" t="s">
        <v>23866</v>
      </c>
      <c r="AA804">
        <v>0.87284148954512897</v>
      </c>
      <c r="AB804" t="str">
        <f>HYPERLINK("Melting_Curves/meltCurve_H0Y4M8_ZNF185.pdf", "Melting_Curves/meltCurve_H0Y4M8_ZNF185.pdf")</f>
        <v>Melting_Curves/meltCurve_H0Y4M8_ZNF185.pdf</v>
      </c>
    </row>
    <row r="805" spans="1:28" x14ac:dyDescent="0.25">
      <c r="A805" t="s">
        <v>809</v>
      </c>
      <c r="B805">
        <v>0.99996721820229495</v>
      </c>
      <c r="C805">
        <v>0.86698042714717205</v>
      </c>
      <c r="D805">
        <v>0.66303925434473598</v>
      </c>
      <c r="E805">
        <v>0.55950141247811203</v>
      </c>
      <c r="F805">
        <v>0.54861334540094597</v>
      </c>
      <c r="G805">
        <v>0.57238649769585503</v>
      </c>
      <c r="H805">
        <v>0.380354089014174</v>
      </c>
      <c r="I805">
        <v>0.33792741740565502</v>
      </c>
      <c r="J805">
        <v>0.27432715626699</v>
      </c>
      <c r="K805">
        <v>0.18745007314588399</v>
      </c>
      <c r="L805">
        <v>307.557265020834</v>
      </c>
      <c r="M805">
        <v>5.5598105146206702</v>
      </c>
      <c r="N805">
        <v>55.317940091373202</v>
      </c>
      <c r="O805">
        <v>49.399901754346502</v>
      </c>
      <c r="P805">
        <v>-2.8256080068760001E-2</v>
      </c>
      <c r="Q805">
        <v>0</v>
      </c>
      <c r="R805">
        <v>0.92645122987383299</v>
      </c>
      <c r="S805" t="s">
        <v>6631</v>
      </c>
      <c r="T805" t="s">
        <v>11650</v>
      </c>
      <c r="U805" t="s">
        <v>11650</v>
      </c>
      <c r="V805" t="s">
        <v>11650</v>
      </c>
      <c r="W805" t="s">
        <v>12441</v>
      </c>
      <c r="X805">
        <v>20</v>
      </c>
      <c r="Y805" t="s">
        <v>18202</v>
      </c>
      <c r="Z805" t="s">
        <v>23867</v>
      </c>
      <c r="AA805">
        <v>0.53220785800649095</v>
      </c>
      <c r="AB805" t="str">
        <f>HYPERLINK("Melting_Curves/meltCurve_H0Y507_SH3PXD2A.pdf", "Melting_Curves/meltCurve_H0Y507_SH3PXD2A.pdf")</f>
        <v>Melting_Curves/meltCurve_H0Y507_SH3PXD2A.pdf</v>
      </c>
    </row>
    <row r="806" spans="1:28" x14ac:dyDescent="0.25">
      <c r="A806" t="s">
        <v>810</v>
      </c>
      <c r="B806">
        <v>0.99996721820229495</v>
      </c>
      <c r="C806">
        <v>0.82491803183767298</v>
      </c>
      <c r="D806">
        <v>1.1685793796360999</v>
      </c>
      <c r="E806">
        <v>1.43619110707361</v>
      </c>
      <c r="F806">
        <v>1.8087477933507199</v>
      </c>
      <c r="G806">
        <v>1.2689833879499699</v>
      </c>
      <c r="H806">
        <v>0.42065975390301003</v>
      </c>
      <c r="I806">
        <v>0.22293215825287199</v>
      </c>
      <c r="J806">
        <v>0.12188988376403601</v>
      </c>
      <c r="K806">
        <v>0.124387511005629</v>
      </c>
      <c r="L806">
        <v>8830.7056707020802</v>
      </c>
      <c r="M806">
        <v>145.548384222279</v>
      </c>
      <c r="N806">
        <v>60.828467851844501</v>
      </c>
      <c r="O806">
        <v>60.660488233793998</v>
      </c>
      <c r="P806">
        <v>-0.50615592037594304</v>
      </c>
      <c r="Q806">
        <v>0.156193327511811</v>
      </c>
      <c r="R806">
        <v>0.69263303631874196</v>
      </c>
      <c r="S806" t="s">
        <v>6632</v>
      </c>
      <c r="T806" t="s">
        <v>11650</v>
      </c>
      <c r="U806" t="s">
        <v>11650</v>
      </c>
      <c r="V806" t="s">
        <v>11650</v>
      </c>
      <c r="W806" t="s">
        <v>12442</v>
      </c>
      <c r="X806">
        <v>4</v>
      </c>
      <c r="Y806" t="s">
        <v>18203</v>
      </c>
      <c r="Z806" t="s">
        <v>23868</v>
      </c>
      <c r="AA806">
        <v>0.73789642895568874</v>
      </c>
      <c r="AB806" t="str">
        <f>HYPERLINK("Melting_Curves/meltCurve_H0Y547_ATP11A.pdf", "Melting_Curves/meltCurve_H0Y547_ATP11A.pdf")</f>
        <v>Melting_Curves/meltCurve_H0Y547_ATP11A.pdf</v>
      </c>
    </row>
    <row r="807" spans="1:28" x14ac:dyDescent="0.25">
      <c r="A807" t="s">
        <v>811</v>
      </c>
      <c r="B807">
        <v>0.99996721820229495</v>
      </c>
      <c r="C807">
        <v>1.0237044823357599</v>
      </c>
      <c r="D807">
        <v>0.98257103591974204</v>
      </c>
      <c r="E807">
        <v>0.91425687532341304</v>
      </c>
      <c r="F807">
        <v>0.91302783268042298</v>
      </c>
      <c r="G807">
        <v>1.06232249343387</v>
      </c>
      <c r="H807">
        <v>0.62225156958906003</v>
      </c>
      <c r="I807">
        <v>0.376816416689436</v>
      </c>
      <c r="J807">
        <v>0.27707950639177498</v>
      </c>
      <c r="K807">
        <v>0.173773095141036</v>
      </c>
      <c r="L807">
        <v>2448.78547357344</v>
      </c>
      <c r="M807">
        <v>39.881796614320201</v>
      </c>
      <c r="N807">
        <v>62.283179918736998</v>
      </c>
      <c r="O807">
        <v>61.247316498297103</v>
      </c>
      <c r="P807">
        <v>-0.127664570671608</v>
      </c>
      <c r="Q807">
        <v>0.215772997504284</v>
      </c>
      <c r="R807">
        <v>0.97080943506747397</v>
      </c>
      <c r="S807" t="s">
        <v>6633</v>
      </c>
      <c r="T807" t="s">
        <v>11650</v>
      </c>
      <c r="U807" t="s">
        <v>11650</v>
      </c>
      <c r="V807" t="s">
        <v>11650</v>
      </c>
      <c r="W807" t="s">
        <v>12443</v>
      </c>
      <c r="X807">
        <v>3</v>
      </c>
      <c r="Y807" t="s">
        <v>18204</v>
      </c>
      <c r="Z807" t="s">
        <v>23869</v>
      </c>
      <c r="AA807">
        <v>0.77815306942488094</v>
      </c>
      <c r="AB807" t="str">
        <f>HYPERLINK("Melting_Curves/meltCurve_H0Y5A1_PTGDS.pdf", "Melting_Curves/meltCurve_H0Y5A1_PTGDS.pdf")</f>
        <v>Melting_Curves/meltCurve_H0Y5A1_PTGDS.pdf</v>
      </c>
    </row>
    <row r="808" spans="1:28" x14ac:dyDescent="0.25">
      <c r="A808" t="s">
        <v>812</v>
      </c>
      <c r="B808">
        <v>0.99996721820229495</v>
      </c>
      <c r="C808">
        <v>0.895914708777237</v>
      </c>
      <c r="D808">
        <v>0.82449737809453205</v>
      </c>
      <c r="E808">
        <v>0.77296157837928803</v>
      </c>
      <c r="F808">
        <v>0.38944430695195298</v>
      </c>
      <c r="G808">
        <v>0.22782207681375599</v>
      </c>
      <c r="H808">
        <v>0.13714159521931299</v>
      </c>
      <c r="I808">
        <v>0.110200026226617</v>
      </c>
      <c r="J808">
        <v>9.6840804293943206E-2</v>
      </c>
      <c r="K808">
        <v>6.2445171023116898E-2</v>
      </c>
      <c r="L808">
        <v>805.36765512077102</v>
      </c>
      <c r="M808">
        <v>15.5167432699361</v>
      </c>
      <c r="N808">
        <v>52.278114430805303</v>
      </c>
      <c r="O808">
        <v>51.063990046044303</v>
      </c>
      <c r="P808">
        <v>-7.19728081536994E-2</v>
      </c>
      <c r="Q808">
        <v>5.2663700585764001E-2</v>
      </c>
      <c r="R808">
        <v>0.98035529587633197</v>
      </c>
      <c r="S808" t="s">
        <v>6634</v>
      </c>
      <c r="T808" t="s">
        <v>11650</v>
      </c>
      <c r="U808" t="s">
        <v>11650</v>
      </c>
      <c r="V808" t="s">
        <v>11650</v>
      </c>
      <c r="W808" t="s">
        <v>12444</v>
      </c>
      <c r="X808">
        <v>21</v>
      </c>
      <c r="Y808" t="s">
        <v>18205</v>
      </c>
      <c r="Z808" t="s">
        <v>23870</v>
      </c>
      <c r="AA808">
        <v>0.44869757716660769</v>
      </c>
      <c r="AB808" t="str">
        <f>HYPERLINK("Melting_Curves/meltCurve_H0Y5B0_EPB41L2.pdf", "Melting_Curves/meltCurve_H0Y5B0_EPB41L2.pdf")</f>
        <v>Melting_Curves/meltCurve_H0Y5B0_EPB41L2.pdf</v>
      </c>
    </row>
    <row r="809" spans="1:28" x14ac:dyDescent="0.25">
      <c r="A809" t="s">
        <v>813</v>
      </c>
      <c r="B809">
        <v>0.99996721820229495</v>
      </c>
      <c r="C809">
        <v>1.0605128510230999</v>
      </c>
      <c r="D809">
        <v>0.93373567998942397</v>
      </c>
      <c r="E809">
        <v>0.87800181233140895</v>
      </c>
      <c r="F809">
        <v>0.83243609510034899</v>
      </c>
      <c r="G809">
        <v>0.74729974738802996</v>
      </c>
      <c r="H809">
        <v>0.389304271396336</v>
      </c>
      <c r="I809">
        <v>0.30678463051357802</v>
      </c>
      <c r="J809">
        <v>0.23563685704599799</v>
      </c>
      <c r="K809">
        <v>0.120327627432349</v>
      </c>
      <c r="L809">
        <v>774.51994107432097</v>
      </c>
      <c r="M809">
        <v>12.9031630879389</v>
      </c>
      <c r="N809">
        <v>60.025587302112598</v>
      </c>
      <c r="O809">
        <v>58.638665826800398</v>
      </c>
      <c r="P809">
        <v>-5.50213320455658E-2</v>
      </c>
      <c r="Q809">
        <v>0</v>
      </c>
      <c r="R809">
        <v>0.98101405306158096</v>
      </c>
      <c r="S809" t="s">
        <v>6635</v>
      </c>
      <c r="T809" t="s">
        <v>11650</v>
      </c>
      <c r="U809" t="s">
        <v>11650</v>
      </c>
      <c r="V809" t="s">
        <v>11650</v>
      </c>
      <c r="W809" t="s">
        <v>12445</v>
      </c>
      <c r="X809">
        <v>4</v>
      </c>
      <c r="Y809" t="s">
        <v>18206</v>
      </c>
      <c r="Z809" t="s">
        <v>23871</v>
      </c>
      <c r="AA809">
        <v>0.67159790416013165</v>
      </c>
      <c r="AB809" t="str">
        <f>HYPERLINK("Melting_Curves/meltCurve_H0Y614_UFM1.pdf", "Melting_Curves/meltCurve_H0Y614_UFM1.pdf")</f>
        <v>Melting_Curves/meltCurve_H0Y614_UFM1.pdf</v>
      </c>
    </row>
    <row r="810" spans="1:28" x14ac:dyDescent="0.25">
      <c r="A810" t="s">
        <v>814</v>
      </c>
      <c r="B810">
        <v>0.99996721820229495</v>
      </c>
      <c r="C810">
        <v>1.08640044724411</v>
      </c>
      <c r="D810">
        <v>1.08914435337668</v>
      </c>
      <c r="E810">
        <v>1.02226315001131</v>
      </c>
      <c r="F810">
        <v>0.64544907759693104</v>
      </c>
      <c r="G810">
        <v>0.64091214250016204</v>
      </c>
      <c r="H810">
        <v>0.44502206967876801</v>
      </c>
      <c r="I810">
        <v>0.32518917697305899</v>
      </c>
      <c r="J810">
        <v>0.256636259926659</v>
      </c>
      <c r="K810">
        <v>0.21329176428503899</v>
      </c>
      <c r="L810">
        <v>839.18909288802001</v>
      </c>
      <c r="M810">
        <v>14.653788200928799</v>
      </c>
      <c r="N810">
        <v>59.012717323504603</v>
      </c>
      <c r="O810">
        <v>56.232933495855903</v>
      </c>
      <c r="P810">
        <v>-5.3699380969955503E-2</v>
      </c>
      <c r="Q810">
        <v>0.17582008639975899</v>
      </c>
      <c r="R810">
        <v>0.94559369427630902</v>
      </c>
      <c r="S810" t="s">
        <v>6636</v>
      </c>
      <c r="T810" t="s">
        <v>11650</v>
      </c>
      <c r="U810" t="s">
        <v>11650</v>
      </c>
      <c r="V810" t="s">
        <v>11650</v>
      </c>
      <c r="W810" t="s">
        <v>12446</v>
      </c>
      <c r="X810">
        <v>22</v>
      </c>
      <c r="Y810" t="s">
        <v>18207</v>
      </c>
      <c r="Z810" t="s">
        <v>23872</v>
      </c>
      <c r="AA810">
        <v>0.66289458694218506</v>
      </c>
      <c r="AB810" t="str">
        <f>HYPERLINK("Melting_Curves/meltCurve_H0Y6A0_ARFGAP3.pdf", "Melting_Curves/meltCurve_H0Y6A0_ARFGAP3.pdf")</f>
        <v>Melting_Curves/meltCurve_H0Y6A0_ARFGAP3.pdf</v>
      </c>
    </row>
    <row r="811" spans="1:28" x14ac:dyDescent="0.25">
      <c r="A811" t="s">
        <v>815</v>
      </c>
      <c r="B811">
        <v>0.99996721820229495</v>
      </c>
      <c r="C811">
        <v>1.1482458320504201</v>
      </c>
      <c r="D811">
        <v>1.0544358302735599</v>
      </c>
      <c r="E811">
        <v>1.0328169685299899</v>
      </c>
      <c r="F811">
        <v>1.2769603491527901</v>
      </c>
      <c r="G811">
        <v>1.1506732824454999</v>
      </c>
      <c r="H811">
        <v>0.90230208605915996</v>
      </c>
      <c r="I811">
        <v>0.58503294755232904</v>
      </c>
      <c r="J811">
        <v>0.35426619235337597</v>
      </c>
      <c r="K811">
        <v>0.44481562079946602</v>
      </c>
      <c r="L811">
        <v>3665.5007224022702</v>
      </c>
      <c r="M811">
        <v>58.187436242664198</v>
      </c>
      <c r="N811">
        <v>64.7340319214251</v>
      </c>
      <c r="O811">
        <v>62.920426632603899</v>
      </c>
      <c r="P811">
        <v>-0.13980549973019801</v>
      </c>
      <c r="Q811">
        <v>0.39529085633401201</v>
      </c>
      <c r="R811">
        <v>0.85655821147632505</v>
      </c>
      <c r="S811" t="s">
        <v>6637</v>
      </c>
      <c r="T811" t="s">
        <v>11650</v>
      </c>
      <c r="U811" t="s">
        <v>11650</v>
      </c>
      <c r="V811" t="s">
        <v>11650</v>
      </c>
      <c r="W811" t="s">
        <v>12447</v>
      </c>
      <c r="X811">
        <v>1</v>
      </c>
      <c r="Y811" t="s">
        <v>18208</v>
      </c>
      <c r="Z811" t="s">
        <v>23873</v>
      </c>
      <c r="AA811">
        <v>0.85995065564276874</v>
      </c>
      <c r="AB811" t="str">
        <f>HYPERLINK("Melting_Curves/meltCurve_H0Y6B2_SUSD1.pdf", "Melting_Curves/meltCurve_H0Y6B2_SUSD1.pdf")</f>
        <v>Melting_Curves/meltCurve_H0Y6B2_SUSD1.pdf</v>
      </c>
    </row>
    <row r="812" spans="1:28" x14ac:dyDescent="0.25">
      <c r="A812" t="s">
        <v>816</v>
      </c>
      <c r="B812">
        <v>0.99996721820229495</v>
      </c>
      <c r="C812">
        <v>0.98660463980284796</v>
      </c>
      <c r="D812">
        <v>0.97158989904099002</v>
      </c>
      <c r="E812">
        <v>0.80145403061070197</v>
      </c>
      <c r="F812">
        <v>1.2381521220340499</v>
      </c>
      <c r="G812">
        <v>0.66884329425179001</v>
      </c>
      <c r="H812">
        <v>0.44599358174005399</v>
      </c>
      <c r="I812">
        <v>0.234482411787232</v>
      </c>
      <c r="J812">
        <v>0.11176198592174801</v>
      </c>
      <c r="K812">
        <v>4.9355654903951302E-2</v>
      </c>
      <c r="L812">
        <v>1407.6266026216399</v>
      </c>
      <c r="M812">
        <v>23.498310647656702</v>
      </c>
      <c r="N812">
        <v>60.106304414397101</v>
      </c>
      <c r="O812">
        <v>59.474512740535197</v>
      </c>
      <c r="P812">
        <v>-9.50084417586992E-2</v>
      </c>
      <c r="Q812">
        <v>3.8146123286077201E-2</v>
      </c>
      <c r="R812">
        <v>0.91788915162853701</v>
      </c>
      <c r="S812" t="s">
        <v>6638</v>
      </c>
      <c r="T812" t="s">
        <v>11650</v>
      </c>
      <c r="U812" t="s">
        <v>11650</v>
      </c>
      <c r="V812" t="s">
        <v>11650</v>
      </c>
      <c r="W812" t="s">
        <v>12448</v>
      </c>
      <c r="X812">
        <v>10</v>
      </c>
      <c r="Y812" t="s">
        <v>18209</v>
      </c>
      <c r="Z812" t="s">
        <v>23874</v>
      </c>
      <c r="AA812">
        <v>0.68388537503734892</v>
      </c>
      <c r="AB812" t="str">
        <f>HYPERLINK("Melting_Curves/meltCurve_H0Y6C3_PYCRL.pdf", "Melting_Curves/meltCurve_H0Y6C3_PYCRL.pdf")</f>
        <v>Melting_Curves/meltCurve_H0Y6C3_PYCRL.pdf</v>
      </c>
    </row>
    <row r="813" spans="1:28" x14ac:dyDescent="0.25">
      <c r="A813" t="s">
        <v>817</v>
      </c>
      <c r="B813">
        <v>0.99996721820229495</v>
      </c>
      <c r="C813">
        <v>1.09179146600564</v>
      </c>
      <c r="D813">
        <v>1.0791628094394301</v>
      </c>
      <c r="E813">
        <v>1.1689111339518601</v>
      </c>
      <c r="F813">
        <v>1.8309900748624199</v>
      </c>
      <c r="G813">
        <v>2.29814453460674</v>
      </c>
      <c r="H813">
        <v>1.94629584902277</v>
      </c>
      <c r="I813">
        <v>1.8875701626644299</v>
      </c>
      <c r="J813">
        <v>1.83401771582186</v>
      </c>
      <c r="K813">
        <v>1.2082180762947099</v>
      </c>
      <c r="L813">
        <v>12533.6498618893</v>
      </c>
      <c r="M813">
        <v>250</v>
      </c>
      <c r="O813">
        <v>50.131402311107301</v>
      </c>
      <c r="P813">
        <v>0.62336191527630003</v>
      </c>
      <c r="Q813">
        <v>1.5</v>
      </c>
      <c r="R813">
        <v>0.34109546678132602</v>
      </c>
      <c r="S813" t="s">
        <v>6639</v>
      </c>
      <c r="T813" t="s">
        <v>11650</v>
      </c>
      <c r="U813" t="s">
        <v>11650</v>
      </c>
      <c r="V813" t="s">
        <v>11650</v>
      </c>
      <c r="W813" t="s">
        <v>12449</v>
      </c>
      <c r="X813">
        <v>16</v>
      </c>
      <c r="Y813" t="s">
        <v>18210</v>
      </c>
      <c r="Z813" t="s">
        <v>23875</v>
      </c>
      <c r="AA813">
        <v>1.3310460164864979</v>
      </c>
      <c r="AB813" t="str">
        <f>HYPERLINK("Melting_Curves/meltCurve_H0Y7A7_CALM2.pdf", "Melting_Curves/meltCurve_H0Y7A7_CALM2.pdf")</f>
        <v>Melting_Curves/meltCurve_H0Y7A7_CALM2.pdf</v>
      </c>
    </row>
    <row r="814" spans="1:28" x14ac:dyDescent="0.25">
      <c r="A814" t="s">
        <v>818</v>
      </c>
      <c r="B814">
        <v>0.99996721820229495</v>
      </c>
      <c r="C814">
        <v>1.09002997053902</v>
      </c>
      <c r="D814">
        <v>1.06601706803341</v>
      </c>
      <c r="E814">
        <v>0.76770267011968996</v>
      </c>
      <c r="F814">
        <v>1.04932784820745</v>
      </c>
      <c r="G814">
        <v>1.1566247934735201</v>
      </c>
      <c r="H814">
        <v>0.93167804506014296</v>
      </c>
      <c r="I814">
        <v>0.63128096435584202</v>
      </c>
      <c r="J814">
        <v>0.617604897044573</v>
      </c>
      <c r="K814">
        <v>0.44076735064990202</v>
      </c>
      <c r="L814">
        <v>3413.5985073523598</v>
      </c>
      <c r="M814">
        <v>54.250242173589399</v>
      </c>
      <c r="O814">
        <v>62.837871187902998</v>
      </c>
      <c r="P814">
        <v>-0.105406683866065</v>
      </c>
      <c r="Q814">
        <v>0.51163151575987798</v>
      </c>
      <c r="R814">
        <v>0.79970508338962498</v>
      </c>
      <c r="S814" t="s">
        <v>6640</v>
      </c>
      <c r="T814" t="s">
        <v>11650</v>
      </c>
      <c r="U814" t="s">
        <v>11650</v>
      </c>
      <c r="V814" t="s">
        <v>11650</v>
      </c>
      <c r="W814" t="s">
        <v>12450</v>
      </c>
      <c r="X814">
        <v>2</v>
      </c>
      <c r="Y814" t="s">
        <v>18211</v>
      </c>
      <c r="Z814" t="s">
        <v>23876</v>
      </c>
      <c r="AA814">
        <v>0.88584645896038039</v>
      </c>
      <c r="AB814" t="str">
        <f>HYPERLINK("Melting_Curves/meltCurve_H0Y7L2_DOCK7.pdf", "Melting_Curves/meltCurve_H0Y7L2_DOCK7.pdf")</f>
        <v>Melting_Curves/meltCurve_H0Y7L2_DOCK7.pdf</v>
      </c>
    </row>
    <row r="815" spans="1:28" x14ac:dyDescent="0.25">
      <c r="A815" t="s">
        <v>819</v>
      </c>
      <c r="B815">
        <v>0.99996721820229495</v>
      </c>
      <c r="C815">
        <v>1.02035813323113</v>
      </c>
      <c r="D815">
        <v>1.05699954029984</v>
      </c>
      <c r="E815">
        <v>1.0587560969063301</v>
      </c>
      <c r="F815">
        <v>1.1557381933715001</v>
      </c>
      <c r="G815">
        <v>1.14474580784182</v>
      </c>
      <c r="H815">
        <v>0.66907693801391299</v>
      </c>
      <c r="I815">
        <v>0.37427543141425701</v>
      </c>
      <c r="J815">
        <v>0.24198211447216</v>
      </c>
      <c r="K815">
        <v>0.16569944868694</v>
      </c>
      <c r="L815">
        <v>2778.69645152674</v>
      </c>
      <c r="M815">
        <v>44.991441692117498</v>
      </c>
      <c r="N815">
        <v>62.470023404955903</v>
      </c>
      <c r="O815">
        <v>61.638916853485497</v>
      </c>
      <c r="P815">
        <v>-0.14597553739331501</v>
      </c>
      <c r="Q815">
        <v>0.20004680272208999</v>
      </c>
      <c r="R815">
        <v>0.95434686188464701</v>
      </c>
      <c r="S815" t="s">
        <v>6641</v>
      </c>
      <c r="T815" t="s">
        <v>11650</v>
      </c>
      <c r="U815" t="s">
        <v>11650</v>
      </c>
      <c r="V815" t="s">
        <v>11650</v>
      </c>
      <c r="W815" t="s">
        <v>12451</v>
      </c>
      <c r="X815">
        <v>2</v>
      </c>
      <c r="Y815" t="s">
        <v>18212</v>
      </c>
      <c r="Z815" t="s">
        <v>23877</v>
      </c>
      <c r="AA815">
        <v>0.78274146372864195</v>
      </c>
      <c r="AB815" t="str">
        <f>HYPERLINK("Melting_Curves/meltCurve_H0Y870_TMEM222.pdf", "Melting_Curves/meltCurve_H0Y870_TMEM222.pdf")</f>
        <v>Melting_Curves/meltCurve_H0Y870_TMEM222.pdf</v>
      </c>
    </row>
    <row r="816" spans="1:28" x14ac:dyDescent="0.25">
      <c r="A816" t="s">
        <v>820</v>
      </c>
      <c r="B816">
        <v>0.99996721820229495</v>
      </c>
      <c r="C816">
        <v>0.84962753454504802</v>
      </c>
      <c r="D816">
        <v>0.98769688537601896</v>
      </c>
      <c r="E816">
        <v>0.73469308074361495</v>
      </c>
      <c r="F816">
        <v>0.40323187445901398</v>
      </c>
      <c r="G816">
        <v>0.440802169017393</v>
      </c>
      <c r="H816">
        <v>0.33075994444572998</v>
      </c>
      <c r="I816">
        <v>0.51476541183315705</v>
      </c>
      <c r="J816">
        <v>0.15069318108924601</v>
      </c>
      <c r="K816">
        <v>0.113116686055413</v>
      </c>
      <c r="L816">
        <v>572.62002661849294</v>
      </c>
      <c r="M816">
        <v>10.877519383267</v>
      </c>
      <c r="N816">
        <v>54.673192627744797</v>
      </c>
      <c r="O816">
        <v>50.957048208803201</v>
      </c>
      <c r="P816">
        <v>-4.45133017814359E-2</v>
      </c>
      <c r="Q816">
        <v>0.16618207311452601</v>
      </c>
      <c r="R816">
        <v>0.86092905934604902</v>
      </c>
      <c r="S816" t="s">
        <v>6642</v>
      </c>
      <c r="T816" t="s">
        <v>11650</v>
      </c>
      <c r="U816" t="s">
        <v>11650</v>
      </c>
      <c r="V816" t="s">
        <v>11650</v>
      </c>
      <c r="W816" t="s">
        <v>12452</v>
      </c>
      <c r="X816">
        <v>5</v>
      </c>
      <c r="Y816" t="s">
        <v>18213</v>
      </c>
      <c r="Z816" t="s">
        <v>23878</v>
      </c>
      <c r="AA816">
        <v>0.54479939048858084</v>
      </c>
      <c r="AB816" t="str">
        <f>HYPERLINK("Melting_Curves/meltCurve_H0Y8E6_MCM2.pdf", "Melting_Curves/meltCurve_H0Y8E6_MCM2.pdf")</f>
        <v>Melting_Curves/meltCurve_H0Y8E6_MCM2.pdf</v>
      </c>
    </row>
    <row r="817" spans="1:28" x14ac:dyDescent="0.25">
      <c r="A817" t="s">
        <v>821</v>
      </c>
      <c r="B817">
        <v>0.99996721820229495</v>
      </c>
      <c r="C817">
        <v>0.96579417334175299</v>
      </c>
      <c r="D817">
        <v>1.06791146546516</v>
      </c>
      <c r="E817">
        <v>1.47329464876029</v>
      </c>
      <c r="F817">
        <v>2.1318313497218999</v>
      </c>
      <c r="G817">
        <v>1.7696477237310699</v>
      </c>
      <c r="H817">
        <v>0.75191328418174996</v>
      </c>
      <c r="I817">
        <v>0.394223359854383</v>
      </c>
      <c r="J817">
        <v>0.23159401459725701</v>
      </c>
      <c r="K817">
        <v>0.111285397425657</v>
      </c>
      <c r="L817">
        <v>3239.9291307434701</v>
      </c>
      <c r="M817">
        <v>51.793459231225498</v>
      </c>
      <c r="N817">
        <v>63.036901562112199</v>
      </c>
      <c r="O817">
        <v>62.461748092628397</v>
      </c>
      <c r="P817">
        <v>-0.173400584383886</v>
      </c>
      <c r="Q817">
        <v>0.16353178225814899</v>
      </c>
      <c r="R817">
        <v>0.45724414911528899</v>
      </c>
      <c r="S817" t="s">
        <v>6643</v>
      </c>
      <c r="T817" t="s">
        <v>11650</v>
      </c>
      <c r="U817" t="s">
        <v>11650</v>
      </c>
      <c r="V817" t="s">
        <v>11650</v>
      </c>
      <c r="W817" t="s">
        <v>12453</v>
      </c>
      <c r="X817">
        <v>1</v>
      </c>
      <c r="Y817" t="s">
        <v>18214</v>
      </c>
      <c r="Z817" t="s">
        <v>23879</v>
      </c>
      <c r="AA817">
        <v>0.79438250132649746</v>
      </c>
      <c r="AB817" t="str">
        <f>HYPERLINK("Melting_Curves/meltCurve_H0Y8H1_CHIC2.pdf", "Melting_Curves/meltCurve_H0Y8H1_CHIC2.pdf")</f>
        <v>Melting_Curves/meltCurve_H0Y8H1_CHIC2.pdf</v>
      </c>
    </row>
    <row r="818" spans="1:28" x14ac:dyDescent="0.25">
      <c r="A818" t="s">
        <v>822</v>
      </c>
      <c r="B818">
        <v>0.99996721820229495</v>
      </c>
      <c r="C818">
        <v>1.0566849412113899</v>
      </c>
      <c r="D818">
        <v>1.2330379191862999</v>
      </c>
      <c r="E818">
        <v>1.4802429689535801</v>
      </c>
      <c r="F818">
        <v>1.7553134976287601</v>
      </c>
      <c r="G818">
        <v>2.23652897514939</v>
      </c>
      <c r="H818">
        <v>1.81497888051474</v>
      </c>
      <c r="I818">
        <v>0.89726689753856603</v>
      </c>
      <c r="J818">
        <v>0.630227201804193</v>
      </c>
      <c r="K818">
        <v>0.39901172202181501</v>
      </c>
      <c r="L818">
        <v>4505.2113126456898</v>
      </c>
      <c r="M818">
        <v>67.698095944489907</v>
      </c>
      <c r="N818">
        <v>67.991514177782705</v>
      </c>
      <c r="O818">
        <v>66.490578106379701</v>
      </c>
      <c r="P818">
        <v>-0.157523050743129</v>
      </c>
      <c r="Q818">
        <v>0.38114686796617903</v>
      </c>
      <c r="R818">
        <v>-4.2420261682412502E-2</v>
      </c>
      <c r="S818" t="s">
        <v>6644</v>
      </c>
      <c r="T818" t="s">
        <v>11650</v>
      </c>
      <c r="U818" t="s">
        <v>11650</v>
      </c>
      <c r="V818" t="s">
        <v>11650</v>
      </c>
      <c r="W818" t="s">
        <v>12454</v>
      </c>
      <c r="X818">
        <v>15</v>
      </c>
      <c r="Y818" t="s">
        <v>18215</v>
      </c>
      <c r="Z818" t="s">
        <v>23880</v>
      </c>
      <c r="AA818">
        <v>0.92898211400152431</v>
      </c>
      <c r="AB818" t="str">
        <f>HYPERLINK("Melting_Curves/meltCurve_H0Y931_ANK2.pdf", "Melting_Curves/meltCurve_H0Y931_ANK2.pdf")</f>
        <v>Melting_Curves/meltCurve_H0Y931_ANK2.pdf</v>
      </c>
    </row>
    <row r="819" spans="1:28" x14ac:dyDescent="0.25">
      <c r="A819" t="s">
        <v>823</v>
      </c>
      <c r="B819">
        <v>0.99996721820229495</v>
      </c>
      <c r="C819">
        <v>1.2124317434176</v>
      </c>
      <c r="D819">
        <v>1.2855186059069801</v>
      </c>
      <c r="E819">
        <v>1.76298591811651</v>
      </c>
      <c r="F819">
        <v>3.1486939642637801</v>
      </c>
      <c r="G819">
        <v>6.0983480391190996</v>
      </c>
      <c r="H819">
        <v>2.0571255216094202</v>
      </c>
      <c r="I819">
        <v>0.32535507601610902</v>
      </c>
      <c r="J819">
        <v>0.23268140888046901</v>
      </c>
      <c r="K819">
        <v>9.7308634966874794E-2</v>
      </c>
      <c r="L819">
        <v>15000</v>
      </c>
      <c r="M819">
        <v>235.80897519292799</v>
      </c>
      <c r="N819">
        <v>63.7189436973024</v>
      </c>
      <c r="O819">
        <v>63.606234750711302</v>
      </c>
      <c r="P819">
        <v>-0.77399755665626901</v>
      </c>
      <c r="Q819">
        <v>0.16489912390342401</v>
      </c>
      <c r="R819">
        <v>-0.11567077943698199</v>
      </c>
      <c r="S819" t="s">
        <v>6645</v>
      </c>
      <c r="T819" t="s">
        <v>11650</v>
      </c>
      <c r="U819" t="s">
        <v>11650</v>
      </c>
      <c r="V819" t="s">
        <v>11650</v>
      </c>
      <c r="W819" t="s">
        <v>12455</v>
      </c>
      <c r="X819">
        <v>1</v>
      </c>
      <c r="Z819" t="s">
        <v>23881</v>
      </c>
      <c r="AA819">
        <v>0.8222508595632696</v>
      </c>
      <c r="AB819" t="str">
        <f>HYPERLINK("Melting_Curves/meltCurve_H0Y9B8_.pdf", "Melting_Curves/meltCurve_H0Y9B8_.pdf")</f>
        <v>Melting_Curves/meltCurve_H0Y9B8_.pdf</v>
      </c>
    </row>
    <row r="820" spans="1:28" x14ac:dyDescent="0.25">
      <c r="A820" t="s">
        <v>824</v>
      </c>
      <c r="B820">
        <v>0.99996721820229495</v>
      </c>
      <c r="C820">
        <v>0.92424352808706101</v>
      </c>
      <c r="D820">
        <v>0.73453190589307904</v>
      </c>
      <c r="E820">
        <v>0.52854461686866405</v>
      </c>
      <c r="F820">
        <v>0.51923437637829795</v>
      </c>
      <c r="G820">
        <v>0.46776107297973801</v>
      </c>
      <c r="H820">
        <v>0.241366572206275</v>
      </c>
      <c r="I820">
        <v>0.124997776178162</v>
      </c>
      <c r="J820">
        <v>8.9235818642326895E-2</v>
      </c>
      <c r="K820">
        <v>6.1001166637913197E-2</v>
      </c>
      <c r="L820">
        <v>469.55116467891202</v>
      </c>
      <c r="M820">
        <v>8.9037393113118899</v>
      </c>
      <c r="N820">
        <v>52.736399245621897</v>
      </c>
      <c r="O820">
        <v>50.279634111430497</v>
      </c>
      <c r="P820">
        <v>-4.4304589498187899E-2</v>
      </c>
      <c r="Q820">
        <v>0</v>
      </c>
      <c r="R820">
        <v>0.96311616689087398</v>
      </c>
      <c r="S820" t="s">
        <v>6646</v>
      </c>
      <c r="T820" t="s">
        <v>11650</v>
      </c>
      <c r="U820" t="s">
        <v>11650</v>
      </c>
      <c r="V820" t="s">
        <v>11650</v>
      </c>
      <c r="W820" t="s">
        <v>12456</v>
      </c>
      <c r="X820">
        <v>10</v>
      </c>
      <c r="Y820" t="s">
        <v>18216</v>
      </c>
      <c r="Z820" t="s">
        <v>23882</v>
      </c>
      <c r="AA820">
        <v>0.46359511240410661</v>
      </c>
      <c r="AB820" t="str">
        <f>HYPERLINK("Melting_Curves/meltCurve_H0Y9Q7_CANX.pdf", "Melting_Curves/meltCurve_H0Y9Q7_CANX.pdf")</f>
        <v>Melting_Curves/meltCurve_H0Y9Q7_CANX.pdf</v>
      </c>
    </row>
    <row r="821" spans="1:28" x14ac:dyDescent="0.25">
      <c r="A821" t="s">
        <v>825</v>
      </c>
      <c r="B821">
        <v>0.99996721820229495</v>
      </c>
      <c r="C821">
        <v>0.95723615406538198</v>
      </c>
      <c r="D821">
        <v>0.77508059344699698</v>
      </c>
      <c r="E821">
        <v>0.52421231857787498</v>
      </c>
      <c r="F821">
        <v>0.74267734159099397</v>
      </c>
      <c r="G821">
        <v>0.45433418957661098</v>
      </c>
      <c r="H821">
        <v>0.25862121305385799</v>
      </c>
      <c r="I821">
        <v>0.129058967408689</v>
      </c>
      <c r="J821">
        <v>0.150578760537355</v>
      </c>
      <c r="K821">
        <v>6.7633333300938805E-2</v>
      </c>
      <c r="L821">
        <v>498.75081231896002</v>
      </c>
      <c r="M821">
        <v>9.1718572790986794</v>
      </c>
      <c r="N821">
        <v>54.378387743951301</v>
      </c>
      <c r="O821">
        <v>51.980580040147402</v>
      </c>
      <c r="P821">
        <v>-4.4141754709344498E-2</v>
      </c>
      <c r="Q821">
        <v>0</v>
      </c>
      <c r="R821">
        <v>0.92801545698229204</v>
      </c>
      <c r="S821" t="s">
        <v>6647</v>
      </c>
      <c r="T821" t="s">
        <v>11650</v>
      </c>
      <c r="U821" t="s">
        <v>11650</v>
      </c>
      <c r="V821" t="s">
        <v>11650</v>
      </c>
      <c r="W821" t="s">
        <v>12457</v>
      </c>
      <c r="X821">
        <v>1</v>
      </c>
      <c r="Y821" t="s">
        <v>18217</v>
      </c>
      <c r="Z821" t="s">
        <v>23883</v>
      </c>
      <c r="AA821">
        <v>0.50920932925238138</v>
      </c>
      <c r="AB821" t="str">
        <f>HYPERLINK("Melting_Curves/meltCurve_H0YA20_DGKQ.pdf", "Melting_Curves/meltCurve_H0YA20_DGKQ.pdf")</f>
        <v>Melting_Curves/meltCurve_H0YA20_DGKQ.pdf</v>
      </c>
    </row>
    <row r="822" spans="1:28" x14ac:dyDescent="0.25">
      <c r="A822" t="s">
        <v>826</v>
      </c>
      <c r="B822">
        <v>0.99996721820229495</v>
      </c>
      <c r="C822">
        <v>0.85858712308533902</v>
      </c>
      <c r="D822">
        <v>0.83466552520847603</v>
      </c>
      <c r="E822">
        <v>0.81132855288519601</v>
      </c>
      <c r="F822">
        <v>1.0627376565020601</v>
      </c>
      <c r="G822">
        <v>1.28652213752638</v>
      </c>
      <c r="H822">
        <v>0.888072069249632</v>
      </c>
      <c r="I822">
        <v>0.58136523592073697</v>
      </c>
      <c r="J822">
        <v>0.42003208261734698</v>
      </c>
      <c r="K822">
        <v>0.37453793920567502</v>
      </c>
      <c r="L822">
        <v>3289.7318291654501</v>
      </c>
      <c r="M822">
        <v>52.183328679993998</v>
      </c>
      <c r="N822">
        <v>64.8422254950829</v>
      </c>
      <c r="O822">
        <v>62.949447360365802</v>
      </c>
      <c r="P822">
        <v>-0.12795447430009901</v>
      </c>
      <c r="Q822">
        <v>0.38258774426060199</v>
      </c>
      <c r="R822">
        <v>0.76571302873340796</v>
      </c>
      <c r="S822" t="s">
        <v>6648</v>
      </c>
      <c r="T822" t="s">
        <v>11650</v>
      </c>
      <c r="U822" t="s">
        <v>11650</v>
      </c>
      <c r="V822" t="s">
        <v>11650</v>
      </c>
      <c r="W822" t="s">
        <v>12458</v>
      </c>
      <c r="X822">
        <v>5</v>
      </c>
      <c r="Y822" t="s">
        <v>18218</v>
      </c>
      <c r="Z822" t="s">
        <v>23884</v>
      </c>
      <c r="AA822">
        <v>0.85819464807330303</v>
      </c>
      <c r="AB822" t="str">
        <f>HYPERLINK("Melting_Curves/meltCurve_H0YA52_PCBD2.pdf", "Melting_Curves/meltCurve_H0YA52_PCBD2.pdf")</f>
        <v>Melting_Curves/meltCurve_H0YA52_PCBD2.pdf</v>
      </c>
    </row>
    <row r="823" spans="1:28" x14ac:dyDescent="0.25">
      <c r="A823" t="s">
        <v>827</v>
      </c>
      <c r="B823">
        <v>0.99996721820229495</v>
      </c>
      <c r="C823">
        <v>1.0922817508190401</v>
      </c>
      <c r="D823">
        <v>1.1565110545378601</v>
      </c>
      <c r="E823">
        <v>1.0756309355212501</v>
      </c>
      <c r="F823">
        <v>1.4065157819098499</v>
      </c>
      <c r="G823">
        <v>1.73790357925181</v>
      </c>
      <c r="H823">
        <v>1.24754850086886</v>
      </c>
      <c r="I823">
        <v>0.93732119782648404</v>
      </c>
      <c r="J823">
        <v>0.93661183735571096</v>
      </c>
      <c r="K823">
        <v>0.64877321898201801</v>
      </c>
      <c r="L823">
        <v>3198.9922105836999</v>
      </c>
      <c r="M823">
        <v>45.207169349334499</v>
      </c>
      <c r="Q823">
        <v>7.4257809780451406E-2</v>
      </c>
      <c r="R823">
        <v>-3.2525164536421299E-2</v>
      </c>
      <c r="S823" t="s">
        <v>6649</v>
      </c>
      <c r="T823" t="s">
        <v>11650</v>
      </c>
      <c r="U823" t="s">
        <v>11650</v>
      </c>
      <c r="V823" t="s">
        <v>11650</v>
      </c>
      <c r="W823" t="s">
        <v>12459</v>
      </c>
      <c r="X823">
        <v>1</v>
      </c>
      <c r="Y823" t="s">
        <v>18219</v>
      </c>
      <c r="Z823" t="s">
        <v>23885</v>
      </c>
      <c r="AA823">
        <v>0.97850083597956938</v>
      </c>
      <c r="AB823" t="str">
        <f>HYPERLINK("Melting_Curves/meltCurve_H0YAC1_KLKB1.pdf", "Melting_Curves/meltCurve_H0YAC1_KLKB1.pdf")</f>
        <v>Melting_Curves/meltCurve_H0YAC1_KLKB1.pdf</v>
      </c>
    </row>
    <row r="824" spans="1:28" x14ac:dyDescent="0.25">
      <c r="A824" t="s">
        <v>828</v>
      </c>
      <c r="B824">
        <v>0.99996721820229495</v>
      </c>
      <c r="C824">
        <v>1.1238135425375899</v>
      </c>
      <c r="D824">
        <v>1.19532365923868</v>
      </c>
      <c r="E824">
        <v>1.03964836275079</v>
      </c>
      <c r="F824">
        <v>1.32529084422466</v>
      </c>
      <c r="G824">
        <v>1.35379539614077</v>
      </c>
      <c r="H824">
        <v>0.84141451384846899</v>
      </c>
      <c r="I824">
        <v>0.68177535108592502</v>
      </c>
      <c r="J824">
        <v>0.40592755552751397</v>
      </c>
      <c r="K824">
        <v>0.32502236731037998</v>
      </c>
      <c r="L824">
        <v>2501.0452366654099</v>
      </c>
      <c r="M824">
        <v>39.029003249783997</v>
      </c>
      <c r="N824">
        <v>65.638083250316299</v>
      </c>
      <c r="O824">
        <v>63.914167174990602</v>
      </c>
      <c r="P824">
        <v>-0.10658560336311</v>
      </c>
      <c r="Q824">
        <v>0.30182029349967399</v>
      </c>
      <c r="R824">
        <v>0.74726222793792996</v>
      </c>
      <c r="S824" t="s">
        <v>6650</v>
      </c>
      <c r="T824" t="s">
        <v>11650</v>
      </c>
      <c r="U824" t="s">
        <v>11650</v>
      </c>
      <c r="V824" t="s">
        <v>11650</v>
      </c>
      <c r="W824" t="s">
        <v>12460</v>
      </c>
      <c r="X824">
        <v>1</v>
      </c>
      <c r="Y824" t="s">
        <v>18220</v>
      </c>
      <c r="Z824" t="s">
        <v>23886</v>
      </c>
      <c r="AA824">
        <v>0.86376245419912412</v>
      </c>
      <c r="AB824" t="str">
        <f>HYPERLINK("Melting_Curves/meltCurve_H0YAE0_C5orf24.pdf", "Melting_Curves/meltCurve_H0YAE0_C5orf24.pdf")</f>
        <v>Melting_Curves/meltCurve_H0YAE0_C5orf24.pdf</v>
      </c>
    </row>
    <row r="825" spans="1:28" x14ac:dyDescent="0.25">
      <c r="A825" t="s">
        <v>829</v>
      </c>
      <c r="B825">
        <v>0.99996721820229495</v>
      </c>
      <c r="C825">
        <v>0.94722716099220605</v>
      </c>
      <c r="D825">
        <v>0.94203094180265201</v>
      </c>
      <c r="E825">
        <v>0.98584235656683405</v>
      </c>
      <c r="F825">
        <v>1.0001965950364899</v>
      </c>
      <c r="G825">
        <v>0.65810908286103897</v>
      </c>
      <c r="H825">
        <v>0.36911521156521099</v>
      </c>
      <c r="I825">
        <v>0.23120278224083601</v>
      </c>
      <c r="J825">
        <v>0.17503858909678399</v>
      </c>
      <c r="K825">
        <v>0.14668068954293401</v>
      </c>
      <c r="L825">
        <v>1525.1275556123701</v>
      </c>
      <c r="M825">
        <v>26.1894968148173</v>
      </c>
      <c r="N825">
        <v>59.037205098362399</v>
      </c>
      <c r="O825">
        <v>57.897971858644702</v>
      </c>
      <c r="P825">
        <v>-9.6142856315418204E-2</v>
      </c>
      <c r="Q825">
        <v>0.14982495639660501</v>
      </c>
      <c r="R825">
        <v>0.99093685658949704</v>
      </c>
      <c r="S825" t="s">
        <v>6651</v>
      </c>
      <c r="T825" t="s">
        <v>11650</v>
      </c>
      <c r="U825" t="s">
        <v>11650</v>
      </c>
      <c r="V825" t="s">
        <v>11650</v>
      </c>
      <c r="W825" t="s">
        <v>12461</v>
      </c>
      <c r="X825">
        <v>10</v>
      </c>
      <c r="Y825" t="s">
        <v>18221</v>
      </c>
      <c r="Z825" t="s">
        <v>23887</v>
      </c>
      <c r="AA825">
        <v>0.67342527240068362</v>
      </c>
      <c r="AB825" t="str">
        <f>HYPERLINK("Melting_Curves/meltCurve_H0YAJ5_APBB2.pdf", "Melting_Curves/meltCurve_H0YAJ5_APBB2.pdf")</f>
        <v>Melting_Curves/meltCurve_H0YAJ5_APBB2.pdf</v>
      </c>
    </row>
    <row r="826" spans="1:28" x14ac:dyDescent="0.25">
      <c r="A826" t="s">
        <v>830</v>
      </c>
      <c r="B826">
        <v>0.99996721820229495</v>
      </c>
      <c r="C826">
        <v>0.94369340560132098</v>
      </c>
      <c r="D826">
        <v>0.84523897215942101</v>
      </c>
      <c r="E826">
        <v>0.43289250785105099</v>
      </c>
      <c r="F826">
        <v>0.43208994162258302</v>
      </c>
      <c r="G826">
        <v>0.457279642831524</v>
      </c>
      <c r="H826">
        <v>0.26445923737174099</v>
      </c>
      <c r="I826">
        <v>0.248113846439316</v>
      </c>
      <c r="J826">
        <v>0.117635358111779</v>
      </c>
      <c r="K826">
        <v>9.1951530422162198E-2</v>
      </c>
      <c r="L826">
        <v>542.31681034546898</v>
      </c>
      <c r="M826">
        <v>10.667723919523601</v>
      </c>
      <c r="N826">
        <v>52.021242260630203</v>
      </c>
      <c r="O826">
        <v>49.148379815590403</v>
      </c>
      <c r="P826">
        <v>-4.8432201889550101E-2</v>
      </c>
      <c r="Q826">
        <v>0.107790917626108</v>
      </c>
      <c r="R826">
        <v>0.93639984994105296</v>
      </c>
      <c r="S826" t="s">
        <v>6652</v>
      </c>
      <c r="T826" t="s">
        <v>11650</v>
      </c>
      <c r="U826" t="s">
        <v>11650</v>
      </c>
      <c r="V826" t="s">
        <v>11650</v>
      </c>
      <c r="W826" t="s">
        <v>12462</v>
      </c>
      <c r="X826">
        <v>2</v>
      </c>
      <c r="Y826" t="s">
        <v>18222</v>
      </c>
      <c r="Z826" t="s">
        <v>23888</v>
      </c>
      <c r="AA826">
        <v>0.464704950346709</v>
      </c>
      <c r="AB826" t="str">
        <f>HYPERLINK("Melting_Curves/meltCurve_H0YAN8_ARHGEF10.pdf", "Melting_Curves/meltCurve_H0YAN8_ARHGEF10.pdf")</f>
        <v>Melting_Curves/meltCurve_H0YAN8_ARHGEF10.pdf</v>
      </c>
    </row>
    <row r="827" spans="1:28" x14ac:dyDescent="0.25">
      <c r="A827" t="s">
        <v>831</v>
      </c>
      <c r="B827">
        <v>0.99996721820229495</v>
      </c>
      <c r="C827">
        <v>0.89473806999739702</v>
      </c>
      <c r="D827">
        <v>0.89486832038753705</v>
      </c>
      <c r="E827">
        <v>1.0822069399916401</v>
      </c>
      <c r="F827">
        <v>1.20599484586391</v>
      </c>
      <c r="G827">
        <v>1.1011446302591901</v>
      </c>
      <c r="H827">
        <v>0.84896623959699902</v>
      </c>
      <c r="I827">
        <v>0.58784526678273796</v>
      </c>
      <c r="J827">
        <v>0.583998221136656</v>
      </c>
      <c r="K827">
        <v>0.45800196110673902</v>
      </c>
      <c r="L827">
        <v>3348.21691941066</v>
      </c>
      <c r="M827">
        <v>54.016236082899297</v>
      </c>
      <c r="O827">
        <v>61.900596871880602</v>
      </c>
      <c r="P827">
        <v>-0.105921207466054</v>
      </c>
      <c r="Q827">
        <v>0.51447325198001703</v>
      </c>
      <c r="R827">
        <v>0.84031330665420501</v>
      </c>
      <c r="S827" t="s">
        <v>6653</v>
      </c>
      <c r="T827" t="s">
        <v>11650</v>
      </c>
      <c r="U827" t="s">
        <v>11650</v>
      </c>
      <c r="V827" t="s">
        <v>11650</v>
      </c>
      <c r="W827" t="s">
        <v>12463</v>
      </c>
      <c r="X827">
        <v>1</v>
      </c>
      <c r="Y827" t="s">
        <v>18223</v>
      </c>
      <c r="Z827" t="s">
        <v>23889</v>
      </c>
      <c r="AA827">
        <v>0.87137518363089084</v>
      </c>
      <c r="AB827" t="str">
        <f>HYPERLINK("Melting_Curves/meltCurve_H0YAX0_ZDHHC14.pdf", "Melting_Curves/meltCurve_H0YAX0_ZDHHC14.pdf")</f>
        <v>Melting_Curves/meltCurve_H0YAX0_ZDHHC14.pdf</v>
      </c>
    </row>
    <row r="828" spans="1:28" x14ac:dyDescent="0.25">
      <c r="A828" t="s">
        <v>832</v>
      </c>
      <c r="B828">
        <v>0.99996721820229495</v>
      </c>
      <c r="C828">
        <v>0.89398291175953604</v>
      </c>
      <c r="D828">
        <v>0.99791293226988798</v>
      </c>
      <c r="E828">
        <v>1.11698365080993</v>
      </c>
      <c r="F828">
        <v>1.32896017784465</v>
      </c>
      <c r="G828">
        <v>1.2433375183483899</v>
      </c>
      <c r="H828">
        <v>0.80316971065797604</v>
      </c>
      <c r="I828">
        <v>0.28200783122652301</v>
      </c>
      <c r="J828">
        <v>9.8562898822135994E-2</v>
      </c>
      <c r="K828">
        <v>9.4517454741371201E-2</v>
      </c>
      <c r="L828">
        <v>3628.3692131491798</v>
      </c>
      <c r="M828">
        <v>58.088377056200002</v>
      </c>
      <c r="N828">
        <v>62.677897331138603</v>
      </c>
      <c r="O828">
        <v>62.389012169874398</v>
      </c>
      <c r="P828">
        <v>-0.21174028459632199</v>
      </c>
      <c r="Q828">
        <v>9.0333613972695195E-2</v>
      </c>
      <c r="R828">
        <v>0.89872469400111898</v>
      </c>
      <c r="S828" t="s">
        <v>6654</v>
      </c>
      <c r="T828" t="s">
        <v>11650</v>
      </c>
      <c r="U828" t="s">
        <v>11650</v>
      </c>
      <c r="V828" t="s">
        <v>11650</v>
      </c>
      <c r="W828" t="s">
        <v>12464</v>
      </c>
      <c r="X828">
        <v>3</v>
      </c>
      <c r="Y828" t="s">
        <v>18224</v>
      </c>
      <c r="Z828" t="s">
        <v>23890</v>
      </c>
      <c r="AA828">
        <v>0.77323126189657243</v>
      </c>
      <c r="AB828" t="str">
        <f>HYPERLINK("Melting_Curves/meltCurve_H0YBI6_TXNRD3.pdf", "Melting_Curves/meltCurve_H0YBI6_TXNRD3.pdf")</f>
        <v>Melting_Curves/meltCurve_H0YBI6_TXNRD3.pdf</v>
      </c>
    </row>
    <row r="829" spans="1:28" x14ac:dyDescent="0.25">
      <c r="A829" t="s">
        <v>833</v>
      </c>
      <c r="B829">
        <v>0.99996721820229495</v>
      </c>
      <c r="C829">
        <v>1.0459195771097001</v>
      </c>
      <c r="D829">
        <v>0.96589380154583604</v>
      </c>
      <c r="E829">
        <v>1.05501311169989</v>
      </c>
      <c r="F829">
        <v>0.91500340505939504</v>
      </c>
      <c r="G829">
        <v>0.54435660786483098</v>
      </c>
      <c r="H829">
        <v>0.32822692122944802</v>
      </c>
      <c r="I829">
        <v>0.23905359885944599</v>
      </c>
      <c r="J829">
        <v>0.17275215871313301</v>
      </c>
      <c r="K829">
        <v>0.13389976391518299</v>
      </c>
      <c r="L829">
        <v>1480.88887655134</v>
      </c>
      <c r="M829">
        <v>25.976201616235802</v>
      </c>
      <c r="N829">
        <v>57.890185509279398</v>
      </c>
      <c r="O829">
        <v>56.674795653165702</v>
      </c>
      <c r="P829">
        <v>-9.5882109640081106E-2</v>
      </c>
      <c r="Q829">
        <v>0.163228514896645</v>
      </c>
      <c r="R829">
        <v>0.98972399332067296</v>
      </c>
      <c r="S829" t="s">
        <v>6655</v>
      </c>
      <c r="T829" t="s">
        <v>11650</v>
      </c>
      <c r="U829" t="s">
        <v>11650</v>
      </c>
      <c r="V829" t="s">
        <v>11650</v>
      </c>
      <c r="W829" t="s">
        <v>12465</v>
      </c>
      <c r="X829">
        <v>20</v>
      </c>
      <c r="Y829" t="s">
        <v>18225</v>
      </c>
      <c r="Z829" t="s">
        <v>23891</v>
      </c>
      <c r="AA829">
        <v>0.64475889330568414</v>
      </c>
      <c r="AB829" t="str">
        <f>HYPERLINK("Melting_Curves/meltCurve_H0YBP1_PTK2.pdf", "Melting_Curves/meltCurve_H0YBP1_PTK2.pdf")</f>
        <v>Melting_Curves/meltCurve_H0YBP1_PTK2.pdf</v>
      </c>
    </row>
    <row r="830" spans="1:28" x14ac:dyDescent="0.25">
      <c r="A830" t="s">
        <v>834</v>
      </c>
      <c r="B830">
        <v>0.99996721820229495</v>
      </c>
      <c r="C830">
        <v>0.73601142914640705</v>
      </c>
      <c r="D830">
        <v>0.61010525275743799</v>
      </c>
      <c r="E830">
        <v>0.86410119031223798</v>
      </c>
      <c r="F830">
        <v>0.78473121291109604</v>
      </c>
      <c r="G830">
        <v>0.49770679031749798</v>
      </c>
      <c r="H830">
        <v>0.35983707866112102</v>
      </c>
      <c r="I830">
        <v>0.42864757393542302</v>
      </c>
      <c r="J830">
        <v>0.42401593621023698</v>
      </c>
      <c r="K830">
        <v>0.46648784485109102</v>
      </c>
      <c r="L830">
        <v>276.28498082542001</v>
      </c>
      <c r="M830">
        <v>5.0000313774600702</v>
      </c>
      <c r="N830">
        <v>60.694297089820601</v>
      </c>
      <c r="O830">
        <v>48.2266458959704</v>
      </c>
      <c r="P830">
        <v>-2.1370263805730001E-2</v>
      </c>
      <c r="Q830">
        <v>0.18053378194561401</v>
      </c>
      <c r="R830">
        <v>0.691520247613021</v>
      </c>
      <c r="S830" t="s">
        <v>6656</v>
      </c>
      <c r="T830" t="s">
        <v>11650</v>
      </c>
      <c r="U830" t="s">
        <v>11650</v>
      </c>
      <c r="V830" t="s">
        <v>11650</v>
      </c>
      <c r="W830" t="s">
        <v>12466</v>
      </c>
      <c r="X830">
        <v>2</v>
      </c>
      <c r="Y830" t="s">
        <v>18226</v>
      </c>
      <c r="Z830" t="s">
        <v>23892</v>
      </c>
      <c r="AA830">
        <v>0.61435033258294736</v>
      </c>
      <c r="AB830" t="str">
        <f>HYPERLINK("Melting_Curves/meltCurve_H0YBZ4_MTFR1.pdf", "Melting_Curves/meltCurve_H0YBZ4_MTFR1.pdf")</f>
        <v>Melting_Curves/meltCurve_H0YBZ4_MTFR1.pdf</v>
      </c>
    </row>
    <row r="831" spans="1:28" x14ac:dyDescent="0.25">
      <c r="A831" t="s">
        <v>835</v>
      </c>
      <c r="B831">
        <v>0.99996721820229495</v>
      </c>
      <c r="C831">
        <v>0.35157620786158</v>
      </c>
      <c r="D831">
        <v>0.247678600397709</v>
      </c>
      <c r="E831">
        <v>0.59450479162117098</v>
      </c>
      <c r="F831">
        <v>0.47762709250764601</v>
      </c>
      <c r="G831">
        <v>0.20076365020252901</v>
      </c>
      <c r="H831">
        <v>0.33427992089382902</v>
      </c>
      <c r="I831">
        <v>1.23119605845264</v>
      </c>
      <c r="J831">
        <v>1.5372591648421601</v>
      </c>
      <c r="K831">
        <v>1.3225312320521201</v>
      </c>
      <c r="L831">
        <v>10228.6126332084</v>
      </c>
      <c r="M831">
        <v>250</v>
      </c>
      <c r="O831">
        <v>40.911837993675398</v>
      </c>
      <c r="P831">
        <v>-0.45874050493499302</v>
      </c>
      <c r="Q831">
        <v>0.69971336669815498</v>
      </c>
      <c r="R831">
        <v>3.6523783076106202E-2</v>
      </c>
      <c r="S831" t="s">
        <v>6657</v>
      </c>
      <c r="T831" t="s">
        <v>11650</v>
      </c>
      <c r="U831" t="s">
        <v>11650</v>
      </c>
      <c r="V831" t="s">
        <v>11650</v>
      </c>
      <c r="W831" t="s">
        <v>12467</v>
      </c>
      <c r="X831">
        <v>12</v>
      </c>
      <c r="Y831" t="s">
        <v>18227</v>
      </c>
      <c r="Z831" t="s">
        <v>23893</v>
      </c>
      <c r="AA831">
        <v>0.70889328187235801</v>
      </c>
      <c r="AB831" t="str">
        <f>HYPERLINK("Melting_Curves/meltCurve_H0YCI3_YAP1.pdf", "Melting_Curves/meltCurve_H0YCI3_YAP1.pdf")</f>
        <v>Melting_Curves/meltCurve_H0YCI3_YAP1.pdf</v>
      </c>
    </row>
    <row r="832" spans="1:28" x14ac:dyDescent="0.25">
      <c r="A832" t="s">
        <v>836</v>
      </c>
      <c r="B832">
        <v>0.99996721820229495</v>
      </c>
      <c r="C832">
        <v>1.05514373933344</v>
      </c>
      <c r="D832">
        <v>0.95901464644201395</v>
      </c>
      <c r="E832">
        <v>0.77119614721685703</v>
      </c>
      <c r="F832">
        <v>0.77477030123895196</v>
      </c>
      <c r="G832">
        <v>0.79989352707054195</v>
      </c>
      <c r="H832">
        <v>0.541596209339822</v>
      </c>
      <c r="I832">
        <v>0.45992510654520502</v>
      </c>
      <c r="J832">
        <v>0.40567858772980597</v>
      </c>
      <c r="K832">
        <v>0.280875856116935</v>
      </c>
      <c r="L832">
        <v>487.560503068956</v>
      </c>
      <c r="M832">
        <v>7.74650594609016</v>
      </c>
      <c r="N832">
        <v>62.939407454255701</v>
      </c>
      <c r="O832">
        <v>59.157623860468902</v>
      </c>
      <c r="P832">
        <v>-3.2778467515262498E-2</v>
      </c>
      <c r="Q832">
        <v>0</v>
      </c>
      <c r="R832">
        <v>0.94750438042019103</v>
      </c>
      <c r="S832" t="s">
        <v>6658</v>
      </c>
      <c r="T832" t="s">
        <v>11650</v>
      </c>
      <c r="U832" t="s">
        <v>11650</v>
      </c>
      <c r="V832" t="s">
        <v>11650</v>
      </c>
      <c r="W832" t="s">
        <v>12468</v>
      </c>
      <c r="X832">
        <v>6</v>
      </c>
      <c r="Y832" t="s">
        <v>18228</v>
      </c>
      <c r="Z832" t="s">
        <v>23894</v>
      </c>
      <c r="AA832">
        <v>0.71378518866940821</v>
      </c>
      <c r="AB832" t="str">
        <f>HYPERLINK("Melting_Curves/meltCurve_H0YCK3_ADAR.pdf", "Melting_Curves/meltCurve_H0YCK3_ADAR.pdf")</f>
        <v>Melting_Curves/meltCurve_H0YCK3_ADAR.pdf</v>
      </c>
    </row>
    <row r="833" spans="1:28" x14ac:dyDescent="0.25">
      <c r="A833" t="s">
        <v>837</v>
      </c>
      <c r="B833">
        <v>0.99996721820229495</v>
      </c>
      <c r="C833">
        <v>0.94086828508624099</v>
      </c>
      <c r="D833">
        <v>0.99092775905686004</v>
      </c>
      <c r="E833">
        <v>1.34715789233196</v>
      </c>
      <c r="F833">
        <v>4.2183523915997396</v>
      </c>
      <c r="G833">
        <v>5.3067269031524802</v>
      </c>
      <c r="H833">
        <v>4.3208095222018397</v>
      </c>
      <c r="I833">
        <v>3.67212404758454</v>
      </c>
      <c r="J833">
        <v>2.7463135301594299</v>
      </c>
      <c r="K833">
        <v>2.6167291734810698</v>
      </c>
      <c r="L833">
        <v>12458.9794084762</v>
      </c>
      <c r="M833">
        <v>250</v>
      </c>
      <c r="O833">
        <v>49.832728785998</v>
      </c>
      <c r="P833">
        <v>0.62709791333421605</v>
      </c>
      <c r="Q833">
        <v>1.5</v>
      </c>
      <c r="R833">
        <v>-0.59556070483649604</v>
      </c>
      <c r="S833" t="s">
        <v>6659</v>
      </c>
      <c r="T833" t="s">
        <v>11650</v>
      </c>
      <c r="U833" t="s">
        <v>11650</v>
      </c>
      <c r="V833" t="s">
        <v>11650</v>
      </c>
      <c r="W833" t="s">
        <v>12469</v>
      </c>
      <c r="X833">
        <v>5</v>
      </c>
      <c r="Y833" t="s">
        <v>17627</v>
      </c>
      <c r="Z833" t="s">
        <v>23895</v>
      </c>
      <c r="AA833">
        <v>1.336024308805005</v>
      </c>
      <c r="AB833" t="str">
        <f>HYPERLINK("Melting_Curves/meltCurve_H0YCQ5_NPEPPS.pdf", "Melting_Curves/meltCurve_H0YCQ5_NPEPPS.pdf")</f>
        <v>Melting_Curves/meltCurve_H0YCQ5_NPEPPS.pdf</v>
      </c>
    </row>
    <row r="834" spans="1:28" x14ac:dyDescent="0.25">
      <c r="A834" t="s">
        <v>838</v>
      </c>
      <c r="B834">
        <v>0.99996721820229495</v>
      </c>
      <c r="C834">
        <v>1.01144430971406</v>
      </c>
      <c r="D834">
        <v>0.612594465754005</v>
      </c>
      <c r="E834">
        <v>0.43318426287658901</v>
      </c>
      <c r="F834">
        <v>0.55233976324810397</v>
      </c>
      <c r="G834">
        <v>0.67705617499793902</v>
      </c>
      <c r="H834">
        <v>0.51623688740873397</v>
      </c>
      <c r="I834">
        <v>0.42997939677666203</v>
      </c>
      <c r="J834">
        <v>0.36816593281721099</v>
      </c>
      <c r="K834">
        <v>0.208476379522263</v>
      </c>
      <c r="L834">
        <v>11458.607139289201</v>
      </c>
      <c r="M834">
        <v>250</v>
      </c>
      <c r="N834">
        <v>46.280453683406499</v>
      </c>
      <c r="O834">
        <v>45.831495262826799</v>
      </c>
      <c r="P834">
        <v>-0.74312613793096904</v>
      </c>
      <c r="Q834">
        <v>0.45506268519677001</v>
      </c>
      <c r="R834">
        <v>0.78160701260492205</v>
      </c>
      <c r="S834" t="s">
        <v>6660</v>
      </c>
      <c r="T834" t="s">
        <v>11650</v>
      </c>
      <c r="U834" t="s">
        <v>11650</v>
      </c>
      <c r="V834" t="s">
        <v>11650</v>
      </c>
      <c r="W834" t="s">
        <v>12470</v>
      </c>
      <c r="X834">
        <v>11</v>
      </c>
      <c r="Y834" t="s">
        <v>18229</v>
      </c>
      <c r="Z834" t="s">
        <v>23896</v>
      </c>
      <c r="AA834">
        <v>0.56108644696234733</v>
      </c>
      <c r="AB834" t="str">
        <f>HYPERLINK("Melting_Curves/meltCurve_H0YD93_RUFY2.pdf", "Melting_Curves/meltCurve_H0YD93_RUFY2.pdf")</f>
        <v>Melting_Curves/meltCurve_H0YD93_RUFY2.pdf</v>
      </c>
    </row>
    <row r="835" spans="1:28" x14ac:dyDescent="0.25">
      <c r="A835" t="s">
        <v>839</v>
      </c>
      <c r="B835">
        <v>0.99996721820229495</v>
      </c>
      <c r="C835">
        <v>0.65500054749540504</v>
      </c>
      <c r="D835">
        <v>0.66506935964838498</v>
      </c>
      <c r="E835">
        <v>0.89123397561886697</v>
      </c>
      <c r="F835">
        <v>0.96052718949889504</v>
      </c>
      <c r="G835">
        <v>0.92573298459471998</v>
      </c>
      <c r="H835">
        <v>0.96134921677330398</v>
      </c>
      <c r="I835">
        <v>1.27152603977817</v>
      </c>
      <c r="J835">
        <v>0.82185969919292601</v>
      </c>
      <c r="K835">
        <v>0.58742332589955404</v>
      </c>
      <c r="L835">
        <v>10225.3774584395</v>
      </c>
      <c r="M835">
        <v>250</v>
      </c>
      <c r="O835">
        <v>40.898876215453001</v>
      </c>
      <c r="P835">
        <v>-0.213988991391072</v>
      </c>
      <c r="Q835">
        <v>0.85996939605292899</v>
      </c>
      <c r="R835">
        <v>4.7873952109608701E-2</v>
      </c>
      <c r="S835" t="s">
        <v>6661</v>
      </c>
      <c r="T835" t="s">
        <v>11650</v>
      </c>
      <c r="U835" t="s">
        <v>11650</v>
      </c>
      <c r="V835" t="s">
        <v>11650</v>
      </c>
      <c r="W835" t="s">
        <v>12471</v>
      </c>
      <c r="X835">
        <v>1</v>
      </c>
      <c r="Y835" t="s">
        <v>18230</v>
      </c>
      <c r="Z835" t="s">
        <v>23897</v>
      </c>
      <c r="AA835">
        <v>0.8641899977820463</v>
      </c>
      <c r="AB835" t="str">
        <f>HYPERLINK("Melting_Curves/meltCurve_H0YDE5_KIAA1549L.pdf", "Melting_Curves/meltCurve_H0YDE5_KIAA1549L.pdf")</f>
        <v>Melting_Curves/meltCurve_H0YDE5_KIAA1549L.pdf</v>
      </c>
    </row>
    <row r="836" spans="1:28" x14ac:dyDescent="0.25">
      <c r="A836" t="s">
        <v>840</v>
      </c>
      <c r="B836">
        <v>0.99996721820229495</v>
      </c>
      <c r="C836">
        <v>0.90113916377548497</v>
      </c>
      <c r="D836">
        <v>0.99770869717260102</v>
      </c>
      <c r="E836">
        <v>1.07748806111438</v>
      </c>
      <c r="F836">
        <v>1.3978317148283199</v>
      </c>
      <c r="G836">
        <v>1.5494294978815999</v>
      </c>
      <c r="H836">
        <v>1.0729163300792099</v>
      </c>
      <c r="I836">
        <v>0.94463531298013803</v>
      </c>
      <c r="J836">
        <v>0.83052526760974299</v>
      </c>
      <c r="K836">
        <v>0.55567990239806397</v>
      </c>
      <c r="L836">
        <v>2995.6241214442298</v>
      </c>
      <c r="M836">
        <v>43.796809880861801</v>
      </c>
      <c r="O836">
        <v>68.256106893187606</v>
      </c>
      <c r="P836">
        <v>-9.7322810707585194E-2</v>
      </c>
      <c r="Q836">
        <v>0.39330150307426398</v>
      </c>
      <c r="R836">
        <v>0.310409863915866</v>
      </c>
      <c r="S836" t="s">
        <v>6662</v>
      </c>
      <c r="T836" t="s">
        <v>11650</v>
      </c>
      <c r="U836" t="s">
        <v>11650</v>
      </c>
      <c r="V836" t="s">
        <v>11650</v>
      </c>
      <c r="W836" t="s">
        <v>12472</v>
      </c>
      <c r="X836">
        <v>1</v>
      </c>
      <c r="Y836" t="s">
        <v>18231</v>
      </c>
      <c r="Z836" t="s">
        <v>23898</v>
      </c>
      <c r="AA836">
        <v>0.95908871196720424</v>
      </c>
      <c r="AB836" t="str">
        <f>HYPERLINK("Melting_Curves/meltCurve_H0YDR5_SIGIRR.pdf", "Melting_Curves/meltCurve_H0YDR5_SIGIRR.pdf")</f>
        <v>Melting_Curves/meltCurve_H0YDR5_SIGIRR.pdf</v>
      </c>
    </row>
    <row r="837" spans="1:28" x14ac:dyDescent="0.25">
      <c r="A837" t="s">
        <v>841</v>
      </c>
      <c r="B837">
        <v>0.99996721820229495</v>
      </c>
      <c r="C837">
        <v>0.82138781854925103</v>
      </c>
      <c r="D837">
        <v>0.60317621550595402</v>
      </c>
      <c r="E837">
        <v>0.40279515213116002</v>
      </c>
      <c r="F837">
        <v>0.34516607519797099</v>
      </c>
      <c r="G837">
        <v>0.27099466405361</v>
      </c>
      <c r="H837">
        <v>0.232892233521339</v>
      </c>
      <c r="I837">
        <v>0.28016424441788901</v>
      </c>
      <c r="J837">
        <v>0.26407126525237101</v>
      </c>
      <c r="K837">
        <v>0.204489197533334</v>
      </c>
      <c r="L837">
        <v>797.30305172112696</v>
      </c>
      <c r="M837">
        <v>17.334705266149601</v>
      </c>
      <c r="N837">
        <v>47.863747777277503</v>
      </c>
      <c r="O837">
        <v>45.3956013511065</v>
      </c>
      <c r="P837">
        <v>-7.1992574968528497E-2</v>
      </c>
      <c r="Q837">
        <v>0.24591526781151901</v>
      </c>
      <c r="R837">
        <v>0.98877231219380501</v>
      </c>
      <c r="S837" t="s">
        <v>6663</v>
      </c>
      <c r="T837" t="s">
        <v>11650</v>
      </c>
      <c r="U837" t="s">
        <v>11650</v>
      </c>
      <c r="V837" t="s">
        <v>11650</v>
      </c>
      <c r="W837" t="s">
        <v>12473</v>
      </c>
      <c r="X837">
        <v>7</v>
      </c>
      <c r="Y837" t="s">
        <v>18232</v>
      </c>
      <c r="Z837" t="s">
        <v>23899</v>
      </c>
      <c r="AA837">
        <v>0.41270569779233918</v>
      </c>
      <c r="AB837" t="str">
        <f>HYPERLINK("Melting_Curves/meltCurve_H0YDT0_REPS1.pdf", "Melting_Curves/meltCurve_H0YDT0_REPS1.pdf")</f>
        <v>Melting_Curves/meltCurve_H0YDT0_REPS1.pdf</v>
      </c>
    </row>
    <row r="838" spans="1:28" x14ac:dyDescent="0.25">
      <c r="A838" t="s">
        <v>842</v>
      </c>
      <c r="B838">
        <v>0.99996721820229495</v>
      </c>
      <c r="C838">
        <v>0.94551098049421001</v>
      </c>
      <c r="D838">
        <v>0.90031498682472</v>
      </c>
      <c r="E838">
        <v>0.91394971472992803</v>
      </c>
      <c r="F838">
        <v>0.59185752240513401</v>
      </c>
      <c r="G838">
        <v>0.33986308183744202</v>
      </c>
      <c r="H838">
        <v>0.18561280832736901</v>
      </c>
      <c r="I838">
        <v>0.14669052999617899</v>
      </c>
      <c r="J838">
        <v>0.112468722958932</v>
      </c>
      <c r="K838">
        <v>8.51325298578752E-2</v>
      </c>
      <c r="L838">
        <v>1047.3623549454201</v>
      </c>
      <c r="M838">
        <v>19.378299513516701</v>
      </c>
      <c r="N838">
        <v>54.610906582189401</v>
      </c>
      <c r="O838">
        <v>53.482494973821503</v>
      </c>
      <c r="P838">
        <v>-8.23876973706546E-2</v>
      </c>
      <c r="Q838">
        <v>9.0500587119891798E-2</v>
      </c>
      <c r="R838">
        <v>0.98942319120183198</v>
      </c>
      <c r="S838" t="s">
        <v>6664</v>
      </c>
      <c r="T838" t="s">
        <v>11650</v>
      </c>
      <c r="U838" t="s">
        <v>11650</v>
      </c>
      <c r="V838" t="s">
        <v>11650</v>
      </c>
      <c r="W838" t="s">
        <v>12474</v>
      </c>
      <c r="X838">
        <v>25</v>
      </c>
      <c r="Y838" t="s">
        <v>18233</v>
      </c>
      <c r="Z838" t="s">
        <v>23900</v>
      </c>
      <c r="AA838">
        <v>0.52938185422882955</v>
      </c>
      <c r="AB838" t="str">
        <f>HYPERLINK("Melting_Curves/meltCurve_H0YDU8_PPP5C.pdf", "Melting_Curves/meltCurve_H0YDU8_PPP5C.pdf")</f>
        <v>Melting_Curves/meltCurve_H0YDU8_PPP5C.pdf</v>
      </c>
    </row>
    <row r="839" spans="1:28" x14ac:dyDescent="0.25">
      <c r="A839" t="s">
        <v>843</v>
      </c>
      <c r="B839">
        <v>0.99996721820229495</v>
      </c>
      <c r="C839">
        <v>0.94707712533775101</v>
      </c>
      <c r="D839">
        <v>0.97850463338674798</v>
      </c>
      <c r="E839">
        <v>1.21434336432715</v>
      </c>
      <c r="F839">
        <v>1.34800036854376</v>
      </c>
      <c r="G839">
        <v>1.7017981166634</v>
      </c>
      <c r="H839">
        <v>1.0935516516846</v>
      </c>
      <c r="I839">
        <v>0.91275856456520099</v>
      </c>
      <c r="J839">
        <v>0.58056729664116302</v>
      </c>
      <c r="K839">
        <v>0.77479883672889904</v>
      </c>
      <c r="L839">
        <v>15000</v>
      </c>
      <c r="M839">
        <v>233.384306904591</v>
      </c>
      <c r="O839">
        <v>64.266946690465403</v>
      </c>
      <c r="P839">
        <v>-0.29262523257411799</v>
      </c>
      <c r="Q839">
        <v>0.67767957229948095</v>
      </c>
      <c r="R839">
        <v>0.21130355188108599</v>
      </c>
      <c r="S839" t="s">
        <v>6665</v>
      </c>
      <c r="T839" t="s">
        <v>11650</v>
      </c>
      <c r="U839" t="s">
        <v>11650</v>
      </c>
      <c r="V839" t="s">
        <v>11650</v>
      </c>
      <c r="W839" t="s">
        <v>12475</v>
      </c>
      <c r="X839">
        <v>5</v>
      </c>
      <c r="Y839" t="s">
        <v>18137</v>
      </c>
      <c r="Z839" t="s">
        <v>23901</v>
      </c>
      <c r="AA839">
        <v>0.93849649840346427</v>
      </c>
      <c r="AB839" t="str">
        <f>HYPERLINK("Melting_Curves/meltCurve_H0YEB6_SSSCA1.pdf", "Melting_Curves/meltCurve_H0YEB6_SSSCA1.pdf")</f>
        <v>Melting_Curves/meltCurve_H0YEB6_SSSCA1.pdf</v>
      </c>
    </row>
    <row r="840" spans="1:28" x14ac:dyDescent="0.25">
      <c r="A840" t="s">
        <v>844</v>
      </c>
      <c r="B840">
        <v>0.99996721820229495</v>
      </c>
      <c r="C840">
        <v>1.0484866803914299</v>
      </c>
      <c r="D840">
        <v>1.1705069280529701</v>
      </c>
      <c r="E840">
        <v>1.3524890911429901</v>
      </c>
      <c r="F840">
        <v>1.5599514518981601</v>
      </c>
      <c r="G840">
        <v>1.4717104987511</v>
      </c>
      <c r="H840">
        <v>1.2084711836205799</v>
      </c>
      <c r="I840">
        <v>0.872343256966432</v>
      </c>
      <c r="J840">
        <v>0.73240556836925297</v>
      </c>
      <c r="K840">
        <v>0.55725887799057205</v>
      </c>
      <c r="L840">
        <v>3198.97100839423</v>
      </c>
      <c r="M840">
        <v>48.192687246432001</v>
      </c>
      <c r="O840">
        <v>66.264769766687493</v>
      </c>
      <c r="P840">
        <v>-8.5715890234145595E-2</v>
      </c>
      <c r="Q840">
        <v>0.52856431449687502</v>
      </c>
      <c r="R840">
        <v>0.19698535115859001</v>
      </c>
      <c r="S840" t="s">
        <v>6666</v>
      </c>
      <c r="T840" t="s">
        <v>11650</v>
      </c>
      <c r="U840" t="s">
        <v>11650</v>
      </c>
      <c r="V840" t="s">
        <v>11650</v>
      </c>
      <c r="W840" t="s">
        <v>12476</v>
      </c>
      <c r="X840">
        <v>1</v>
      </c>
      <c r="Y840" t="s">
        <v>18234</v>
      </c>
      <c r="Z840" t="s">
        <v>23902</v>
      </c>
      <c r="AA840">
        <v>0.94257736666505665</v>
      </c>
      <c r="AB840" t="str">
        <f>HYPERLINK("Melting_Curves/meltCurve_H0YEL0_GEMIN2.pdf", "Melting_Curves/meltCurve_H0YEL0_GEMIN2.pdf")</f>
        <v>Melting_Curves/meltCurve_H0YEL0_GEMIN2.pdf</v>
      </c>
    </row>
    <row r="841" spans="1:28" x14ac:dyDescent="0.25">
      <c r="A841" t="s">
        <v>845</v>
      </c>
      <c r="B841">
        <v>0.99996721820229495</v>
      </c>
      <c r="C841">
        <v>0.93244766944945401</v>
      </c>
      <c r="D841">
        <v>0.96613200711721803</v>
      </c>
      <c r="E841">
        <v>1.0563760428892699</v>
      </c>
      <c r="F841">
        <v>0.92197347449586697</v>
      </c>
      <c r="G841">
        <v>0.63932978706871602</v>
      </c>
      <c r="H841">
        <v>0.36698530827407999</v>
      </c>
      <c r="I841">
        <v>0.232464747054445</v>
      </c>
      <c r="J841">
        <v>0.150178457648</v>
      </c>
      <c r="K841">
        <v>0.134214370908189</v>
      </c>
      <c r="L841">
        <v>1329.6151919266699</v>
      </c>
      <c r="M841">
        <v>22.8403960804945</v>
      </c>
      <c r="N841">
        <v>58.9259404869062</v>
      </c>
      <c r="O841">
        <v>57.772588119314896</v>
      </c>
      <c r="P841">
        <v>-8.6911542485457696E-2</v>
      </c>
      <c r="Q841">
        <v>0.120679330892992</v>
      </c>
      <c r="R841">
        <v>0.99027654029080403</v>
      </c>
      <c r="S841" t="s">
        <v>6667</v>
      </c>
      <c r="T841" t="s">
        <v>11650</v>
      </c>
      <c r="U841" t="s">
        <v>11650</v>
      </c>
      <c r="V841" t="s">
        <v>11650</v>
      </c>
      <c r="W841" t="s">
        <v>12477</v>
      </c>
      <c r="X841">
        <v>6</v>
      </c>
      <c r="Y841" t="s">
        <v>18235</v>
      </c>
      <c r="Z841" t="s">
        <v>23903</v>
      </c>
      <c r="AA841">
        <v>0.66301461983554688</v>
      </c>
      <c r="AB841" t="str">
        <f>HYPERLINK("Melting_Curves/meltCurve_H0YEN5_RPS2.pdf", "Melting_Curves/meltCurve_H0YEN5_RPS2.pdf")</f>
        <v>Melting_Curves/meltCurve_H0YEN5_RPS2.pdf</v>
      </c>
    </row>
    <row r="842" spans="1:28" x14ac:dyDescent="0.25">
      <c r="A842" t="s">
        <v>846</v>
      </c>
      <c r="B842">
        <v>0.99996721820229495</v>
      </c>
      <c r="C842">
        <v>0.94865968977383297</v>
      </c>
      <c r="D842">
        <v>1.07889998454836</v>
      </c>
      <c r="E842">
        <v>1.2911979298607299</v>
      </c>
      <c r="F842">
        <v>1.6232630259335701</v>
      </c>
      <c r="G842">
        <v>1.93991596464576</v>
      </c>
      <c r="H842">
        <v>1.28704873179684</v>
      </c>
      <c r="I842">
        <v>0.99888213158850703</v>
      </c>
      <c r="J842">
        <v>0.89707725916357495</v>
      </c>
      <c r="K842">
        <v>0.72380113406895796</v>
      </c>
      <c r="L842">
        <v>8738.5791028761705</v>
      </c>
      <c r="M842">
        <v>129.895609956947</v>
      </c>
      <c r="O842">
        <v>67.257918162337702</v>
      </c>
      <c r="P842">
        <v>-0.13420292946199699</v>
      </c>
      <c r="Q842">
        <v>0.72204728184539901</v>
      </c>
      <c r="R842">
        <v>-0.191845607069523</v>
      </c>
      <c r="S842" t="s">
        <v>6668</v>
      </c>
      <c r="T842" t="s">
        <v>11650</v>
      </c>
      <c r="U842" t="s">
        <v>11650</v>
      </c>
      <c r="V842" t="s">
        <v>11650</v>
      </c>
      <c r="W842" t="s">
        <v>12478</v>
      </c>
      <c r="X842">
        <v>4</v>
      </c>
      <c r="Y842" t="s">
        <v>18236</v>
      </c>
      <c r="Z842" t="s">
        <v>23904</v>
      </c>
      <c r="AA842">
        <v>0.97483025384563338</v>
      </c>
      <c r="AB842" t="str">
        <f>HYPERLINK("Melting_Curves/meltCurve_H0YGA7_CADM1.pdf", "Melting_Curves/meltCurve_H0YGA7_CADM1.pdf")</f>
        <v>Melting_Curves/meltCurve_H0YGA7_CADM1.pdf</v>
      </c>
    </row>
    <row r="843" spans="1:28" x14ac:dyDescent="0.25">
      <c r="A843" t="s">
        <v>847</v>
      </c>
      <c r="B843">
        <v>0.99996721820229495</v>
      </c>
      <c r="C843">
        <v>0.985559974509572</v>
      </c>
      <c r="D843">
        <v>0.92319753573420904</v>
      </c>
      <c r="E843">
        <v>0.90592354465098901</v>
      </c>
      <c r="F843">
        <v>0.68028588857887595</v>
      </c>
      <c r="G843">
        <v>0.59229934204619805</v>
      </c>
      <c r="H843">
        <v>0.34578503447770997</v>
      </c>
      <c r="I843">
        <v>1.7773573249124399</v>
      </c>
      <c r="J843">
        <v>0.15563581531436099</v>
      </c>
      <c r="K843">
        <v>0.16221604092094399</v>
      </c>
      <c r="L843">
        <v>379.80397022922699</v>
      </c>
      <c r="M843">
        <v>5.5642122277946502</v>
      </c>
      <c r="N843">
        <v>68.258332854433903</v>
      </c>
      <c r="O843">
        <v>60.965500633177797</v>
      </c>
      <c r="P843">
        <v>-2.2913545983917299E-2</v>
      </c>
      <c r="Q843">
        <v>0</v>
      </c>
      <c r="R843">
        <v>0.15856249487264401</v>
      </c>
      <c r="S843" t="s">
        <v>6669</v>
      </c>
      <c r="T843" t="s">
        <v>11650</v>
      </c>
      <c r="U843" t="s">
        <v>11650</v>
      </c>
      <c r="V843" t="s">
        <v>11650</v>
      </c>
      <c r="W843" t="s">
        <v>12479</v>
      </c>
      <c r="X843">
        <v>6</v>
      </c>
      <c r="Y843" t="s">
        <v>18237</v>
      </c>
      <c r="Z843" t="s">
        <v>23905</v>
      </c>
      <c r="AA843">
        <v>0.76744029750492682</v>
      </c>
      <c r="AB843" t="str">
        <f>HYPERLINK("Melting_Curves/meltCurve_H0YGX7_ARHGDIB.pdf", "Melting_Curves/meltCurve_H0YGX7_ARHGDIB.pdf")</f>
        <v>Melting_Curves/meltCurve_H0YGX7_ARHGDIB.pdf</v>
      </c>
    </row>
    <row r="844" spans="1:28" x14ac:dyDescent="0.25">
      <c r="A844" t="s">
        <v>848</v>
      </c>
      <c r="B844">
        <v>0.99996721820229495</v>
      </c>
      <c r="C844">
        <v>0.86107291687137799</v>
      </c>
      <c r="D844">
        <v>0.54808718964307701</v>
      </c>
      <c r="E844">
        <v>0.308185444156444</v>
      </c>
      <c r="F844">
        <v>0.230275766949745</v>
      </c>
      <c r="G844">
        <v>0.182324787830829</v>
      </c>
      <c r="H844">
        <v>0.11046952773790999</v>
      </c>
      <c r="I844">
        <v>9.1692431398761501E-2</v>
      </c>
      <c r="J844">
        <v>6.7782331951753802E-2</v>
      </c>
      <c r="K844">
        <v>3.9915673034613602E-2</v>
      </c>
      <c r="L844">
        <v>774.36535894442295</v>
      </c>
      <c r="M844">
        <v>16.580389149540501</v>
      </c>
      <c r="N844">
        <v>47.2276018328417</v>
      </c>
      <c r="O844">
        <v>46.040172262015702</v>
      </c>
      <c r="P844">
        <v>-8.2474768645393007E-2</v>
      </c>
      <c r="Q844">
        <v>8.4003730533496093E-2</v>
      </c>
      <c r="R844">
        <v>0.98723648598854197</v>
      </c>
      <c r="S844" t="s">
        <v>6670</v>
      </c>
      <c r="T844" t="s">
        <v>11650</v>
      </c>
      <c r="U844" t="s">
        <v>11650</v>
      </c>
      <c r="V844" t="s">
        <v>11650</v>
      </c>
      <c r="W844" t="s">
        <v>12480</v>
      </c>
      <c r="X844">
        <v>1</v>
      </c>
      <c r="Y844" t="s">
        <v>18238</v>
      </c>
      <c r="Z844" t="s">
        <v>23906</v>
      </c>
      <c r="AA844">
        <v>0.30921588723817539</v>
      </c>
      <c r="AB844" t="str">
        <f>HYPERLINK("Melting_Curves/meltCurve_H0YHQ9_ARHGAP23.pdf", "Melting_Curves/meltCurve_H0YHQ9_ARHGAP23.pdf")</f>
        <v>Melting_Curves/meltCurve_H0YHQ9_ARHGAP23.pdf</v>
      </c>
    </row>
    <row r="845" spans="1:28" x14ac:dyDescent="0.25">
      <c r="A845" t="s">
        <v>849</v>
      </c>
      <c r="B845">
        <v>0.99996721820229495</v>
      </c>
      <c r="C845">
        <v>0.93942415768851195</v>
      </c>
      <c r="D845">
        <v>0.73499164501834702</v>
      </c>
      <c r="E845">
        <v>0.57176796117052997</v>
      </c>
      <c r="F845">
        <v>0.60221185046923897</v>
      </c>
      <c r="G845">
        <v>0.59054652868985602</v>
      </c>
      <c r="H845">
        <v>0.44983542905546098</v>
      </c>
      <c r="I845">
        <v>0.41540746531843198</v>
      </c>
      <c r="J845">
        <v>0.35353495265320101</v>
      </c>
      <c r="K845">
        <v>0.28861779371510998</v>
      </c>
      <c r="L845">
        <v>391.45197682964903</v>
      </c>
      <c r="M845">
        <v>7.5307674125462798</v>
      </c>
      <c r="N845">
        <v>57.069280911168804</v>
      </c>
      <c r="O845">
        <v>48.694077829112302</v>
      </c>
      <c r="P845">
        <v>-2.9250391875816701E-2</v>
      </c>
      <c r="Q845">
        <v>0.244535630491517</v>
      </c>
      <c r="R845">
        <v>0.92929828161734696</v>
      </c>
      <c r="S845" t="s">
        <v>6671</v>
      </c>
      <c r="T845" t="s">
        <v>11650</v>
      </c>
      <c r="U845" t="s">
        <v>11650</v>
      </c>
      <c r="V845" t="s">
        <v>11650</v>
      </c>
      <c r="W845" t="s">
        <v>12481</v>
      </c>
      <c r="X845">
        <v>19</v>
      </c>
      <c r="Y845" t="s">
        <v>18239</v>
      </c>
      <c r="Z845" t="s">
        <v>23907</v>
      </c>
      <c r="AA845">
        <v>0.58375317097793211</v>
      </c>
      <c r="AB845" t="str">
        <f>HYPERLINK("Melting_Curves/meltCurve_H0YI08_MRVI1.pdf", "Melting_Curves/meltCurve_H0YI08_MRVI1.pdf")</f>
        <v>Melting_Curves/meltCurve_H0YI08_MRVI1.pdf</v>
      </c>
    </row>
    <row r="846" spans="1:28" x14ac:dyDescent="0.25">
      <c r="A846" t="s">
        <v>850</v>
      </c>
      <c r="B846">
        <v>0.99996721820229495</v>
      </c>
      <c r="C846">
        <v>1.06832410645106</v>
      </c>
      <c r="D846">
        <v>1.03251307371624</v>
      </c>
      <c r="E846">
        <v>1.00585581365613</v>
      </c>
      <c r="F846">
        <v>1.3385338559096001</v>
      </c>
      <c r="G846">
        <v>1.3244515722582799</v>
      </c>
      <c r="H846">
        <v>0.74748363251022498</v>
      </c>
      <c r="I846">
        <v>0.35401334377379501</v>
      </c>
      <c r="J846">
        <v>0.14834242246538001</v>
      </c>
      <c r="K846">
        <v>7.3940651273462998E-2</v>
      </c>
      <c r="L846">
        <v>2932.1042944771598</v>
      </c>
      <c r="M846">
        <v>46.840577447319198</v>
      </c>
      <c r="N846">
        <v>62.871489031814399</v>
      </c>
      <c r="O846">
        <v>62.483767144599703</v>
      </c>
      <c r="P846">
        <v>-0.170111023927109</v>
      </c>
      <c r="Q846">
        <v>9.2311544289328501E-2</v>
      </c>
      <c r="R846">
        <v>0.87786143134394601</v>
      </c>
      <c r="S846" t="s">
        <v>6672</v>
      </c>
      <c r="T846" t="s">
        <v>11650</v>
      </c>
      <c r="U846" t="s">
        <v>11650</v>
      </c>
      <c r="V846" t="s">
        <v>11650</v>
      </c>
      <c r="W846" t="s">
        <v>12482</v>
      </c>
      <c r="X846">
        <v>10</v>
      </c>
      <c r="Y846" t="s">
        <v>18240</v>
      </c>
      <c r="Z846" t="s">
        <v>23908</v>
      </c>
      <c r="AA846">
        <v>0.77851268640841842</v>
      </c>
      <c r="AB846" t="str">
        <f>HYPERLINK("Melting_Curves/meltCurve_H0YI09_METTL7A.pdf", "Melting_Curves/meltCurve_H0YI09_METTL7A.pdf")</f>
        <v>Melting_Curves/meltCurve_H0YI09_METTL7A.pdf</v>
      </c>
    </row>
    <row r="847" spans="1:28" x14ac:dyDescent="0.25">
      <c r="A847" t="s">
        <v>851</v>
      </c>
      <c r="B847">
        <v>0.99996721820229495</v>
      </c>
      <c r="C847">
        <v>2.2876891390295699</v>
      </c>
      <c r="D847">
        <v>0.934783375715737</v>
      </c>
      <c r="E847">
        <v>2.0903205367002302</v>
      </c>
      <c r="F847">
        <v>1.32553235511451</v>
      </c>
      <c r="G847">
        <v>0.87810449296829596</v>
      </c>
      <c r="H847">
        <v>1.60732824945339</v>
      </c>
      <c r="I847">
        <v>0.69236487851423001</v>
      </c>
      <c r="J847">
        <v>0</v>
      </c>
      <c r="K847">
        <v>0</v>
      </c>
      <c r="L847">
        <v>15000</v>
      </c>
      <c r="M847">
        <v>233.563742727771</v>
      </c>
      <c r="N847">
        <v>64.222296772097195</v>
      </c>
      <c r="O847">
        <v>64.217582743941804</v>
      </c>
      <c r="P847">
        <v>-0.90926703022872801</v>
      </c>
      <c r="Q847">
        <v>0</v>
      </c>
      <c r="R847">
        <v>0.37773645023008801</v>
      </c>
      <c r="S847" t="s">
        <v>6673</v>
      </c>
      <c r="T847" t="s">
        <v>11650</v>
      </c>
      <c r="U847" t="s">
        <v>11650</v>
      </c>
      <c r="V847" t="s">
        <v>11650</v>
      </c>
      <c r="W847" t="s">
        <v>12483</v>
      </c>
      <c r="X847">
        <v>1</v>
      </c>
      <c r="Y847" t="s">
        <v>18241</v>
      </c>
      <c r="Z847" t="s">
        <v>23909</v>
      </c>
      <c r="AA847">
        <v>0.80753902675670308</v>
      </c>
      <c r="AB847" t="str">
        <f>HYPERLINK("Melting_Curves/meltCurve_H0YIE9_FBXO21.pdf", "Melting_Curves/meltCurve_H0YIE9_FBXO21.pdf")</f>
        <v>Melting_Curves/meltCurve_H0YIE9_FBXO21.pdf</v>
      </c>
    </row>
    <row r="848" spans="1:28" x14ac:dyDescent="0.25">
      <c r="A848" t="s">
        <v>852</v>
      </c>
      <c r="B848">
        <v>0.99996721820229495</v>
      </c>
      <c r="C848">
        <v>1.04365549873351</v>
      </c>
      <c r="D848">
        <v>1.06855356348956</v>
      </c>
      <c r="E848">
        <v>0.87184205034779305</v>
      </c>
      <c r="F848">
        <v>0.88696199843725998</v>
      </c>
      <c r="G848">
        <v>0.87267116147491097</v>
      </c>
      <c r="H848">
        <v>0.53805675204335102</v>
      </c>
      <c r="I848">
        <v>0.544291660461102</v>
      </c>
      <c r="J848">
        <v>0.38326223784059699</v>
      </c>
      <c r="K848">
        <v>0.25130664851289702</v>
      </c>
      <c r="L848">
        <v>712.66299604197798</v>
      </c>
      <c r="M848">
        <v>11.164068388953799</v>
      </c>
      <c r="N848">
        <v>63.835429779313998</v>
      </c>
      <c r="O848">
        <v>61.889964596312197</v>
      </c>
      <c r="P848">
        <v>-4.5110804439183999E-2</v>
      </c>
      <c r="Q848">
        <v>0</v>
      </c>
      <c r="R848">
        <v>0.95564048694424397</v>
      </c>
      <c r="S848" t="s">
        <v>6674</v>
      </c>
      <c r="T848" t="s">
        <v>11650</v>
      </c>
      <c r="U848" t="s">
        <v>11650</v>
      </c>
      <c r="V848" t="s">
        <v>11650</v>
      </c>
      <c r="W848" t="s">
        <v>12455</v>
      </c>
      <c r="X848">
        <v>4</v>
      </c>
      <c r="Z848" t="s">
        <v>23910</v>
      </c>
      <c r="AA848">
        <v>0.76219223929881985</v>
      </c>
      <c r="AB848" t="str">
        <f>HYPERLINK("Melting_Curves/meltCurve_H0YIV9_.pdf", "Melting_Curves/meltCurve_H0YIV9_.pdf")</f>
        <v>Melting_Curves/meltCurve_H0YIV9_.pdf</v>
      </c>
    </row>
    <row r="849" spans="1:28" x14ac:dyDescent="0.25">
      <c r="A849" t="s">
        <v>853</v>
      </c>
      <c r="B849">
        <v>0.99996721820229495</v>
      </c>
      <c r="C849">
        <v>0.98183258375859395</v>
      </c>
      <c r="D849">
        <v>0.95148647889966398</v>
      </c>
      <c r="E849">
        <v>0.97944357952196803</v>
      </c>
      <c r="F849">
        <v>1.0053114122067699</v>
      </c>
      <c r="G849">
        <v>0.73245821928076704</v>
      </c>
      <c r="H849">
        <v>0.273592101311118</v>
      </c>
      <c r="I849">
        <v>0.180618184314076</v>
      </c>
      <c r="J849">
        <v>0.13748858812603701</v>
      </c>
      <c r="K849">
        <v>9.9764149745379005E-2</v>
      </c>
      <c r="L849">
        <v>2061.9995903689701</v>
      </c>
      <c r="M849">
        <v>35.325509866001099</v>
      </c>
      <c r="N849">
        <v>58.832910192341899</v>
      </c>
      <c r="O849">
        <v>58.185295907498201</v>
      </c>
      <c r="P849">
        <v>-0.13341332059307501</v>
      </c>
      <c r="Q849">
        <v>0.12101291327263899</v>
      </c>
      <c r="R849">
        <v>0.99664550993633305</v>
      </c>
      <c r="S849" t="s">
        <v>6675</v>
      </c>
      <c r="T849" t="s">
        <v>11650</v>
      </c>
      <c r="U849" t="s">
        <v>11650</v>
      </c>
      <c r="V849" t="s">
        <v>11650</v>
      </c>
      <c r="W849" t="s">
        <v>12484</v>
      </c>
      <c r="X849">
        <v>34</v>
      </c>
      <c r="Y849" t="s">
        <v>18242</v>
      </c>
      <c r="Z849" t="s">
        <v>23911</v>
      </c>
      <c r="AA849">
        <v>0.66363565722425732</v>
      </c>
      <c r="AB849" t="str">
        <f>HYPERLINK("Melting_Curves/meltCurve_H0YJ34_FERMT2.pdf", "Melting_Curves/meltCurve_H0YJ34_FERMT2.pdf")</f>
        <v>Melting_Curves/meltCurve_H0YJ34_FERMT2.pdf</v>
      </c>
    </row>
    <row r="850" spans="1:28" x14ac:dyDescent="0.25">
      <c r="A850" t="s">
        <v>854</v>
      </c>
      <c r="B850">
        <v>0.99996721820229495</v>
      </c>
      <c r="C850">
        <v>1.00003202279411</v>
      </c>
      <c r="D850">
        <v>1.0283773503007301</v>
      </c>
      <c r="E850">
        <v>0.66838639720085102</v>
      </c>
      <c r="F850">
        <v>0.89223294093225503</v>
      </c>
      <c r="G850">
        <v>1.2370102620736101</v>
      </c>
      <c r="H850">
        <v>0.83207702630207103</v>
      </c>
      <c r="I850">
        <v>0.789127241835055</v>
      </c>
      <c r="J850">
        <v>0.89525155450687399</v>
      </c>
      <c r="K850">
        <v>0.79814165034044904</v>
      </c>
      <c r="L850">
        <v>230.47868347020199</v>
      </c>
      <c r="M850">
        <v>1.7137891796923801</v>
      </c>
      <c r="Q850">
        <v>0</v>
      </c>
      <c r="R850">
        <v>0.112928697731249</v>
      </c>
      <c r="S850" t="s">
        <v>6676</v>
      </c>
      <c r="T850" t="s">
        <v>11650</v>
      </c>
      <c r="U850" t="s">
        <v>11650</v>
      </c>
      <c r="V850" t="s">
        <v>11650</v>
      </c>
      <c r="W850" t="s">
        <v>12485</v>
      </c>
      <c r="X850">
        <v>1</v>
      </c>
      <c r="Y850" t="s">
        <v>18243</v>
      </c>
      <c r="Z850" t="s">
        <v>23912</v>
      </c>
      <c r="AA850">
        <v>0.91689056142828851</v>
      </c>
      <c r="AB850" t="str">
        <f>HYPERLINK("Melting_Curves/meltCurve_H0YJE0_CCDC85C.pdf", "Melting_Curves/meltCurve_H0YJE0_CCDC85C.pdf")</f>
        <v>Melting_Curves/meltCurve_H0YJE0_CCDC85C.pdf</v>
      </c>
    </row>
    <row r="851" spans="1:28" x14ac:dyDescent="0.25">
      <c r="A851" t="s">
        <v>855</v>
      </c>
      <c r="B851">
        <v>0.99996721820229495</v>
      </c>
      <c r="C851">
        <v>0.68054092111353304</v>
      </c>
      <c r="D851">
        <v>0.65860255296527004</v>
      </c>
      <c r="E851">
        <v>0.68770710165609705</v>
      </c>
      <c r="F851">
        <v>1.16426341145047</v>
      </c>
      <c r="G851">
        <v>1.6708563910016201</v>
      </c>
      <c r="H851">
        <v>1.9020760584642</v>
      </c>
      <c r="I851">
        <v>0.86418270531200803</v>
      </c>
      <c r="J851">
        <v>0.55455589462992405</v>
      </c>
      <c r="K851">
        <v>0.471355480185566</v>
      </c>
      <c r="L851">
        <v>15000</v>
      </c>
      <c r="M851">
        <v>233.42449016088901</v>
      </c>
      <c r="O851">
        <v>64.255884216869006</v>
      </c>
      <c r="P851">
        <v>-0.44234514523496199</v>
      </c>
      <c r="Q851">
        <v>0.51293401903492597</v>
      </c>
      <c r="R851">
        <v>0.229958550002162</v>
      </c>
      <c r="S851" t="s">
        <v>6677</v>
      </c>
      <c r="T851" t="s">
        <v>11650</v>
      </c>
      <c r="U851" t="s">
        <v>11650</v>
      </c>
      <c r="V851" t="s">
        <v>11650</v>
      </c>
      <c r="W851" t="s">
        <v>12486</v>
      </c>
      <c r="X851">
        <v>1</v>
      </c>
      <c r="Y851" t="s">
        <v>18244</v>
      </c>
      <c r="Z851" t="s">
        <v>23913</v>
      </c>
      <c r="AA851">
        <v>0.90688094681853915</v>
      </c>
      <c r="AB851" t="str">
        <f>HYPERLINK("Melting_Curves/meltCurve_H0YJL9_AJUBA.pdf", "Melting_Curves/meltCurve_H0YJL9_AJUBA.pdf")</f>
        <v>Melting_Curves/meltCurve_H0YJL9_AJUBA.pdf</v>
      </c>
    </row>
    <row r="852" spans="1:28" x14ac:dyDescent="0.25">
      <c r="A852" t="s">
        <v>856</v>
      </c>
      <c r="B852">
        <v>0.99996721820229495</v>
      </c>
      <c r="C852">
        <v>1.0218833526911399</v>
      </c>
      <c r="D852">
        <v>1.0785385876149101</v>
      </c>
      <c r="E852">
        <v>1.1764472732273199</v>
      </c>
      <c r="F852">
        <v>1.55935333655481</v>
      </c>
      <c r="G852">
        <v>1.5991994291223499</v>
      </c>
      <c r="H852">
        <v>0.96994956230236995</v>
      </c>
      <c r="I852">
        <v>0.73974346936383795</v>
      </c>
      <c r="J852">
        <v>0.56854415346186704</v>
      </c>
      <c r="K852">
        <v>0.35406066154398202</v>
      </c>
      <c r="L852">
        <v>2502.0959939557101</v>
      </c>
      <c r="M852">
        <v>38.286508041338202</v>
      </c>
      <c r="N852">
        <v>67.244940570463797</v>
      </c>
      <c r="O852">
        <v>65.174373853029294</v>
      </c>
      <c r="P852">
        <v>-9.8422374732771406E-2</v>
      </c>
      <c r="Q852">
        <v>0.32983171090818703</v>
      </c>
      <c r="R852">
        <v>0.47952086994619603</v>
      </c>
      <c r="S852" t="s">
        <v>6678</v>
      </c>
      <c r="T852" t="s">
        <v>11650</v>
      </c>
      <c r="U852" t="s">
        <v>11650</v>
      </c>
      <c r="V852" t="s">
        <v>11650</v>
      </c>
      <c r="W852" t="s">
        <v>12487</v>
      </c>
      <c r="X852">
        <v>1</v>
      </c>
      <c r="Y852" t="s">
        <v>18245</v>
      </c>
      <c r="Z852" t="s">
        <v>23914</v>
      </c>
      <c r="AA852">
        <v>0.89595367669965842</v>
      </c>
      <c r="AB852" t="str">
        <f>HYPERLINK("Melting_Curves/meltCurve_H0YKW5_C15orf48.pdf", "Melting_Curves/meltCurve_H0YKW5_C15orf48.pdf")</f>
        <v>Melting_Curves/meltCurve_H0YKW5_C15orf48.pdf</v>
      </c>
    </row>
    <row r="853" spans="1:28" x14ac:dyDescent="0.25">
      <c r="A853" t="s">
        <v>857</v>
      </c>
      <c r="B853">
        <v>0.99996721820229495</v>
      </c>
      <c r="C853">
        <v>1.49314183242792</v>
      </c>
      <c r="D853">
        <v>1.4160770260309501</v>
      </c>
      <c r="E853">
        <v>2.43863364450015</v>
      </c>
      <c r="F853">
        <v>4.61953244419127</v>
      </c>
      <c r="G853">
        <v>1.07599396799011</v>
      </c>
      <c r="H853">
        <v>0.53836113619023096</v>
      </c>
      <c r="I853">
        <v>0.343590858006254</v>
      </c>
      <c r="J853">
        <v>0.209247480786415</v>
      </c>
      <c r="K853">
        <v>0.16918205441374401</v>
      </c>
      <c r="L853">
        <v>3883.5348089643098</v>
      </c>
      <c r="M853">
        <v>63.953493240870301</v>
      </c>
      <c r="N853">
        <v>61.302175509744501</v>
      </c>
      <c r="O853">
        <v>60.665067372690501</v>
      </c>
      <c r="P853">
        <v>-0.203891301783311</v>
      </c>
      <c r="Q853">
        <v>0.22637060568196399</v>
      </c>
      <c r="R853">
        <v>5.1863247651501701E-2</v>
      </c>
      <c r="S853" t="s">
        <v>6679</v>
      </c>
      <c r="T853" t="s">
        <v>11650</v>
      </c>
      <c r="U853" t="s">
        <v>11650</v>
      </c>
      <c r="V853" t="s">
        <v>11650</v>
      </c>
      <c r="W853" t="s">
        <v>12488</v>
      </c>
      <c r="X853">
        <v>36</v>
      </c>
      <c r="Y853" t="s">
        <v>18246</v>
      </c>
      <c r="Z853" t="s">
        <v>23915</v>
      </c>
      <c r="AA853">
        <v>0.76205983382221443</v>
      </c>
      <c r="AB853" t="str">
        <f>HYPERLINK("Melting_Curves/meltCurve_H0YL33_ANXA2.pdf", "Melting_Curves/meltCurve_H0YL33_ANXA2.pdf")</f>
        <v>Melting_Curves/meltCurve_H0YL33_ANXA2.pdf</v>
      </c>
    </row>
    <row r="854" spans="1:28" x14ac:dyDescent="0.25">
      <c r="A854" t="s">
        <v>858</v>
      </c>
      <c r="B854">
        <v>0.99996721820229495</v>
      </c>
      <c r="C854">
        <v>0.87692012823156895</v>
      </c>
      <c r="D854">
        <v>0.80621191838088502</v>
      </c>
      <c r="E854">
        <v>0.82928429941837001</v>
      </c>
      <c r="F854">
        <v>1.2017689055021401</v>
      </c>
      <c r="G854">
        <v>0.91845629834241005</v>
      </c>
      <c r="H854">
        <v>0.75046272968077499</v>
      </c>
      <c r="I854">
        <v>0.92984383619276001</v>
      </c>
      <c r="J854">
        <v>0.78077642213582898</v>
      </c>
      <c r="K854">
        <v>0.76332574655451602</v>
      </c>
      <c r="L854">
        <v>192.44079905064001</v>
      </c>
      <c r="M854">
        <v>1.3588147334849601</v>
      </c>
      <c r="O854">
        <v>64.524492540110003</v>
      </c>
      <c r="P854">
        <v>-6.35907607211951E-3</v>
      </c>
      <c r="Q854">
        <v>0</v>
      </c>
      <c r="R854">
        <v>0.13729175027983601</v>
      </c>
      <c r="S854" t="s">
        <v>6680</v>
      </c>
      <c r="T854" t="s">
        <v>11650</v>
      </c>
      <c r="U854" t="s">
        <v>11650</v>
      </c>
      <c r="V854" t="s">
        <v>11650</v>
      </c>
      <c r="W854" t="s">
        <v>12489</v>
      </c>
      <c r="X854">
        <v>2</v>
      </c>
      <c r="Y854" t="s">
        <v>18247</v>
      </c>
      <c r="Z854" t="s">
        <v>23916</v>
      </c>
      <c r="AA854">
        <v>0.89153483846282799</v>
      </c>
      <c r="AB854" t="str">
        <f>HYPERLINK("Melting_Curves/meltCurve_H0YLD8_SHF.pdf", "Melting_Curves/meltCurve_H0YLD8_SHF.pdf")</f>
        <v>Melting_Curves/meltCurve_H0YLD8_SHF.pdf</v>
      </c>
    </row>
    <row r="855" spans="1:28" x14ac:dyDescent="0.25">
      <c r="A855" t="s">
        <v>859</v>
      </c>
      <c r="B855">
        <v>0.99996721820229495</v>
      </c>
      <c r="C855">
        <v>1.0902155342683799</v>
      </c>
      <c r="D855">
        <v>1.1096014825871701</v>
      </c>
      <c r="E855">
        <v>1.14172370680068</v>
      </c>
      <c r="F855">
        <v>0.48058130972051899</v>
      </c>
      <c r="G855">
        <v>0.20488038123937199</v>
      </c>
      <c r="H855">
        <v>0.11342694611042101</v>
      </c>
      <c r="I855">
        <v>4.5101389381090498E-2</v>
      </c>
      <c r="J855">
        <v>5.4528361749374699E-2</v>
      </c>
      <c r="K855">
        <v>4.4810521349905E-2</v>
      </c>
      <c r="L855">
        <v>13234.5440462182</v>
      </c>
      <c r="M855">
        <v>250</v>
      </c>
      <c r="N855">
        <v>52.981555750733698</v>
      </c>
      <c r="O855">
        <v>52.9347886170831</v>
      </c>
      <c r="P855">
        <v>-1.07142501354035</v>
      </c>
      <c r="Q855">
        <v>9.2549497422362903E-2</v>
      </c>
      <c r="R855">
        <v>0.97334056536662295</v>
      </c>
      <c r="S855" t="s">
        <v>6681</v>
      </c>
      <c r="T855" t="s">
        <v>11650</v>
      </c>
      <c r="U855" t="s">
        <v>11650</v>
      </c>
      <c r="V855" t="s">
        <v>11650</v>
      </c>
      <c r="W855" t="s">
        <v>12490</v>
      </c>
      <c r="X855">
        <v>1</v>
      </c>
      <c r="Y855" t="s">
        <v>18248</v>
      </c>
      <c r="Z855" t="s">
        <v>23917</v>
      </c>
      <c r="AA855">
        <v>0.48399228743747308</v>
      </c>
      <c r="AB855" t="str">
        <f>HYPERLINK("Melting_Curves/meltCurve_H0YLH9_IL16.pdf", "Melting_Curves/meltCurve_H0YLH9_IL16.pdf")</f>
        <v>Melting_Curves/meltCurve_H0YLH9_IL16.pdf</v>
      </c>
    </row>
    <row r="856" spans="1:28" x14ac:dyDescent="0.25">
      <c r="A856" t="s">
        <v>860</v>
      </c>
      <c r="B856">
        <v>0.99996721820229495</v>
      </c>
      <c r="C856">
        <v>0.88291019536845905</v>
      </c>
      <c r="D856">
        <v>1.0075751036295899</v>
      </c>
      <c r="E856">
        <v>1.59708832904947</v>
      </c>
      <c r="F856">
        <v>2.77122123012562</v>
      </c>
      <c r="G856">
        <v>4.4880909556499304</v>
      </c>
      <c r="H856">
        <v>3.3595234115229</v>
      </c>
      <c r="I856">
        <v>2.2618314592573898</v>
      </c>
      <c r="J856">
        <v>0.61426108354506603</v>
      </c>
      <c r="K856">
        <v>2.2620104748958401</v>
      </c>
      <c r="L856">
        <v>11692.022389919999</v>
      </c>
      <c r="M856">
        <v>250</v>
      </c>
      <c r="O856">
        <v>46.765094314108403</v>
      </c>
      <c r="P856">
        <v>0.66823340979457002</v>
      </c>
      <c r="Q856">
        <v>1.5</v>
      </c>
      <c r="R856">
        <v>-0.13428978256855201</v>
      </c>
      <c r="S856" t="s">
        <v>6682</v>
      </c>
      <c r="T856" t="s">
        <v>11650</v>
      </c>
      <c r="U856" t="s">
        <v>11650</v>
      </c>
      <c r="V856" t="s">
        <v>11650</v>
      </c>
      <c r="W856" t="s">
        <v>12491</v>
      </c>
      <c r="X856">
        <v>12</v>
      </c>
      <c r="Y856" t="s">
        <v>18249</v>
      </c>
      <c r="Z856" t="s">
        <v>23918</v>
      </c>
      <c r="AA856">
        <v>1.387157468703996</v>
      </c>
      <c r="AB856" t="str">
        <f>HYPERLINK("Melting_Curves/meltCurve_H0YMB3_GMPR2.pdf", "Melting_Curves/meltCurve_H0YMB3_GMPR2.pdf")</f>
        <v>Melting_Curves/meltCurve_H0YMB3_GMPR2.pdf</v>
      </c>
    </row>
    <row r="857" spans="1:28" x14ac:dyDescent="0.25">
      <c r="A857" t="s">
        <v>861</v>
      </c>
      <c r="B857">
        <v>0.99996721820229495</v>
      </c>
      <c r="C857">
        <v>0.90942893813625902</v>
      </c>
      <c r="D857">
        <v>0.87551156292204102</v>
      </c>
      <c r="E857">
        <v>1.06595859991148</v>
      </c>
      <c r="F857">
        <v>0.99173563091631201</v>
      </c>
      <c r="G857">
        <v>0.78644864845572404</v>
      </c>
      <c r="H857">
        <v>0.443493797827405</v>
      </c>
      <c r="I857">
        <v>0.30364225397248701</v>
      </c>
      <c r="J857">
        <v>0.17253164041499899</v>
      </c>
      <c r="K857">
        <v>0.193379979004804</v>
      </c>
      <c r="L857">
        <v>1588.5269047433001</v>
      </c>
      <c r="M857">
        <v>26.722112515105</v>
      </c>
      <c r="N857">
        <v>60.364911406650798</v>
      </c>
      <c r="O857">
        <v>59.116252652064098</v>
      </c>
      <c r="P857">
        <v>-9.4126310273438499E-2</v>
      </c>
      <c r="Q857">
        <v>0.167081476361991</v>
      </c>
      <c r="R857">
        <v>0.97246368358452395</v>
      </c>
      <c r="S857" t="s">
        <v>6683</v>
      </c>
      <c r="T857" t="s">
        <v>11650</v>
      </c>
      <c r="U857" t="s">
        <v>11650</v>
      </c>
      <c r="V857" t="s">
        <v>11650</v>
      </c>
      <c r="W857" t="s">
        <v>12492</v>
      </c>
      <c r="X857">
        <v>5</v>
      </c>
      <c r="Y857" t="s">
        <v>18250</v>
      </c>
      <c r="Z857" t="s">
        <v>23919</v>
      </c>
      <c r="AA857">
        <v>0.71307579938683618</v>
      </c>
      <c r="AB857" t="str">
        <f>HYPERLINK("Melting_Curves/meltCurve_H0YMF4_RPL28.pdf", "Melting_Curves/meltCurve_H0YMF4_RPL28.pdf")</f>
        <v>Melting_Curves/meltCurve_H0YMF4_RPL28.pdf</v>
      </c>
    </row>
    <row r="858" spans="1:28" x14ac:dyDescent="0.25">
      <c r="A858" t="s">
        <v>862</v>
      </c>
      <c r="B858">
        <v>0.99996721820229495</v>
      </c>
      <c r="C858">
        <v>0.92762259044547601</v>
      </c>
      <c r="D858">
        <v>1.0374837729983699</v>
      </c>
      <c r="E858">
        <v>1.3143150052216499</v>
      </c>
      <c r="F858">
        <v>1.1984490976367499</v>
      </c>
      <c r="G858">
        <v>0.66448400130057494</v>
      </c>
      <c r="H858">
        <v>0.33029530825634401</v>
      </c>
      <c r="I858">
        <v>0.14768799108286701</v>
      </c>
      <c r="J858">
        <v>8.8041111048060505E-2</v>
      </c>
      <c r="K858">
        <v>6.9328110267818002E-2</v>
      </c>
      <c r="L858">
        <v>1985.97290167954</v>
      </c>
      <c r="M858">
        <v>33.907235497309699</v>
      </c>
      <c r="N858">
        <v>58.912149080766099</v>
      </c>
      <c r="O858">
        <v>58.3681667647745</v>
      </c>
      <c r="P858">
        <v>-0.13227715270666299</v>
      </c>
      <c r="Q858">
        <v>8.9192158376028494E-2</v>
      </c>
      <c r="R858">
        <v>0.920152560289487</v>
      </c>
      <c r="S858" t="s">
        <v>6684</v>
      </c>
      <c r="T858" t="s">
        <v>11650</v>
      </c>
      <c r="U858" t="s">
        <v>11650</v>
      </c>
      <c r="V858" t="s">
        <v>11650</v>
      </c>
      <c r="W858" t="s">
        <v>12493</v>
      </c>
      <c r="X858">
        <v>4</v>
      </c>
      <c r="Y858" t="s">
        <v>18251</v>
      </c>
      <c r="Z858" t="s">
        <v>23920</v>
      </c>
      <c r="AA858">
        <v>0.65783885016399835</v>
      </c>
      <c r="AB858" t="str">
        <f>HYPERLINK("Melting_Curves/meltCurve_H0YMG7_ALDH1A2.pdf", "Melting_Curves/meltCurve_H0YMG7_ALDH1A2.pdf")</f>
        <v>Melting_Curves/meltCurve_H0YMG7_ALDH1A2.pdf</v>
      </c>
    </row>
    <row r="859" spans="1:28" x14ac:dyDescent="0.25">
      <c r="A859" t="s">
        <v>863</v>
      </c>
      <c r="B859">
        <v>0.99996721820229495</v>
      </c>
      <c r="C859">
        <v>0.92697307654939898</v>
      </c>
      <c r="D859">
        <v>0.91791594345149496</v>
      </c>
      <c r="E859">
        <v>1.1709418876398101</v>
      </c>
      <c r="F859">
        <v>1.5373023608952601</v>
      </c>
      <c r="G859">
        <v>1.28650465759963</v>
      </c>
      <c r="H859">
        <v>1.1856139808807999</v>
      </c>
      <c r="I859">
        <v>1.7487303756015</v>
      </c>
      <c r="J859">
        <v>1.5690711068379799</v>
      </c>
      <c r="K859">
        <v>1.08838716810152</v>
      </c>
      <c r="L859">
        <v>12515.1970455633</v>
      </c>
      <c r="M859">
        <v>250</v>
      </c>
      <c r="O859">
        <v>50.057589059836999</v>
      </c>
      <c r="P859">
        <v>0.502673095650498</v>
      </c>
      <c r="Q859">
        <v>1.4026016159558501</v>
      </c>
      <c r="R859">
        <v>0.54919059460054098</v>
      </c>
      <c r="S859" t="s">
        <v>6685</v>
      </c>
      <c r="T859" t="s">
        <v>11650</v>
      </c>
      <c r="U859" t="s">
        <v>11650</v>
      </c>
      <c r="V859" t="s">
        <v>11650</v>
      </c>
      <c r="W859" t="s">
        <v>12494</v>
      </c>
      <c r="X859">
        <v>3</v>
      </c>
      <c r="Y859" t="s">
        <v>18252</v>
      </c>
      <c r="Z859" t="s">
        <v>23921</v>
      </c>
      <c r="AA859">
        <v>1.267549925694716</v>
      </c>
      <c r="AB859" t="str">
        <f>HYPERLINK("Melting_Curves/meltCurve_H0YN78_C15orf57.pdf", "Melting_Curves/meltCurve_H0YN78_C15orf57.pdf")</f>
        <v>Melting_Curves/meltCurve_H0YN78_C15orf57.pdf</v>
      </c>
    </row>
    <row r="860" spans="1:28" x14ac:dyDescent="0.25">
      <c r="A860" t="s">
        <v>864</v>
      </c>
      <c r="B860">
        <v>0.99996721820229495</v>
      </c>
      <c r="C860">
        <v>0.61315550130971996</v>
      </c>
      <c r="D860">
        <v>0.97961933351962605</v>
      </c>
      <c r="E860">
        <v>0.95059855882637301</v>
      </c>
      <c r="F860">
        <v>0.48696408538588898</v>
      </c>
      <c r="G860">
        <v>0.28580933835042299</v>
      </c>
      <c r="H860">
        <v>0.17009670852348699</v>
      </c>
      <c r="I860">
        <v>9.3697802552363693E-2</v>
      </c>
      <c r="J860">
        <v>5.6487797473824798E-2</v>
      </c>
      <c r="K860">
        <v>5.6303067989857E-2</v>
      </c>
      <c r="L860">
        <v>1248.4194094755701</v>
      </c>
      <c r="M860">
        <v>23.3929246411865</v>
      </c>
      <c r="N860">
        <v>53.749682092081102</v>
      </c>
      <c r="O860">
        <v>52.981994941193697</v>
      </c>
      <c r="P860">
        <v>-0.101923903272738</v>
      </c>
      <c r="Q860">
        <v>7.6637643385450704E-2</v>
      </c>
      <c r="R860">
        <v>0.87706581979020104</v>
      </c>
      <c r="S860" t="s">
        <v>6686</v>
      </c>
      <c r="T860" t="s">
        <v>11650</v>
      </c>
      <c r="U860" t="s">
        <v>11650</v>
      </c>
      <c r="V860" t="s">
        <v>11650</v>
      </c>
      <c r="W860" t="s">
        <v>12495</v>
      </c>
      <c r="X860">
        <v>11</v>
      </c>
      <c r="Y860" t="s">
        <v>18253</v>
      </c>
      <c r="Z860" t="s">
        <v>23922</v>
      </c>
      <c r="AA860">
        <v>0.49769590895021421</v>
      </c>
      <c r="AB860" t="str">
        <f>HYPERLINK("Melting_Curves/meltCurve_H0YNG3_SEC11A.pdf", "Melting_Curves/meltCurve_H0YNG3_SEC11A.pdf")</f>
        <v>Melting_Curves/meltCurve_H0YNG3_SEC11A.pdf</v>
      </c>
    </row>
    <row r="861" spans="1:28" x14ac:dyDescent="0.25">
      <c r="A861" t="s">
        <v>865</v>
      </c>
      <c r="B861">
        <v>0.99996721820229495</v>
      </c>
      <c r="C861">
        <v>1.02393004694348</v>
      </c>
      <c r="D861">
        <v>0.90887865830686199</v>
      </c>
      <c r="E861">
        <v>0.71174549522782704</v>
      </c>
      <c r="F861">
        <v>0.63441271394298204</v>
      </c>
      <c r="G861">
        <v>0.37788950750515699</v>
      </c>
      <c r="H861">
        <v>0.193282581664174</v>
      </c>
      <c r="I861">
        <v>0.182741903089605</v>
      </c>
      <c r="J861">
        <v>0.10591731992171501</v>
      </c>
      <c r="K861">
        <v>0.10412069481820301</v>
      </c>
      <c r="L861">
        <v>713.34374663921506</v>
      </c>
      <c r="M861">
        <v>13.1719448519117</v>
      </c>
      <c r="N861">
        <v>54.582508224860803</v>
      </c>
      <c r="O861">
        <v>52.953705181559698</v>
      </c>
      <c r="P861">
        <v>-5.9157021561108102E-2</v>
      </c>
      <c r="Q861">
        <v>4.88704427305219E-2</v>
      </c>
      <c r="R861">
        <v>0.99287029100829904</v>
      </c>
      <c r="S861" t="s">
        <v>6687</v>
      </c>
      <c r="T861" t="s">
        <v>11650</v>
      </c>
      <c r="U861" t="s">
        <v>11650</v>
      </c>
      <c r="V861" t="s">
        <v>11650</v>
      </c>
      <c r="W861" t="s">
        <v>12496</v>
      </c>
      <c r="X861">
        <v>2</v>
      </c>
      <c r="Y861" t="s">
        <v>18254</v>
      </c>
      <c r="Z861" t="s">
        <v>23923</v>
      </c>
      <c r="AA861">
        <v>0.52006450090585032</v>
      </c>
      <c r="AB861" t="str">
        <f>HYPERLINK("Melting_Curves/meltCurve_H0YNH5_DPH6.pdf", "Melting_Curves/meltCurve_H0YNH5_DPH6.pdf")</f>
        <v>Melting_Curves/meltCurve_H0YNH5_DPH6.pdf</v>
      </c>
    </row>
    <row r="862" spans="1:28" x14ac:dyDescent="0.25">
      <c r="A862" t="s">
        <v>866</v>
      </c>
      <c r="B862">
        <v>0.99996721820229495</v>
      </c>
      <c r="C862">
        <v>0.78217423771192296</v>
      </c>
      <c r="D862">
        <v>0.54004322553101902</v>
      </c>
      <c r="E862">
        <v>0.540454053405518</v>
      </c>
      <c r="F862">
        <v>0.587438625226821</v>
      </c>
      <c r="G862">
        <v>0.55490909667536503</v>
      </c>
      <c r="H862">
        <v>0.410464149354548</v>
      </c>
      <c r="I862">
        <v>0.33601608302560598</v>
      </c>
      <c r="J862">
        <v>0.27897405765731798</v>
      </c>
      <c r="K862">
        <v>0.20919330367390099</v>
      </c>
      <c r="L862">
        <v>259.24742855007901</v>
      </c>
      <c r="M862">
        <v>4.7429841357336899</v>
      </c>
      <c r="N862">
        <v>54.659138861767303</v>
      </c>
      <c r="O862">
        <v>47.097814093498499</v>
      </c>
      <c r="P862">
        <v>-2.53608479815104E-2</v>
      </c>
      <c r="Q862">
        <v>0</v>
      </c>
      <c r="R862">
        <v>0.85592706719696499</v>
      </c>
      <c r="S862" t="s">
        <v>6688</v>
      </c>
      <c r="T862" t="s">
        <v>11650</v>
      </c>
      <c r="U862" t="s">
        <v>11650</v>
      </c>
      <c r="V862" t="s">
        <v>11650</v>
      </c>
      <c r="W862" t="s">
        <v>12497</v>
      </c>
      <c r="X862">
        <v>50</v>
      </c>
      <c r="Y862" t="s">
        <v>18255</v>
      </c>
      <c r="Z862" t="s">
        <v>23924</v>
      </c>
      <c r="AA862">
        <v>0.51721502403422914</v>
      </c>
      <c r="AB862" t="str">
        <f>HYPERLINK("Melting_Curves/meltCurve_H0YNH8_UACA.pdf", "Melting_Curves/meltCurve_H0YNH8_UACA.pdf")</f>
        <v>Melting_Curves/meltCurve_H0YNH8_UACA.pdf</v>
      </c>
    </row>
    <row r="863" spans="1:28" x14ac:dyDescent="0.25">
      <c r="A863" t="s">
        <v>867</v>
      </c>
      <c r="B863">
        <v>0.99996721820229495</v>
      </c>
      <c r="C863">
        <v>0.85920088767641001</v>
      </c>
      <c r="D863">
        <v>0.96938347180702999</v>
      </c>
      <c r="E863">
        <v>1.2249982366748</v>
      </c>
      <c r="F863">
        <v>1.7502233637929301</v>
      </c>
      <c r="G863">
        <v>1.97004617729364</v>
      </c>
      <c r="H863">
        <v>1.5203540485876901</v>
      </c>
      <c r="I863">
        <v>1.1226887360876601</v>
      </c>
      <c r="J863">
        <v>0.86190137847699899</v>
      </c>
      <c r="K863">
        <v>0.80921248320373795</v>
      </c>
      <c r="L863">
        <v>15000</v>
      </c>
      <c r="M863">
        <v>224.84246029927701</v>
      </c>
      <c r="O863">
        <v>66.708103050377602</v>
      </c>
      <c r="P863">
        <v>-0.16078812615549901</v>
      </c>
      <c r="Q863">
        <v>0.80918425549006401</v>
      </c>
      <c r="R863">
        <v>-0.25699887872675398</v>
      </c>
      <c r="S863" t="s">
        <v>6689</v>
      </c>
      <c r="T863" t="s">
        <v>11650</v>
      </c>
      <c r="U863" t="s">
        <v>11650</v>
      </c>
      <c r="V863" t="s">
        <v>11650</v>
      </c>
      <c r="W863" t="s">
        <v>12498</v>
      </c>
      <c r="X863">
        <v>14</v>
      </c>
      <c r="Y863" t="s">
        <v>18256</v>
      </c>
      <c r="Z863" t="s">
        <v>23925</v>
      </c>
      <c r="AA863">
        <v>0.97912292482980334</v>
      </c>
      <c r="AB863" t="str">
        <f>HYPERLINK("Melting_Curves/meltCurve_H3BLU2_LSAMP.pdf", "Melting_Curves/meltCurve_H3BLU2_LSAMP.pdf")</f>
        <v>Melting_Curves/meltCurve_H3BLU2_LSAMP.pdf</v>
      </c>
    </row>
    <row r="864" spans="1:28" x14ac:dyDescent="0.25">
      <c r="A864" t="s">
        <v>868</v>
      </c>
      <c r="B864">
        <v>0.99996721820229495</v>
      </c>
      <c r="C864">
        <v>0.88154475977441904</v>
      </c>
      <c r="D864">
        <v>1.0234777666031101</v>
      </c>
      <c r="E864">
        <v>1.2073161958598499</v>
      </c>
      <c r="F864">
        <v>1.56581684414279</v>
      </c>
      <c r="G864">
        <v>1.45612652901586</v>
      </c>
      <c r="H864">
        <v>1.1004759160845199</v>
      </c>
      <c r="I864">
        <v>0.64359572197442705</v>
      </c>
      <c r="J864">
        <v>0.347255299964148</v>
      </c>
      <c r="K864">
        <v>0.31341340218365699</v>
      </c>
      <c r="L864">
        <v>15000</v>
      </c>
      <c r="M864">
        <v>234.50396059945999</v>
      </c>
      <c r="N864">
        <v>64.260954200936695</v>
      </c>
      <c r="O864">
        <v>63.960151993795598</v>
      </c>
      <c r="P864">
        <v>-0.61382538303288003</v>
      </c>
      <c r="Q864">
        <v>0.33032491395372499</v>
      </c>
      <c r="R864">
        <v>0.62702164622366996</v>
      </c>
      <c r="S864" t="s">
        <v>6690</v>
      </c>
      <c r="T864" t="s">
        <v>11650</v>
      </c>
      <c r="U864" t="s">
        <v>11650</v>
      </c>
      <c r="V864" t="s">
        <v>11650</v>
      </c>
      <c r="W864" t="s">
        <v>12499</v>
      </c>
      <c r="X864">
        <v>15</v>
      </c>
      <c r="Y864" t="s">
        <v>18257</v>
      </c>
      <c r="Z864" t="s">
        <v>23926</v>
      </c>
      <c r="AA864">
        <v>0.86536477365062348</v>
      </c>
      <c r="AB864" t="str">
        <f>HYPERLINK("Melting_Curves/meltCurve_H3BLV0_CD55.pdf", "Melting_Curves/meltCurve_H3BLV0_CD55.pdf")</f>
        <v>Melting_Curves/meltCurve_H3BLV0_CD55.pdf</v>
      </c>
    </row>
    <row r="865" spans="1:28" x14ac:dyDescent="0.25">
      <c r="A865" t="s">
        <v>869</v>
      </c>
      <c r="B865">
        <v>0.99996721820229495</v>
      </c>
      <c r="C865">
        <v>1.1594925033536501</v>
      </c>
      <c r="D865">
        <v>1.06762306124906</v>
      </c>
      <c r="E865">
        <v>0.98536080867862597</v>
      </c>
      <c r="F865">
        <v>1.4268434823352301</v>
      </c>
      <c r="G865">
        <v>1.5984536839243</v>
      </c>
      <c r="H865">
        <v>1.2414866437530301</v>
      </c>
      <c r="I865">
        <v>1.2395879241457199</v>
      </c>
      <c r="J865">
        <v>1.34090192552063</v>
      </c>
      <c r="K865">
        <v>0.82691737828393796</v>
      </c>
      <c r="L865">
        <v>12806.9732572877</v>
      </c>
      <c r="M865">
        <v>250</v>
      </c>
      <c r="O865">
        <v>51.224614804922901</v>
      </c>
      <c r="P865">
        <v>0.34045094406492099</v>
      </c>
      <c r="Q865">
        <v>1.27903149507296</v>
      </c>
      <c r="R865">
        <v>0.23330976376870699</v>
      </c>
      <c r="S865" t="s">
        <v>6691</v>
      </c>
      <c r="T865" t="s">
        <v>11650</v>
      </c>
      <c r="U865" t="s">
        <v>11650</v>
      </c>
      <c r="V865" t="s">
        <v>11650</v>
      </c>
      <c r="W865" t="s">
        <v>12500</v>
      </c>
      <c r="X865">
        <v>2</v>
      </c>
      <c r="Y865" t="s">
        <v>18258</v>
      </c>
      <c r="Z865" t="s">
        <v>23927</v>
      </c>
      <c r="AA865">
        <v>1.1745752163674079</v>
      </c>
      <c r="AB865" t="str">
        <f>HYPERLINK("Melting_Curves/meltCurve_H3BLZ2_DBNDD1.pdf", "Melting_Curves/meltCurve_H3BLZ2_DBNDD1.pdf")</f>
        <v>Melting_Curves/meltCurve_H3BLZ2_DBNDD1.pdf</v>
      </c>
    </row>
    <row r="866" spans="1:28" x14ac:dyDescent="0.25">
      <c r="A866" t="s">
        <v>870</v>
      </c>
      <c r="B866">
        <v>0.99996721820229495</v>
      </c>
      <c r="C866">
        <v>1.0798969161163601</v>
      </c>
      <c r="D866">
        <v>0.99358568282122905</v>
      </c>
      <c r="E866">
        <v>0.68190082296613297</v>
      </c>
      <c r="F866">
        <v>0.434410611851891</v>
      </c>
      <c r="G866">
        <v>0.394068660763085</v>
      </c>
      <c r="H866">
        <v>0.26556274056158702</v>
      </c>
      <c r="I866">
        <v>0.25097417656971499</v>
      </c>
      <c r="J866">
        <v>0.18613135658781399</v>
      </c>
      <c r="K866">
        <v>0.12926629044247501</v>
      </c>
      <c r="L866">
        <v>1028.31467122864</v>
      </c>
      <c r="M866">
        <v>20.012828301627</v>
      </c>
      <c r="N866">
        <v>52.7692298303702</v>
      </c>
      <c r="O866">
        <v>50.877985710567401</v>
      </c>
      <c r="P866">
        <v>-7.8233495631067906E-2</v>
      </c>
      <c r="Q866">
        <v>0.204463545412472</v>
      </c>
      <c r="R866">
        <v>0.97237480889968197</v>
      </c>
      <c r="S866" t="s">
        <v>6692</v>
      </c>
      <c r="T866" t="s">
        <v>11650</v>
      </c>
      <c r="U866" t="s">
        <v>11650</v>
      </c>
      <c r="V866" t="s">
        <v>11650</v>
      </c>
      <c r="W866" t="s">
        <v>12501</v>
      </c>
      <c r="X866">
        <v>15</v>
      </c>
      <c r="Y866" t="s">
        <v>18259</v>
      </c>
      <c r="Z866" t="s">
        <v>23928</v>
      </c>
      <c r="AA866">
        <v>0.51732997267582492</v>
      </c>
      <c r="AB866" t="str">
        <f>HYPERLINK("Melting_Curves/meltCurve_H3BLZ8_DDX17.pdf", "Melting_Curves/meltCurve_H3BLZ8_DDX17.pdf")</f>
        <v>Melting_Curves/meltCurve_H3BLZ8_DDX17.pdf</v>
      </c>
    </row>
    <row r="867" spans="1:28" x14ac:dyDescent="0.25">
      <c r="A867" t="s">
        <v>871</v>
      </c>
      <c r="B867">
        <v>0.99996721820229495</v>
      </c>
      <c r="C867">
        <v>0.98127944322443605</v>
      </c>
      <c r="D867">
        <v>0.751198374271003</v>
      </c>
      <c r="E867">
        <v>0.31535808036973501</v>
      </c>
      <c r="F867">
        <v>0.29337830652600899</v>
      </c>
      <c r="G867">
        <v>0.22348644677898899</v>
      </c>
      <c r="H867">
        <v>0.16174777550771299</v>
      </c>
      <c r="I867">
        <v>0.113601009491963</v>
      </c>
      <c r="J867">
        <v>8.9845554692580598E-2</v>
      </c>
      <c r="K867">
        <v>6.8648815132336796E-2</v>
      </c>
      <c r="L867">
        <v>1033.8303649127899</v>
      </c>
      <c r="M867">
        <v>21.576026874831101</v>
      </c>
      <c r="N867">
        <v>48.573335761413801</v>
      </c>
      <c r="O867">
        <v>47.509764494927701</v>
      </c>
      <c r="P867">
        <v>-9.9156708147818406E-2</v>
      </c>
      <c r="Q867">
        <v>0.126660299475546</v>
      </c>
      <c r="R867">
        <v>0.98196218748860697</v>
      </c>
      <c r="S867" t="s">
        <v>6693</v>
      </c>
      <c r="T867" t="s">
        <v>11650</v>
      </c>
      <c r="U867" t="s">
        <v>11650</v>
      </c>
      <c r="V867" t="s">
        <v>11650</v>
      </c>
      <c r="W867" t="s">
        <v>12502</v>
      </c>
      <c r="X867">
        <v>15</v>
      </c>
      <c r="Y867" t="s">
        <v>18260</v>
      </c>
      <c r="Z867" t="s">
        <v>23929</v>
      </c>
      <c r="AA867">
        <v>0.36767252624185032</v>
      </c>
      <c r="AB867" t="str">
        <f>HYPERLINK("Melting_Curves/meltCurve_H3BM14_NUB1.pdf", "Melting_Curves/meltCurve_H3BM14_NUB1.pdf")</f>
        <v>Melting_Curves/meltCurve_H3BM14_NUB1.pdf</v>
      </c>
    </row>
    <row r="868" spans="1:28" x14ac:dyDescent="0.25">
      <c r="A868" t="s">
        <v>872</v>
      </c>
      <c r="B868">
        <v>0.99996721820229495</v>
      </c>
      <c r="C868">
        <v>1.04591366331538</v>
      </c>
      <c r="D868">
        <v>1.0247353723850701</v>
      </c>
      <c r="E868">
        <v>1.0323679260692</v>
      </c>
      <c r="F868">
        <v>1.6130187032702601</v>
      </c>
      <c r="G868">
        <v>1.77784132130048</v>
      </c>
      <c r="H868">
        <v>1.3864100312868399</v>
      </c>
      <c r="I868">
        <v>0.991298702338541</v>
      </c>
      <c r="J868">
        <v>0.87759538698511497</v>
      </c>
      <c r="K868">
        <v>0.63953208319467703</v>
      </c>
      <c r="L868">
        <v>6312.3247154758301</v>
      </c>
      <c r="M868">
        <v>93.496494346771001</v>
      </c>
      <c r="O868">
        <v>67.483156121124793</v>
      </c>
      <c r="P868">
        <v>-0.12936335065125801</v>
      </c>
      <c r="Q868">
        <v>0.62651662538575503</v>
      </c>
      <c r="R868">
        <v>-4.4107397443729601E-2</v>
      </c>
      <c r="S868" t="s">
        <v>6694</v>
      </c>
      <c r="T868" t="s">
        <v>11650</v>
      </c>
      <c r="U868" t="s">
        <v>11650</v>
      </c>
      <c r="V868" t="s">
        <v>11650</v>
      </c>
      <c r="W868" t="s">
        <v>12503</v>
      </c>
      <c r="X868">
        <v>5</v>
      </c>
      <c r="Y868" t="s">
        <v>18261</v>
      </c>
      <c r="Z868" t="s">
        <v>23930</v>
      </c>
      <c r="AA868">
        <v>0.96901680749718555</v>
      </c>
      <c r="AB868" t="str">
        <f>HYPERLINK("Melting_Curves/meltCurve_H3BM67_NOL3.pdf", "Melting_Curves/meltCurve_H3BM67_NOL3.pdf")</f>
        <v>Melting_Curves/meltCurve_H3BM67_NOL3.pdf</v>
      </c>
    </row>
    <row r="869" spans="1:28" x14ac:dyDescent="0.25">
      <c r="A869" t="s">
        <v>873</v>
      </c>
      <c r="B869">
        <v>0.99996721820229495</v>
      </c>
      <c r="C869">
        <v>1.0713855163436601</v>
      </c>
      <c r="D869">
        <v>1.2151859309762401</v>
      </c>
      <c r="E869">
        <v>1.1592707831059199</v>
      </c>
      <c r="F869">
        <v>1.00510566999873</v>
      </c>
      <c r="G869">
        <v>0.46981848754423899</v>
      </c>
      <c r="H869">
        <v>0.25653468457120998</v>
      </c>
      <c r="I869">
        <v>0.13670267766080799</v>
      </c>
      <c r="J869">
        <v>8.6399688576792005E-2</v>
      </c>
      <c r="K869">
        <v>0.14660536770063101</v>
      </c>
      <c r="L869">
        <v>2785.9786592486298</v>
      </c>
      <c r="M869">
        <v>49.299571981349203</v>
      </c>
      <c r="N869">
        <v>56.915796452127502</v>
      </c>
      <c r="O869">
        <v>56.418462896167597</v>
      </c>
      <c r="P869">
        <v>-0.18616485176384401</v>
      </c>
      <c r="Q869">
        <v>0.14781204801331699</v>
      </c>
      <c r="R869">
        <v>0.95544192531721495</v>
      </c>
      <c r="S869" t="s">
        <v>6695</v>
      </c>
      <c r="T869" t="s">
        <v>11650</v>
      </c>
      <c r="U869" t="s">
        <v>11650</v>
      </c>
      <c r="V869" t="s">
        <v>11650</v>
      </c>
      <c r="W869" t="s">
        <v>12504</v>
      </c>
      <c r="X869">
        <v>5</v>
      </c>
      <c r="Y869" t="s">
        <v>18262</v>
      </c>
      <c r="Z869" t="s">
        <v>23931</v>
      </c>
      <c r="AA869">
        <v>0.61901544588784885</v>
      </c>
      <c r="AB869" t="str">
        <f>HYPERLINK("Melting_Curves/meltCurve_H3BM91_COMMD4.pdf", "Melting_Curves/meltCurve_H3BM91_COMMD4.pdf")</f>
        <v>Melting_Curves/meltCurve_H3BM91_COMMD4.pdf</v>
      </c>
    </row>
    <row r="870" spans="1:28" x14ac:dyDescent="0.25">
      <c r="A870" t="s">
        <v>874</v>
      </c>
      <c r="B870">
        <v>0.99996721820229495</v>
      </c>
      <c r="C870">
        <v>0.98946289442652502</v>
      </c>
      <c r="D870">
        <v>0.98221389039238005</v>
      </c>
      <c r="E870">
        <v>0.82478876666711098</v>
      </c>
      <c r="F870">
        <v>0.94730131113662797</v>
      </c>
      <c r="G870">
        <v>1.05247925254133</v>
      </c>
      <c r="H870">
        <v>0.72832668797547995</v>
      </c>
      <c r="I870">
        <v>0.26869586156144198</v>
      </c>
      <c r="J870">
        <v>0.20269986390891501</v>
      </c>
      <c r="K870">
        <v>0.14984646791329301</v>
      </c>
      <c r="L870">
        <v>3639.4898278114802</v>
      </c>
      <c r="M870">
        <v>58.925790949766103</v>
      </c>
      <c r="N870">
        <v>62.210354388793199</v>
      </c>
      <c r="O870">
        <v>61.692923752665699</v>
      </c>
      <c r="P870">
        <v>-0.19761863061308399</v>
      </c>
      <c r="Q870">
        <v>0.17240526027575701</v>
      </c>
      <c r="R870">
        <v>0.96772975320355603</v>
      </c>
      <c r="S870" t="s">
        <v>6696</v>
      </c>
      <c r="T870" t="s">
        <v>11650</v>
      </c>
      <c r="U870" t="s">
        <v>11650</v>
      </c>
      <c r="V870" t="s">
        <v>11650</v>
      </c>
      <c r="W870" t="s">
        <v>12505</v>
      </c>
      <c r="X870">
        <v>1</v>
      </c>
      <c r="Y870" t="s">
        <v>18263</v>
      </c>
      <c r="Z870" t="s">
        <v>23932</v>
      </c>
      <c r="AA870">
        <v>0.77437954615582205</v>
      </c>
      <c r="AB870" t="str">
        <f>HYPERLINK("Melting_Curves/meltCurve_H3BMF2_JMJD8.pdf", "Melting_Curves/meltCurve_H3BMF2_JMJD8.pdf")</f>
        <v>Melting_Curves/meltCurve_H3BMF2_JMJD8.pdf</v>
      </c>
    </row>
    <row r="871" spans="1:28" x14ac:dyDescent="0.25">
      <c r="A871" t="s">
        <v>875</v>
      </c>
      <c r="B871">
        <v>0.99996721820229495</v>
      </c>
      <c r="C871">
        <v>1.03472346454514</v>
      </c>
      <c r="D871">
        <v>1.28291296681789</v>
      </c>
      <c r="E871">
        <v>1.3986871328245201</v>
      </c>
      <c r="F871">
        <v>1.9980996314816</v>
      </c>
      <c r="G871">
        <v>2.2347121428672199</v>
      </c>
      <c r="H871">
        <v>1.6994787625364201</v>
      </c>
      <c r="I871">
        <v>1.2930678079304501</v>
      </c>
      <c r="J871">
        <v>0.69956695670253399</v>
      </c>
      <c r="K871">
        <v>0.59859240930066904</v>
      </c>
      <c r="L871">
        <v>15000</v>
      </c>
      <c r="M871">
        <v>224.968465966889</v>
      </c>
      <c r="O871">
        <v>66.670743122015395</v>
      </c>
      <c r="P871">
        <v>-0.33868754799416501</v>
      </c>
      <c r="Q871">
        <v>0.59851172711748302</v>
      </c>
      <c r="R871">
        <v>-0.314547737383853</v>
      </c>
      <c r="S871" t="s">
        <v>6697</v>
      </c>
      <c r="T871" t="s">
        <v>11650</v>
      </c>
      <c r="U871" t="s">
        <v>11650</v>
      </c>
      <c r="V871" t="s">
        <v>11650</v>
      </c>
      <c r="W871" t="s">
        <v>12506</v>
      </c>
      <c r="X871">
        <v>4</v>
      </c>
      <c r="Y871" t="s">
        <v>18264</v>
      </c>
      <c r="Z871" t="s">
        <v>23933</v>
      </c>
      <c r="AA871">
        <v>0.95557317026193211</v>
      </c>
      <c r="AB871" t="str">
        <f>HYPERLINK("Melting_Curves/meltCurve_H3BMF4_SPNS1.pdf", "Melting_Curves/meltCurve_H3BMF4_SPNS1.pdf")</f>
        <v>Melting_Curves/meltCurve_H3BMF4_SPNS1.pdf</v>
      </c>
    </row>
    <row r="872" spans="1:28" x14ac:dyDescent="0.25">
      <c r="A872" t="s">
        <v>876</v>
      </c>
      <c r="B872">
        <v>0.99996721820229495</v>
      </c>
      <c r="C872">
        <v>0.96423721516844196</v>
      </c>
      <c r="D872">
        <v>0.99894967884822305</v>
      </c>
      <c r="E872">
        <v>1.10121154999358</v>
      </c>
      <c r="F872">
        <v>1.0272257146028401</v>
      </c>
      <c r="G872">
        <v>1.2729179451546599</v>
      </c>
      <c r="H872">
        <v>0.96149718185633304</v>
      </c>
      <c r="I872">
        <v>0.81510899499701595</v>
      </c>
      <c r="J872">
        <v>0.78380952134345305</v>
      </c>
      <c r="K872">
        <v>0.54257829259474699</v>
      </c>
      <c r="L872">
        <v>1662.1199743004299</v>
      </c>
      <c r="M872">
        <v>24.262177076817199</v>
      </c>
      <c r="O872">
        <v>68.046296049203406</v>
      </c>
      <c r="P872">
        <v>-6.3511080452838806E-2</v>
      </c>
      <c r="Q872">
        <v>0.28751161920596002</v>
      </c>
      <c r="R872">
        <v>0.72114175335992103</v>
      </c>
      <c r="S872" t="s">
        <v>6698</v>
      </c>
      <c r="T872" t="s">
        <v>11650</v>
      </c>
      <c r="U872" t="s">
        <v>11650</v>
      </c>
      <c r="V872" t="s">
        <v>11650</v>
      </c>
      <c r="W872" t="s">
        <v>12507</v>
      </c>
      <c r="X872">
        <v>3</v>
      </c>
      <c r="Y872" t="s">
        <v>18265</v>
      </c>
      <c r="Z872" t="s">
        <v>23934</v>
      </c>
      <c r="AA872">
        <v>0.93751761843451464</v>
      </c>
      <c r="AB872" t="str">
        <f>HYPERLINK("Melting_Curves/meltCurve_H3BMQ0_TSC2.pdf", "Melting_Curves/meltCurve_H3BMQ0_TSC2.pdf")</f>
        <v>Melting_Curves/meltCurve_H3BMQ0_TSC2.pdf</v>
      </c>
    </row>
    <row r="873" spans="1:28" x14ac:dyDescent="0.25">
      <c r="A873" t="s">
        <v>877</v>
      </c>
      <c r="B873">
        <v>0.99996721820229495</v>
      </c>
      <c r="C873">
        <v>0.884804522937231</v>
      </c>
      <c r="D873">
        <v>0.93199957561396796</v>
      </c>
      <c r="E873">
        <v>0.980517304318687</v>
      </c>
      <c r="F873">
        <v>1.01441202115705</v>
      </c>
      <c r="G873">
        <v>0.79308768182164902</v>
      </c>
      <c r="H873">
        <v>0.403252624746894</v>
      </c>
      <c r="I873">
        <v>0.255483798516982</v>
      </c>
      <c r="J873">
        <v>0.24799200753021899</v>
      </c>
      <c r="K873">
        <v>0.18145993365692301</v>
      </c>
      <c r="L873">
        <v>1916.51569237284</v>
      </c>
      <c r="M873">
        <v>32.5257561780316</v>
      </c>
      <c r="N873">
        <v>59.882455004418297</v>
      </c>
      <c r="O873">
        <v>58.701625165713601</v>
      </c>
      <c r="P873">
        <v>-0.11039180805321901</v>
      </c>
      <c r="Q873">
        <v>0.203074909557031</v>
      </c>
      <c r="R873">
        <v>0.98112396732734297</v>
      </c>
      <c r="S873" t="s">
        <v>6699</v>
      </c>
      <c r="T873" t="s">
        <v>11650</v>
      </c>
      <c r="U873" t="s">
        <v>11650</v>
      </c>
      <c r="V873" t="s">
        <v>11650</v>
      </c>
      <c r="W873" t="s">
        <v>12508</v>
      </c>
      <c r="X873">
        <v>3</v>
      </c>
      <c r="Y873" t="s">
        <v>18266</v>
      </c>
      <c r="Z873" t="s">
        <v>23935</v>
      </c>
      <c r="AA873">
        <v>0.71025571977265567</v>
      </c>
      <c r="AB873" t="str">
        <f>HYPERLINK("Melting_Curves/meltCurve_H3BNE3_BLOC1S6.pdf", "Melting_Curves/meltCurve_H3BNE3_BLOC1S6.pdf")</f>
        <v>Melting_Curves/meltCurve_H3BNE3_BLOC1S6.pdf</v>
      </c>
    </row>
    <row r="874" spans="1:28" x14ac:dyDescent="0.25">
      <c r="A874" t="s">
        <v>878</v>
      </c>
      <c r="B874">
        <v>0.99996721820229495</v>
      </c>
      <c r="C874">
        <v>1.1128181269002999</v>
      </c>
      <c r="D874">
        <v>1.22501188012895</v>
      </c>
      <c r="E874">
        <v>1.3478515353388401</v>
      </c>
      <c r="F874">
        <v>1.63157459322543</v>
      </c>
      <c r="G874">
        <v>1.65862347932819</v>
      </c>
      <c r="H874">
        <v>0.60891305368458504</v>
      </c>
      <c r="I874">
        <v>0.25988437056799302</v>
      </c>
      <c r="J874">
        <v>0.19334296266883699</v>
      </c>
      <c r="K874">
        <v>0.12775737655355501</v>
      </c>
      <c r="L874">
        <v>6803.1028789642896</v>
      </c>
      <c r="M874">
        <v>111.449495814885</v>
      </c>
      <c r="N874">
        <v>61.307958281155102</v>
      </c>
      <c r="O874">
        <v>61.022377690205502</v>
      </c>
      <c r="P874">
        <v>-0.369079503273056</v>
      </c>
      <c r="Q874">
        <v>0.191665862331344</v>
      </c>
      <c r="R874">
        <v>0.66481288958981899</v>
      </c>
      <c r="S874" t="s">
        <v>6700</v>
      </c>
      <c r="T874" t="s">
        <v>11650</v>
      </c>
      <c r="U874" t="s">
        <v>11650</v>
      </c>
      <c r="V874" t="s">
        <v>11650</v>
      </c>
      <c r="W874" t="s">
        <v>12509</v>
      </c>
      <c r="X874">
        <v>19</v>
      </c>
      <c r="Y874" t="s">
        <v>18267</v>
      </c>
      <c r="Z874" t="s">
        <v>23936</v>
      </c>
      <c r="AA874">
        <v>0.75906819891213073</v>
      </c>
      <c r="AB874" t="str">
        <f>HYPERLINK("Melting_Curves/meltCurve_H3BP20_HEXA.pdf", "Melting_Curves/meltCurve_H3BP20_HEXA.pdf")</f>
        <v>Melting_Curves/meltCurve_H3BP20_HEXA.pdf</v>
      </c>
    </row>
    <row r="875" spans="1:28" x14ac:dyDescent="0.25">
      <c r="A875" t="s">
        <v>879</v>
      </c>
      <c r="B875">
        <v>0.99996721820229495</v>
      </c>
      <c r="C875">
        <v>0.95187692485780195</v>
      </c>
      <c r="D875">
        <v>0.90068834286999</v>
      </c>
      <c r="E875">
        <v>0.88494473406954699</v>
      </c>
      <c r="F875">
        <v>1.31763446766313</v>
      </c>
      <c r="G875">
        <v>1.4054070330568</v>
      </c>
      <c r="H875">
        <v>0.82572195095023704</v>
      </c>
      <c r="I875">
        <v>0.262349018083402</v>
      </c>
      <c r="J875">
        <v>0.13269929506174699</v>
      </c>
      <c r="K875">
        <v>9.0838973520799907E-2</v>
      </c>
      <c r="L875">
        <v>4080.31949849595</v>
      </c>
      <c r="M875">
        <v>65.3795153445257</v>
      </c>
      <c r="N875">
        <v>62.644197263042003</v>
      </c>
      <c r="O875">
        <v>62.351437411752997</v>
      </c>
      <c r="P875">
        <v>-0.23369307959590399</v>
      </c>
      <c r="Q875">
        <v>0.108522205739939</v>
      </c>
      <c r="R875">
        <v>0.84961519545663899</v>
      </c>
      <c r="S875" t="s">
        <v>6701</v>
      </c>
      <c r="T875" t="s">
        <v>11650</v>
      </c>
      <c r="U875" t="s">
        <v>11650</v>
      </c>
      <c r="V875" t="s">
        <v>11650</v>
      </c>
      <c r="W875" t="s">
        <v>12510</v>
      </c>
      <c r="X875">
        <v>5</v>
      </c>
      <c r="Y875" t="s">
        <v>18268</v>
      </c>
      <c r="Z875" t="s">
        <v>23937</v>
      </c>
      <c r="AA875">
        <v>0.77585001237947648</v>
      </c>
      <c r="AB875" t="str">
        <f>HYPERLINK("Melting_Curves/meltCurve_H3BP28_COQ7.pdf", "Melting_Curves/meltCurve_H3BP28_COQ7.pdf")</f>
        <v>Melting_Curves/meltCurve_H3BP28_COQ7.pdf</v>
      </c>
    </row>
    <row r="876" spans="1:28" x14ac:dyDescent="0.25">
      <c r="A876" t="s">
        <v>880</v>
      </c>
      <c r="B876">
        <v>0.99996721820229495</v>
      </c>
      <c r="C876">
        <v>1.0092955317119201</v>
      </c>
      <c r="D876">
        <v>1.0021482677818001</v>
      </c>
      <c r="E876">
        <v>1.09330847476822</v>
      </c>
      <c r="F876">
        <v>1.30289100358983</v>
      </c>
      <c r="G876">
        <v>1.07731015906834</v>
      </c>
      <c r="H876">
        <v>0.40971325235391298</v>
      </c>
      <c r="I876">
        <v>0.16169898710935501</v>
      </c>
      <c r="J876">
        <v>7.8196871109338401E-2</v>
      </c>
      <c r="K876">
        <v>6.6583294506176505E-2</v>
      </c>
      <c r="L876">
        <v>5402.4029000004502</v>
      </c>
      <c r="M876">
        <v>89.188872073956006</v>
      </c>
      <c r="N876">
        <v>60.722523351818602</v>
      </c>
      <c r="O876">
        <v>60.542178205996997</v>
      </c>
      <c r="P876">
        <v>-0.331898818171323</v>
      </c>
      <c r="Q876">
        <v>9.8816917744863106E-2</v>
      </c>
      <c r="R876">
        <v>0.94674065988895195</v>
      </c>
      <c r="S876" t="s">
        <v>6702</v>
      </c>
      <c r="T876" t="s">
        <v>11650</v>
      </c>
      <c r="U876" t="s">
        <v>11650</v>
      </c>
      <c r="V876" t="s">
        <v>11650</v>
      </c>
      <c r="W876" t="s">
        <v>12511</v>
      </c>
      <c r="X876">
        <v>9</v>
      </c>
      <c r="Y876" t="s">
        <v>18269</v>
      </c>
      <c r="Z876" t="s">
        <v>23938</v>
      </c>
      <c r="AA876">
        <v>0.71756024122965367</v>
      </c>
      <c r="AB876" t="str">
        <f>HYPERLINK("Melting_Curves/meltCurve_H3BP77_TK2.pdf", "Melting_Curves/meltCurve_H3BP77_TK2.pdf")</f>
        <v>Melting_Curves/meltCurve_H3BP77_TK2.pdf</v>
      </c>
    </row>
    <row r="877" spans="1:28" x14ac:dyDescent="0.25">
      <c r="A877" t="s">
        <v>881</v>
      </c>
      <c r="B877">
        <v>0.99996721820229495</v>
      </c>
      <c r="C877">
        <v>1.0672730862111199</v>
      </c>
      <c r="D877">
        <v>0.981827321165337</v>
      </c>
      <c r="E877">
        <v>0.86188888004920206</v>
      </c>
      <c r="F877">
        <v>0.55522919243976199</v>
      </c>
      <c r="G877">
        <v>0.31817322257682401</v>
      </c>
      <c r="H877">
        <v>0.15962673298778501</v>
      </c>
      <c r="I877">
        <v>0.117264390050158</v>
      </c>
      <c r="J877">
        <v>9.2728179675779204E-2</v>
      </c>
      <c r="K877">
        <v>5.12656971764009E-2</v>
      </c>
      <c r="L877">
        <v>1085.82531366793</v>
      </c>
      <c r="M877">
        <v>20.212951919325299</v>
      </c>
      <c r="N877">
        <v>54.139105029536097</v>
      </c>
      <c r="O877">
        <v>53.201774874107201</v>
      </c>
      <c r="P877">
        <v>-8.8095581817126206E-2</v>
      </c>
      <c r="Q877">
        <v>7.2536258921803001E-2</v>
      </c>
      <c r="R877">
        <v>0.99368582537559103</v>
      </c>
      <c r="S877" t="s">
        <v>6703</v>
      </c>
      <c r="T877" t="s">
        <v>11650</v>
      </c>
      <c r="U877" t="s">
        <v>11650</v>
      </c>
      <c r="V877" t="s">
        <v>11650</v>
      </c>
      <c r="W877" t="s">
        <v>12512</v>
      </c>
      <c r="X877">
        <v>7</v>
      </c>
      <c r="Y877" t="s">
        <v>18270</v>
      </c>
      <c r="Z877" t="s">
        <v>23939</v>
      </c>
      <c r="AA877">
        <v>0.50911266710304715</v>
      </c>
      <c r="AB877" t="str">
        <f>HYPERLINK("Melting_Curves/meltCurve_H3BPC4_UBE2I.pdf", "Melting_Curves/meltCurve_H3BPC4_UBE2I.pdf")</f>
        <v>Melting_Curves/meltCurve_H3BPC4_UBE2I.pdf</v>
      </c>
    </row>
    <row r="878" spans="1:28" x14ac:dyDescent="0.25">
      <c r="A878" t="s">
        <v>882</v>
      </c>
      <c r="B878">
        <v>0.99996721820229495</v>
      </c>
      <c r="C878">
        <v>1.1733361688334201</v>
      </c>
      <c r="D878">
        <v>1.07886631644766</v>
      </c>
      <c r="E878">
        <v>1.08642494236398</v>
      </c>
      <c r="F878">
        <v>1.14617121004957</v>
      </c>
      <c r="G878">
        <v>1.1591283697691801</v>
      </c>
      <c r="H878">
        <v>0.87959178625670698</v>
      </c>
      <c r="I878">
        <v>0.84564815339154198</v>
      </c>
      <c r="J878">
        <v>0.53144912649873499</v>
      </c>
      <c r="K878">
        <v>0.43998176615284001</v>
      </c>
      <c r="L878">
        <v>2480.99911261638</v>
      </c>
      <c r="M878">
        <v>37.982368773566698</v>
      </c>
      <c r="N878">
        <v>67.937812583496395</v>
      </c>
      <c r="O878">
        <v>65.139480502646705</v>
      </c>
      <c r="P878">
        <v>-8.9751503455825499E-2</v>
      </c>
      <c r="Q878">
        <v>0.38430891680049101</v>
      </c>
      <c r="R878">
        <v>0.83825730119862096</v>
      </c>
      <c r="S878" t="s">
        <v>6704</v>
      </c>
      <c r="T878" t="s">
        <v>11650</v>
      </c>
      <c r="U878" t="s">
        <v>11650</v>
      </c>
      <c r="V878" t="s">
        <v>11650</v>
      </c>
      <c r="W878" t="s">
        <v>12513</v>
      </c>
      <c r="X878">
        <v>11</v>
      </c>
      <c r="Y878" t="s">
        <v>18271</v>
      </c>
      <c r="Z878" t="s">
        <v>23940</v>
      </c>
      <c r="AA878">
        <v>0.90376169555947605</v>
      </c>
      <c r="AB878" t="str">
        <f>HYPERLINK("Melting_Curves/meltCurve_H3BPE7_FUS.pdf", "Melting_Curves/meltCurve_H3BPE7_FUS.pdf")</f>
        <v>Melting_Curves/meltCurve_H3BPE7_FUS.pdf</v>
      </c>
    </row>
    <row r="879" spans="1:28" x14ac:dyDescent="0.25">
      <c r="A879" t="s">
        <v>883</v>
      </c>
      <c r="B879">
        <v>0.99996721820229495</v>
      </c>
      <c r="C879">
        <v>0.95689630054903196</v>
      </c>
      <c r="D879">
        <v>1.0388049471006999</v>
      </c>
      <c r="E879">
        <v>1.1307996896232</v>
      </c>
      <c r="F879">
        <v>1.15880890595363</v>
      </c>
      <c r="G879">
        <v>1.27366124666124</v>
      </c>
      <c r="H879">
        <v>1.0095764788235599</v>
      </c>
      <c r="I879">
        <v>1.61185394164355</v>
      </c>
      <c r="J879">
        <v>1.1968906091131</v>
      </c>
      <c r="K879">
        <v>1.5290095121168299</v>
      </c>
      <c r="L879">
        <v>532.01635379846095</v>
      </c>
      <c r="M879">
        <v>9.0548930155778091</v>
      </c>
      <c r="O879">
        <v>56.101399017874499</v>
      </c>
      <c r="P879">
        <v>2.0189602351982101E-2</v>
      </c>
      <c r="Q879">
        <v>1.5</v>
      </c>
      <c r="R879">
        <v>0.53102729018036599</v>
      </c>
      <c r="S879" t="s">
        <v>6705</v>
      </c>
      <c r="T879" t="s">
        <v>11650</v>
      </c>
      <c r="U879" t="s">
        <v>11650</v>
      </c>
      <c r="V879" t="s">
        <v>11650</v>
      </c>
      <c r="W879" t="s">
        <v>12514</v>
      </c>
      <c r="X879">
        <v>3</v>
      </c>
      <c r="Y879" t="s">
        <v>18272</v>
      </c>
      <c r="Z879" t="s">
        <v>23941</v>
      </c>
      <c r="AA879">
        <v>1.186526285201035</v>
      </c>
      <c r="AB879" t="str">
        <f>HYPERLINK("Melting_Curves/meltCurve_H3BPG5_RNPS1.pdf", "Melting_Curves/meltCurve_H3BPG5_RNPS1.pdf")</f>
        <v>Melting_Curves/meltCurve_H3BPG5_RNPS1.pdf</v>
      </c>
    </row>
    <row r="880" spans="1:28" x14ac:dyDescent="0.25">
      <c r="A880" t="s">
        <v>884</v>
      </c>
      <c r="B880">
        <v>0.99996721820229495</v>
      </c>
      <c r="C880">
        <v>0.35658464438748</v>
      </c>
      <c r="D880">
        <v>0.336754835968535</v>
      </c>
      <c r="E880">
        <v>0.77474389604557403</v>
      </c>
      <c r="F880">
        <v>0.47544815350500402</v>
      </c>
      <c r="G880">
        <v>0.48062291724952999</v>
      </c>
      <c r="H880">
        <v>0.43919755670762101</v>
      </c>
      <c r="I880">
        <v>9.7268620240438905E-2</v>
      </c>
      <c r="J880">
        <v>4.6197415061493399E-2</v>
      </c>
      <c r="K880">
        <v>6.5978655979406706E-2</v>
      </c>
      <c r="L880">
        <v>249.390598150318</v>
      </c>
      <c r="M880">
        <v>5.0717139662530597</v>
      </c>
      <c r="N880">
        <v>49.172843880044098</v>
      </c>
      <c r="O880">
        <v>43.058291489876197</v>
      </c>
      <c r="P880">
        <v>-2.96186254302662E-2</v>
      </c>
      <c r="Q880">
        <v>0</v>
      </c>
      <c r="R880">
        <v>0.50278722978984802</v>
      </c>
      <c r="S880" t="s">
        <v>6706</v>
      </c>
      <c r="T880" t="s">
        <v>11650</v>
      </c>
      <c r="U880" t="s">
        <v>11650</v>
      </c>
      <c r="V880" t="s">
        <v>11650</v>
      </c>
      <c r="W880" t="s">
        <v>12515</v>
      </c>
      <c r="X880">
        <v>30</v>
      </c>
      <c r="Y880" t="s">
        <v>18273</v>
      </c>
      <c r="Z880" t="s">
        <v>23942</v>
      </c>
      <c r="AA880">
        <v>0.40622399290610089</v>
      </c>
      <c r="AB880" t="str">
        <f>HYPERLINK("Melting_Curves/meltCurve_H3BPS8_ALDOA.pdf", "Melting_Curves/meltCurve_H3BPS8_ALDOA.pdf")</f>
        <v>Melting_Curves/meltCurve_H3BPS8_ALDOA.pdf</v>
      </c>
    </row>
    <row r="881" spans="1:28" x14ac:dyDescent="0.25">
      <c r="A881" t="s">
        <v>885</v>
      </c>
      <c r="B881">
        <v>0.99996721820229495</v>
      </c>
      <c r="C881">
        <v>0.85011520776318905</v>
      </c>
      <c r="D881">
        <v>0.85456854808956695</v>
      </c>
      <c r="E881">
        <v>0.841392822828123</v>
      </c>
      <c r="F881">
        <v>0.82380212706803702</v>
      </c>
      <c r="G881">
        <v>0.92265433208602099</v>
      </c>
      <c r="H881">
        <v>0.69870437648146999</v>
      </c>
      <c r="I881">
        <v>0.52308781464730802</v>
      </c>
      <c r="J881">
        <v>0.47370739669223599</v>
      </c>
      <c r="K881">
        <v>0.392515773692234</v>
      </c>
      <c r="L881">
        <v>437.16684254923098</v>
      </c>
      <c r="M881">
        <v>6.54086625042736</v>
      </c>
      <c r="N881">
        <v>66.836230206004203</v>
      </c>
      <c r="O881">
        <v>61.414285888154801</v>
      </c>
      <c r="P881">
        <v>-2.66892111182639E-2</v>
      </c>
      <c r="Q881">
        <v>0</v>
      </c>
      <c r="R881">
        <v>0.83557439831007396</v>
      </c>
      <c r="S881" t="s">
        <v>6707</v>
      </c>
      <c r="T881" t="s">
        <v>11650</v>
      </c>
      <c r="U881" t="s">
        <v>11650</v>
      </c>
      <c r="V881" t="s">
        <v>11650</v>
      </c>
      <c r="W881" t="s">
        <v>12516</v>
      </c>
      <c r="X881">
        <v>4</v>
      </c>
      <c r="Y881" t="s">
        <v>18274</v>
      </c>
      <c r="Z881" t="s">
        <v>23943</v>
      </c>
      <c r="AA881">
        <v>0.76713774505138788</v>
      </c>
      <c r="AB881" t="str">
        <f>HYPERLINK("Melting_Curves/meltCurve_H3BQ37_EDC3.pdf", "Melting_Curves/meltCurve_H3BQ37_EDC3.pdf")</f>
        <v>Melting_Curves/meltCurve_H3BQ37_EDC3.pdf</v>
      </c>
    </row>
    <row r="882" spans="1:28" x14ac:dyDescent="0.25">
      <c r="A882" t="s">
        <v>886</v>
      </c>
      <c r="B882">
        <v>0.99996721820229495</v>
      </c>
      <c r="C882">
        <v>0.98253963886645901</v>
      </c>
      <c r="D882">
        <v>1.1047268231879599</v>
      </c>
      <c r="E882">
        <v>1.2919109639956801</v>
      </c>
      <c r="F882">
        <v>2.0781517715104001</v>
      </c>
      <c r="G882">
        <v>2.8981317420561199</v>
      </c>
      <c r="H882">
        <v>2.3391719751204301</v>
      </c>
      <c r="I882">
        <v>2.30332277007569</v>
      </c>
      <c r="J882">
        <v>2.1009630165558102</v>
      </c>
      <c r="K882">
        <v>1.23136606566093</v>
      </c>
      <c r="L882">
        <v>12483.075380287901</v>
      </c>
      <c r="M882">
        <v>250</v>
      </c>
      <c r="O882">
        <v>49.929123502182797</v>
      </c>
      <c r="P882">
        <v>0.62588743051258799</v>
      </c>
      <c r="Q882">
        <v>1.5</v>
      </c>
      <c r="R882">
        <v>3.8401107770122699E-2</v>
      </c>
      <c r="S882" t="s">
        <v>6708</v>
      </c>
      <c r="T882" t="s">
        <v>11650</v>
      </c>
      <c r="U882" t="s">
        <v>11650</v>
      </c>
      <c r="V882" t="s">
        <v>11650</v>
      </c>
      <c r="W882" t="s">
        <v>12517</v>
      </c>
      <c r="X882">
        <v>3</v>
      </c>
      <c r="Y882" t="s">
        <v>18275</v>
      </c>
      <c r="Z882" t="s">
        <v>23944</v>
      </c>
      <c r="AA882">
        <v>1.334417826108115</v>
      </c>
      <c r="AB882" t="str">
        <f>HYPERLINK("Melting_Curves/meltCurve_H3BQ52_ARPP19.pdf", "Melting_Curves/meltCurve_H3BQ52_ARPP19.pdf")</f>
        <v>Melting_Curves/meltCurve_H3BQ52_ARPP19.pdf</v>
      </c>
    </row>
    <row r="883" spans="1:28" x14ac:dyDescent="0.25">
      <c r="A883" t="s">
        <v>887</v>
      </c>
      <c r="B883">
        <v>0.99996721820229495</v>
      </c>
      <c r="C883">
        <v>0.96682612399450496</v>
      </c>
      <c r="D883">
        <v>0.88004964271508301</v>
      </c>
      <c r="E883">
        <v>0.94477517859864102</v>
      </c>
      <c r="F883">
        <v>1.1064244073856</v>
      </c>
      <c r="G883">
        <v>1.10399432244963</v>
      </c>
      <c r="H883">
        <v>0.71045358006830694</v>
      </c>
      <c r="I883">
        <v>0.70370147832694696</v>
      </c>
      <c r="J883">
        <v>0.64760706356087705</v>
      </c>
      <c r="K883">
        <v>0.47269741488718298</v>
      </c>
      <c r="L883">
        <v>6542.7381971597697</v>
      </c>
      <c r="M883">
        <v>108.26350449783</v>
      </c>
      <c r="O883">
        <v>60.412847990598102</v>
      </c>
      <c r="P883">
        <v>-0.17598752660790001</v>
      </c>
      <c r="Q883">
        <v>0.60718407089189996</v>
      </c>
      <c r="R883">
        <v>0.82600736594539603</v>
      </c>
      <c r="S883" t="s">
        <v>6709</v>
      </c>
      <c r="T883" t="s">
        <v>11650</v>
      </c>
      <c r="U883" t="s">
        <v>11650</v>
      </c>
      <c r="V883" t="s">
        <v>11650</v>
      </c>
      <c r="W883" t="s">
        <v>12518</v>
      </c>
      <c r="X883">
        <v>2</v>
      </c>
      <c r="Y883" t="s">
        <v>18276</v>
      </c>
      <c r="Z883" t="s">
        <v>23945</v>
      </c>
      <c r="AA883">
        <v>0.87495939128008293</v>
      </c>
      <c r="AB883" t="str">
        <f>HYPERLINK("Melting_Curves/meltCurve_H3BQA0_SNAPC5.pdf", "Melting_Curves/meltCurve_H3BQA0_SNAPC5.pdf")</f>
        <v>Melting_Curves/meltCurve_H3BQA0_SNAPC5.pdf</v>
      </c>
    </row>
    <row r="884" spans="1:28" x14ac:dyDescent="0.25">
      <c r="A884" t="s">
        <v>888</v>
      </c>
      <c r="B884">
        <v>0.99996721820229495</v>
      </c>
      <c r="C884">
        <v>0.94221987904531901</v>
      </c>
      <c r="D884">
        <v>0.77356288088393199</v>
      </c>
      <c r="E884">
        <v>0.33073827584451798</v>
      </c>
      <c r="F884">
        <v>0.226760081000281</v>
      </c>
      <c r="G884">
        <v>0.15855676657932</v>
      </c>
      <c r="H884">
        <v>0.11238080673791</v>
      </c>
      <c r="I884">
        <v>8.1592270098474806E-2</v>
      </c>
      <c r="J884">
        <v>0.115322033487206</v>
      </c>
      <c r="K884">
        <v>3.1892976501181801E-2</v>
      </c>
      <c r="L884">
        <v>1060.96741284671</v>
      </c>
      <c r="M884">
        <v>22.056269797537499</v>
      </c>
      <c r="N884">
        <v>48.551821111931197</v>
      </c>
      <c r="O884">
        <v>47.712576042299503</v>
      </c>
      <c r="P884">
        <v>-0.104907305160724</v>
      </c>
      <c r="Q884">
        <v>9.2269497314897794E-2</v>
      </c>
      <c r="R884">
        <v>0.99332898558319704</v>
      </c>
      <c r="S884" t="s">
        <v>6710</v>
      </c>
      <c r="T884" t="s">
        <v>11650</v>
      </c>
      <c r="U884" t="s">
        <v>11650</v>
      </c>
      <c r="V884" t="s">
        <v>11650</v>
      </c>
      <c r="W884" t="s">
        <v>12455</v>
      </c>
      <c r="X884">
        <v>1</v>
      </c>
      <c r="Z884" t="s">
        <v>23946</v>
      </c>
      <c r="AA884">
        <v>0.34790353013232228</v>
      </c>
      <c r="AB884" t="str">
        <f>HYPERLINK("Melting_Curves/meltCurve_H3BQF6_.pdf", "Melting_Curves/meltCurve_H3BQF6_.pdf")</f>
        <v>Melting_Curves/meltCurve_H3BQF6_.pdf</v>
      </c>
    </row>
    <row r="885" spans="1:28" x14ac:dyDescent="0.25">
      <c r="A885" t="s">
        <v>889</v>
      </c>
      <c r="B885">
        <v>0.99996721820229495</v>
      </c>
      <c r="C885">
        <v>0.93233554033180299</v>
      </c>
      <c r="D885">
        <v>0.82245056421289697</v>
      </c>
      <c r="E885">
        <v>0.97116445901995296</v>
      </c>
      <c r="F885">
        <v>1.4679095926530099</v>
      </c>
      <c r="G885">
        <v>1.56265130786073</v>
      </c>
      <c r="H885">
        <v>1.1886871018762399</v>
      </c>
      <c r="I885">
        <v>1.6626027337655001</v>
      </c>
      <c r="J885">
        <v>1.50107651536955</v>
      </c>
      <c r="K885">
        <v>1.1771482513665601</v>
      </c>
      <c r="L885">
        <v>12856.6010296599</v>
      </c>
      <c r="M885">
        <v>250</v>
      </c>
      <c r="O885">
        <v>51.423113804715697</v>
      </c>
      <c r="P885">
        <v>0.51863049446166298</v>
      </c>
      <c r="Q885">
        <v>1.42671351326166</v>
      </c>
      <c r="R885">
        <v>0.70598465157766799</v>
      </c>
      <c r="S885" t="s">
        <v>6711</v>
      </c>
      <c r="T885" t="s">
        <v>11650</v>
      </c>
      <c r="U885" t="s">
        <v>11650</v>
      </c>
      <c r="V885" t="s">
        <v>11650</v>
      </c>
      <c r="W885" t="s">
        <v>11718</v>
      </c>
      <c r="X885">
        <v>7</v>
      </c>
      <c r="Y885" t="s">
        <v>18277</v>
      </c>
      <c r="Z885" t="s">
        <v>23947</v>
      </c>
      <c r="AA885">
        <v>1.264148299769984</v>
      </c>
      <c r="AB885" t="str">
        <f>HYPERLINK("Melting_Curves/meltCurve_H3BQX6_MT3.pdf", "Melting_Curves/meltCurve_H3BQX6_MT3.pdf")</f>
        <v>Melting_Curves/meltCurve_H3BQX6_MT3.pdf</v>
      </c>
    </row>
    <row r="886" spans="1:28" x14ac:dyDescent="0.25">
      <c r="A886" t="s">
        <v>890</v>
      </c>
      <c r="B886">
        <v>0.99996721820229495</v>
      </c>
      <c r="C886">
        <v>0.93284191592993604</v>
      </c>
      <c r="D886">
        <v>1.08713912903673</v>
      </c>
      <c r="E886">
        <v>1.10655622911084</v>
      </c>
      <c r="F886">
        <v>0.91093754048575004</v>
      </c>
      <c r="G886">
        <v>0.93728398835773596</v>
      </c>
      <c r="H886">
        <v>0.73508216623580402</v>
      </c>
      <c r="I886">
        <v>0.584344632188732</v>
      </c>
      <c r="J886">
        <v>0.30753346780662699</v>
      </c>
      <c r="K886">
        <v>0.214236313063218</v>
      </c>
      <c r="L886">
        <v>1226.42098771835</v>
      </c>
      <c r="M886">
        <v>19.012889835252999</v>
      </c>
      <c r="N886">
        <v>64.646470917628207</v>
      </c>
      <c r="O886">
        <v>63.803841461433798</v>
      </c>
      <c r="P886">
        <v>-7.2979299116563201E-2</v>
      </c>
      <c r="Q886">
        <v>2.0417357847615301E-2</v>
      </c>
      <c r="R886">
        <v>0.96305692270146304</v>
      </c>
      <c r="S886" t="s">
        <v>6712</v>
      </c>
      <c r="T886" t="s">
        <v>11650</v>
      </c>
      <c r="U886" t="s">
        <v>11650</v>
      </c>
      <c r="V886" t="s">
        <v>11650</v>
      </c>
      <c r="W886" t="s">
        <v>12519</v>
      </c>
      <c r="X886">
        <v>3</v>
      </c>
      <c r="Y886" t="s">
        <v>18278</v>
      </c>
      <c r="Z886" t="s">
        <v>23948</v>
      </c>
      <c r="AA886">
        <v>0.81016575198829233</v>
      </c>
      <c r="AB886" t="str">
        <f>HYPERLINK("Melting_Curves/meltCurve_H3BQZ7_hCG_2044799.pdf", "Melting_Curves/meltCurve_H3BQZ7_hCG_2044799.pdf")</f>
        <v>Melting_Curves/meltCurve_H3BQZ7_hCG_2044799.pdf</v>
      </c>
    </row>
    <row r="887" spans="1:28" x14ac:dyDescent="0.25">
      <c r="A887" t="s">
        <v>891</v>
      </c>
      <c r="B887">
        <v>0.99996721820229495</v>
      </c>
      <c r="C887">
        <v>0.875462026805223</v>
      </c>
      <c r="D887">
        <v>0.83850826706280701</v>
      </c>
      <c r="E887">
        <v>1.1110590838759</v>
      </c>
      <c r="F887">
        <v>1.3705652907527901</v>
      </c>
      <c r="G887">
        <v>1.30106074750863</v>
      </c>
      <c r="H887">
        <v>1.10612111784708</v>
      </c>
      <c r="I887">
        <v>1.1212388317714801</v>
      </c>
      <c r="J887">
        <v>0.22500337959952599</v>
      </c>
      <c r="K887">
        <v>0.111880645344793</v>
      </c>
      <c r="L887">
        <v>15000</v>
      </c>
      <c r="M887">
        <v>225.80143910457201</v>
      </c>
      <c r="N887">
        <v>66.504522528001701</v>
      </c>
      <c r="O887">
        <v>66.424841667360397</v>
      </c>
      <c r="P887">
        <v>-0.75489835991826604</v>
      </c>
      <c r="Q887">
        <v>0.111715156338539</v>
      </c>
      <c r="R887">
        <v>0.80865296631586703</v>
      </c>
      <c r="S887" t="s">
        <v>6713</v>
      </c>
      <c r="T887" t="s">
        <v>11650</v>
      </c>
      <c r="U887" t="s">
        <v>11650</v>
      </c>
      <c r="V887" t="s">
        <v>11650</v>
      </c>
      <c r="W887" t="s">
        <v>12520</v>
      </c>
      <c r="X887">
        <v>5</v>
      </c>
      <c r="Y887" t="s">
        <v>18279</v>
      </c>
      <c r="Z887" t="s">
        <v>23949</v>
      </c>
      <c r="AA887">
        <v>0.89442232169326408</v>
      </c>
      <c r="AB887" t="str">
        <f>HYPERLINK("Melting_Curves/meltCurve_H3BR94_DCTN5.pdf", "Melting_Curves/meltCurve_H3BR94_DCTN5.pdf")</f>
        <v>Melting_Curves/meltCurve_H3BR94_DCTN5.pdf</v>
      </c>
    </row>
    <row r="888" spans="1:28" x14ac:dyDescent="0.25">
      <c r="A888" t="s">
        <v>892</v>
      </c>
      <c r="B888">
        <v>0.99996721820229495</v>
      </c>
      <c r="C888">
        <v>0.85684244970651902</v>
      </c>
      <c r="D888">
        <v>0.86835371168023801</v>
      </c>
      <c r="E888">
        <v>0.80958202734003304</v>
      </c>
      <c r="F888">
        <v>0.56184616364305495</v>
      </c>
      <c r="G888">
        <v>0.36708656264744199</v>
      </c>
      <c r="H888">
        <v>0.19564485779489299</v>
      </c>
      <c r="I888">
        <v>0.16851464696881399</v>
      </c>
      <c r="J888">
        <v>0.122220268325523</v>
      </c>
      <c r="K888">
        <v>7.5189175128835203E-2</v>
      </c>
      <c r="L888">
        <v>617.6287816578</v>
      </c>
      <c r="M888">
        <v>11.3402871549344</v>
      </c>
      <c r="N888">
        <v>54.464737229521297</v>
      </c>
      <c r="O888">
        <v>52.8521170567371</v>
      </c>
      <c r="P888">
        <v>-5.3649321551621498E-2</v>
      </c>
      <c r="Q888">
        <v>1.5584897555689399E-4</v>
      </c>
      <c r="R888">
        <v>0.98444099321056799</v>
      </c>
      <c r="S888" t="s">
        <v>6714</v>
      </c>
      <c r="T888" t="s">
        <v>11650</v>
      </c>
      <c r="U888" t="s">
        <v>11650</v>
      </c>
      <c r="V888" t="s">
        <v>11650</v>
      </c>
      <c r="W888" t="s">
        <v>12512</v>
      </c>
      <c r="X888">
        <v>2</v>
      </c>
      <c r="Y888" t="s">
        <v>18270</v>
      </c>
      <c r="Z888" t="s">
        <v>23950</v>
      </c>
      <c r="AA888">
        <v>0.50823365525139719</v>
      </c>
      <c r="AB888" t="str">
        <f>HYPERLINK("Melting_Curves/meltCurve_H3BRD1_UBE2I.pdf", "Melting_Curves/meltCurve_H3BRD1_UBE2I.pdf")</f>
        <v>Melting_Curves/meltCurve_H3BRD1_UBE2I.pdf</v>
      </c>
    </row>
    <row r="889" spans="1:28" x14ac:dyDescent="0.25">
      <c r="A889" t="s">
        <v>893</v>
      </c>
      <c r="B889">
        <v>0.99996721820229495</v>
      </c>
      <c r="C889">
        <v>0.86352847706784697</v>
      </c>
      <c r="D889">
        <v>0.76457966449033299</v>
      </c>
      <c r="E889">
        <v>0.80853208198196302</v>
      </c>
      <c r="F889">
        <v>0.96687208525109802</v>
      </c>
      <c r="G889">
        <v>0.76675501329472895</v>
      </c>
      <c r="H889">
        <v>0.57131755995201705</v>
      </c>
      <c r="I889">
        <v>0.40711315176456497</v>
      </c>
      <c r="J889">
        <v>0.34821518178271899</v>
      </c>
      <c r="K889">
        <v>0.240078855463906</v>
      </c>
      <c r="L889">
        <v>573.11377116437802</v>
      </c>
      <c r="M889">
        <v>9.1707044488268306</v>
      </c>
      <c r="N889">
        <v>62.493962099363898</v>
      </c>
      <c r="O889">
        <v>59.737676267733697</v>
      </c>
      <c r="P889">
        <v>-3.8405020235630603E-2</v>
      </c>
      <c r="Q889">
        <v>0</v>
      </c>
      <c r="R889">
        <v>0.86316597527202299</v>
      </c>
      <c r="S889" t="s">
        <v>6715</v>
      </c>
      <c r="T889" t="s">
        <v>11650</v>
      </c>
      <c r="U889" t="s">
        <v>11650</v>
      </c>
      <c r="V889" t="s">
        <v>11650</v>
      </c>
      <c r="W889" t="s">
        <v>12521</v>
      </c>
      <c r="X889">
        <v>10</v>
      </c>
      <c r="Y889" t="s">
        <v>18280</v>
      </c>
      <c r="Z889" t="s">
        <v>23951</v>
      </c>
      <c r="AA889">
        <v>0.71777150871639761</v>
      </c>
      <c r="AB889" t="str">
        <f>HYPERLINK("Melting_Curves/meltCurve_H3BRF9_ZFYVE19.pdf", "Melting_Curves/meltCurve_H3BRF9_ZFYVE19.pdf")</f>
        <v>Melting_Curves/meltCurve_H3BRF9_ZFYVE19.pdf</v>
      </c>
    </row>
    <row r="890" spans="1:28" x14ac:dyDescent="0.25">
      <c r="A890" t="s">
        <v>894</v>
      </c>
      <c r="B890">
        <v>0.99996721820229495</v>
      </c>
      <c r="C890">
        <v>0.86941712699279505</v>
      </c>
      <c r="D890">
        <v>0.93559504392344595</v>
      </c>
      <c r="E890">
        <v>1.53189850080431</v>
      </c>
      <c r="F890">
        <v>2.2899489917954798</v>
      </c>
      <c r="G890">
        <v>2.42669772871468</v>
      </c>
      <c r="H890">
        <v>1.2009464290029399</v>
      </c>
      <c r="I890">
        <v>0.251529739742542</v>
      </c>
      <c r="J890">
        <v>0.16491825007518299</v>
      </c>
      <c r="K890">
        <v>0.14505124055435301</v>
      </c>
      <c r="L890">
        <v>15000</v>
      </c>
      <c r="M890">
        <v>236.42062105239799</v>
      </c>
      <c r="N890">
        <v>63.545921080002401</v>
      </c>
      <c r="O890">
        <v>63.441697610902303</v>
      </c>
      <c r="P890">
        <v>-0.78731117600415002</v>
      </c>
      <c r="Q890">
        <v>0.15492377919021999</v>
      </c>
      <c r="R890">
        <v>0.32211683273868202</v>
      </c>
      <c r="S890" t="s">
        <v>6716</v>
      </c>
      <c r="T890" t="s">
        <v>11650</v>
      </c>
      <c r="U890" t="s">
        <v>11650</v>
      </c>
      <c r="V890" t="s">
        <v>11650</v>
      </c>
      <c r="W890" t="s">
        <v>12522</v>
      </c>
      <c r="X890">
        <v>11</v>
      </c>
      <c r="Y890" t="s">
        <v>18281</v>
      </c>
      <c r="Z890" t="s">
        <v>23952</v>
      </c>
      <c r="AA890">
        <v>0.81549105877897032</v>
      </c>
      <c r="AB890" t="str">
        <f>HYPERLINK("Melting_Curves/meltCurve_H3BRG4_UQCRC2.pdf", "Melting_Curves/meltCurve_H3BRG4_UQCRC2.pdf")</f>
        <v>Melting_Curves/meltCurve_H3BRG4_UQCRC2.pdf</v>
      </c>
    </row>
    <row r="891" spans="1:28" x14ac:dyDescent="0.25">
      <c r="A891" t="s">
        <v>895</v>
      </c>
      <c r="B891">
        <v>0.99996721820229495</v>
      </c>
      <c r="C891">
        <v>1.0054891520392399</v>
      </c>
      <c r="D891">
        <v>0.93939458730527703</v>
      </c>
      <c r="E891">
        <v>0.97103547937018697</v>
      </c>
      <c r="F891">
        <v>0.55998864318831398</v>
      </c>
      <c r="G891">
        <v>0.34078050131264198</v>
      </c>
      <c r="H891">
        <v>0.19695483313703099</v>
      </c>
      <c r="I891">
        <v>0.12089649175112099</v>
      </c>
      <c r="J891">
        <v>9.3340580635564899E-2</v>
      </c>
      <c r="K891">
        <v>8.5347404996233098E-2</v>
      </c>
      <c r="L891">
        <v>1215.14596597286</v>
      </c>
      <c r="M891">
        <v>22.518600832677201</v>
      </c>
      <c r="N891">
        <v>54.497677298263902</v>
      </c>
      <c r="O891">
        <v>53.541726606468501</v>
      </c>
      <c r="P891">
        <v>-9.4706149021385494E-2</v>
      </c>
      <c r="Q891">
        <v>9.9299690793164794E-2</v>
      </c>
      <c r="R891">
        <v>0.98580276191693195</v>
      </c>
      <c r="S891" t="s">
        <v>6717</v>
      </c>
      <c r="T891" t="s">
        <v>11650</v>
      </c>
      <c r="U891" t="s">
        <v>11650</v>
      </c>
      <c r="V891" t="s">
        <v>11650</v>
      </c>
      <c r="W891" t="s">
        <v>12523</v>
      </c>
      <c r="X891">
        <v>17</v>
      </c>
      <c r="Y891" t="s">
        <v>18282</v>
      </c>
      <c r="Z891" t="s">
        <v>23953</v>
      </c>
      <c r="AA891">
        <v>0.52852157875143735</v>
      </c>
      <c r="AB891" t="str">
        <f>HYPERLINK("Melting_Curves/meltCurve_H3BRL3_UBFD1.pdf", "Melting_Curves/meltCurve_H3BRL3_UBFD1.pdf")</f>
        <v>Melting_Curves/meltCurve_H3BRL3_UBFD1.pdf</v>
      </c>
    </row>
    <row r="892" spans="1:28" x14ac:dyDescent="0.25">
      <c r="A892" t="s">
        <v>896</v>
      </c>
      <c r="B892">
        <v>0.99996721820229495</v>
      </c>
      <c r="C892">
        <v>0.87901658354819201</v>
      </c>
      <c r="D892">
        <v>0.88629284717947998</v>
      </c>
      <c r="E892">
        <v>1.1791325157431201</v>
      </c>
      <c r="F892">
        <v>1.6309053382352701</v>
      </c>
      <c r="G892">
        <v>1.41317781137087</v>
      </c>
      <c r="H892">
        <v>0.93508754447919795</v>
      </c>
      <c r="I892">
        <v>0.37913556127203102</v>
      </c>
      <c r="J892">
        <v>0.198174039446191</v>
      </c>
      <c r="K892">
        <v>0.167563029465017</v>
      </c>
      <c r="L892">
        <v>4743.5215778298298</v>
      </c>
      <c r="M892">
        <v>75.242940486546701</v>
      </c>
      <c r="N892">
        <v>63.412878255312201</v>
      </c>
      <c r="O892">
        <v>62.998257030725597</v>
      </c>
      <c r="P892">
        <v>-0.245526167685754</v>
      </c>
      <c r="Q892">
        <v>0.17771857827271201</v>
      </c>
      <c r="R892">
        <v>0.71107675288315597</v>
      </c>
      <c r="S892" t="s">
        <v>6718</v>
      </c>
      <c r="T892" t="s">
        <v>11650</v>
      </c>
      <c r="U892" t="s">
        <v>11650</v>
      </c>
      <c r="V892" t="s">
        <v>11650</v>
      </c>
      <c r="W892" t="s">
        <v>12524</v>
      </c>
      <c r="X892">
        <v>11</v>
      </c>
      <c r="Y892" t="s">
        <v>18283</v>
      </c>
      <c r="Z892" t="s">
        <v>23954</v>
      </c>
      <c r="AA892">
        <v>0.81029605537624794</v>
      </c>
      <c r="AB892" t="str">
        <f>HYPERLINK("Melting_Curves/meltCurve_H3BRN4_ABAT.pdf", "Melting_Curves/meltCurve_H3BRN4_ABAT.pdf")</f>
        <v>Melting_Curves/meltCurve_H3BRN4_ABAT.pdf</v>
      </c>
    </row>
    <row r="893" spans="1:28" x14ac:dyDescent="0.25">
      <c r="A893" t="s">
        <v>897</v>
      </c>
      <c r="B893">
        <v>0.99996721820229495</v>
      </c>
      <c r="C893">
        <v>1.01112103910727</v>
      </c>
      <c r="D893">
        <v>1.1440310225466599</v>
      </c>
      <c r="E893">
        <v>1.1945980615562499</v>
      </c>
      <c r="F893">
        <v>1.5951981504364701</v>
      </c>
      <c r="G893">
        <v>2.05088055933123</v>
      </c>
      <c r="H893">
        <v>1.6753985320560201</v>
      </c>
      <c r="I893">
        <v>1.1072147724849</v>
      </c>
      <c r="J893">
        <v>1.0552288527879901</v>
      </c>
      <c r="K893">
        <v>0.83791633404934296</v>
      </c>
      <c r="L893">
        <v>1579.68709981456</v>
      </c>
      <c r="M893">
        <v>33.504293290202398</v>
      </c>
      <c r="O893">
        <v>46.981779440347402</v>
      </c>
      <c r="P893">
        <v>6.6038346095614694E-2</v>
      </c>
      <c r="Q893">
        <v>1.37041055758478</v>
      </c>
      <c r="R893">
        <v>0.16816859675156101</v>
      </c>
      <c r="S893" t="s">
        <v>6719</v>
      </c>
      <c r="T893" t="s">
        <v>11650</v>
      </c>
      <c r="U893" t="s">
        <v>11650</v>
      </c>
      <c r="V893" t="s">
        <v>11650</v>
      </c>
      <c r="W893" t="s">
        <v>12525</v>
      </c>
      <c r="X893">
        <v>3</v>
      </c>
      <c r="Y893" t="s">
        <v>18284</v>
      </c>
      <c r="Z893" t="s">
        <v>23955</v>
      </c>
      <c r="AA893">
        <v>1.280387388986594</v>
      </c>
      <c r="AB893" t="str">
        <f>HYPERLINK("Melting_Curves/meltCurve_H3BRU1_FAM219B.pdf", "Melting_Curves/meltCurve_H3BRU1_FAM219B.pdf")</f>
        <v>Melting_Curves/meltCurve_H3BRU1_FAM219B.pdf</v>
      </c>
    </row>
    <row r="894" spans="1:28" x14ac:dyDescent="0.25">
      <c r="A894" t="s">
        <v>898</v>
      </c>
      <c r="B894">
        <v>0.99996721820229495</v>
      </c>
      <c r="C894">
        <v>1.0327841880191699</v>
      </c>
      <c r="D894">
        <v>1.12155962259305</v>
      </c>
      <c r="E894">
        <v>0.98019357580504496</v>
      </c>
      <c r="F894">
        <v>0.96103041461445904</v>
      </c>
      <c r="G894">
        <v>0.95753725189365502</v>
      </c>
      <c r="H894">
        <v>0.496661838817613</v>
      </c>
      <c r="I894">
        <v>0.40901708753288202</v>
      </c>
      <c r="J894">
        <v>0.29610115723485297</v>
      </c>
      <c r="K894">
        <v>0.215600117393901</v>
      </c>
      <c r="L894">
        <v>2174.0748998639501</v>
      </c>
      <c r="M894">
        <v>36.135286090454201</v>
      </c>
      <c r="N894">
        <v>61.440663122726399</v>
      </c>
      <c r="O894">
        <v>59.981504935810101</v>
      </c>
      <c r="P894">
        <v>-0.11086511730375199</v>
      </c>
      <c r="Q894">
        <v>0.26389561454388399</v>
      </c>
      <c r="R894">
        <v>0.973210493354978</v>
      </c>
      <c r="S894" t="s">
        <v>6720</v>
      </c>
      <c r="T894" t="s">
        <v>11650</v>
      </c>
      <c r="U894" t="s">
        <v>11650</v>
      </c>
      <c r="V894" t="s">
        <v>11650</v>
      </c>
      <c r="W894" t="s">
        <v>12526</v>
      </c>
      <c r="X894">
        <v>10</v>
      </c>
      <c r="Y894" t="s">
        <v>18285</v>
      </c>
      <c r="Z894" t="s">
        <v>23956</v>
      </c>
      <c r="AA894">
        <v>0.76206854077880826</v>
      </c>
      <c r="AB894" t="str">
        <f>HYPERLINK("Melting_Curves/meltCurve_H3BRV0_EIF3C.pdf", "Melting_Curves/meltCurve_H3BRV0_EIF3C.pdf")</f>
        <v>Melting_Curves/meltCurve_H3BRV0_EIF3C.pdf</v>
      </c>
    </row>
    <row r="895" spans="1:28" x14ac:dyDescent="0.25">
      <c r="A895" t="s">
        <v>899</v>
      </c>
      <c r="B895">
        <v>0.99996721820229495</v>
      </c>
      <c r="C895">
        <v>0.93378713026498406</v>
      </c>
      <c r="D895">
        <v>0.96161975012593104</v>
      </c>
      <c r="E895">
        <v>1.0310799608375101</v>
      </c>
      <c r="F895">
        <v>0.82661123016020199</v>
      </c>
      <c r="G895">
        <v>0.52085417739003104</v>
      </c>
      <c r="H895">
        <v>0.30846273762464699</v>
      </c>
      <c r="I895">
        <v>0.29301286545256</v>
      </c>
      <c r="J895">
        <v>0.16637984738155001</v>
      </c>
      <c r="K895">
        <v>0.11742082010831401</v>
      </c>
      <c r="L895">
        <v>1170.37336067143</v>
      </c>
      <c r="M895">
        <v>20.6367136268432</v>
      </c>
      <c r="N895">
        <v>57.668026910121199</v>
      </c>
      <c r="O895">
        <v>56.188695957180499</v>
      </c>
      <c r="P895">
        <v>-7.8533064282501994E-2</v>
      </c>
      <c r="Q895">
        <v>0.14471993959617599</v>
      </c>
      <c r="R895">
        <v>0.98360650590057697</v>
      </c>
      <c r="S895" t="s">
        <v>6721</v>
      </c>
      <c r="T895" t="s">
        <v>11650</v>
      </c>
      <c r="U895" t="s">
        <v>11650</v>
      </c>
      <c r="V895" t="s">
        <v>11650</v>
      </c>
      <c r="W895" t="s">
        <v>12527</v>
      </c>
      <c r="X895">
        <v>1</v>
      </c>
      <c r="Y895" t="s">
        <v>18286</v>
      </c>
      <c r="Z895" t="s">
        <v>23957</v>
      </c>
      <c r="AA895">
        <v>0.63143444694552264</v>
      </c>
      <c r="AB895" t="str">
        <f>HYPERLINK("Melting_Curves/meltCurve_H3BRY6_VWA9.pdf", "Melting_Curves/meltCurve_H3BRY6_VWA9.pdf")</f>
        <v>Melting_Curves/meltCurve_H3BRY6_VWA9.pdf</v>
      </c>
    </row>
    <row r="896" spans="1:28" x14ac:dyDescent="0.25">
      <c r="A896" t="s">
        <v>900</v>
      </c>
      <c r="B896">
        <v>0.99996721820229495</v>
      </c>
      <c r="C896">
        <v>0.88343563231365096</v>
      </c>
      <c r="D896">
        <v>1.0066626861272301</v>
      </c>
      <c r="E896">
        <v>1.0137845756566199</v>
      </c>
      <c r="F896">
        <v>1.0506748578068299</v>
      </c>
      <c r="G896">
        <v>0.65438944205917104</v>
      </c>
      <c r="H896">
        <v>0.32239645996722499</v>
      </c>
      <c r="I896">
        <v>0.20951529802965599</v>
      </c>
      <c r="J896">
        <v>0.162409263805741</v>
      </c>
      <c r="K896">
        <v>0.13999330478754299</v>
      </c>
      <c r="L896">
        <v>1916.33137621232</v>
      </c>
      <c r="M896">
        <v>33.086785544279103</v>
      </c>
      <c r="N896">
        <v>58.6020785451853</v>
      </c>
      <c r="O896">
        <v>57.707988250426098</v>
      </c>
      <c r="P896">
        <v>-0.120384871764982</v>
      </c>
      <c r="Q896">
        <v>0.160131437889488</v>
      </c>
      <c r="R896">
        <v>0.98239649503933402</v>
      </c>
      <c r="S896" t="s">
        <v>6722</v>
      </c>
      <c r="T896" t="s">
        <v>11650</v>
      </c>
      <c r="U896" t="s">
        <v>11650</v>
      </c>
      <c r="V896" t="s">
        <v>11650</v>
      </c>
      <c r="W896" t="s">
        <v>12528</v>
      </c>
      <c r="X896">
        <v>9</v>
      </c>
      <c r="Y896" t="s">
        <v>18287</v>
      </c>
      <c r="Z896" t="s">
        <v>23958</v>
      </c>
      <c r="AA896">
        <v>0.66644617880902712</v>
      </c>
      <c r="AB896" t="str">
        <f>HYPERLINK("Melting_Curves/meltCurve_H3BSM7_C16orf58.pdf", "Melting_Curves/meltCurve_H3BSM7_C16orf58.pdf")</f>
        <v>Melting_Curves/meltCurve_H3BSM7_C16orf58.pdf</v>
      </c>
    </row>
    <row r="897" spans="1:28" x14ac:dyDescent="0.25">
      <c r="A897" t="s">
        <v>901</v>
      </c>
      <c r="B897">
        <v>0.99996721820229495</v>
      </c>
      <c r="C897">
        <v>0.95456302530759296</v>
      </c>
      <c r="D897">
        <v>1.00993620664579</v>
      </c>
      <c r="E897">
        <v>1.1310110197336301</v>
      </c>
      <c r="F897">
        <v>1.13667840263925</v>
      </c>
      <c r="G897">
        <v>1.4920930652925499</v>
      </c>
      <c r="H897">
        <v>1.27217668838674</v>
      </c>
      <c r="I897">
        <v>0.639635622996508</v>
      </c>
      <c r="J897">
        <v>0.281254955709757</v>
      </c>
      <c r="K897">
        <v>0.27040504729709303</v>
      </c>
      <c r="L897">
        <v>15000</v>
      </c>
      <c r="M897">
        <v>234.36540178672601</v>
      </c>
      <c r="N897">
        <v>64.222446359475001</v>
      </c>
      <c r="O897">
        <v>63.997960723968298</v>
      </c>
      <c r="P897">
        <v>-0.66300209403599097</v>
      </c>
      <c r="Q897">
        <v>0.27581833206777301</v>
      </c>
      <c r="R897">
        <v>0.75848730246110196</v>
      </c>
      <c r="S897" t="s">
        <v>6723</v>
      </c>
      <c r="T897" t="s">
        <v>11650</v>
      </c>
      <c r="U897" t="s">
        <v>11650</v>
      </c>
      <c r="V897" t="s">
        <v>11650</v>
      </c>
      <c r="W897" t="s">
        <v>12529</v>
      </c>
      <c r="X897">
        <v>3</v>
      </c>
      <c r="Y897" t="s">
        <v>18288</v>
      </c>
      <c r="Z897" t="s">
        <v>23959</v>
      </c>
      <c r="AA897">
        <v>0.85531949748655944</v>
      </c>
      <c r="AB897" t="str">
        <f>HYPERLINK("Melting_Curves/meltCurve_H3BSS5_KCTD5.pdf", "Melting_Curves/meltCurve_H3BSS5_KCTD5.pdf")</f>
        <v>Melting_Curves/meltCurve_H3BSS5_KCTD5.pdf</v>
      </c>
    </row>
    <row r="898" spans="1:28" x14ac:dyDescent="0.25">
      <c r="A898" t="s">
        <v>902</v>
      </c>
      <c r="B898">
        <v>0.99996721820229495</v>
      </c>
      <c r="C898">
        <v>0.93577831722034299</v>
      </c>
      <c r="D898">
        <v>0.96115919676349104</v>
      </c>
      <c r="E898">
        <v>1.04709301081841</v>
      </c>
      <c r="F898">
        <v>1.0280703984581601</v>
      </c>
      <c r="G898">
        <v>0.74395854530709804</v>
      </c>
      <c r="H898">
        <v>0.311958879357918</v>
      </c>
      <c r="I898">
        <v>0.17630159424630401</v>
      </c>
      <c r="J898">
        <v>0.15400945452449</v>
      </c>
      <c r="K898">
        <v>0.12333543532944299</v>
      </c>
      <c r="L898">
        <v>2062.3311161871602</v>
      </c>
      <c r="M898">
        <v>35.235058081401299</v>
      </c>
      <c r="N898">
        <v>59.058569213971701</v>
      </c>
      <c r="O898">
        <v>58.343086984299703</v>
      </c>
      <c r="P898">
        <v>-0.13058637121121999</v>
      </c>
      <c r="Q898">
        <v>0.135090334170055</v>
      </c>
      <c r="R898">
        <v>0.99248241932040704</v>
      </c>
      <c r="S898" t="s">
        <v>6724</v>
      </c>
      <c r="T898" t="s">
        <v>11650</v>
      </c>
      <c r="U898" t="s">
        <v>11650</v>
      </c>
      <c r="V898" t="s">
        <v>11650</v>
      </c>
      <c r="W898" t="s">
        <v>12530</v>
      </c>
      <c r="X898">
        <v>2</v>
      </c>
      <c r="Y898" t="s">
        <v>18289</v>
      </c>
      <c r="Z898" t="s">
        <v>23960</v>
      </c>
      <c r="AA898">
        <v>0.67362896969847086</v>
      </c>
      <c r="AB898" t="str">
        <f>HYPERLINK("Melting_Curves/meltCurve_H3BSW6_CTU2.pdf", "Melting_Curves/meltCurve_H3BSW6_CTU2.pdf")</f>
        <v>Melting_Curves/meltCurve_H3BSW6_CTU2.pdf</v>
      </c>
    </row>
    <row r="899" spans="1:28" x14ac:dyDescent="0.25">
      <c r="A899" t="s">
        <v>903</v>
      </c>
      <c r="B899">
        <v>0.99996721820229495</v>
      </c>
      <c r="C899">
        <v>0.98969202314414095</v>
      </c>
      <c r="D899">
        <v>0.99859870810703899</v>
      </c>
      <c r="E899">
        <v>0.81846719518912603</v>
      </c>
      <c r="F899">
        <v>0.60369853641056803</v>
      </c>
      <c r="G899">
        <v>0.54848985470564005</v>
      </c>
      <c r="H899">
        <v>0.33584029808969701</v>
      </c>
      <c r="I899">
        <v>0.20771293414907399</v>
      </c>
      <c r="J899">
        <v>0.154063329622567</v>
      </c>
      <c r="K899">
        <v>9.2273299998370806E-2</v>
      </c>
      <c r="L899">
        <v>635.05045268255401</v>
      </c>
      <c r="M899">
        <v>11.1777240932722</v>
      </c>
      <c r="N899">
        <v>56.813931648220397</v>
      </c>
      <c r="O899">
        <v>55.086496743509102</v>
      </c>
      <c r="P899">
        <v>-5.0744154872108399E-2</v>
      </c>
      <c r="Q899">
        <v>0</v>
      </c>
      <c r="R899">
        <v>0.98625736173802203</v>
      </c>
      <c r="S899" t="s">
        <v>6725</v>
      </c>
      <c r="T899" t="s">
        <v>11650</v>
      </c>
      <c r="U899" t="s">
        <v>11650</v>
      </c>
      <c r="V899" t="s">
        <v>11650</v>
      </c>
      <c r="W899" t="s">
        <v>12531</v>
      </c>
      <c r="X899">
        <v>2</v>
      </c>
      <c r="Y899" t="s">
        <v>18290</v>
      </c>
      <c r="Z899" t="s">
        <v>23961</v>
      </c>
      <c r="AA899">
        <v>0.57793790103511811</v>
      </c>
      <c r="AB899" t="str">
        <f>HYPERLINK("Melting_Curves/meltCurve_H3BTF5_METTL22.pdf", "Melting_Curves/meltCurve_H3BTF5_METTL22.pdf")</f>
        <v>Melting_Curves/meltCurve_H3BTF5_METTL22.pdf</v>
      </c>
    </row>
    <row r="900" spans="1:28" x14ac:dyDescent="0.25">
      <c r="A900" t="s">
        <v>904</v>
      </c>
      <c r="B900">
        <v>0.99996721820229495</v>
      </c>
      <c r="C900">
        <v>1.2062023041639101</v>
      </c>
      <c r="D900">
        <v>1.11970630112436</v>
      </c>
      <c r="E900">
        <v>1.1891285214326901</v>
      </c>
      <c r="F900">
        <v>1.2422277141746101</v>
      </c>
      <c r="G900">
        <v>0.93202674141223796</v>
      </c>
      <c r="H900">
        <v>0.440755385041251</v>
      </c>
      <c r="I900">
        <v>0.308723503699872</v>
      </c>
      <c r="J900">
        <v>0.30946246572275199</v>
      </c>
      <c r="K900">
        <v>0.17647847710423201</v>
      </c>
      <c r="L900">
        <v>2928.9408424083999</v>
      </c>
      <c r="M900">
        <v>49.046520862953003</v>
      </c>
      <c r="N900">
        <v>60.5846852505668</v>
      </c>
      <c r="O900">
        <v>59.6185837054202</v>
      </c>
      <c r="P900">
        <v>-0.15380066158116801</v>
      </c>
      <c r="Q900">
        <v>0.252190064611575</v>
      </c>
      <c r="R900">
        <v>0.90324077906983902</v>
      </c>
      <c r="S900" t="s">
        <v>6726</v>
      </c>
      <c r="T900" t="s">
        <v>11650</v>
      </c>
      <c r="U900" t="s">
        <v>11650</v>
      </c>
      <c r="V900" t="s">
        <v>11650</v>
      </c>
      <c r="W900" t="s">
        <v>12532</v>
      </c>
      <c r="X900">
        <v>6</v>
      </c>
      <c r="Y900" t="s">
        <v>18291</v>
      </c>
      <c r="Z900" t="s">
        <v>23962</v>
      </c>
      <c r="AA900">
        <v>0.74570586858872734</v>
      </c>
      <c r="AB900" t="str">
        <f>HYPERLINK("Melting_Curves/meltCurve_H3BTL1_MAP1LC3B.pdf", "Melting_Curves/meltCurve_H3BTL1_MAP1LC3B.pdf")</f>
        <v>Melting_Curves/meltCurve_H3BTL1_MAP1LC3B.pdf</v>
      </c>
    </row>
    <row r="901" spans="1:28" x14ac:dyDescent="0.25">
      <c r="A901" t="s">
        <v>905</v>
      </c>
      <c r="B901">
        <v>0.99996721820229495</v>
      </c>
      <c r="C901">
        <v>1.09957404801141</v>
      </c>
      <c r="D901">
        <v>1.2652655346683599</v>
      </c>
      <c r="E901">
        <v>1.5497957902706301</v>
      </c>
      <c r="F901">
        <v>3.12173291258047</v>
      </c>
      <c r="G901">
        <v>6.39613256307236</v>
      </c>
      <c r="H901">
        <v>2.1592614620085602</v>
      </c>
      <c r="I901">
        <v>0.458904778992624</v>
      </c>
      <c r="J901">
        <v>0.35462879116053497</v>
      </c>
      <c r="K901">
        <v>0.17708498825166</v>
      </c>
      <c r="L901">
        <v>15000</v>
      </c>
      <c r="M901">
        <v>235.404203594623</v>
      </c>
      <c r="N901">
        <v>63.926154646136297</v>
      </c>
      <c r="O901">
        <v>63.715592123076497</v>
      </c>
      <c r="P901">
        <v>-0.67813979781929201</v>
      </c>
      <c r="Q901">
        <v>0.26580620658653797</v>
      </c>
      <c r="R901">
        <v>-0.14131712073055</v>
      </c>
      <c r="S901" t="s">
        <v>6727</v>
      </c>
      <c r="T901" t="s">
        <v>11650</v>
      </c>
      <c r="U901" t="s">
        <v>11650</v>
      </c>
      <c r="V901" t="s">
        <v>11650</v>
      </c>
      <c r="W901" t="s">
        <v>12533</v>
      </c>
      <c r="X901">
        <v>47</v>
      </c>
      <c r="Y901" t="s">
        <v>18292</v>
      </c>
      <c r="Z901" t="s">
        <v>23963</v>
      </c>
      <c r="AA901">
        <v>0.84640595848487854</v>
      </c>
      <c r="AB901" t="str">
        <f>HYPERLINK("Melting_Curves/meltCurve_H3BTN5_PKM.pdf", "Melting_Curves/meltCurve_H3BTN5_PKM.pdf")</f>
        <v>Melting_Curves/meltCurve_H3BTN5_PKM.pdf</v>
      </c>
    </row>
    <row r="902" spans="1:28" x14ac:dyDescent="0.25">
      <c r="A902" t="s">
        <v>906</v>
      </c>
      <c r="B902">
        <v>0.99996721820229495</v>
      </c>
      <c r="C902">
        <v>0.663823706301373</v>
      </c>
      <c r="D902">
        <v>0.79258291832123096</v>
      </c>
      <c r="E902">
        <v>0.91558266833346102</v>
      </c>
      <c r="F902">
        <v>1.0522837832533201</v>
      </c>
      <c r="G902">
        <v>1.0373404847929399</v>
      </c>
      <c r="H902">
        <v>0.97382508132846302</v>
      </c>
      <c r="I902">
        <v>0.65324957293743402</v>
      </c>
      <c r="J902">
        <v>0.42666281422933999</v>
      </c>
      <c r="K902">
        <v>0.44687593193700098</v>
      </c>
      <c r="L902">
        <v>5037.2562999198799</v>
      </c>
      <c r="M902">
        <v>79.172853454446795</v>
      </c>
      <c r="N902">
        <v>65.269246589697502</v>
      </c>
      <c r="O902">
        <v>63.582972108779401</v>
      </c>
      <c r="P902">
        <v>-0.176792416478599</v>
      </c>
      <c r="Q902">
        <v>0.43207878936163302</v>
      </c>
      <c r="R902">
        <v>0.669397353412998</v>
      </c>
      <c r="S902" t="s">
        <v>6728</v>
      </c>
      <c r="T902" t="s">
        <v>11650</v>
      </c>
      <c r="U902" t="s">
        <v>11650</v>
      </c>
      <c r="V902" t="s">
        <v>11650</v>
      </c>
      <c r="W902" t="s">
        <v>12534</v>
      </c>
      <c r="X902">
        <v>2</v>
      </c>
      <c r="Y902" t="s">
        <v>18293</v>
      </c>
      <c r="Z902" t="s">
        <v>23964</v>
      </c>
      <c r="AA902">
        <v>0.87990845023557085</v>
      </c>
      <c r="AB902" t="str">
        <f>HYPERLINK("Melting_Curves/meltCurve_H3BTQ3_SLC19A1.pdf", "Melting_Curves/meltCurve_H3BTQ3_SLC19A1.pdf")</f>
        <v>Melting_Curves/meltCurve_H3BTQ3_SLC19A1.pdf</v>
      </c>
    </row>
    <row r="903" spans="1:28" x14ac:dyDescent="0.25">
      <c r="A903" t="s">
        <v>907</v>
      </c>
      <c r="B903">
        <v>0.99996721820229495</v>
      </c>
      <c r="C903">
        <v>1.1245075331925101</v>
      </c>
      <c r="D903">
        <v>1.07049179017577</v>
      </c>
      <c r="E903">
        <v>1.0168616059025499</v>
      </c>
      <c r="F903">
        <v>1.30986756184443</v>
      </c>
      <c r="G903">
        <v>1.39052422636186</v>
      </c>
      <c r="H903">
        <v>0.85361895994271397</v>
      </c>
      <c r="I903">
        <v>0.64896024582659495</v>
      </c>
      <c r="J903">
        <v>0.58963299427674798</v>
      </c>
      <c r="K903">
        <v>0.32810719143270201</v>
      </c>
      <c r="L903">
        <v>2063.6681859160799</v>
      </c>
      <c r="M903">
        <v>32.019238702410199</v>
      </c>
      <c r="N903">
        <v>66.7776468195962</v>
      </c>
      <c r="O903">
        <v>64.201047352317104</v>
      </c>
      <c r="P903">
        <v>-8.2771286323156501E-2</v>
      </c>
      <c r="Q903">
        <v>0.336152050492313</v>
      </c>
      <c r="R903">
        <v>0.69959451622191304</v>
      </c>
      <c r="S903" t="s">
        <v>6729</v>
      </c>
      <c r="T903" t="s">
        <v>11650</v>
      </c>
      <c r="U903" t="s">
        <v>11650</v>
      </c>
      <c r="V903" t="s">
        <v>11650</v>
      </c>
      <c r="W903" t="s">
        <v>12455</v>
      </c>
      <c r="X903">
        <v>3</v>
      </c>
      <c r="Z903" t="s">
        <v>23965</v>
      </c>
      <c r="AA903">
        <v>0.87754335292974472</v>
      </c>
      <c r="AB903" t="str">
        <f>HYPERLINK("Melting_Curves/meltCurve_H3BTX0_.pdf", "Melting_Curves/meltCurve_H3BTX0_.pdf")</f>
        <v>Melting_Curves/meltCurve_H3BTX0_.pdf</v>
      </c>
    </row>
    <row r="904" spans="1:28" x14ac:dyDescent="0.25">
      <c r="A904" t="s">
        <v>908</v>
      </c>
      <c r="B904">
        <v>0.99996721820229495</v>
      </c>
      <c r="C904">
        <v>1.1607382798727801</v>
      </c>
      <c r="D904">
        <v>1.0816144257923299</v>
      </c>
      <c r="E904">
        <v>0.85008824067160105</v>
      </c>
      <c r="F904">
        <v>0.54142226078271405</v>
      </c>
      <c r="G904">
        <v>0.39371044500740299</v>
      </c>
      <c r="H904">
        <v>0.23706833138460601</v>
      </c>
      <c r="I904">
        <v>0.16773811618409201</v>
      </c>
      <c r="J904">
        <v>0.114450884020021</v>
      </c>
      <c r="K904">
        <v>7.9670986067835695E-2</v>
      </c>
      <c r="L904">
        <v>1028.61695386517</v>
      </c>
      <c r="M904">
        <v>19.0920027608427</v>
      </c>
      <c r="N904">
        <v>54.600055057515597</v>
      </c>
      <c r="O904">
        <v>53.296206209361401</v>
      </c>
      <c r="P904">
        <v>-7.9554025334751699E-2</v>
      </c>
      <c r="Q904">
        <v>0.111719819238429</v>
      </c>
      <c r="R904">
        <v>0.96627512635854096</v>
      </c>
      <c r="S904" t="s">
        <v>6730</v>
      </c>
      <c r="T904" t="s">
        <v>11650</v>
      </c>
      <c r="U904" t="s">
        <v>11650</v>
      </c>
      <c r="V904" t="s">
        <v>11650</v>
      </c>
      <c r="W904" t="s">
        <v>12535</v>
      </c>
      <c r="X904">
        <v>3</v>
      </c>
      <c r="Y904" t="s">
        <v>18294</v>
      </c>
      <c r="Z904" t="s">
        <v>23966</v>
      </c>
      <c r="AA904">
        <v>0.53563121399227565</v>
      </c>
      <c r="AB904" t="str">
        <f>HYPERLINK("Melting_Curves/meltCurve_H3BU49_ARL2BP.pdf", "Melting_Curves/meltCurve_H3BU49_ARL2BP.pdf")</f>
        <v>Melting_Curves/meltCurve_H3BU49_ARL2BP.pdf</v>
      </c>
    </row>
    <row r="905" spans="1:28" x14ac:dyDescent="0.25">
      <c r="A905" t="s">
        <v>909</v>
      </c>
      <c r="B905">
        <v>0.99996721820229495</v>
      </c>
      <c r="C905">
        <v>1.0291891593753899</v>
      </c>
      <c r="D905">
        <v>0.79463948749070901</v>
      </c>
      <c r="E905">
        <v>0.49540261201011798</v>
      </c>
      <c r="F905">
        <v>0.53240201640312002</v>
      </c>
      <c r="G905">
        <v>0.43678698097184998</v>
      </c>
      <c r="H905">
        <v>0.209489207486527</v>
      </c>
      <c r="I905">
        <v>9.5962639761944094E-2</v>
      </c>
      <c r="J905">
        <v>5.3740720161602501E-2</v>
      </c>
      <c r="K905">
        <v>4.0936477616493903E-2</v>
      </c>
      <c r="L905">
        <v>548.05492428686796</v>
      </c>
      <c r="M905">
        <v>10.3851863567621</v>
      </c>
      <c r="N905">
        <v>52.7727551038654</v>
      </c>
      <c r="O905">
        <v>50.928505825333403</v>
      </c>
      <c r="P905">
        <v>-5.1000695938186701E-2</v>
      </c>
      <c r="Q905">
        <v>0</v>
      </c>
      <c r="R905">
        <v>0.95499958460727297</v>
      </c>
      <c r="S905" t="s">
        <v>6731</v>
      </c>
      <c r="T905" t="s">
        <v>11650</v>
      </c>
      <c r="U905" t="s">
        <v>11650</v>
      </c>
      <c r="V905" t="s">
        <v>11650</v>
      </c>
      <c r="W905" t="s">
        <v>12536</v>
      </c>
      <c r="X905">
        <v>12</v>
      </c>
      <c r="Y905" t="s">
        <v>18295</v>
      </c>
      <c r="Z905" t="s">
        <v>23967</v>
      </c>
      <c r="AA905">
        <v>0.45958155615759683</v>
      </c>
      <c r="AB905" t="str">
        <f>HYPERLINK("Melting_Curves/meltCurve_H3BUQ2_OGFOD1.pdf", "Melting_Curves/meltCurve_H3BUQ2_OGFOD1.pdf")</f>
        <v>Melting_Curves/meltCurve_H3BUQ2_OGFOD1.pdf</v>
      </c>
    </row>
    <row r="906" spans="1:28" x14ac:dyDescent="0.25">
      <c r="A906" t="s">
        <v>910</v>
      </c>
      <c r="B906">
        <v>0.99996721820229495</v>
      </c>
      <c r="C906">
        <v>0.98291521455008302</v>
      </c>
      <c r="D906">
        <v>0.82956670940133403</v>
      </c>
      <c r="E906">
        <v>0.59183851745229399</v>
      </c>
      <c r="F906">
        <v>0.91938117981552203</v>
      </c>
      <c r="G906">
        <v>0.54365782017147601</v>
      </c>
      <c r="H906">
        <v>0.37636626223277903</v>
      </c>
      <c r="I906">
        <v>0.27302083394992799</v>
      </c>
      <c r="J906">
        <v>0.26380973807462299</v>
      </c>
      <c r="K906">
        <v>0.185584023831493</v>
      </c>
      <c r="L906">
        <v>475.92328927202999</v>
      </c>
      <c r="M906">
        <v>8.1997067085246105</v>
      </c>
      <c r="N906">
        <v>58.0415026686522</v>
      </c>
      <c r="O906">
        <v>54.895996634245698</v>
      </c>
      <c r="P906">
        <v>-3.7380534518820598E-2</v>
      </c>
      <c r="Q906">
        <v>0</v>
      </c>
      <c r="R906">
        <v>0.88669268435813697</v>
      </c>
      <c r="S906" t="s">
        <v>6732</v>
      </c>
      <c r="T906" t="s">
        <v>11650</v>
      </c>
      <c r="U906" t="s">
        <v>11650</v>
      </c>
      <c r="V906" t="s">
        <v>11650</v>
      </c>
      <c r="W906" t="s">
        <v>12537</v>
      </c>
      <c r="X906">
        <v>2</v>
      </c>
      <c r="Y906" t="s">
        <v>18296</v>
      </c>
      <c r="Z906" t="s">
        <v>23968</v>
      </c>
      <c r="AA906">
        <v>0.60547363955124112</v>
      </c>
      <c r="AB906" t="str">
        <f>HYPERLINK("Melting_Curves/meltCurve_H3BUR4_NOB1.pdf", "Melting_Curves/meltCurve_H3BUR4_NOB1.pdf")</f>
        <v>Melting_Curves/meltCurve_H3BUR4_NOB1.pdf</v>
      </c>
    </row>
    <row r="907" spans="1:28" x14ac:dyDescent="0.25">
      <c r="A907" t="s">
        <v>911</v>
      </c>
      <c r="B907">
        <v>0.99996721820229495</v>
      </c>
      <c r="C907">
        <v>1.01214918319334</v>
      </c>
      <c r="D907">
        <v>1.1337290682133001</v>
      </c>
      <c r="E907">
        <v>1.5457615625544701</v>
      </c>
      <c r="F907">
        <v>2.4059405671668399</v>
      </c>
      <c r="G907">
        <v>3.37488000659244</v>
      </c>
      <c r="H907">
        <v>2.5168805229126399</v>
      </c>
      <c r="I907">
        <v>1.7110004436678501</v>
      </c>
      <c r="J907">
        <v>1.1501552365866099</v>
      </c>
      <c r="K907">
        <v>0.92889532687380905</v>
      </c>
      <c r="L907">
        <v>11546.347641349599</v>
      </c>
      <c r="M907">
        <v>250</v>
      </c>
      <c r="O907">
        <v>46.182435018836799</v>
      </c>
      <c r="P907">
        <v>0.67666419131140298</v>
      </c>
      <c r="Q907">
        <v>1.5</v>
      </c>
      <c r="R907">
        <v>4.9496261719431098E-2</v>
      </c>
      <c r="S907" t="s">
        <v>6733</v>
      </c>
      <c r="T907" t="s">
        <v>11650</v>
      </c>
      <c r="U907" t="s">
        <v>11650</v>
      </c>
      <c r="V907" t="s">
        <v>11650</v>
      </c>
      <c r="W907" t="s">
        <v>12538</v>
      </c>
      <c r="X907">
        <v>9</v>
      </c>
      <c r="Y907" t="s">
        <v>18297</v>
      </c>
      <c r="Z907" t="s">
        <v>23969</v>
      </c>
      <c r="AA907">
        <v>1.3968696299225409</v>
      </c>
      <c r="AB907" t="str">
        <f>HYPERLINK("Melting_Curves/meltCurve_H3BUU9_CDH11.pdf", "Melting_Curves/meltCurve_H3BUU9_CDH11.pdf")</f>
        <v>Melting_Curves/meltCurve_H3BUU9_CDH11.pdf</v>
      </c>
    </row>
    <row r="908" spans="1:28" x14ac:dyDescent="0.25">
      <c r="A908" t="s">
        <v>912</v>
      </c>
      <c r="B908">
        <v>0.99996721820229495</v>
      </c>
      <c r="C908">
        <v>0.92237116572133304</v>
      </c>
      <c r="D908">
        <v>0.92706442090874497</v>
      </c>
      <c r="E908">
        <v>0.83481496168210001</v>
      </c>
      <c r="F908">
        <v>1.1135424257284601</v>
      </c>
      <c r="G908">
        <v>0.93628749134753597</v>
      </c>
      <c r="H908">
        <v>0.67596921083751604</v>
      </c>
      <c r="I908">
        <v>0.59981679916085096</v>
      </c>
      <c r="J908">
        <v>0.39211738529011297</v>
      </c>
      <c r="K908">
        <v>0.36075005174637997</v>
      </c>
      <c r="L908">
        <v>1435.54712312882</v>
      </c>
      <c r="M908">
        <v>23.110542375878602</v>
      </c>
      <c r="N908">
        <v>64.848751361129203</v>
      </c>
      <c r="O908">
        <v>61.657065434228102</v>
      </c>
      <c r="P908">
        <v>-6.4550048328165896E-2</v>
      </c>
      <c r="Q908">
        <v>0.31115533850560501</v>
      </c>
      <c r="R908">
        <v>0.898893539436323</v>
      </c>
      <c r="S908" t="s">
        <v>6734</v>
      </c>
      <c r="T908" t="s">
        <v>11650</v>
      </c>
      <c r="U908" t="s">
        <v>11650</v>
      </c>
      <c r="V908" t="s">
        <v>11650</v>
      </c>
      <c r="W908" t="s">
        <v>12539</v>
      </c>
      <c r="X908">
        <v>2</v>
      </c>
      <c r="Y908" t="s">
        <v>18298</v>
      </c>
      <c r="Z908" t="s">
        <v>23970</v>
      </c>
      <c r="AA908">
        <v>0.82175173183256367</v>
      </c>
      <c r="AB908" t="str">
        <f>HYPERLINK("Melting_Curves/meltCurve_H3BUY6_C16orf45.pdf", "Melting_Curves/meltCurve_H3BUY6_C16orf45.pdf")</f>
        <v>Melting_Curves/meltCurve_H3BUY6_C16orf45.pdf</v>
      </c>
    </row>
    <row r="909" spans="1:28" x14ac:dyDescent="0.25">
      <c r="A909" t="s">
        <v>913</v>
      </c>
      <c r="B909">
        <v>0.99996721820229495</v>
      </c>
      <c r="C909">
        <v>0.91217687081667098</v>
      </c>
      <c r="D909">
        <v>1.0299148325359599</v>
      </c>
      <c r="E909">
        <v>0.97818594637930201</v>
      </c>
      <c r="F909">
        <v>0.68196206949954796</v>
      </c>
      <c r="G909">
        <v>0.71233841874646198</v>
      </c>
      <c r="H909">
        <v>0.19237933349873099</v>
      </c>
      <c r="I909">
        <v>8.1700511372089293E-2</v>
      </c>
      <c r="J909">
        <v>5.5690070599165101E-2</v>
      </c>
      <c r="K909">
        <v>3.9755959821202697E-2</v>
      </c>
      <c r="L909">
        <v>1119.78614225668</v>
      </c>
      <c r="M909">
        <v>19.412217851089899</v>
      </c>
      <c r="N909">
        <v>57.684608326423302</v>
      </c>
      <c r="O909">
        <v>57.0829157102213</v>
      </c>
      <c r="P909">
        <v>-8.5020749045805005E-2</v>
      </c>
      <c r="Q909">
        <v>0</v>
      </c>
      <c r="R909">
        <v>0.95886449352449499</v>
      </c>
      <c r="S909" t="s">
        <v>6735</v>
      </c>
      <c r="T909" t="s">
        <v>11650</v>
      </c>
      <c r="U909" t="s">
        <v>11650</v>
      </c>
      <c r="V909" t="s">
        <v>11650</v>
      </c>
      <c r="W909" t="s">
        <v>12540</v>
      </c>
      <c r="X909">
        <v>4</v>
      </c>
      <c r="Y909" t="s">
        <v>18299</v>
      </c>
      <c r="Z909" t="s">
        <v>23971</v>
      </c>
      <c r="AA909">
        <v>0.60149231766237388</v>
      </c>
      <c r="AB909" t="str">
        <f>HYPERLINK("Melting_Curves/meltCurve_H7BXD8_LGALS8.pdf", "Melting_Curves/meltCurve_H7BXD8_LGALS8.pdf")</f>
        <v>Melting_Curves/meltCurve_H7BXD8_LGALS8.pdf</v>
      </c>
    </row>
    <row r="910" spans="1:28" x14ac:dyDescent="0.25">
      <c r="A910" t="s">
        <v>914</v>
      </c>
      <c r="B910">
        <v>0.99996721820229495</v>
      </c>
      <c r="C910">
        <v>1.0561643351080401</v>
      </c>
      <c r="D910">
        <v>1.06864933259026</v>
      </c>
      <c r="E910">
        <v>1.27823999261873</v>
      </c>
      <c r="F910">
        <v>1.7107552572531499</v>
      </c>
      <c r="G910">
        <v>1.6475434679429</v>
      </c>
      <c r="H910">
        <v>0.58316542240513003</v>
      </c>
      <c r="I910">
        <v>0.35876277276723401</v>
      </c>
      <c r="J910">
        <v>0.26225509671945901</v>
      </c>
      <c r="K910">
        <v>0.237855737897751</v>
      </c>
      <c r="L910">
        <v>8566.2359320834603</v>
      </c>
      <c r="M910">
        <v>140.765525800879</v>
      </c>
      <c r="N910">
        <v>61.223660725375801</v>
      </c>
      <c r="O910">
        <v>60.842369593813601</v>
      </c>
      <c r="P910">
        <v>-0.41300692591198801</v>
      </c>
      <c r="Q910">
        <v>0.28595252391702702</v>
      </c>
      <c r="R910">
        <v>0.61680385214486699</v>
      </c>
      <c r="S910" t="s">
        <v>6736</v>
      </c>
      <c r="T910" t="s">
        <v>11650</v>
      </c>
      <c r="U910" t="s">
        <v>11650</v>
      </c>
      <c r="V910" t="s">
        <v>11650</v>
      </c>
      <c r="W910" t="s">
        <v>12541</v>
      </c>
      <c r="X910">
        <v>15</v>
      </c>
      <c r="Y910" t="s">
        <v>18300</v>
      </c>
      <c r="Z910" t="s">
        <v>23972</v>
      </c>
      <c r="AA910">
        <v>0.78256670101055603</v>
      </c>
      <c r="AB910" t="str">
        <f>HYPERLINK("Melting_Curves/meltCurve_H7BXH2_PPP6R3.pdf", "Melting_Curves/meltCurve_H7BXH2_PPP6R3.pdf")</f>
        <v>Melting_Curves/meltCurve_H7BXH2_PPP6R3.pdf</v>
      </c>
    </row>
    <row r="911" spans="1:28" x14ac:dyDescent="0.25">
      <c r="A911" t="s">
        <v>915</v>
      </c>
      <c r="B911">
        <v>0.99996721820229495</v>
      </c>
      <c r="C911">
        <v>1.04175725268766</v>
      </c>
      <c r="D911">
        <v>0.97319180068942301</v>
      </c>
      <c r="E911">
        <v>0.90629476940060105</v>
      </c>
      <c r="F911">
        <v>0.99974334269102505</v>
      </c>
      <c r="G911">
        <v>0.58526686200108602</v>
      </c>
      <c r="H911">
        <v>0.15846554003612801</v>
      </c>
      <c r="I911">
        <v>0.12442376689869999</v>
      </c>
      <c r="J911">
        <v>3.9918321605897499E-2</v>
      </c>
      <c r="K911">
        <v>2.35676501770123E-2</v>
      </c>
      <c r="L911">
        <v>2005.4384316387</v>
      </c>
      <c r="M911">
        <v>34.880562943762598</v>
      </c>
      <c r="N911">
        <v>57.663772242260201</v>
      </c>
      <c r="O911">
        <v>57.306445803351203</v>
      </c>
      <c r="P911">
        <v>-0.144760094346952</v>
      </c>
      <c r="Q911">
        <v>4.8678583072867203E-2</v>
      </c>
      <c r="R911">
        <v>0.99118340182204401</v>
      </c>
      <c r="S911" t="s">
        <v>6737</v>
      </c>
      <c r="T911" t="s">
        <v>11650</v>
      </c>
      <c r="U911" t="s">
        <v>11650</v>
      </c>
      <c r="V911" t="s">
        <v>11650</v>
      </c>
      <c r="W911" t="s">
        <v>12542</v>
      </c>
      <c r="X911">
        <v>1</v>
      </c>
      <c r="Y911" t="s">
        <v>18301</v>
      </c>
      <c r="Z911" t="s">
        <v>23973</v>
      </c>
      <c r="AA911">
        <v>0.60826306658969076</v>
      </c>
      <c r="AB911" t="str">
        <f>HYPERLINK("Melting_Curves/meltCurve_H7BXH9_METTL21A.pdf", "Melting_Curves/meltCurve_H7BXH9_METTL21A.pdf")</f>
        <v>Melting_Curves/meltCurve_H7BXH9_METTL21A.pdf</v>
      </c>
    </row>
    <row r="912" spans="1:28" x14ac:dyDescent="0.25">
      <c r="A912" t="s">
        <v>916</v>
      </c>
      <c r="B912">
        <v>0.99996721820229495</v>
      </c>
      <c r="C912">
        <v>0.80109597577341396</v>
      </c>
      <c r="D912">
        <v>0.755131883372271</v>
      </c>
      <c r="E912">
        <v>0.86603272984111701</v>
      </c>
      <c r="F912">
        <v>0.51476923468134395</v>
      </c>
      <c r="G912">
        <v>0.33674974612713199</v>
      </c>
      <c r="H912">
        <v>0.19801391514175401</v>
      </c>
      <c r="I912">
        <v>0.12761084278621701</v>
      </c>
      <c r="J912">
        <v>7.7582801978959906E-2</v>
      </c>
      <c r="K912">
        <v>6.5423939189597297E-2</v>
      </c>
      <c r="L912">
        <v>592.90299618816402</v>
      </c>
      <c r="M912">
        <v>11.029841590296501</v>
      </c>
      <c r="N912">
        <v>53.754442985822998</v>
      </c>
      <c r="O912">
        <v>52.078162602592698</v>
      </c>
      <c r="P912">
        <v>-5.2966174813786598E-2</v>
      </c>
      <c r="Q912">
        <v>0</v>
      </c>
      <c r="R912">
        <v>0.94528605618055594</v>
      </c>
      <c r="S912" t="s">
        <v>6738</v>
      </c>
      <c r="T912" t="s">
        <v>11650</v>
      </c>
      <c r="U912" t="s">
        <v>11650</v>
      </c>
      <c r="V912" t="s">
        <v>11650</v>
      </c>
      <c r="W912" t="s">
        <v>12543</v>
      </c>
      <c r="X912">
        <v>24</v>
      </c>
      <c r="Y912" t="s">
        <v>18302</v>
      </c>
      <c r="Z912" t="s">
        <v>23974</v>
      </c>
      <c r="AA912">
        <v>0.48735120155986289</v>
      </c>
      <c r="AB912" t="str">
        <f>HYPERLINK("Melting_Curves/meltCurve_H7BXI1_ESYT2.pdf", "Melting_Curves/meltCurve_H7BXI1_ESYT2.pdf")</f>
        <v>Melting_Curves/meltCurve_H7BXI1_ESYT2.pdf</v>
      </c>
    </row>
    <row r="913" spans="1:28" x14ac:dyDescent="0.25">
      <c r="A913" t="s">
        <v>917</v>
      </c>
      <c r="B913">
        <v>0.99996721820229495</v>
      </c>
      <c r="C913">
        <v>0.88484421859337004</v>
      </c>
      <c r="D913">
        <v>1.04804355986273</v>
      </c>
      <c r="E913">
        <v>1.1868436240145199</v>
      </c>
      <c r="F913">
        <v>0.96766453557629595</v>
      </c>
      <c r="G913">
        <v>0.75288244177178998</v>
      </c>
      <c r="H913">
        <v>0.34622759517699397</v>
      </c>
      <c r="I913">
        <v>0.15125321815746401</v>
      </c>
      <c r="J913">
        <v>0.100356521590988</v>
      </c>
      <c r="K913">
        <v>8.7395174804818399E-2</v>
      </c>
      <c r="L913">
        <v>1780.55409454294</v>
      </c>
      <c r="M913">
        <v>30.149292156323199</v>
      </c>
      <c r="N913">
        <v>59.387645098112301</v>
      </c>
      <c r="O913">
        <v>58.7999197261774</v>
      </c>
      <c r="P913">
        <v>-0.11830764009299601</v>
      </c>
      <c r="Q913">
        <v>7.7068317888103102E-2</v>
      </c>
      <c r="R913">
        <v>0.96906264849608004</v>
      </c>
      <c r="S913" t="s">
        <v>6739</v>
      </c>
      <c r="T913" t="s">
        <v>11650</v>
      </c>
      <c r="U913" t="s">
        <v>11650</v>
      </c>
      <c r="V913" t="s">
        <v>11650</v>
      </c>
      <c r="W913" t="s">
        <v>12544</v>
      </c>
      <c r="X913">
        <v>10</v>
      </c>
      <c r="Y913" t="s">
        <v>18303</v>
      </c>
      <c r="Z913" t="s">
        <v>23975</v>
      </c>
      <c r="AA913">
        <v>0.66922775303947857</v>
      </c>
      <c r="AB913" t="str">
        <f>HYPERLINK("Melting_Curves/meltCurve_H7BXI5_ERGIC3.pdf", "Melting_Curves/meltCurve_H7BXI5_ERGIC3.pdf")</f>
        <v>Melting_Curves/meltCurve_H7BXI5_ERGIC3.pdf</v>
      </c>
    </row>
    <row r="914" spans="1:28" x14ac:dyDescent="0.25">
      <c r="A914" t="s">
        <v>918</v>
      </c>
      <c r="B914">
        <v>0.99996721820229495</v>
      </c>
      <c r="C914">
        <v>1.0364523997131301</v>
      </c>
      <c r="D914">
        <v>0.96569063650380504</v>
      </c>
      <c r="E914">
        <v>0.88905016430377204</v>
      </c>
      <c r="F914">
        <v>0.80580649786876002</v>
      </c>
      <c r="G914">
        <v>0.73602738725557404</v>
      </c>
      <c r="H914">
        <v>0.518863447939237</v>
      </c>
      <c r="I914">
        <v>0.51564712926247602</v>
      </c>
      <c r="J914">
        <v>0.417575355203535</v>
      </c>
      <c r="K914">
        <v>0.28417319239021399</v>
      </c>
      <c r="L914">
        <v>521.61968193838197</v>
      </c>
      <c r="M914">
        <v>8.2686929064459793</v>
      </c>
      <c r="N914">
        <v>63.234049337834698</v>
      </c>
      <c r="O914">
        <v>59.716796341885697</v>
      </c>
      <c r="P914">
        <v>-3.4313557597597202E-2</v>
      </c>
      <c r="Q914">
        <v>9.7347425826019192E-3</v>
      </c>
      <c r="R914">
        <v>0.98264624177308801</v>
      </c>
      <c r="S914" t="s">
        <v>6740</v>
      </c>
      <c r="T914" t="s">
        <v>11650</v>
      </c>
      <c r="U914" t="s">
        <v>11650</v>
      </c>
      <c r="V914" t="s">
        <v>11650</v>
      </c>
      <c r="W914" t="s">
        <v>12545</v>
      </c>
      <c r="X914">
        <v>1</v>
      </c>
      <c r="Y914" t="s">
        <v>18304</v>
      </c>
      <c r="Z914" t="s">
        <v>23976</v>
      </c>
      <c r="AA914">
        <v>0.72515698584622457</v>
      </c>
      <c r="AB914" t="str">
        <f>HYPERLINK("Melting_Curves/meltCurve_H7BXP5_TPRN.pdf", "Melting_Curves/meltCurve_H7BXP5_TPRN.pdf")</f>
        <v>Melting_Curves/meltCurve_H7BXP5_TPRN.pdf</v>
      </c>
    </row>
    <row r="915" spans="1:28" x14ac:dyDescent="0.25">
      <c r="A915" t="s">
        <v>919</v>
      </c>
      <c r="B915">
        <v>0.99996721820229495</v>
      </c>
      <c r="C915">
        <v>0.53624163484952703</v>
      </c>
      <c r="D915">
        <v>0.46775389339331602</v>
      </c>
      <c r="E915">
        <v>0.97297242273273099</v>
      </c>
      <c r="F915">
        <v>1.08513409121147</v>
      </c>
      <c r="G915">
        <v>0.52274766089473801</v>
      </c>
      <c r="H915">
        <v>0.83834544165949598</v>
      </c>
      <c r="I915">
        <v>0.61402093058241802</v>
      </c>
      <c r="J915">
        <v>0.42416372112231499</v>
      </c>
      <c r="K915">
        <v>0.25244897082100698</v>
      </c>
      <c r="L915">
        <v>198.68227333924901</v>
      </c>
      <c r="M915">
        <v>2.8771077469937798</v>
      </c>
      <c r="N915">
        <v>69.056255944689298</v>
      </c>
      <c r="O915">
        <v>49.897378157766802</v>
      </c>
      <c r="P915">
        <v>-1.49168726301651E-2</v>
      </c>
      <c r="Q915">
        <v>0</v>
      </c>
      <c r="R915">
        <v>0.211420595343634</v>
      </c>
      <c r="S915" t="s">
        <v>6741</v>
      </c>
      <c r="T915" t="s">
        <v>11650</v>
      </c>
      <c r="U915" t="s">
        <v>11650</v>
      </c>
      <c r="V915" t="s">
        <v>11650</v>
      </c>
      <c r="W915" t="s">
        <v>12546</v>
      </c>
      <c r="X915">
        <v>2</v>
      </c>
      <c r="Y915" t="s">
        <v>18305</v>
      </c>
      <c r="Z915" t="s">
        <v>23977</v>
      </c>
      <c r="AA915">
        <v>0.68161204501993167</v>
      </c>
      <c r="AB915" t="str">
        <f>HYPERLINK("Melting_Curves/meltCurve_H7BXW7_MPC1.pdf", "Melting_Curves/meltCurve_H7BXW7_MPC1.pdf")</f>
        <v>Melting_Curves/meltCurve_H7BXW7_MPC1.pdf</v>
      </c>
    </row>
    <row r="916" spans="1:28" x14ac:dyDescent="0.25">
      <c r="A916" t="s">
        <v>920</v>
      </c>
      <c r="B916">
        <v>0.99996721820229495</v>
      </c>
      <c r="C916">
        <v>1.1464431320561499</v>
      </c>
      <c r="D916">
        <v>1.0830399271723601</v>
      </c>
      <c r="E916">
        <v>1.0032261630357799</v>
      </c>
      <c r="F916">
        <v>0.694461495844367</v>
      </c>
      <c r="G916">
        <v>0.32607172076695101</v>
      </c>
      <c r="H916">
        <v>0.17907206597288899</v>
      </c>
      <c r="I916">
        <v>0.128432605899401</v>
      </c>
      <c r="J916">
        <v>7.8195782867207506E-2</v>
      </c>
      <c r="K916">
        <v>7.2913469295033603E-2</v>
      </c>
      <c r="L916">
        <v>1513.6025726349801</v>
      </c>
      <c r="M916">
        <v>27.681829577790801</v>
      </c>
      <c r="N916">
        <v>55.103921292438898</v>
      </c>
      <c r="O916">
        <v>54.395597253405398</v>
      </c>
      <c r="P916">
        <v>-0.114986878709264</v>
      </c>
      <c r="Q916">
        <v>9.6197929093183199E-2</v>
      </c>
      <c r="R916">
        <v>0.97977635835882704</v>
      </c>
      <c r="S916" t="s">
        <v>6742</v>
      </c>
      <c r="T916" t="s">
        <v>11650</v>
      </c>
      <c r="U916" t="s">
        <v>11650</v>
      </c>
      <c r="V916" t="s">
        <v>11650</v>
      </c>
      <c r="W916" t="s">
        <v>12547</v>
      </c>
      <c r="X916">
        <v>13</v>
      </c>
      <c r="Y916" t="s">
        <v>18306</v>
      </c>
      <c r="Z916" t="s">
        <v>23978</v>
      </c>
      <c r="AA916">
        <v>0.5453692487685563</v>
      </c>
      <c r="AB916" t="str">
        <f>HYPERLINK("Melting_Curves/meltCurve_H7BY58_PCMT1.pdf", "Melting_Curves/meltCurve_H7BY58_PCMT1.pdf")</f>
        <v>Melting_Curves/meltCurve_H7BY58_PCMT1.pdf</v>
      </c>
    </row>
    <row r="917" spans="1:28" x14ac:dyDescent="0.25">
      <c r="A917" t="s">
        <v>921</v>
      </c>
      <c r="B917">
        <v>0.99996721820229495</v>
      </c>
      <c r="C917">
        <v>0.94546588549157995</v>
      </c>
      <c r="D917">
        <v>0.83750586795225301</v>
      </c>
      <c r="E917">
        <v>0.55663926536905595</v>
      </c>
      <c r="F917">
        <v>0.365424082355778</v>
      </c>
      <c r="G917">
        <v>0.31701199679450298</v>
      </c>
      <c r="H917">
        <v>0.163674794984599</v>
      </c>
      <c r="I917">
        <v>0.11375122461722099</v>
      </c>
      <c r="J917">
        <v>8.5800479916224998E-2</v>
      </c>
      <c r="K917">
        <v>6.7407207686470794E-2</v>
      </c>
      <c r="L917">
        <v>677.43898298354702</v>
      </c>
      <c r="M917">
        <v>13.321957374902899</v>
      </c>
      <c r="N917">
        <v>51.365223141374798</v>
      </c>
      <c r="O917">
        <v>49.746457795713098</v>
      </c>
      <c r="P917">
        <v>-6.2782162167674196E-2</v>
      </c>
      <c r="Q917">
        <v>6.2393172464991001E-2</v>
      </c>
      <c r="R917">
        <v>0.99157112986808804</v>
      </c>
      <c r="S917" t="s">
        <v>6743</v>
      </c>
      <c r="T917" t="s">
        <v>11650</v>
      </c>
      <c r="U917" t="s">
        <v>11650</v>
      </c>
      <c r="V917" t="s">
        <v>11650</v>
      </c>
      <c r="W917" t="s">
        <v>12548</v>
      </c>
      <c r="X917">
        <v>6</v>
      </c>
      <c r="Y917" t="s">
        <v>18307</v>
      </c>
      <c r="Z917" t="s">
        <v>23979</v>
      </c>
      <c r="AA917">
        <v>0.42789987444686067</v>
      </c>
      <c r="AB917" t="str">
        <f>HYPERLINK("Melting_Curves/meltCurve_H7BY84_GTF3C5.pdf", "Melting_Curves/meltCurve_H7BY84_GTF3C5.pdf")</f>
        <v>Melting_Curves/meltCurve_H7BY84_GTF3C5.pdf</v>
      </c>
    </row>
    <row r="918" spans="1:28" x14ac:dyDescent="0.25">
      <c r="A918" t="s">
        <v>922</v>
      </c>
      <c r="B918">
        <v>0.99996721820229495</v>
      </c>
      <c r="C918">
        <v>1.16315864466077</v>
      </c>
      <c r="D918">
        <v>1.2994271604866201</v>
      </c>
      <c r="E918">
        <v>1.40532467973869</v>
      </c>
      <c r="F918">
        <v>1.42544249345788</v>
      </c>
      <c r="G918">
        <v>1.49882391396968</v>
      </c>
      <c r="H918">
        <v>0.88037629223150504</v>
      </c>
      <c r="I918">
        <v>0.35337266811100199</v>
      </c>
      <c r="J918">
        <v>0.160238153907416</v>
      </c>
      <c r="K918">
        <v>0.161209871407235</v>
      </c>
      <c r="L918">
        <v>4142.9780069148001</v>
      </c>
      <c r="M918">
        <v>65.962151317840195</v>
      </c>
      <c r="N918">
        <v>63.165171272928099</v>
      </c>
      <c r="O918">
        <v>62.750772351639696</v>
      </c>
      <c r="P918">
        <v>-0.22192454626306299</v>
      </c>
      <c r="Q918">
        <v>0.155519971076964</v>
      </c>
      <c r="R918">
        <v>0.71631149387552295</v>
      </c>
      <c r="S918" t="s">
        <v>6744</v>
      </c>
      <c r="T918" t="s">
        <v>11650</v>
      </c>
      <c r="U918" t="s">
        <v>11650</v>
      </c>
      <c r="V918" t="s">
        <v>11650</v>
      </c>
      <c r="W918" t="s">
        <v>12549</v>
      </c>
      <c r="X918">
        <v>3</v>
      </c>
      <c r="Y918" t="s">
        <v>18308</v>
      </c>
      <c r="Z918" t="s">
        <v>23980</v>
      </c>
      <c r="AA918">
        <v>0.7988634169645753</v>
      </c>
      <c r="AB918" t="str">
        <f>HYPERLINK("Melting_Curves/meltCurve_H7BYE5_WRB.pdf", "Melting_Curves/meltCurve_H7BYE5_WRB.pdf")</f>
        <v>Melting_Curves/meltCurve_H7BYE5_WRB.pdf</v>
      </c>
    </row>
    <row r="919" spans="1:28" x14ac:dyDescent="0.25">
      <c r="A919" t="s">
        <v>923</v>
      </c>
      <c r="B919">
        <v>0.99996721820229495</v>
      </c>
      <c r="C919">
        <v>0.98941155240982903</v>
      </c>
      <c r="D919">
        <v>0.93449049430349296</v>
      </c>
      <c r="E919">
        <v>0.97100773165307597</v>
      </c>
      <c r="F919">
        <v>1.1285693507890699</v>
      </c>
      <c r="G919">
        <v>1.1726224059439401</v>
      </c>
      <c r="H919">
        <v>0.67331785433955404</v>
      </c>
      <c r="I919">
        <v>0.75687851792766003</v>
      </c>
      <c r="J919">
        <v>0.46680231087826402</v>
      </c>
      <c r="K919">
        <v>0.43682768736711303</v>
      </c>
      <c r="L919">
        <v>1725.00160772855</v>
      </c>
      <c r="M919">
        <v>27.329739871135601</v>
      </c>
      <c r="N919">
        <v>67.102573636395306</v>
      </c>
      <c r="O919">
        <v>62.783066276344599</v>
      </c>
      <c r="P919">
        <v>-6.5151705792407297E-2</v>
      </c>
      <c r="Q919">
        <v>0.40132820993887902</v>
      </c>
      <c r="R919">
        <v>0.82898606388345697</v>
      </c>
      <c r="S919" t="s">
        <v>6745</v>
      </c>
      <c r="T919" t="s">
        <v>11650</v>
      </c>
      <c r="U919" t="s">
        <v>11650</v>
      </c>
      <c r="V919" t="s">
        <v>11650</v>
      </c>
      <c r="W919" t="s">
        <v>12550</v>
      </c>
      <c r="X919">
        <v>4</v>
      </c>
      <c r="Y919" t="s">
        <v>18309</v>
      </c>
      <c r="Z919" t="s">
        <v>23981</v>
      </c>
      <c r="AA919">
        <v>0.86423413545096983</v>
      </c>
      <c r="AB919" t="str">
        <f>HYPERLINK("Melting_Curves/meltCurve_H7BYP4_SP140L.pdf", "Melting_Curves/meltCurve_H7BYP4_SP140L.pdf")</f>
        <v>Melting_Curves/meltCurve_H7BYP4_SP140L.pdf</v>
      </c>
    </row>
    <row r="920" spans="1:28" x14ac:dyDescent="0.25">
      <c r="A920" t="s">
        <v>924</v>
      </c>
      <c r="B920">
        <v>0.99996721820229495</v>
      </c>
      <c r="C920">
        <v>0.65188538714051003</v>
      </c>
      <c r="D920">
        <v>0.57330087740379498</v>
      </c>
      <c r="E920">
        <v>1.58907189539257</v>
      </c>
      <c r="F920">
        <v>0.97065876222250203</v>
      </c>
      <c r="G920">
        <v>0.56624078366252295</v>
      </c>
      <c r="H920">
        <v>0.62322195245107503</v>
      </c>
      <c r="I920">
        <v>0.35094346265885201</v>
      </c>
      <c r="J920">
        <v>0.26574721758742298</v>
      </c>
      <c r="K920">
        <v>0.44119091633846902</v>
      </c>
      <c r="L920">
        <v>2843.9294364397301</v>
      </c>
      <c r="M920">
        <v>50.762465100727397</v>
      </c>
      <c r="N920">
        <v>58.031728707903397</v>
      </c>
      <c r="O920">
        <v>55.937516169332604</v>
      </c>
      <c r="P920">
        <v>-0.133029876451838</v>
      </c>
      <c r="Q920">
        <v>0.41363329214278599</v>
      </c>
      <c r="R920">
        <v>0.47630740748010197</v>
      </c>
      <c r="S920" t="s">
        <v>6746</v>
      </c>
      <c r="T920" t="s">
        <v>11650</v>
      </c>
      <c r="U920" t="s">
        <v>11650</v>
      </c>
      <c r="V920" t="s">
        <v>11650</v>
      </c>
      <c r="W920" t="s">
        <v>12455</v>
      </c>
      <c r="X920">
        <v>6</v>
      </c>
      <c r="Z920" t="s">
        <v>23982</v>
      </c>
      <c r="AA920">
        <v>0.72824055191819459</v>
      </c>
      <c r="AB920" t="str">
        <f>HYPERLINK("Melting_Curves/meltCurve_H7BZ11_.pdf", "Melting_Curves/meltCurve_H7BZ11_.pdf")</f>
        <v>Melting_Curves/meltCurve_H7BZ11_.pdf</v>
      </c>
    </row>
    <row r="921" spans="1:28" x14ac:dyDescent="0.25">
      <c r="A921" t="s">
        <v>925</v>
      </c>
      <c r="B921">
        <v>0.99996721820229495</v>
      </c>
      <c r="C921">
        <v>1.09085312070147</v>
      </c>
      <c r="D921">
        <v>0.95538499845537606</v>
      </c>
      <c r="E921">
        <v>0.71465850760542804</v>
      </c>
      <c r="F921">
        <v>0.74242519557834896</v>
      </c>
      <c r="G921">
        <v>0.66329852913630505</v>
      </c>
      <c r="H921">
        <v>0.51093373073765902</v>
      </c>
      <c r="I921">
        <v>0.38338339076217298</v>
      </c>
      <c r="J921">
        <v>0.28110554607056898</v>
      </c>
      <c r="K921">
        <v>0.274798853788014</v>
      </c>
      <c r="L921">
        <v>486.32233816218297</v>
      </c>
      <c r="M921">
        <v>8.1009896126102099</v>
      </c>
      <c r="N921">
        <v>60.408943011256603</v>
      </c>
      <c r="O921">
        <v>56.706423867681302</v>
      </c>
      <c r="P921">
        <v>-3.4873010742424201E-2</v>
      </c>
      <c r="Q921">
        <v>2.4616980981509998E-2</v>
      </c>
      <c r="R921">
        <v>0.95163407199863503</v>
      </c>
      <c r="S921" t="s">
        <v>6747</v>
      </c>
      <c r="T921" t="s">
        <v>11650</v>
      </c>
      <c r="U921" t="s">
        <v>11650</v>
      </c>
      <c r="V921" t="s">
        <v>11650</v>
      </c>
      <c r="W921" t="s">
        <v>12551</v>
      </c>
      <c r="X921">
        <v>55</v>
      </c>
      <c r="Y921" t="s">
        <v>18310</v>
      </c>
      <c r="Z921" t="s">
        <v>23983</v>
      </c>
      <c r="AA921">
        <v>0.6615661331265611</v>
      </c>
      <c r="AB921" t="str">
        <f>HYPERLINK("Melting_Curves/meltCurve_H7BZ94_P4HB.pdf", "Melting_Curves/meltCurve_H7BZ94_P4HB.pdf")</f>
        <v>Melting_Curves/meltCurve_H7BZ94_P4HB.pdf</v>
      </c>
    </row>
    <row r="922" spans="1:28" x14ac:dyDescent="0.25">
      <c r="A922" t="s">
        <v>926</v>
      </c>
      <c r="B922">
        <v>0.99996721820229495</v>
      </c>
      <c r="C922">
        <v>0.79227609152952105</v>
      </c>
      <c r="D922">
        <v>0.79623000625922402</v>
      </c>
      <c r="E922">
        <v>1.0371246210891201</v>
      </c>
      <c r="F922">
        <v>0.66544067230461701</v>
      </c>
      <c r="G922">
        <v>0.64480524474405598</v>
      </c>
      <c r="H922">
        <v>0.47779246273472398</v>
      </c>
      <c r="I922">
        <v>0.36320578030291301</v>
      </c>
      <c r="J922">
        <v>0.245814703456637</v>
      </c>
      <c r="K922">
        <v>0.242414241189046</v>
      </c>
      <c r="L922">
        <v>491.07118780549501</v>
      </c>
      <c r="M922">
        <v>8.1958561585773708</v>
      </c>
      <c r="N922">
        <v>59.917008857621802</v>
      </c>
      <c r="O922">
        <v>56.6670560233283</v>
      </c>
      <c r="P922">
        <v>-3.6195297360717499E-2</v>
      </c>
      <c r="Q922">
        <v>0</v>
      </c>
      <c r="R922">
        <v>0.87099025826298604</v>
      </c>
      <c r="S922" t="s">
        <v>6748</v>
      </c>
      <c r="T922" t="s">
        <v>11650</v>
      </c>
      <c r="U922" t="s">
        <v>11650</v>
      </c>
      <c r="V922" t="s">
        <v>11650</v>
      </c>
      <c r="W922" t="s">
        <v>12552</v>
      </c>
      <c r="X922">
        <v>1</v>
      </c>
      <c r="Y922" t="s">
        <v>18311</v>
      </c>
      <c r="Z922" t="s">
        <v>23984</v>
      </c>
      <c r="AA922">
        <v>0.6509651193513093</v>
      </c>
      <c r="AB922" t="str">
        <f>HYPERLINK("Melting_Curves/meltCurve_H7BZH7_GTF3A.pdf", "Melting_Curves/meltCurve_H7BZH7_GTF3A.pdf")</f>
        <v>Melting_Curves/meltCurve_H7BZH7_GTF3A.pdf</v>
      </c>
    </row>
    <row r="923" spans="1:28" x14ac:dyDescent="0.25">
      <c r="A923" t="s">
        <v>927</v>
      </c>
      <c r="B923">
        <v>0.99996721820229495</v>
      </c>
      <c r="C923">
        <v>1.14398761254041</v>
      </c>
      <c r="D923">
        <v>1.01545475289805</v>
      </c>
      <c r="E923">
        <v>0.63687434587499203</v>
      </c>
      <c r="F923">
        <v>0.483990533835569</v>
      </c>
      <c r="G923">
        <v>0.40870139802399402</v>
      </c>
      <c r="H923">
        <v>0.26955764048492697</v>
      </c>
      <c r="I923">
        <v>0.179596356734914</v>
      </c>
      <c r="J923">
        <v>0.13958158611735799</v>
      </c>
      <c r="K923">
        <v>0.101296740894758</v>
      </c>
      <c r="L923">
        <v>845.183822922084</v>
      </c>
      <c r="M923">
        <v>16.138463411168001</v>
      </c>
      <c r="N923">
        <v>53.446410823446001</v>
      </c>
      <c r="O923">
        <v>51.586461245000997</v>
      </c>
      <c r="P923">
        <v>-6.7371093654494896E-2</v>
      </c>
      <c r="Q923">
        <v>0.138660793701638</v>
      </c>
      <c r="R923">
        <v>0.95578066871695899</v>
      </c>
      <c r="S923" t="s">
        <v>6749</v>
      </c>
      <c r="T923" t="s">
        <v>11650</v>
      </c>
      <c r="U923" t="s">
        <v>11650</v>
      </c>
      <c r="V923" t="s">
        <v>11650</v>
      </c>
      <c r="W923" t="s">
        <v>12553</v>
      </c>
      <c r="X923">
        <v>11</v>
      </c>
      <c r="Y923" t="s">
        <v>18186</v>
      </c>
      <c r="Z923" t="s">
        <v>23985</v>
      </c>
      <c r="AA923">
        <v>0.51084507837382109</v>
      </c>
      <c r="AB923" t="str">
        <f>HYPERLINK("Melting_Curves/meltCurve_H7BZJ3_PDIA3.pdf", "Melting_Curves/meltCurve_H7BZJ3_PDIA3.pdf")</f>
        <v>Melting_Curves/meltCurve_H7BZJ3_PDIA3.pdf</v>
      </c>
    </row>
    <row r="924" spans="1:28" x14ac:dyDescent="0.25">
      <c r="A924" t="s">
        <v>928</v>
      </c>
      <c r="B924">
        <v>0.99996721820229495</v>
      </c>
      <c r="C924">
        <v>0.89192365873549595</v>
      </c>
      <c r="D924">
        <v>0.907518812948932</v>
      </c>
      <c r="E924">
        <v>0.84030458302359601</v>
      </c>
      <c r="F924">
        <v>0.82916480087382405</v>
      </c>
      <c r="G924">
        <v>0.67872977633023801</v>
      </c>
      <c r="H924">
        <v>0.50637331923330597</v>
      </c>
      <c r="I924">
        <v>0.409003744854045</v>
      </c>
      <c r="J924">
        <v>0.31068957248712897</v>
      </c>
      <c r="K924">
        <v>0.25438590544645501</v>
      </c>
      <c r="L924">
        <v>510.095677976307</v>
      </c>
      <c r="M924">
        <v>8.3262663946242697</v>
      </c>
      <c r="N924">
        <v>61.2634326140588</v>
      </c>
      <c r="O924">
        <v>58.034920952440402</v>
      </c>
      <c r="P924">
        <v>-3.5902424228543298E-2</v>
      </c>
      <c r="Q924">
        <v>0</v>
      </c>
      <c r="R924">
        <v>0.98268436366078205</v>
      </c>
      <c r="S924" t="s">
        <v>6750</v>
      </c>
      <c r="T924" t="s">
        <v>11650</v>
      </c>
      <c r="U924" t="s">
        <v>11650</v>
      </c>
      <c r="V924" t="s">
        <v>11650</v>
      </c>
      <c r="W924" t="s">
        <v>12554</v>
      </c>
      <c r="X924">
        <v>3</v>
      </c>
      <c r="Y924" t="s">
        <v>18312</v>
      </c>
      <c r="Z924" t="s">
        <v>23986</v>
      </c>
      <c r="AA924">
        <v>0.68312157895964398</v>
      </c>
      <c r="AB924" t="str">
        <f>HYPERLINK("Melting_Curves/meltCurve_H7BZQ3_OTUD5.pdf", "Melting_Curves/meltCurve_H7BZQ3_OTUD5.pdf")</f>
        <v>Melting_Curves/meltCurve_H7BZQ3_OTUD5.pdf</v>
      </c>
    </row>
    <row r="925" spans="1:28" x14ac:dyDescent="0.25">
      <c r="A925" t="s">
        <v>929</v>
      </c>
      <c r="B925">
        <v>0.99996721820229495</v>
      </c>
      <c r="C925">
        <v>1.04267264199118</v>
      </c>
      <c r="D925">
        <v>1.1254105372818799</v>
      </c>
      <c r="E925">
        <v>1.0826889171663201</v>
      </c>
      <c r="F925">
        <v>1.4678707270184901</v>
      </c>
      <c r="G925">
        <v>1.25328975271864</v>
      </c>
      <c r="H925">
        <v>0.92402033044898402</v>
      </c>
      <c r="I925">
        <v>0.62135345071848502</v>
      </c>
      <c r="J925">
        <v>0.69317939323727795</v>
      </c>
      <c r="K925">
        <v>0.31365593246242301</v>
      </c>
      <c r="L925">
        <v>1557.9449445155999</v>
      </c>
      <c r="M925">
        <v>23.212823845299798</v>
      </c>
      <c r="N925">
        <v>67.8249945283968</v>
      </c>
      <c r="O925">
        <v>66.623550644028299</v>
      </c>
      <c r="P925">
        <v>-7.7718670463945996E-2</v>
      </c>
      <c r="Q925">
        <v>0.107768986744955</v>
      </c>
      <c r="R925">
        <v>0.638425231254102</v>
      </c>
      <c r="S925" t="s">
        <v>6751</v>
      </c>
      <c r="T925" t="s">
        <v>11650</v>
      </c>
      <c r="U925" t="s">
        <v>11650</v>
      </c>
      <c r="V925" t="s">
        <v>11650</v>
      </c>
      <c r="W925" t="s">
        <v>12555</v>
      </c>
      <c r="X925">
        <v>1</v>
      </c>
      <c r="Y925" t="s">
        <v>18313</v>
      </c>
      <c r="Z925" t="s">
        <v>23987</v>
      </c>
      <c r="AA925">
        <v>0.8928418134299434</v>
      </c>
      <c r="AB925" t="str">
        <f>HYPERLINK("Melting_Curves/meltCurve_H7BZQ8_AMY2A.pdf", "Melting_Curves/meltCurve_H7BZQ8_AMY2A.pdf")</f>
        <v>Melting_Curves/meltCurve_H7BZQ8_AMY2A.pdf</v>
      </c>
    </row>
    <row r="926" spans="1:28" x14ac:dyDescent="0.25">
      <c r="A926" t="s">
        <v>930</v>
      </c>
      <c r="B926">
        <v>0.99996721820229495</v>
      </c>
      <c r="C926">
        <v>1.0031265820895801</v>
      </c>
      <c r="D926">
        <v>0.84185770598015797</v>
      </c>
      <c r="E926">
        <v>0.88624301532389405</v>
      </c>
      <c r="F926">
        <v>1.18269437576133</v>
      </c>
      <c r="G926">
        <v>1.19887295829409</v>
      </c>
      <c r="H926">
        <v>0.99172078618953896</v>
      </c>
      <c r="I926">
        <v>1.0089070988959501</v>
      </c>
      <c r="J926">
        <v>0.78523670973121096</v>
      </c>
      <c r="K926">
        <v>0.55038889567343097</v>
      </c>
      <c r="L926">
        <v>15000</v>
      </c>
      <c r="M926">
        <v>223.79104427947101</v>
      </c>
      <c r="O926">
        <v>67.021452693874195</v>
      </c>
      <c r="P926">
        <v>-0.37535171219784202</v>
      </c>
      <c r="Q926">
        <v>0.55035521383001096</v>
      </c>
      <c r="R926">
        <v>0.66245572380553297</v>
      </c>
      <c r="S926" t="s">
        <v>6752</v>
      </c>
      <c r="T926" t="s">
        <v>11650</v>
      </c>
      <c r="U926" t="s">
        <v>11650</v>
      </c>
      <c r="V926" t="s">
        <v>11650</v>
      </c>
      <c r="W926" t="s">
        <v>12242</v>
      </c>
      <c r="X926">
        <v>3</v>
      </c>
      <c r="Z926" t="s">
        <v>23988</v>
      </c>
      <c r="AA926">
        <v>0.95550300906611696</v>
      </c>
      <c r="AB926" t="str">
        <f>HYPERLINK("Melting_Curves/meltCurve_H7BZT4_.pdf", "Melting_Curves/meltCurve_H7BZT4_.pdf")</f>
        <v>Melting_Curves/meltCurve_H7BZT4_.pdf</v>
      </c>
    </row>
    <row r="927" spans="1:28" x14ac:dyDescent="0.25">
      <c r="A927" t="s">
        <v>931</v>
      </c>
      <c r="B927">
        <v>0.99996721820229495</v>
      </c>
      <c r="C927">
        <v>0.60617155775813703</v>
      </c>
      <c r="D927">
        <v>0.40810075196045698</v>
      </c>
      <c r="E927">
        <v>0.38533483945603603</v>
      </c>
      <c r="F927">
        <v>0.59261022412692599</v>
      </c>
      <c r="G927">
        <v>0.33892880563579802</v>
      </c>
      <c r="H927">
        <v>0.189084951666881</v>
      </c>
      <c r="I927">
        <v>0.147131376459706</v>
      </c>
      <c r="J927">
        <v>0.28186074832768099</v>
      </c>
      <c r="K927">
        <v>8.5262256587957302E-2</v>
      </c>
      <c r="L927">
        <v>346.04267298198903</v>
      </c>
      <c r="M927">
        <v>7.3842095520990103</v>
      </c>
      <c r="N927">
        <v>48.315598303755401</v>
      </c>
      <c r="O927">
        <v>43.793570773305397</v>
      </c>
      <c r="P927">
        <v>-3.8013970999285301E-2</v>
      </c>
      <c r="Q927">
        <v>9.9572643946430006E-2</v>
      </c>
      <c r="R927">
        <v>0.76477310241156204</v>
      </c>
      <c r="S927" t="s">
        <v>6753</v>
      </c>
      <c r="T927" t="s">
        <v>11650</v>
      </c>
      <c r="U927" t="s">
        <v>11650</v>
      </c>
      <c r="V927" t="s">
        <v>11650</v>
      </c>
      <c r="W927" t="s">
        <v>12556</v>
      </c>
      <c r="X927">
        <v>1</v>
      </c>
      <c r="Y927" t="s">
        <v>18314</v>
      </c>
      <c r="Z927" t="s">
        <v>23989</v>
      </c>
      <c r="AA927">
        <v>0.38599151651264152</v>
      </c>
      <c r="AB927" t="str">
        <f>HYPERLINK("Melting_Curves/meltCurve_H7C019_SUN1.pdf", "Melting_Curves/meltCurve_H7C019_SUN1.pdf")</f>
        <v>Melting_Curves/meltCurve_H7C019_SUN1.pdf</v>
      </c>
    </row>
    <row r="928" spans="1:28" x14ac:dyDescent="0.25">
      <c r="A928" t="s">
        <v>932</v>
      </c>
      <c r="B928">
        <v>0.99996721820229495</v>
      </c>
      <c r="C928">
        <v>0.94726457881773296</v>
      </c>
      <c r="D928">
        <v>0.65478889010119801</v>
      </c>
      <c r="E928">
        <v>0.497517810422412</v>
      </c>
      <c r="F928">
        <v>0.50525391875939596</v>
      </c>
      <c r="G928">
        <v>0.42168573540527798</v>
      </c>
      <c r="H928">
        <v>0.26003304338358801</v>
      </c>
      <c r="I928">
        <v>0.125712235713689</v>
      </c>
      <c r="J928">
        <v>0.11317209597920801</v>
      </c>
      <c r="K928">
        <v>0.104714990872202</v>
      </c>
      <c r="L928">
        <v>433.195823197957</v>
      </c>
      <c r="M928">
        <v>8.3049701151784507</v>
      </c>
      <c r="N928">
        <v>52.161031070538797</v>
      </c>
      <c r="O928">
        <v>49.399284030367703</v>
      </c>
      <c r="P928">
        <v>-4.2071132613026599E-2</v>
      </c>
      <c r="Q928">
        <v>0</v>
      </c>
      <c r="R928">
        <v>0.95332336593538203</v>
      </c>
      <c r="S928" t="s">
        <v>6754</v>
      </c>
      <c r="T928" t="s">
        <v>11650</v>
      </c>
      <c r="U928" t="s">
        <v>11650</v>
      </c>
      <c r="V928" t="s">
        <v>11650</v>
      </c>
      <c r="W928" t="s">
        <v>12557</v>
      </c>
      <c r="X928">
        <v>1</v>
      </c>
      <c r="Y928" t="s">
        <v>18315</v>
      </c>
      <c r="Z928" t="s">
        <v>23990</v>
      </c>
      <c r="AA928">
        <v>0.45002416788876037</v>
      </c>
      <c r="AB928" t="str">
        <f>HYPERLINK("Melting_Curves/meltCurve_H7C0A2_BCL3.pdf", "Melting_Curves/meltCurve_H7C0A2_BCL3.pdf")</f>
        <v>Melting_Curves/meltCurve_H7C0A2_BCL3.pdf</v>
      </c>
    </row>
    <row r="929" spans="1:28" x14ac:dyDescent="0.25">
      <c r="A929" t="s">
        <v>933</v>
      </c>
      <c r="B929">
        <v>0.99996721820229495</v>
      </c>
      <c r="C929">
        <v>1.1416650634835099</v>
      </c>
      <c r="D929">
        <v>1.15787255125234</v>
      </c>
      <c r="E929">
        <v>1.1139384473420599</v>
      </c>
      <c r="F929">
        <v>1.18930577927763</v>
      </c>
      <c r="G929">
        <v>0.63555993812917599</v>
      </c>
      <c r="H929">
        <v>0.25915786181729999</v>
      </c>
      <c r="I929">
        <v>0.18141971419178801</v>
      </c>
      <c r="J929">
        <v>0.115103979879479</v>
      </c>
      <c r="K929">
        <v>9.5359449085265197E-2</v>
      </c>
      <c r="L929">
        <v>2800.9990826673202</v>
      </c>
      <c r="M929">
        <v>48.705204654903497</v>
      </c>
      <c r="N929">
        <v>57.9185670949973</v>
      </c>
      <c r="O929">
        <v>57.412535112085301</v>
      </c>
      <c r="P929">
        <v>-0.18120213151728401</v>
      </c>
      <c r="Q929">
        <v>0.145613782270724</v>
      </c>
      <c r="R929">
        <v>0.94782087129718295</v>
      </c>
      <c r="S929" t="s">
        <v>6755</v>
      </c>
      <c r="T929" t="s">
        <v>11650</v>
      </c>
      <c r="U929" t="s">
        <v>11650</v>
      </c>
      <c r="V929" t="s">
        <v>11650</v>
      </c>
      <c r="W929" t="s">
        <v>12558</v>
      </c>
      <c r="X929">
        <v>2</v>
      </c>
      <c r="Y929" t="s">
        <v>18316</v>
      </c>
      <c r="Z929" t="s">
        <v>23991</v>
      </c>
      <c r="AA929">
        <v>0.64654476977686981</v>
      </c>
      <c r="AB929" t="str">
        <f>HYPERLINK("Melting_Curves/meltCurve_H7C0G7_NHEJ1.pdf", "Melting_Curves/meltCurve_H7C0G7_NHEJ1.pdf")</f>
        <v>Melting_Curves/meltCurve_H7C0G7_NHEJ1.pdf</v>
      </c>
    </row>
    <row r="930" spans="1:28" x14ac:dyDescent="0.25">
      <c r="A930" t="s">
        <v>934</v>
      </c>
      <c r="B930">
        <v>0.99996721820229495</v>
      </c>
      <c r="C930">
        <v>0.88593878423741801</v>
      </c>
      <c r="D930">
        <v>0.98922136198756105</v>
      </c>
      <c r="E930">
        <v>1.3016052918485601</v>
      </c>
      <c r="F930">
        <v>1.8928052814970699</v>
      </c>
      <c r="G930">
        <v>1.8704217468359901</v>
      </c>
      <c r="H930">
        <v>1.4763867113776099</v>
      </c>
      <c r="I930">
        <v>0.90221335523357704</v>
      </c>
      <c r="J930">
        <v>0.66715882827482798</v>
      </c>
      <c r="K930">
        <v>0.49832248284060299</v>
      </c>
      <c r="L930">
        <v>4244.2556116222404</v>
      </c>
      <c r="M930">
        <v>64.056672859600795</v>
      </c>
      <c r="O930">
        <v>66.193336098345</v>
      </c>
      <c r="P930">
        <v>-0.124117186701289</v>
      </c>
      <c r="Q930">
        <v>0.48697129073102102</v>
      </c>
      <c r="R930">
        <v>7.2259411134567506E-2</v>
      </c>
      <c r="S930" t="s">
        <v>6756</v>
      </c>
      <c r="T930" t="s">
        <v>11650</v>
      </c>
      <c r="U930" t="s">
        <v>11650</v>
      </c>
      <c r="V930" t="s">
        <v>11650</v>
      </c>
      <c r="W930" t="s">
        <v>12559</v>
      </c>
      <c r="X930">
        <v>1</v>
      </c>
      <c r="Y930" t="s">
        <v>18317</v>
      </c>
      <c r="Z930" t="s">
        <v>23992</v>
      </c>
      <c r="AA930">
        <v>0.93626182833686145</v>
      </c>
      <c r="AB930" t="str">
        <f>HYPERLINK("Melting_Curves/meltCurve_H7C0U0_PARL.pdf", "Melting_Curves/meltCurve_H7C0U0_PARL.pdf")</f>
        <v>Melting_Curves/meltCurve_H7C0U0_PARL.pdf</v>
      </c>
    </row>
    <row r="931" spans="1:28" x14ac:dyDescent="0.25">
      <c r="A931" t="s">
        <v>935</v>
      </c>
      <c r="B931">
        <v>0.99996721820229495</v>
      </c>
      <c r="C931">
        <v>0.95170960763296097</v>
      </c>
      <c r="D931">
        <v>1.0540256714298799</v>
      </c>
      <c r="E931">
        <v>1.0783135547248599</v>
      </c>
      <c r="F931">
        <v>1.16044400968103</v>
      </c>
      <c r="G931">
        <v>0.97057751229855405</v>
      </c>
      <c r="H931">
        <v>0.477834606542554</v>
      </c>
      <c r="I931">
        <v>0.29890892220827298</v>
      </c>
      <c r="J931">
        <v>0.196285548737789</v>
      </c>
      <c r="K931">
        <v>0.22177242704028799</v>
      </c>
      <c r="L931">
        <v>3064.24834510447</v>
      </c>
      <c r="M931">
        <v>50.8875461146338</v>
      </c>
      <c r="N931">
        <v>60.920830940352303</v>
      </c>
      <c r="O931">
        <v>60.123300606680701</v>
      </c>
      <c r="P931">
        <v>-0.16452231271305001</v>
      </c>
      <c r="Q931">
        <v>0.22247250113428699</v>
      </c>
      <c r="R931">
        <v>0.97095304035675201</v>
      </c>
      <c r="S931" t="s">
        <v>6757</v>
      </c>
      <c r="T931" t="s">
        <v>11650</v>
      </c>
      <c r="U931" t="s">
        <v>11650</v>
      </c>
      <c r="V931" t="s">
        <v>11650</v>
      </c>
      <c r="W931" t="s">
        <v>12560</v>
      </c>
      <c r="X931">
        <v>3</v>
      </c>
      <c r="Y931" t="s">
        <v>18318</v>
      </c>
      <c r="Z931" t="s">
        <v>23993</v>
      </c>
      <c r="AA931">
        <v>0.748382355584845</v>
      </c>
      <c r="AB931" t="str">
        <f>HYPERLINK("Melting_Curves/meltCurve_H7C0Z5_IL10RB.pdf", "Melting_Curves/meltCurve_H7C0Z5_IL10RB.pdf")</f>
        <v>Melting_Curves/meltCurve_H7C0Z5_IL10RB.pdf</v>
      </c>
    </row>
    <row r="932" spans="1:28" x14ac:dyDescent="0.25">
      <c r="A932" t="s">
        <v>936</v>
      </c>
      <c r="B932">
        <v>0.99996721820229495</v>
      </c>
      <c r="C932">
        <v>0.94569716092242395</v>
      </c>
      <c r="D932">
        <v>0.72619376852460304</v>
      </c>
      <c r="E932">
        <v>0.49837285135992998</v>
      </c>
      <c r="F932">
        <v>0.55224973130403598</v>
      </c>
      <c r="G932">
        <v>0.73613673270794999</v>
      </c>
      <c r="H932">
        <v>0.54008965531192699</v>
      </c>
      <c r="I932">
        <v>0.354105139924979</v>
      </c>
      <c r="J932">
        <v>0.276607527181984</v>
      </c>
      <c r="K932">
        <v>0.20312972241306201</v>
      </c>
      <c r="L932">
        <v>305.30747630557499</v>
      </c>
      <c r="M932">
        <v>5.28899049188687</v>
      </c>
      <c r="N932">
        <v>57.725094566098598</v>
      </c>
      <c r="O932">
        <v>51.019529365005198</v>
      </c>
      <c r="P932">
        <v>-2.6047334314201399E-2</v>
      </c>
      <c r="Q932">
        <v>0</v>
      </c>
      <c r="R932">
        <v>0.79850319073588605</v>
      </c>
      <c r="S932" t="s">
        <v>6758</v>
      </c>
      <c r="T932" t="s">
        <v>11650</v>
      </c>
      <c r="U932" t="s">
        <v>11650</v>
      </c>
      <c r="V932" t="s">
        <v>11650</v>
      </c>
      <c r="W932" t="s">
        <v>12561</v>
      </c>
      <c r="X932">
        <v>2</v>
      </c>
      <c r="Y932" t="s">
        <v>18319</v>
      </c>
      <c r="Z932" t="s">
        <v>23994</v>
      </c>
      <c r="AA932">
        <v>0.57979405635667836</v>
      </c>
      <c r="AB932" t="str">
        <f>HYPERLINK("Melting_Curves/meltCurve_H7C107_IQSEC1.pdf", "Melting_Curves/meltCurve_H7C107_IQSEC1.pdf")</f>
        <v>Melting_Curves/meltCurve_H7C107_IQSEC1.pdf</v>
      </c>
    </row>
    <row r="933" spans="1:28" x14ac:dyDescent="0.25">
      <c r="A933" t="s">
        <v>937</v>
      </c>
      <c r="B933">
        <v>0.99996721820229495</v>
      </c>
      <c r="C933">
        <v>1.15864448392343</v>
      </c>
      <c r="D933">
        <v>1.1816872352238299</v>
      </c>
      <c r="E933">
        <v>1.3110180637083699</v>
      </c>
      <c r="F933">
        <v>1.44289275968452</v>
      </c>
      <c r="G933">
        <v>1.63307203705008</v>
      </c>
      <c r="H933">
        <v>1.3005938002461701</v>
      </c>
      <c r="I933">
        <v>0.86945798367475602</v>
      </c>
      <c r="J933">
        <v>0.47658682857768397</v>
      </c>
      <c r="K933">
        <v>0.30416208112357301</v>
      </c>
      <c r="L933">
        <v>4288.0766502402103</v>
      </c>
      <c r="M933">
        <v>65.171113359667402</v>
      </c>
      <c r="N933">
        <v>66.722334114484497</v>
      </c>
      <c r="O933">
        <v>65.735329807894004</v>
      </c>
      <c r="P933">
        <v>-0.17412867524044301</v>
      </c>
      <c r="Q933">
        <v>0.29745546974389903</v>
      </c>
      <c r="R933">
        <v>0.46157931086750298</v>
      </c>
      <c r="S933" t="s">
        <v>6759</v>
      </c>
      <c r="T933" t="s">
        <v>11650</v>
      </c>
      <c r="U933" t="s">
        <v>11650</v>
      </c>
      <c r="V933" t="s">
        <v>11650</v>
      </c>
      <c r="W933" t="s">
        <v>12562</v>
      </c>
      <c r="X933">
        <v>9</v>
      </c>
      <c r="Y933" t="s">
        <v>18320</v>
      </c>
      <c r="Z933" t="s">
        <v>23995</v>
      </c>
      <c r="AA933">
        <v>0.9022278188233418</v>
      </c>
      <c r="AB933" t="str">
        <f>HYPERLINK("Melting_Curves/meltCurve_H7C137_RANBP1.pdf", "Melting_Curves/meltCurve_H7C137_RANBP1.pdf")</f>
        <v>Melting_Curves/meltCurve_H7C137_RANBP1.pdf</v>
      </c>
    </row>
    <row r="934" spans="1:28" x14ac:dyDescent="0.25">
      <c r="A934" t="s">
        <v>938</v>
      </c>
      <c r="B934">
        <v>0.99996721820229495</v>
      </c>
      <c r="C934">
        <v>0.986844206398102</v>
      </c>
      <c r="D934">
        <v>1.14253670416449</v>
      </c>
      <c r="E934">
        <v>1.07821693710599</v>
      </c>
      <c r="F934">
        <v>0.65640316697274803</v>
      </c>
      <c r="G934">
        <v>0.48777017654447102</v>
      </c>
      <c r="H934">
        <v>0.230022018797815</v>
      </c>
      <c r="I934">
        <v>0.12807902301530799</v>
      </c>
      <c r="J934">
        <v>7.9075278335339394E-2</v>
      </c>
      <c r="K934">
        <v>8.8031715272347502E-2</v>
      </c>
      <c r="L934">
        <v>1186.8314161282401</v>
      </c>
      <c r="M934">
        <v>21.207457736121398</v>
      </c>
      <c r="N934">
        <v>56.3818848400999</v>
      </c>
      <c r="O934">
        <v>55.472464552620799</v>
      </c>
      <c r="P934">
        <v>-8.8611199381997394E-2</v>
      </c>
      <c r="Q934">
        <v>7.2900733883142596E-2</v>
      </c>
      <c r="R934">
        <v>0.96368704798731197</v>
      </c>
      <c r="S934" t="s">
        <v>6760</v>
      </c>
      <c r="T934" t="s">
        <v>11650</v>
      </c>
      <c r="U934" t="s">
        <v>11650</v>
      </c>
      <c r="V934" t="s">
        <v>11650</v>
      </c>
      <c r="W934" t="s">
        <v>12563</v>
      </c>
      <c r="X934">
        <v>2</v>
      </c>
      <c r="Y934" t="s">
        <v>18321</v>
      </c>
      <c r="Z934" t="s">
        <v>23996</v>
      </c>
      <c r="AA934">
        <v>0.57722009017123388</v>
      </c>
      <c r="AB934" t="str">
        <f>HYPERLINK("Melting_Curves/meltCurve_H7C1E4_AP1S1.pdf", "Melting_Curves/meltCurve_H7C1E4_AP1S1.pdf")</f>
        <v>Melting_Curves/meltCurve_H7C1E4_AP1S1.pdf</v>
      </c>
    </row>
    <row r="935" spans="1:28" x14ac:dyDescent="0.25">
      <c r="A935" t="s">
        <v>939</v>
      </c>
      <c r="B935">
        <v>0.99996721820229495</v>
      </c>
      <c r="C935">
        <v>0.77442665704193303</v>
      </c>
      <c r="D935">
        <v>1.0386884873169699</v>
      </c>
      <c r="E935">
        <v>1.67824369406174</v>
      </c>
      <c r="F935">
        <v>1.4693935763563299</v>
      </c>
      <c r="G935">
        <v>1.3393391803179799</v>
      </c>
      <c r="H935">
        <v>0.57487042812224298</v>
      </c>
      <c r="I935">
        <v>0.19465025924066601</v>
      </c>
      <c r="J935">
        <v>6.2357344250833897E-2</v>
      </c>
      <c r="K935">
        <v>0.10227390768990299</v>
      </c>
      <c r="L935">
        <v>5048.6207323779799</v>
      </c>
      <c r="M935">
        <v>82.636061279361599</v>
      </c>
      <c r="N935">
        <v>61.2810977513357</v>
      </c>
      <c r="O935">
        <v>61.058902029096203</v>
      </c>
      <c r="P935">
        <v>-0.300738256716574</v>
      </c>
      <c r="Q935">
        <v>0.111151121547064</v>
      </c>
      <c r="R935">
        <v>0.71936925295940102</v>
      </c>
      <c r="S935" t="s">
        <v>6761</v>
      </c>
      <c r="T935" t="s">
        <v>11650</v>
      </c>
      <c r="U935" t="s">
        <v>11650</v>
      </c>
      <c r="V935" t="s">
        <v>11650</v>
      </c>
      <c r="W935" t="s">
        <v>12564</v>
      </c>
      <c r="X935">
        <v>2</v>
      </c>
      <c r="Y935" t="s">
        <v>18322</v>
      </c>
      <c r="Z935" t="s">
        <v>23997</v>
      </c>
      <c r="AA935">
        <v>0.73702250607826714</v>
      </c>
      <c r="AB935" t="str">
        <f>HYPERLINK("Melting_Curves/meltCurve_H7C1G1_TMEM87B.pdf", "Melting_Curves/meltCurve_H7C1G1_TMEM87B.pdf")</f>
        <v>Melting_Curves/meltCurve_H7C1G1_TMEM87B.pdf</v>
      </c>
    </row>
    <row r="936" spans="1:28" x14ac:dyDescent="0.25">
      <c r="A936" t="s">
        <v>940</v>
      </c>
      <c r="B936">
        <v>0.99996721820229495</v>
      </c>
      <c r="C936">
        <v>0.95040801655745599</v>
      </c>
      <c r="D936">
        <v>1.22916751239787</v>
      </c>
      <c r="E936">
        <v>1.37831244348035</v>
      </c>
      <c r="F936">
        <v>1.2293034245419701</v>
      </c>
      <c r="G936">
        <v>1.20211837572082</v>
      </c>
      <c r="H936">
        <v>0.87982987964519399</v>
      </c>
      <c r="I936">
        <v>0.74077458851179001</v>
      </c>
      <c r="J936">
        <v>0.63284947359142696</v>
      </c>
      <c r="K936">
        <v>0.40690067254179901</v>
      </c>
      <c r="L936">
        <v>1743.90248128389</v>
      </c>
      <c r="M936">
        <v>26.473234627985399</v>
      </c>
      <c r="N936">
        <v>68.365774698658598</v>
      </c>
      <c r="O936">
        <v>65.501736679155101</v>
      </c>
      <c r="P936">
        <v>-6.9771620242891894E-2</v>
      </c>
      <c r="Q936">
        <v>0.30947414256646799</v>
      </c>
      <c r="R936">
        <v>0.64134704598900005</v>
      </c>
      <c r="S936" t="s">
        <v>6762</v>
      </c>
      <c r="T936" t="s">
        <v>11650</v>
      </c>
      <c r="U936" t="s">
        <v>11650</v>
      </c>
      <c r="V936" t="s">
        <v>11650</v>
      </c>
      <c r="W936" t="s">
        <v>12565</v>
      </c>
      <c r="X936">
        <v>1</v>
      </c>
      <c r="Y936" t="s">
        <v>18323</v>
      </c>
      <c r="Z936" t="s">
        <v>23998</v>
      </c>
      <c r="AA936">
        <v>0.89877411049350431</v>
      </c>
      <c r="AB936" t="str">
        <f>HYPERLINK("Melting_Curves/meltCurve_H7C1I0_SLC35E1.pdf", "Melting_Curves/meltCurve_H7C1I0_SLC35E1.pdf")</f>
        <v>Melting_Curves/meltCurve_H7C1I0_SLC35E1.pdf</v>
      </c>
    </row>
    <row r="937" spans="1:28" x14ac:dyDescent="0.25">
      <c r="A937" t="s">
        <v>941</v>
      </c>
      <c r="B937">
        <v>0.99996721820229495</v>
      </c>
      <c r="C937">
        <v>0.90592060694028198</v>
      </c>
      <c r="D937">
        <v>0.845427383587533</v>
      </c>
      <c r="E937">
        <v>0.59890410442608399</v>
      </c>
      <c r="F937">
        <v>0.34801308207715298</v>
      </c>
      <c r="G937">
        <v>0.27911771784000899</v>
      </c>
      <c r="H937">
        <v>0.18263138411499799</v>
      </c>
      <c r="I937">
        <v>0.15890058331118301</v>
      </c>
      <c r="J937">
        <v>0.102251746525792</v>
      </c>
      <c r="K937">
        <v>0.101396035980048</v>
      </c>
      <c r="L937">
        <v>735.23116195974603</v>
      </c>
      <c r="M937">
        <v>14.565377721305399</v>
      </c>
      <c r="N937">
        <v>51.270019567830303</v>
      </c>
      <c r="O937">
        <v>49.555138354373497</v>
      </c>
      <c r="P937">
        <v>-6.6085432509282893E-2</v>
      </c>
      <c r="Q937">
        <v>0.100744013283842</v>
      </c>
      <c r="R937">
        <v>0.99350965700557903</v>
      </c>
      <c r="S937" t="s">
        <v>6763</v>
      </c>
      <c r="T937" t="s">
        <v>11650</v>
      </c>
      <c r="U937" t="s">
        <v>11650</v>
      </c>
      <c r="V937" t="s">
        <v>11650</v>
      </c>
      <c r="W937" t="s">
        <v>12566</v>
      </c>
      <c r="X937">
        <v>13</v>
      </c>
      <c r="Y937" t="s">
        <v>18324</v>
      </c>
      <c r="Z937" t="s">
        <v>23999</v>
      </c>
      <c r="AA937">
        <v>0.43702951711051319</v>
      </c>
      <c r="AB937" t="str">
        <f>HYPERLINK("Melting_Curves/meltCurve_H7C1U3_CC2D1B.pdf", "Melting_Curves/meltCurve_H7C1U3_CC2D1B.pdf")</f>
        <v>Melting_Curves/meltCurve_H7C1U3_CC2D1B.pdf</v>
      </c>
    </row>
    <row r="938" spans="1:28" x14ac:dyDescent="0.25">
      <c r="A938" t="s">
        <v>942</v>
      </c>
      <c r="B938">
        <v>0.99996721820229495</v>
      </c>
      <c r="C938">
        <v>1.04712417448413</v>
      </c>
      <c r="D938">
        <v>0.93771705891537704</v>
      </c>
      <c r="E938">
        <v>1.06703152762911</v>
      </c>
      <c r="F938">
        <v>1.43742853078569</v>
      </c>
      <c r="G938">
        <v>1.5595647542422499</v>
      </c>
      <c r="H938">
        <v>1.2264379486146499</v>
      </c>
      <c r="I938">
        <v>1.00693166563638</v>
      </c>
      <c r="J938">
        <v>0.66271390560180699</v>
      </c>
      <c r="K938">
        <v>0.38088470264792001</v>
      </c>
      <c r="L938">
        <v>15000</v>
      </c>
      <c r="M938">
        <v>224.060095308021</v>
      </c>
      <c r="N938">
        <v>67.377612442105104</v>
      </c>
      <c r="O938">
        <v>66.940991765014104</v>
      </c>
      <c r="P938">
        <v>-0.51809430462045103</v>
      </c>
      <c r="Q938">
        <v>0.38084920492030899</v>
      </c>
      <c r="R938">
        <v>0.462044285784039</v>
      </c>
      <c r="S938" t="s">
        <v>6764</v>
      </c>
      <c r="T938" t="s">
        <v>11650</v>
      </c>
      <c r="U938" t="s">
        <v>11650</v>
      </c>
      <c r="V938" t="s">
        <v>11650</v>
      </c>
      <c r="W938" t="s">
        <v>12567</v>
      </c>
      <c r="X938">
        <v>7</v>
      </c>
      <c r="Y938" t="s">
        <v>18325</v>
      </c>
      <c r="Z938" t="s">
        <v>24000</v>
      </c>
      <c r="AA938">
        <v>0.93706734024800109</v>
      </c>
      <c r="AB938" t="str">
        <f>HYPERLINK("Melting_Curves/meltCurve_H7C1U8_APOO.pdf", "Melting_Curves/meltCurve_H7C1U8_APOO.pdf")</f>
        <v>Melting_Curves/meltCurve_H7C1U8_APOO.pdf</v>
      </c>
    </row>
    <row r="939" spans="1:28" x14ac:dyDescent="0.25">
      <c r="A939" t="s">
        <v>943</v>
      </c>
      <c r="B939">
        <v>0.99996721820229495</v>
      </c>
      <c r="C939">
        <v>1.0608613242021701</v>
      </c>
      <c r="D939">
        <v>1.07388376787853</v>
      </c>
      <c r="E939">
        <v>1.1292254145123</v>
      </c>
      <c r="F939">
        <v>1.4007424072902901</v>
      </c>
      <c r="G939">
        <v>1.63687419346328</v>
      </c>
      <c r="H939">
        <v>0.99447710126884703</v>
      </c>
      <c r="I939">
        <v>0.75439613490440305</v>
      </c>
      <c r="J939">
        <v>0.72439912556243002</v>
      </c>
      <c r="K939">
        <v>0.45796718587396301</v>
      </c>
      <c r="L939">
        <v>2099.5694337938298</v>
      </c>
      <c r="M939">
        <v>31.5256388164048</v>
      </c>
      <c r="N939">
        <v>69.556741730699798</v>
      </c>
      <c r="O939">
        <v>66.332535855474504</v>
      </c>
      <c r="P939">
        <v>-7.4954436429990404E-2</v>
      </c>
      <c r="Q939">
        <v>0.369162187173464</v>
      </c>
      <c r="R939">
        <v>0.39604663534246098</v>
      </c>
      <c r="S939" t="s">
        <v>6765</v>
      </c>
      <c r="T939" t="s">
        <v>11650</v>
      </c>
      <c r="U939" t="s">
        <v>11650</v>
      </c>
      <c r="V939" t="s">
        <v>11650</v>
      </c>
      <c r="W939" t="s">
        <v>12568</v>
      </c>
      <c r="X939">
        <v>6</v>
      </c>
      <c r="Y939" t="s">
        <v>18326</v>
      </c>
      <c r="Z939" t="s">
        <v>24001</v>
      </c>
      <c r="AA939">
        <v>0.92282582407327896</v>
      </c>
      <c r="AB939" t="str">
        <f>HYPERLINK("Melting_Curves/meltCurve_H7C3D8_CMC1.pdf", "Melting_Curves/meltCurve_H7C3D8_CMC1.pdf")</f>
        <v>Melting_Curves/meltCurve_H7C3D8_CMC1.pdf</v>
      </c>
    </row>
    <row r="940" spans="1:28" x14ac:dyDescent="0.25">
      <c r="A940" t="s">
        <v>944</v>
      </c>
      <c r="B940">
        <v>0.99996721820229495</v>
      </c>
      <c r="C940">
        <v>1.20301990412503</v>
      </c>
      <c r="D940">
        <v>1.1654187249822501</v>
      </c>
      <c r="E940">
        <v>1.17062107530961</v>
      </c>
      <c r="F940">
        <v>1.5502868184991001</v>
      </c>
      <c r="G940">
        <v>2.0470140400990999</v>
      </c>
      <c r="H940">
        <v>1.24860968068249</v>
      </c>
      <c r="I940">
        <v>1.35500808265853</v>
      </c>
      <c r="J940">
        <v>0.97568194997100599</v>
      </c>
      <c r="K940">
        <v>0.936824355010761</v>
      </c>
      <c r="L940">
        <v>964.37583214246399</v>
      </c>
      <c r="M940">
        <v>22.065594868873202</v>
      </c>
      <c r="O940">
        <v>43.350741466501603</v>
      </c>
      <c r="P940">
        <v>4.14123058642323E-2</v>
      </c>
      <c r="Q940">
        <v>1.32543234235704</v>
      </c>
      <c r="R940">
        <v>9.8729133383987394E-2</v>
      </c>
      <c r="S940" t="s">
        <v>6766</v>
      </c>
      <c r="T940" t="s">
        <v>11650</v>
      </c>
      <c r="U940" t="s">
        <v>11650</v>
      </c>
      <c r="V940" t="s">
        <v>11650</v>
      </c>
      <c r="W940" t="s">
        <v>12569</v>
      </c>
      <c r="X940">
        <v>2</v>
      </c>
      <c r="Y940" t="s">
        <v>18327</v>
      </c>
      <c r="Z940" t="s">
        <v>24002</v>
      </c>
      <c r="AA940">
        <v>1.2799322668029081</v>
      </c>
      <c r="AB940" t="str">
        <f>HYPERLINK("Melting_Curves/meltCurve_H7C4B9_MDFIC.pdf", "Melting_Curves/meltCurve_H7C4B9_MDFIC.pdf")</f>
        <v>Melting_Curves/meltCurve_H7C4B9_MDFIC.pdf</v>
      </c>
    </row>
    <row r="941" spans="1:28" x14ac:dyDescent="0.25">
      <c r="A941" t="s">
        <v>945</v>
      </c>
      <c r="B941">
        <v>0.99996721820229495</v>
      </c>
      <c r="C941">
        <v>0.79912518494734097</v>
      </c>
      <c r="D941">
        <v>0.65735188628802499</v>
      </c>
      <c r="E941">
        <v>0.57983710257215304</v>
      </c>
      <c r="F941">
        <v>0.432466755817628</v>
      </c>
      <c r="G941">
        <v>0.30412520880474903</v>
      </c>
      <c r="H941">
        <v>0.23052458004173401</v>
      </c>
      <c r="I941">
        <v>0.186616078301584</v>
      </c>
      <c r="J941">
        <v>0.17729196711751699</v>
      </c>
      <c r="K941">
        <v>0.139062406320901</v>
      </c>
      <c r="L941">
        <v>456.889291474917</v>
      </c>
      <c r="M941">
        <v>9.1449481849496799</v>
      </c>
      <c r="N941">
        <v>50.999628972616797</v>
      </c>
      <c r="O941">
        <v>47.745785031132598</v>
      </c>
      <c r="P941">
        <v>-4.38445819555459E-2</v>
      </c>
      <c r="Q941">
        <v>8.4975039402863495E-2</v>
      </c>
      <c r="R941">
        <v>0.98305968893906903</v>
      </c>
      <c r="S941" t="s">
        <v>6767</v>
      </c>
      <c r="T941" t="s">
        <v>11650</v>
      </c>
      <c r="U941" t="s">
        <v>11650</v>
      </c>
      <c r="V941" t="s">
        <v>11650</v>
      </c>
      <c r="W941" t="s">
        <v>12570</v>
      </c>
      <c r="X941">
        <v>13</v>
      </c>
      <c r="Y941" t="s">
        <v>18328</v>
      </c>
      <c r="Z941" t="s">
        <v>24003</v>
      </c>
      <c r="AA941">
        <v>0.43547954543133027</v>
      </c>
      <c r="AB941" t="str">
        <f>HYPERLINK("Melting_Curves/meltCurve_H7C4T5_MBNL1.pdf", "Melting_Curves/meltCurve_H7C4T5_MBNL1.pdf")</f>
        <v>Melting_Curves/meltCurve_H7C4T5_MBNL1.pdf</v>
      </c>
    </row>
    <row r="942" spans="1:28" x14ac:dyDescent="0.25">
      <c r="A942" t="s">
        <v>946</v>
      </c>
      <c r="B942">
        <v>0.99996721820229495</v>
      </c>
      <c r="C942">
        <v>1.07937598910157</v>
      </c>
      <c r="D942">
        <v>1.0757533601581699</v>
      </c>
      <c r="E942">
        <v>0.93625829151387596</v>
      </c>
      <c r="F942">
        <v>0.98339142915261402</v>
      </c>
      <c r="G942">
        <v>1.0929189095963801</v>
      </c>
      <c r="H942">
        <v>0.96186153974220201</v>
      </c>
      <c r="I942">
        <v>0.57092978074797995</v>
      </c>
      <c r="J942">
        <v>0.63370939978379104</v>
      </c>
      <c r="K942">
        <v>0.330021476903676</v>
      </c>
      <c r="L942">
        <v>4408.4357846346702</v>
      </c>
      <c r="M942">
        <v>70.103162828400897</v>
      </c>
      <c r="N942">
        <v>65.523986712766103</v>
      </c>
      <c r="O942">
        <v>62.833862663730102</v>
      </c>
      <c r="P942">
        <v>-0.14774558241234201</v>
      </c>
      <c r="Q942">
        <v>0.47029930099893502</v>
      </c>
      <c r="R942">
        <v>0.88621995091258998</v>
      </c>
      <c r="S942" t="s">
        <v>6768</v>
      </c>
      <c r="T942" t="s">
        <v>11650</v>
      </c>
      <c r="U942" t="s">
        <v>11650</v>
      </c>
      <c r="V942" t="s">
        <v>11650</v>
      </c>
      <c r="W942" t="s">
        <v>12571</v>
      </c>
      <c r="X942">
        <v>4</v>
      </c>
      <c r="Y942" t="s">
        <v>18329</v>
      </c>
      <c r="Z942" t="s">
        <v>24004</v>
      </c>
      <c r="AA942">
        <v>0.87510133506182342</v>
      </c>
      <c r="AB942" t="str">
        <f>HYPERLINK("Melting_Curves/meltCurve_H7C585_FXN.pdf", "Melting_Curves/meltCurve_H7C585_FXN.pdf")</f>
        <v>Melting_Curves/meltCurve_H7C585_FXN.pdf</v>
      </c>
    </row>
    <row r="943" spans="1:28" x14ac:dyDescent="0.25">
      <c r="A943" t="s">
        <v>947</v>
      </c>
      <c r="B943">
        <v>0.99996721820229495</v>
      </c>
      <c r="C943">
        <v>1.04772452964211</v>
      </c>
      <c r="D943">
        <v>0.82216235308558905</v>
      </c>
      <c r="E943">
        <v>0.329056643948133</v>
      </c>
      <c r="F943">
        <v>0.40170046868496101</v>
      </c>
      <c r="G943">
        <v>0.238297030598004</v>
      </c>
      <c r="H943">
        <v>0.14777749372417301</v>
      </c>
      <c r="I943">
        <v>0.13088991175776399</v>
      </c>
      <c r="J943">
        <v>0.14625602063971899</v>
      </c>
      <c r="K943">
        <v>0.104990068717806</v>
      </c>
      <c r="L943">
        <v>1090.6759711699499</v>
      </c>
      <c r="M943">
        <v>22.505367915821399</v>
      </c>
      <c r="N943">
        <v>49.283469116545099</v>
      </c>
      <c r="O943">
        <v>48.085174710592902</v>
      </c>
      <c r="P943">
        <v>-9.8727053812108195E-2</v>
      </c>
      <c r="Q943">
        <v>0.15625307989328999</v>
      </c>
      <c r="R943">
        <v>0.96325933752630899</v>
      </c>
      <c r="S943" t="s">
        <v>6769</v>
      </c>
      <c r="T943" t="s">
        <v>11650</v>
      </c>
      <c r="U943" t="s">
        <v>11650</v>
      </c>
      <c r="V943" t="s">
        <v>11650</v>
      </c>
      <c r="W943" t="s">
        <v>12572</v>
      </c>
      <c r="X943">
        <v>1</v>
      </c>
      <c r="Y943" t="s">
        <v>18330</v>
      </c>
      <c r="Z943" t="s">
        <v>24005</v>
      </c>
      <c r="AA943">
        <v>0.403567374352856</v>
      </c>
      <c r="AB943" t="str">
        <f>HYPERLINK("Melting_Curves/meltCurve_H7C5E4_XRN1.pdf", "Melting_Curves/meltCurve_H7C5E4_XRN1.pdf")</f>
        <v>Melting_Curves/meltCurve_H7C5E4_XRN1.pdf</v>
      </c>
    </row>
    <row r="944" spans="1:28" x14ac:dyDescent="0.25">
      <c r="A944" t="s">
        <v>948</v>
      </c>
      <c r="B944">
        <v>0.99996721820229495</v>
      </c>
      <c r="C944">
        <v>0.88673544508572699</v>
      </c>
      <c r="D944">
        <v>0.965724993040178</v>
      </c>
      <c r="E944">
        <v>0.85280428764780702</v>
      </c>
      <c r="F944">
        <v>1.4917849241743</v>
      </c>
      <c r="G944">
        <v>1.1075939597986</v>
      </c>
      <c r="H944">
        <v>0.88107488855145799</v>
      </c>
      <c r="I944">
        <v>0.69671018610379698</v>
      </c>
      <c r="J944">
        <v>0.451866972179229</v>
      </c>
      <c r="K944">
        <v>0.429812604016238</v>
      </c>
      <c r="L944">
        <v>2608.5264018564999</v>
      </c>
      <c r="M944">
        <v>40.934795494121502</v>
      </c>
      <c r="N944">
        <v>66.381759216784801</v>
      </c>
      <c r="O944">
        <v>63.572424795965503</v>
      </c>
      <c r="P944">
        <v>-9.6117953476273305E-2</v>
      </c>
      <c r="Q944">
        <v>0.40290994859741303</v>
      </c>
      <c r="R944">
        <v>0.66280433243262604</v>
      </c>
      <c r="S944" t="s">
        <v>6770</v>
      </c>
      <c r="T944" t="s">
        <v>11650</v>
      </c>
      <c r="U944" t="s">
        <v>11650</v>
      </c>
      <c r="V944" t="s">
        <v>11650</v>
      </c>
      <c r="W944" t="s">
        <v>12573</v>
      </c>
      <c r="X944">
        <v>1</v>
      </c>
      <c r="Y944" t="s">
        <v>18331</v>
      </c>
      <c r="Z944" t="s">
        <v>24006</v>
      </c>
      <c r="AA944">
        <v>0.87660272107286175</v>
      </c>
      <c r="AB944" t="str">
        <f>HYPERLINK("Melting_Curves/meltCurve_H7C5F7_NDFIP2.pdf", "Melting_Curves/meltCurve_H7C5F7_NDFIP2.pdf")</f>
        <v>Melting_Curves/meltCurve_H7C5F7_NDFIP2.pdf</v>
      </c>
    </row>
    <row r="945" spans="1:28" x14ac:dyDescent="0.25">
      <c r="A945" t="s">
        <v>949</v>
      </c>
      <c r="B945">
        <v>0.99996721820229495</v>
      </c>
      <c r="C945">
        <v>0.91769275116412896</v>
      </c>
      <c r="D945">
        <v>0.931588618624836</v>
      </c>
      <c r="E945">
        <v>0.87623410578596395</v>
      </c>
      <c r="F945">
        <v>1.04256244218742</v>
      </c>
      <c r="G945">
        <v>0.99499027691947695</v>
      </c>
      <c r="H945">
        <v>0.73424405439344098</v>
      </c>
      <c r="I945">
        <v>0.44505442633604197</v>
      </c>
      <c r="J945">
        <v>0.125128134872691</v>
      </c>
      <c r="K945">
        <v>5.74541584426006E-2</v>
      </c>
      <c r="L945">
        <v>1956.7396368161501</v>
      </c>
      <c r="M945">
        <v>30.916725229476199</v>
      </c>
      <c r="N945">
        <v>63.290649951279697</v>
      </c>
      <c r="O945">
        <v>63.0276249838046</v>
      </c>
      <c r="P945">
        <v>-0.12263235345522901</v>
      </c>
      <c r="Q945">
        <v>0</v>
      </c>
      <c r="R945">
        <v>0.97412717140485905</v>
      </c>
      <c r="S945" t="s">
        <v>6771</v>
      </c>
      <c r="T945" t="s">
        <v>11650</v>
      </c>
      <c r="U945" t="s">
        <v>11650</v>
      </c>
      <c r="V945" t="s">
        <v>11650</v>
      </c>
      <c r="W945" t="s">
        <v>12574</v>
      </c>
      <c r="X945">
        <v>7</v>
      </c>
      <c r="Y945" t="s">
        <v>18332</v>
      </c>
      <c r="Z945" t="s">
        <v>24007</v>
      </c>
      <c r="AA945">
        <v>0.77917803867054802</v>
      </c>
      <c r="AB945" t="str">
        <f>HYPERLINK("Melting_Curves/meltCurve_H7C5G1_IAH1.pdf", "Melting_Curves/meltCurve_H7C5G1_IAH1.pdf")</f>
        <v>Melting_Curves/meltCurve_H7C5G1_IAH1.pdf</v>
      </c>
    </row>
    <row r="946" spans="1:28" x14ac:dyDescent="0.25">
      <c r="A946" t="s">
        <v>950</v>
      </c>
      <c r="B946">
        <v>0.99996721820229495</v>
      </c>
      <c r="C946">
        <v>0.92012407266359497</v>
      </c>
      <c r="D946">
        <v>1.01813527869217</v>
      </c>
      <c r="E946">
        <v>1.1919071773113601</v>
      </c>
      <c r="F946">
        <v>1.78548648138306</v>
      </c>
      <c r="G946">
        <v>2.18228077345944</v>
      </c>
      <c r="H946">
        <v>1.7737838789693701</v>
      </c>
      <c r="I946">
        <v>1.4199365129706401</v>
      </c>
      <c r="J946">
        <v>1.0257741185956299</v>
      </c>
      <c r="K946">
        <v>1.06825226782156</v>
      </c>
      <c r="L946">
        <v>12523.6689271736</v>
      </c>
      <c r="M946">
        <v>250</v>
      </c>
      <c r="O946">
        <v>50.091469406669702</v>
      </c>
      <c r="P946">
        <v>0.62385871382826397</v>
      </c>
      <c r="Q946">
        <v>1.5</v>
      </c>
      <c r="R946">
        <v>0.381739868724221</v>
      </c>
      <c r="S946" t="s">
        <v>6772</v>
      </c>
      <c r="T946" t="s">
        <v>11650</v>
      </c>
      <c r="U946" t="s">
        <v>11650</v>
      </c>
      <c r="V946" t="s">
        <v>11650</v>
      </c>
      <c r="W946" t="s">
        <v>12575</v>
      </c>
      <c r="X946">
        <v>3</v>
      </c>
      <c r="Y946" t="s">
        <v>18333</v>
      </c>
      <c r="Z946" t="s">
        <v>24008</v>
      </c>
      <c r="AA946">
        <v>1.331711447166982</v>
      </c>
      <c r="AB946" t="str">
        <f>HYPERLINK("Melting_Curves/meltCurve_H7C5H4_GPM6B.pdf", "Melting_Curves/meltCurve_H7C5H4_GPM6B.pdf")</f>
        <v>Melting_Curves/meltCurve_H7C5H4_GPM6B.pdf</v>
      </c>
    </row>
    <row r="947" spans="1:28" x14ac:dyDescent="0.25">
      <c r="A947" t="s">
        <v>951</v>
      </c>
      <c r="B947">
        <v>0.99996721820229495</v>
      </c>
      <c r="C947">
        <v>0.91651986404284802</v>
      </c>
      <c r="D947">
        <v>1.0033783550803099</v>
      </c>
      <c r="E947">
        <v>1.1590830332209401</v>
      </c>
      <c r="F947">
        <v>0.56890745330804504</v>
      </c>
      <c r="G947">
        <v>0.51901647846919097</v>
      </c>
      <c r="H947">
        <v>0.33030280097978298</v>
      </c>
      <c r="I947">
        <v>0.21921956307676899</v>
      </c>
      <c r="J947">
        <v>0.190499241145378</v>
      </c>
      <c r="K947">
        <v>0.15220075052805199</v>
      </c>
      <c r="L947">
        <v>1124.0720755703701</v>
      </c>
      <c r="M947">
        <v>20.325071090792701</v>
      </c>
      <c r="N947">
        <v>56.501726897905598</v>
      </c>
      <c r="O947">
        <v>54.777692102386503</v>
      </c>
      <c r="P947">
        <v>-7.6536252048202594E-2</v>
      </c>
      <c r="Q947">
        <v>0.174939920238015</v>
      </c>
      <c r="R947">
        <v>0.91790216578382799</v>
      </c>
      <c r="S947" t="s">
        <v>6773</v>
      </c>
      <c r="T947" t="s">
        <v>11650</v>
      </c>
      <c r="U947" t="s">
        <v>11650</v>
      </c>
      <c r="V947" t="s">
        <v>11650</v>
      </c>
      <c r="W947" t="s">
        <v>12576</v>
      </c>
      <c r="X947">
        <v>5</v>
      </c>
      <c r="Y947" t="s">
        <v>18334</v>
      </c>
      <c r="Z947" t="s">
        <v>24009</v>
      </c>
      <c r="AA947">
        <v>0.60648692609682042</v>
      </c>
      <c r="AB947" t="str">
        <f>HYPERLINK("Melting_Curves/meltCurve_H9KV44_EFR3A.pdf", "Melting_Curves/meltCurve_H9KV44_EFR3A.pdf")</f>
        <v>Melting_Curves/meltCurve_H9KV44_EFR3A.pdf</v>
      </c>
    </row>
    <row r="948" spans="1:28" x14ac:dyDescent="0.25">
      <c r="A948" t="s">
        <v>952</v>
      </c>
      <c r="B948">
        <v>0.99996721820229495</v>
      </c>
      <c r="C948">
        <v>0.90402649440517102</v>
      </c>
      <c r="D948">
        <v>0.83965308286311602</v>
      </c>
      <c r="E948">
        <v>0.62991426423784702</v>
      </c>
      <c r="F948">
        <v>0.34062204370556398</v>
      </c>
      <c r="G948">
        <v>0.21586242748720499</v>
      </c>
      <c r="H948">
        <v>0.12323531125031</v>
      </c>
      <c r="I948">
        <v>8.52076424437853E-2</v>
      </c>
      <c r="J948">
        <v>5.4559685422226598E-2</v>
      </c>
      <c r="K948">
        <v>4.74345659676913E-2</v>
      </c>
      <c r="L948">
        <v>750.32694943423996</v>
      </c>
      <c r="M948">
        <v>14.7058679865582</v>
      </c>
      <c r="N948">
        <v>51.262884829017501</v>
      </c>
      <c r="O948">
        <v>50.106681778704001</v>
      </c>
      <c r="P948">
        <v>-7.09340207866683E-2</v>
      </c>
      <c r="Q948">
        <v>3.3343839637046901E-2</v>
      </c>
      <c r="R948">
        <v>0.99538191959739297</v>
      </c>
      <c r="S948" t="s">
        <v>6774</v>
      </c>
      <c r="T948" t="s">
        <v>11650</v>
      </c>
      <c r="U948" t="s">
        <v>11650</v>
      </c>
      <c r="V948" t="s">
        <v>11650</v>
      </c>
      <c r="W948" t="s">
        <v>12577</v>
      </c>
      <c r="X948">
        <v>3</v>
      </c>
      <c r="Y948" t="s">
        <v>18335</v>
      </c>
      <c r="Z948" t="s">
        <v>24010</v>
      </c>
      <c r="AA948">
        <v>0.41155868179495381</v>
      </c>
      <c r="AB948" t="str">
        <f>HYPERLINK("Melting_Curves/meltCurve_H9KV50_SEPN1.pdf", "Melting_Curves/meltCurve_H9KV50_SEPN1.pdf")</f>
        <v>Melting_Curves/meltCurve_H9KV50_SEPN1.pdf</v>
      </c>
    </row>
    <row r="949" spans="1:28" x14ac:dyDescent="0.25">
      <c r="A949" t="s">
        <v>953</v>
      </c>
      <c r="B949">
        <v>0.99996721820229495</v>
      </c>
      <c r="C949">
        <v>0.89631784794233005</v>
      </c>
      <c r="D949">
        <v>0.80235314778364997</v>
      </c>
      <c r="E949">
        <v>0.97899850374430297</v>
      </c>
      <c r="F949">
        <v>1.2339416181362399</v>
      </c>
      <c r="G949">
        <v>1.75951014497237</v>
      </c>
      <c r="H949">
        <v>0.873762008012122</v>
      </c>
      <c r="I949">
        <v>0.40324002119510899</v>
      </c>
      <c r="J949">
        <v>0.31823096071572698</v>
      </c>
      <c r="K949">
        <v>0.23953247216020801</v>
      </c>
      <c r="L949">
        <v>4330.82305171386</v>
      </c>
      <c r="M949">
        <v>69.280277266493002</v>
      </c>
      <c r="N949">
        <v>63.248038279859898</v>
      </c>
      <c r="O949">
        <v>62.459631130563601</v>
      </c>
      <c r="P949">
        <v>-0.20053727359819301</v>
      </c>
      <c r="Q949">
        <v>0.27682296921843103</v>
      </c>
      <c r="R949">
        <v>0.63383814938108496</v>
      </c>
      <c r="S949" t="s">
        <v>6775</v>
      </c>
      <c r="T949" t="s">
        <v>11650</v>
      </c>
      <c r="U949" t="s">
        <v>11650</v>
      </c>
      <c r="V949" t="s">
        <v>11650</v>
      </c>
      <c r="W949" t="s">
        <v>12578</v>
      </c>
      <c r="X949">
        <v>6</v>
      </c>
      <c r="Y949" t="s">
        <v>18336</v>
      </c>
      <c r="Z949" t="s">
        <v>24011</v>
      </c>
      <c r="AA949">
        <v>0.82050491101939893</v>
      </c>
      <c r="AB949" t="str">
        <f>HYPERLINK("Melting_Curves/meltCurve_H9KV65_SGIP1.pdf", "Melting_Curves/meltCurve_H9KV65_SGIP1.pdf")</f>
        <v>Melting_Curves/meltCurve_H9KV65_SGIP1.pdf</v>
      </c>
    </row>
    <row r="950" spans="1:28" x14ac:dyDescent="0.25">
      <c r="A950" t="s">
        <v>954</v>
      </c>
      <c r="B950">
        <v>0.99996721820229495</v>
      </c>
      <c r="C950">
        <v>0.75141233319008904</v>
      </c>
      <c r="D950">
        <v>0.711265449674235</v>
      </c>
      <c r="E950">
        <v>1.19194559109903</v>
      </c>
      <c r="F950">
        <v>1.3217052123269799</v>
      </c>
      <c r="G950">
        <v>0.81484067458684695</v>
      </c>
      <c r="H950">
        <v>0.64551755246692299</v>
      </c>
      <c r="I950">
        <v>0.52785898970656098</v>
      </c>
      <c r="J950">
        <v>0.40898047091503098</v>
      </c>
      <c r="K950">
        <v>0.37744216313110002</v>
      </c>
      <c r="L950">
        <v>1739.5999063490201</v>
      </c>
      <c r="M950">
        <v>28.8430127168428</v>
      </c>
      <c r="N950">
        <v>63.5863866975359</v>
      </c>
      <c r="O950">
        <v>60.025011488505903</v>
      </c>
      <c r="P950">
        <v>-7.3670393785084498E-2</v>
      </c>
      <c r="Q950">
        <v>0.38674475053284402</v>
      </c>
      <c r="R950">
        <v>0.66236654387815097</v>
      </c>
      <c r="S950" t="s">
        <v>6776</v>
      </c>
      <c r="T950" t="s">
        <v>11650</v>
      </c>
      <c r="U950" t="s">
        <v>11650</v>
      </c>
      <c r="V950" t="s">
        <v>11650</v>
      </c>
      <c r="W950" t="s">
        <v>12579</v>
      </c>
      <c r="X950">
        <v>3</v>
      </c>
      <c r="Y950" t="s">
        <v>18337</v>
      </c>
      <c r="Z950" t="s">
        <v>24012</v>
      </c>
      <c r="AA950">
        <v>0.8057821081670562</v>
      </c>
      <c r="AB950" t="str">
        <f>HYPERLINK("Melting_Curves/meltCurve_H9KVB8_MICU1.pdf", "Melting_Curves/meltCurve_H9KVB8_MICU1.pdf")</f>
        <v>Melting_Curves/meltCurve_H9KVB8_MICU1.pdf</v>
      </c>
    </row>
    <row r="951" spans="1:28" x14ac:dyDescent="0.25">
      <c r="A951" t="s">
        <v>955</v>
      </c>
      <c r="B951">
        <v>0.99996721820229495</v>
      </c>
      <c r="C951">
        <v>1.05122326770906</v>
      </c>
      <c r="D951">
        <v>0.94884681343864896</v>
      </c>
      <c r="E951">
        <v>0.75675112821228097</v>
      </c>
      <c r="F951">
        <v>0.69684238116582398</v>
      </c>
      <c r="G951">
        <v>0.66751076844722801</v>
      </c>
      <c r="H951">
        <v>0.46503357939365197</v>
      </c>
      <c r="I951">
        <v>0.415476387184461</v>
      </c>
      <c r="J951">
        <v>0.37847964176320298</v>
      </c>
      <c r="K951">
        <v>0.26814084344726402</v>
      </c>
      <c r="L951">
        <v>497.14865392522</v>
      </c>
      <c r="M951">
        <v>8.5473146209883808</v>
      </c>
      <c r="N951">
        <v>60.410521690399896</v>
      </c>
      <c r="O951">
        <v>55.242806723697399</v>
      </c>
      <c r="P951">
        <v>-3.3444555270460002E-2</v>
      </c>
      <c r="Q951">
        <v>0.13612969957482801</v>
      </c>
      <c r="R951">
        <v>0.96746266549497395</v>
      </c>
      <c r="S951" t="s">
        <v>6777</v>
      </c>
      <c r="T951" t="s">
        <v>11650</v>
      </c>
      <c r="U951" t="s">
        <v>11650</v>
      </c>
      <c r="V951" t="s">
        <v>11650</v>
      </c>
      <c r="W951" t="s">
        <v>12242</v>
      </c>
      <c r="X951">
        <v>14</v>
      </c>
      <c r="Z951" t="s">
        <v>24013</v>
      </c>
      <c r="AA951">
        <v>0.6630503104787987</v>
      </c>
      <c r="AB951" t="str">
        <f>HYPERLINK("Melting_Curves/meltCurve_I3L097_.pdf", "Melting_Curves/meltCurve_I3L097_.pdf")</f>
        <v>Melting_Curves/meltCurve_I3L097_.pdf</v>
      </c>
    </row>
    <row r="952" spans="1:28" x14ac:dyDescent="0.25">
      <c r="A952" t="s">
        <v>956</v>
      </c>
      <c r="B952">
        <v>0.99996721820229495</v>
      </c>
      <c r="C952">
        <v>0.88523696753338499</v>
      </c>
      <c r="D952">
        <v>1.2793794209763401</v>
      </c>
      <c r="E952">
        <v>2.6081209930843801</v>
      </c>
      <c r="F952">
        <v>4.3332937294710998</v>
      </c>
      <c r="G952">
        <v>5.0582560740621698</v>
      </c>
      <c r="H952">
        <v>2.74957726827384</v>
      </c>
      <c r="I952">
        <v>2.1265919309482699</v>
      </c>
      <c r="J952">
        <v>1.8264801382057401</v>
      </c>
      <c r="K952">
        <v>1.65911020552667</v>
      </c>
      <c r="L952">
        <v>11489.138132993299</v>
      </c>
      <c r="M952">
        <v>250</v>
      </c>
      <c r="O952">
        <v>45.9536119204041</v>
      </c>
      <c r="P952">
        <v>0.68003360207608499</v>
      </c>
      <c r="Q952">
        <v>1.5</v>
      </c>
      <c r="R952">
        <v>-0.37942718623203803</v>
      </c>
      <c r="S952" t="s">
        <v>6778</v>
      </c>
      <c r="T952" t="s">
        <v>11650</v>
      </c>
      <c r="U952" t="s">
        <v>11650</v>
      </c>
      <c r="V952" t="s">
        <v>11650</v>
      </c>
      <c r="W952" t="s">
        <v>12580</v>
      </c>
      <c r="X952">
        <v>6</v>
      </c>
      <c r="Y952" t="s">
        <v>18338</v>
      </c>
      <c r="Z952" t="s">
        <v>24014</v>
      </c>
      <c r="AA952">
        <v>1.4006837979498881</v>
      </c>
      <c r="AB952" t="str">
        <f>HYPERLINK("Melting_Curves/meltCurve_I3L0A4_WASH6P.pdf", "Melting_Curves/meltCurve_I3L0A4_WASH6P.pdf")</f>
        <v>Melting_Curves/meltCurve_I3L0A4_WASH6P.pdf</v>
      </c>
    </row>
    <row r="953" spans="1:28" x14ac:dyDescent="0.25">
      <c r="A953" t="s">
        <v>957</v>
      </c>
      <c r="B953">
        <v>0.99996721820229495</v>
      </c>
      <c r="C953">
        <v>0.99935372424311397</v>
      </c>
      <c r="D953">
        <v>0.86826635023785703</v>
      </c>
      <c r="E953">
        <v>0.84199334666269299</v>
      </c>
      <c r="F953">
        <v>0.92009744478876898</v>
      </c>
      <c r="G953">
        <v>0.63062442044539602</v>
      </c>
      <c r="H953">
        <v>0.36398543392273902</v>
      </c>
      <c r="I953">
        <v>0.227359558409927</v>
      </c>
      <c r="J953">
        <v>0.193800329218004</v>
      </c>
      <c r="K953">
        <v>0.135834766953636</v>
      </c>
      <c r="L953">
        <v>888.48439249301805</v>
      </c>
      <c r="M953">
        <v>15.1917396327608</v>
      </c>
      <c r="N953">
        <v>58.935875961584898</v>
      </c>
      <c r="O953">
        <v>57.499396790723203</v>
      </c>
      <c r="P953">
        <v>-6.2431844726241303E-2</v>
      </c>
      <c r="Q953">
        <v>5.4894732101809403E-2</v>
      </c>
      <c r="R953">
        <v>0.97283256573774601</v>
      </c>
      <c r="S953" t="s">
        <v>6779</v>
      </c>
      <c r="T953" t="s">
        <v>11650</v>
      </c>
      <c r="U953" t="s">
        <v>11650</v>
      </c>
      <c r="V953" t="s">
        <v>11650</v>
      </c>
      <c r="W953" t="s">
        <v>12581</v>
      </c>
      <c r="X953">
        <v>7</v>
      </c>
      <c r="Y953" t="s">
        <v>18339</v>
      </c>
      <c r="Z953" t="s">
        <v>24015</v>
      </c>
      <c r="AA953">
        <v>0.64865264463804051</v>
      </c>
      <c r="AB953" t="str">
        <f>HYPERLINK("Melting_Curves/meltCurve_I3L0K1_GOSR2.pdf", "Melting_Curves/meltCurve_I3L0K1_GOSR2.pdf")</f>
        <v>Melting_Curves/meltCurve_I3L0K1_GOSR2.pdf</v>
      </c>
    </row>
    <row r="954" spans="1:28" x14ac:dyDescent="0.25">
      <c r="A954" t="s">
        <v>958</v>
      </c>
      <c r="B954">
        <v>0.99996721820229495</v>
      </c>
      <c r="C954">
        <v>0.95130453255669201</v>
      </c>
      <c r="D954">
        <v>1.01130491110596</v>
      </c>
      <c r="E954">
        <v>1.1148137467667301</v>
      </c>
      <c r="F954">
        <v>1.5714917295484001</v>
      </c>
      <c r="G954">
        <v>1.4367018030119401</v>
      </c>
      <c r="H954">
        <v>0.70976905706706395</v>
      </c>
      <c r="I954">
        <v>0.43808920871859203</v>
      </c>
      <c r="J954">
        <v>0.257809248248899</v>
      </c>
      <c r="K954">
        <v>0.24033399415664899</v>
      </c>
      <c r="L954">
        <v>3236.4894742972901</v>
      </c>
      <c r="M954">
        <v>52.270666250951699</v>
      </c>
      <c r="N954">
        <v>62.806122509338202</v>
      </c>
      <c r="O954">
        <v>61.827459868775897</v>
      </c>
      <c r="P954">
        <v>-0.15613792682008501</v>
      </c>
      <c r="Q954">
        <v>0.26126021217066098</v>
      </c>
      <c r="R954">
        <v>0.71134759541706305</v>
      </c>
      <c r="S954" t="s">
        <v>6780</v>
      </c>
      <c r="T954" t="s">
        <v>11650</v>
      </c>
      <c r="U954" t="s">
        <v>11650</v>
      </c>
      <c r="V954" t="s">
        <v>11650</v>
      </c>
      <c r="W954" t="s">
        <v>12582</v>
      </c>
      <c r="X954">
        <v>4</v>
      </c>
      <c r="Y954" t="s">
        <v>18340</v>
      </c>
      <c r="Z954" t="s">
        <v>24016</v>
      </c>
      <c r="AA954">
        <v>0.80273288776179375</v>
      </c>
      <c r="AB954" t="str">
        <f>HYPERLINK("Melting_Curves/meltCurve_I3L0L6_RNF167.pdf", "Melting_Curves/meltCurve_I3L0L6_RNF167.pdf")</f>
        <v>Melting_Curves/meltCurve_I3L0L6_RNF167.pdf</v>
      </c>
    </row>
    <row r="955" spans="1:28" x14ac:dyDescent="0.25">
      <c r="A955" t="s">
        <v>959</v>
      </c>
      <c r="B955">
        <v>0.99996721820229495</v>
      </c>
      <c r="C955">
        <v>1.1292738746290001</v>
      </c>
      <c r="D955">
        <v>1.0384581632954</v>
      </c>
      <c r="E955">
        <v>0.70311072537312203</v>
      </c>
      <c r="F955">
        <v>0.44827378678643898</v>
      </c>
      <c r="G955">
        <v>0.39130675611378901</v>
      </c>
      <c r="H955">
        <v>0.27533083219918902</v>
      </c>
      <c r="I955">
        <v>0.157405817842586</v>
      </c>
      <c r="J955">
        <v>0.1001006678632</v>
      </c>
      <c r="K955">
        <v>9.9323013100913404E-2</v>
      </c>
      <c r="L955">
        <v>920.27605588991196</v>
      </c>
      <c r="M955">
        <v>17.533939740580301</v>
      </c>
      <c r="N955">
        <v>53.401636030819198</v>
      </c>
      <c r="O955">
        <v>51.816985895201597</v>
      </c>
      <c r="P955">
        <v>-7.3610738291779804E-2</v>
      </c>
      <c r="Q955">
        <v>0.12989822915287699</v>
      </c>
      <c r="R955">
        <v>0.96028819772964302</v>
      </c>
      <c r="S955" t="s">
        <v>6781</v>
      </c>
      <c r="T955" t="s">
        <v>11650</v>
      </c>
      <c r="U955" t="s">
        <v>11650</v>
      </c>
      <c r="V955" t="s">
        <v>11650</v>
      </c>
      <c r="W955" t="s">
        <v>12583</v>
      </c>
      <c r="X955">
        <v>21</v>
      </c>
      <c r="Y955" t="s">
        <v>18341</v>
      </c>
      <c r="Z955" t="s">
        <v>24017</v>
      </c>
      <c r="AA955">
        <v>0.5070262990387534</v>
      </c>
      <c r="AB955" t="str">
        <f>HYPERLINK("Melting_Curves/meltCurve_I3L0N3_NSF.pdf", "Melting_Curves/meltCurve_I3L0N3_NSF.pdf")</f>
        <v>Melting_Curves/meltCurve_I3L0N3_NSF.pdf</v>
      </c>
    </row>
    <row r="956" spans="1:28" x14ac:dyDescent="0.25">
      <c r="A956" t="s">
        <v>960</v>
      </c>
      <c r="B956">
        <v>0.99996721820229495</v>
      </c>
      <c r="C956">
        <v>0.94758419279730599</v>
      </c>
      <c r="D956">
        <v>0.88625062508319596</v>
      </c>
      <c r="E956">
        <v>0.90002593698636302</v>
      </c>
      <c r="F956">
        <v>0.86089304238713105</v>
      </c>
      <c r="G956">
        <v>0.734747496918706</v>
      </c>
      <c r="H956">
        <v>0.57152315541397403</v>
      </c>
      <c r="I956">
        <v>0.77201720011710995</v>
      </c>
      <c r="J956">
        <v>0.77178196900533003</v>
      </c>
      <c r="K956">
        <v>0.84015686142451895</v>
      </c>
      <c r="L956">
        <v>691.67413106613606</v>
      </c>
      <c r="M956">
        <v>14.049289431815399</v>
      </c>
      <c r="O956">
        <v>48.266707665488802</v>
      </c>
      <c r="P956">
        <v>-1.91651553720373E-2</v>
      </c>
      <c r="Q956">
        <v>0.73666476781382295</v>
      </c>
      <c r="R956">
        <v>0.60593333978111397</v>
      </c>
      <c r="S956" t="s">
        <v>6782</v>
      </c>
      <c r="T956" t="s">
        <v>11650</v>
      </c>
      <c r="U956" t="s">
        <v>11650</v>
      </c>
      <c r="V956" t="s">
        <v>11650</v>
      </c>
      <c r="W956" t="s">
        <v>12584</v>
      </c>
      <c r="X956">
        <v>2</v>
      </c>
      <c r="Y956" t="s">
        <v>18342</v>
      </c>
      <c r="Z956" t="s">
        <v>24018</v>
      </c>
      <c r="AA956">
        <v>0.82496624022088461</v>
      </c>
      <c r="AB956" t="str">
        <f>HYPERLINK("Melting_Curves/meltCurve_I3L172_FAM195A.pdf", "Melting_Curves/meltCurve_I3L172_FAM195A.pdf")</f>
        <v>Melting_Curves/meltCurve_I3L172_FAM195A.pdf</v>
      </c>
    </row>
    <row r="957" spans="1:28" x14ac:dyDescent="0.25">
      <c r="A957" t="s">
        <v>961</v>
      </c>
      <c r="B957">
        <v>0.99996721820229495</v>
      </c>
      <c r="C957">
        <v>0.94184130662006205</v>
      </c>
      <c r="D957">
        <v>0.94197741655936296</v>
      </c>
      <c r="E957">
        <v>0.92234069144830599</v>
      </c>
      <c r="F957">
        <v>1.0491598865549701</v>
      </c>
      <c r="G957">
        <v>1.1500880067816699</v>
      </c>
      <c r="H957">
        <v>0.70749087206114303</v>
      </c>
      <c r="I957">
        <v>0.742715565540502</v>
      </c>
      <c r="J957">
        <v>0.64919072684345203</v>
      </c>
      <c r="K957">
        <v>0.38411972693466101</v>
      </c>
      <c r="L957">
        <v>1052.62043258222</v>
      </c>
      <c r="M957">
        <v>15.388148172881399</v>
      </c>
      <c r="N957">
        <v>68.404620751138907</v>
      </c>
      <c r="O957">
        <v>67.280624984164604</v>
      </c>
      <c r="P957">
        <v>-5.7184199308584503E-2</v>
      </c>
      <c r="Q957">
        <v>0</v>
      </c>
      <c r="R957">
        <v>0.81805942397166997</v>
      </c>
      <c r="S957" t="s">
        <v>6783</v>
      </c>
      <c r="T957" t="s">
        <v>11650</v>
      </c>
      <c r="U957" t="s">
        <v>11650</v>
      </c>
      <c r="V957" t="s">
        <v>11650</v>
      </c>
      <c r="W957" t="s">
        <v>12585</v>
      </c>
      <c r="X957">
        <v>2</v>
      </c>
      <c r="Y957" t="s">
        <v>18343</v>
      </c>
      <c r="Z957" t="s">
        <v>24019</v>
      </c>
      <c r="AA957">
        <v>0.88152140515821276</v>
      </c>
      <c r="AB957" t="str">
        <f>HYPERLINK("Melting_Curves/meltCurve_I3L1B5_RPGRIP1L.pdf", "Melting_Curves/meltCurve_I3L1B5_RPGRIP1L.pdf")</f>
        <v>Melting_Curves/meltCurve_I3L1B5_RPGRIP1L.pdf</v>
      </c>
    </row>
    <row r="958" spans="1:28" x14ac:dyDescent="0.25">
      <c r="A958" t="s">
        <v>962</v>
      </c>
      <c r="B958">
        <v>0.99996721820229495</v>
      </c>
      <c r="C958">
        <v>0.81212961631998104</v>
      </c>
      <c r="D958">
        <v>0.73923218234661303</v>
      </c>
      <c r="E958">
        <v>0.67831867429398796</v>
      </c>
      <c r="F958">
        <v>0.80363902222190398</v>
      </c>
      <c r="G958">
        <v>0.506817097628806</v>
      </c>
      <c r="H958">
        <v>0.28671756045486502</v>
      </c>
      <c r="I958">
        <v>3.6222786159128398E-2</v>
      </c>
      <c r="J958">
        <v>6.0094737997074002E-2</v>
      </c>
      <c r="K958">
        <v>3.1584369671867597E-2</v>
      </c>
      <c r="L958">
        <v>612.77876647265998</v>
      </c>
      <c r="M958">
        <v>11.0745189661603</v>
      </c>
      <c r="N958">
        <v>55.332314506118799</v>
      </c>
      <c r="O958">
        <v>53.620017815809703</v>
      </c>
      <c r="P958">
        <v>-5.1651229570083501E-2</v>
      </c>
      <c r="Q958">
        <v>0</v>
      </c>
      <c r="R958">
        <v>0.893116470756391</v>
      </c>
      <c r="S958" t="s">
        <v>6784</v>
      </c>
      <c r="T958" t="s">
        <v>11650</v>
      </c>
      <c r="U958" t="s">
        <v>11650</v>
      </c>
      <c r="V958" t="s">
        <v>11650</v>
      </c>
      <c r="W958" t="s">
        <v>12586</v>
      </c>
      <c r="X958">
        <v>1</v>
      </c>
      <c r="Y958" t="s">
        <v>18344</v>
      </c>
      <c r="Z958" t="s">
        <v>24020</v>
      </c>
      <c r="AA958">
        <v>0.53452916029097508</v>
      </c>
      <c r="AB958" t="str">
        <f>HYPERLINK("Melting_Curves/meltCurve_I3L1D5_ALOX15B.pdf", "Melting_Curves/meltCurve_I3L1D5_ALOX15B.pdf")</f>
        <v>Melting_Curves/meltCurve_I3L1D5_ALOX15B.pdf</v>
      </c>
    </row>
    <row r="959" spans="1:28" x14ac:dyDescent="0.25">
      <c r="A959" t="s">
        <v>963</v>
      </c>
      <c r="B959">
        <v>0.99996721820229495</v>
      </c>
      <c r="C959">
        <v>0.90556017120140997</v>
      </c>
      <c r="D959">
        <v>1.0482777154934799</v>
      </c>
      <c r="E959">
        <v>0.68779815529490695</v>
      </c>
      <c r="F959">
        <v>0.43981297110011103</v>
      </c>
      <c r="G959">
        <v>0.17902732325597201</v>
      </c>
      <c r="H959">
        <v>8.4801605819122897E-2</v>
      </c>
      <c r="I959">
        <v>3.8799172541941603E-2</v>
      </c>
      <c r="J959">
        <v>2.9464331553318401E-2</v>
      </c>
      <c r="K959">
        <v>3.2248485547980599E-2</v>
      </c>
      <c r="L959">
        <v>1117.3371370648199</v>
      </c>
      <c r="M959">
        <v>21.4203179227002</v>
      </c>
      <c r="N959">
        <v>52.315691356380697</v>
      </c>
      <c r="O959">
        <v>51.714246004549899</v>
      </c>
      <c r="P959">
        <v>-0.10040613050503699</v>
      </c>
      <c r="Q959">
        <v>3.03974928991338E-2</v>
      </c>
      <c r="R959">
        <v>0.98835368912553001</v>
      </c>
      <c r="S959" t="s">
        <v>6785</v>
      </c>
      <c r="T959" t="s">
        <v>11650</v>
      </c>
      <c r="U959" t="s">
        <v>11650</v>
      </c>
      <c r="V959" t="s">
        <v>11650</v>
      </c>
      <c r="W959" t="s">
        <v>12587</v>
      </c>
      <c r="X959">
        <v>1</v>
      </c>
      <c r="Y959" t="s">
        <v>18345</v>
      </c>
      <c r="Z959" t="s">
        <v>24021</v>
      </c>
      <c r="AA959">
        <v>0.43533731550713212</v>
      </c>
      <c r="AB959" t="str">
        <f>HYPERLINK("Melting_Curves/meltCurve_I3L1D9_CTDNEP1.pdf", "Melting_Curves/meltCurve_I3L1D9_CTDNEP1.pdf")</f>
        <v>Melting_Curves/meltCurve_I3L1D9_CTDNEP1.pdf</v>
      </c>
    </row>
    <row r="960" spans="1:28" x14ac:dyDescent="0.25">
      <c r="A960" t="s">
        <v>964</v>
      </c>
      <c r="B960">
        <v>0.99996721820229495</v>
      </c>
      <c r="C960">
        <v>1.0556119714355501</v>
      </c>
      <c r="D960">
        <v>0.93047984386127403</v>
      </c>
      <c r="E960">
        <v>0.826212399253208</v>
      </c>
      <c r="F960">
        <v>0.55175057455984</v>
      </c>
      <c r="G960">
        <v>0.38280832894560801</v>
      </c>
      <c r="H960">
        <v>0.192240951714412</v>
      </c>
      <c r="I960">
        <v>0.130706525804238</v>
      </c>
      <c r="J960">
        <v>0.133178435309911</v>
      </c>
      <c r="K960">
        <v>9.4054812090669307E-2</v>
      </c>
      <c r="L960">
        <v>891.98939297960703</v>
      </c>
      <c r="M960">
        <v>16.5788586940484</v>
      </c>
      <c r="N960">
        <v>54.409982857474702</v>
      </c>
      <c r="O960">
        <v>53.0383095785077</v>
      </c>
      <c r="P960">
        <v>-7.1551217652426405E-2</v>
      </c>
      <c r="Q960">
        <v>8.4449211427391202E-2</v>
      </c>
      <c r="R960">
        <v>0.99260686376802498</v>
      </c>
      <c r="S960" t="s">
        <v>6786</v>
      </c>
      <c r="T960" t="s">
        <v>11650</v>
      </c>
      <c r="U960" t="s">
        <v>11650</v>
      </c>
      <c r="V960" t="s">
        <v>11650</v>
      </c>
      <c r="W960" t="s">
        <v>12588</v>
      </c>
      <c r="X960">
        <v>1</v>
      </c>
      <c r="Y960" t="s">
        <v>18346</v>
      </c>
      <c r="Z960" t="s">
        <v>24022</v>
      </c>
      <c r="AA960">
        <v>0.52228968813456789</v>
      </c>
      <c r="AB960" t="str">
        <f>HYPERLINK("Melting_Curves/meltCurve_I3L1H5_DPH1.pdf", "Melting_Curves/meltCurve_I3L1H5_DPH1.pdf")</f>
        <v>Melting_Curves/meltCurve_I3L1H5_DPH1.pdf</v>
      </c>
    </row>
    <row r="961" spans="1:28" x14ac:dyDescent="0.25">
      <c r="A961" t="s">
        <v>965</v>
      </c>
      <c r="B961">
        <v>0.99996721820229495</v>
      </c>
      <c r="C961">
        <v>0.92505559976894303</v>
      </c>
      <c r="D961">
        <v>1.0580622095622501</v>
      </c>
      <c r="E961">
        <v>1.1009946167911699</v>
      </c>
      <c r="F961">
        <v>1.70172008128943</v>
      </c>
      <c r="G961">
        <v>2.2248217948547402</v>
      </c>
      <c r="H961">
        <v>1.78059623506301</v>
      </c>
      <c r="I961">
        <v>1.7720937743592799</v>
      </c>
      <c r="J961">
        <v>1.75520504913278</v>
      </c>
      <c r="K961">
        <v>1.0466451949119799</v>
      </c>
      <c r="L961">
        <v>12568.693470472601</v>
      </c>
      <c r="M961">
        <v>250</v>
      </c>
      <c r="O961">
        <v>50.27155679274</v>
      </c>
      <c r="P961">
        <v>0.62162387902035598</v>
      </c>
      <c r="Q961">
        <v>1.5</v>
      </c>
      <c r="R961">
        <v>0.47010610830300098</v>
      </c>
      <c r="S961" t="s">
        <v>6787</v>
      </c>
      <c r="T961" t="s">
        <v>11650</v>
      </c>
      <c r="U961" t="s">
        <v>11650</v>
      </c>
      <c r="V961" t="s">
        <v>11650</v>
      </c>
      <c r="W961" t="s">
        <v>12589</v>
      </c>
      <c r="X961">
        <v>2</v>
      </c>
      <c r="Y961" t="s">
        <v>18347</v>
      </c>
      <c r="Z961" t="s">
        <v>24023</v>
      </c>
      <c r="AA961">
        <v>1.328709652912303</v>
      </c>
      <c r="AB961" t="str">
        <f>HYPERLINK("Melting_Curves/meltCurve_I3L1K6_MYL4.pdf", "Melting_Curves/meltCurve_I3L1K6_MYL4.pdf")</f>
        <v>Melting_Curves/meltCurve_I3L1K6_MYL4.pdf</v>
      </c>
    </row>
    <row r="962" spans="1:28" x14ac:dyDescent="0.25">
      <c r="A962" t="s">
        <v>966</v>
      </c>
      <c r="B962">
        <v>0.99996721820229495</v>
      </c>
      <c r="C962">
        <v>0.87916579827772701</v>
      </c>
      <c r="D962">
        <v>0.92838025698431903</v>
      </c>
      <c r="E962">
        <v>1.43749335382488</v>
      </c>
      <c r="F962">
        <v>2.0476471950726398</v>
      </c>
      <c r="G962">
        <v>2.0294873034417802</v>
      </c>
      <c r="H962">
        <v>1.7043779218114099</v>
      </c>
      <c r="I962">
        <v>1.53181723911284</v>
      </c>
      <c r="J962">
        <v>1.0252605759212801</v>
      </c>
      <c r="K962">
        <v>1.2712072711145901</v>
      </c>
      <c r="L962">
        <v>12402.7100786132</v>
      </c>
      <c r="M962">
        <v>250</v>
      </c>
      <c r="O962">
        <v>49.6076655633154</v>
      </c>
      <c r="P962">
        <v>0.62994296728798305</v>
      </c>
      <c r="Q962">
        <v>1.5</v>
      </c>
      <c r="R962">
        <v>0.46967763639569199</v>
      </c>
      <c r="S962" t="s">
        <v>6788</v>
      </c>
      <c r="T962" t="s">
        <v>11650</v>
      </c>
      <c r="U962" t="s">
        <v>11650</v>
      </c>
      <c r="V962" t="s">
        <v>11650</v>
      </c>
      <c r="W962" t="s">
        <v>12590</v>
      </c>
      <c r="X962">
        <v>10</v>
      </c>
      <c r="Y962" t="s">
        <v>18348</v>
      </c>
      <c r="Z962" t="s">
        <v>24024</v>
      </c>
      <c r="AA962">
        <v>1.3397757949661391</v>
      </c>
      <c r="AB962" t="str">
        <f>HYPERLINK("Melting_Curves/meltCurve_I3L1P8_SLC25A11.pdf", "Melting_Curves/meltCurve_I3L1P8_SLC25A11.pdf")</f>
        <v>Melting_Curves/meltCurve_I3L1P8_SLC25A11.pdf</v>
      </c>
    </row>
    <row r="963" spans="1:28" x14ac:dyDescent="0.25">
      <c r="A963" t="s">
        <v>967</v>
      </c>
      <c r="B963">
        <v>0.99996721820229495</v>
      </c>
      <c r="C963">
        <v>0.99417738390874899</v>
      </c>
      <c r="D963">
        <v>0.94780980994666397</v>
      </c>
      <c r="E963">
        <v>0.91106950021427202</v>
      </c>
      <c r="F963">
        <v>1.5246212578517699</v>
      </c>
      <c r="G963">
        <v>1.7905595957195699</v>
      </c>
      <c r="H963">
        <v>1.3770324837296</v>
      </c>
      <c r="I963">
        <v>0.87876706626458001</v>
      </c>
      <c r="J963">
        <v>0.47199519488274999</v>
      </c>
      <c r="K963">
        <v>0.42812249208676201</v>
      </c>
      <c r="L963">
        <v>7948.0000650415604</v>
      </c>
      <c r="M963">
        <v>122.884234817554</v>
      </c>
      <c r="N963">
        <v>65.870257950214807</v>
      </c>
      <c r="O963">
        <v>64.661635532251594</v>
      </c>
      <c r="P963">
        <v>-0.26328071292452498</v>
      </c>
      <c r="Q963">
        <v>0.44584718449941801</v>
      </c>
      <c r="R963">
        <v>0.36625882187828201</v>
      </c>
      <c r="S963" t="s">
        <v>6789</v>
      </c>
      <c r="T963" t="s">
        <v>11650</v>
      </c>
      <c r="U963" t="s">
        <v>11650</v>
      </c>
      <c r="V963" t="s">
        <v>11650</v>
      </c>
      <c r="W963" t="s">
        <v>12591</v>
      </c>
      <c r="X963">
        <v>2</v>
      </c>
      <c r="Y963" t="s">
        <v>18349</v>
      </c>
      <c r="Z963" t="s">
        <v>24025</v>
      </c>
      <c r="AA963">
        <v>0.90196686002166371</v>
      </c>
      <c r="AB963" t="str">
        <f>HYPERLINK("Melting_Curves/meltCurve_I3L1Q3_ELP5.pdf", "Melting_Curves/meltCurve_I3L1Q3_ELP5.pdf")</f>
        <v>Melting_Curves/meltCurve_I3L1Q3_ELP5.pdf</v>
      </c>
    </row>
    <row r="964" spans="1:28" x14ac:dyDescent="0.25">
      <c r="A964" t="s">
        <v>968</v>
      </c>
      <c r="B964">
        <v>0.99996721820229495</v>
      </c>
      <c r="C964">
        <v>1.0283796979117299</v>
      </c>
      <c r="D964">
        <v>1.1603065343168499</v>
      </c>
      <c r="E964">
        <v>1.02243177947196</v>
      </c>
      <c r="F964">
        <v>0.88352624199236895</v>
      </c>
      <c r="G964">
        <v>0.67276232716564</v>
      </c>
      <c r="H964">
        <v>0.48219713189290903</v>
      </c>
      <c r="I964">
        <v>0.31966933251819502</v>
      </c>
      <c r="J964">
        <v>0.22200683167714</v>
      </c>
      <c r="K964">
        <v>0.180337694041381</v>
      </c>
      <c r="L964">
        <v>1053.00663629562</v>
      </c>
      <c r="M964">
        <v>17.8018858613475</v>
      </c>
      <c r="N964">
        <v>60.211983607842498</v>
      </c>
      <c r="O964">
        <v>58.420135594266597</v>
      </c>
      <c r="P964">
        <v>-6.5931463212079197E-2</v>
      </c>
      <c r="Q964">
        <v>0.13458011259503799</v>
      </c>
      <c r="R964">
        <v>0.97270542051284803</v>
      </c>
      <c r="S964" t="s">
        <v>6790</v>
      </c>
      <c r="T964" t="s">
        <v>11650</v>
      </c>
      <c r="U964" t="s">
        <v>11650</v>
      </c>
      <c r="V964" t="s">
        <v>11650</v>
      </c>
      <c r="W964" t="s">
        <v>12592</v>
      </c>
      <c r="X964">
        <v>4</v>
      </c>
      <c r="Y964" t="s">
        <v>18350</v>
      </c>
      <c r="Z964" t="s">
        <v>24026</v>
      </c>
      <c r="AA964">
        <v>0.69595785720718462</v>
      </c>
      <c r="AB964" t="str">
        <f>HYPERLINK("Melting_Curves/meltCurve_I3L2B0_CLUH.pdf", "Melting_Curves/meltCurve_I3L2B0_CLUH.pdf")</f>
        <v>Melting_Curves/meltCurve_I3L2B0_CLUH.pdf</v>
      </c>
    </row>
    <row r="965" spans="1:28" x14ac:dyDescent="0.25">
      <c r="A965" t="s">
        <v>969</v>
      </c>
      <c r="B965">
        <v>0.99996721820229495</v>
      </c>
      <c r="C965">
        <v>1.0249666720541</v>
      </c>
      <c r="D965">
        <v>0.98371727183160396</v>
      </c>
      <c r="E965">
        <v>0.81456396217839</v>
      </c>
      <c r="F965">
        <v>0.930909558805324</v>
      </c>
      <c r="G965">
        <v>0.634418280257808</v>
      </c>
      <c r="H965">
        <v>0.33444044647976001</v>
      </c>
      <c r="I965">
        <v>0.31509614630002603</v>
      </c>
      <c r="J965">
        <v>0.26620249592369</v>
      </c>
      <c r="K965">
        <v>0.19456821424095999</v>
      </c>
      <c r="L965">
        <v>1048.6084950147199</v>
      </c>
      <c r="M965">
        <v>18.254253197350799</v>
      </c>
      <c r="N965">
        <v>58.902238112439598</v>
      </c>
      <c r="O965">
        <v>56.768526514078502</v>
      </c>
      <c r="P965">
        <v>-6.5782407119295006E-2</v>
      </c>
      <c r="Q965">
        <v>0.18173682394190199</v>
      </c>
      <c r="R965">
        <v>0.97143003811316897</v>
      </c>
      <c r="S965" t="s">
        <v>6791</v>
      </c>
      <c r="T965" t="s">
        <v>11650</v>
      </c>
      <c r="U965" t="s">
        <v>11650</v>
      </c>
      <c r="V965" t="s">
        <v>11650</v>
      </c>
      <c r="W965" t="s">
        <v>12593</v>
      </c>
      <c r="X965">
        <v>2</v>
      </c>
      <c r="Y965" t="s">
        <v>18351</v>
      </c>
      <c r="Z965" t="s">
        <v>24027</v>
      </c>
      <c r="AA965">
        <v>0.66818848202181491</v>
      </c>
      <c r="AB965" t="str">
        <f>HYPERLINK("Melting_Curves/meltCurve_I3L2J0_CIC.pdf", "Melting_Curves/meltCurve_I3L2J0_CIC.pdf")</f>
        <v>Melting_Curves/meltCurve_I3L2J0_CIC.pdf</v>
      </c>
    </row>
    <row r="966" spans="1:28" x14ac:dyDescent="0.25">
      <c r="A966" t="s">
        <v>970</v>
      </c>
      <c r="B966">
        <v>0.99996721820229495</v>
      </c>
      <c r="C966">
        <v>1.0323061410440899</v>
      </c>
      <c r="D966">
        <v>0.95892283264607303</v>
      </c>
      <c r="E966">
        <v>0.84218930684715299</v>
      </c>
      <c r="F966">
        <v>0.97700486056511604</v>
      </c>
      <c r="G966">
        <v>0.76090702333825599</v>
      </c>
      <c r="H966">
        <v>0.42446780901452902</v>
      </c>
      <c r="I966">
        <v>0.326683399610602</v>
      </c>
      <c r="J966">
        <v>0.27656002998526702</v>
      </c>
      <c r="K966">
        <v>0.226259913276041</v>
      </c>
      <c r="L966">
        <v>1382.6454921166901</v>
      </c>
      <c r="M966">
        <v>23.541819664362801</v>
      </c>
      <c r="N966">
        <v>60.214563039515198</v>
      </c>
      <c r="O966">
        <v>58.3126061395308</v>
      </c>
      <c r="P966">
        <v>-7.8725610931653506E-2</v>
      </c>
      <c r="Q966">
        <v>0.22000642588518099</v>
      </c>
      <c r="R966">
        <v>0.97333327125608604</v>
      </c>
      <c r="S966" t="s">
        <v>6792</v>
      </c>
      <c r="T966" t="s">
        <v>11650</v>
      </c>
      <c r="U966" t="s">
        <v>11650</v>
      </c>
      <c r="V966" t="s">
        <v>11650</v>
      </c>
      <c r="W966" t="s">
        <v>12594</v>
      </c>
      <c r="X966">
        <v>2</v>
      </c>
      <c r="Y966" t="s">
        <v>18352</v>
      </c>
      <c r="Z966" t="s">
        <v>24028</v>
      </c>
      <c r="AA966">
        <v>0.71401569820084643</v>
      </c>
      <c r="AB966" t="str">
        <f>HYPERLINK("Melting_Curves/meltCurve_I3L2J8_AZI1.pdf", "Melting_Curves/meltCurve_I3L2J8_AZI1.pdf")</f>
        <v>Melting_Curves/meltCurve_I3L2J8_AZI1.pdf</v>
      </c>
    </row>
    <row r="967" spans="1:28" x14ac:dyDescent="0.25">
      <c r="A967" t="s">
        <v>971</v>
      </c>
      <c r="B967">
        <v>0.99996721820229495</v>
      </c>
      <c r="C967">
        <v>1.1492489317257899</v>
      </c>
      <c r="D967">
        <v>0.88347051855506398</v>
      </c>
      <c r="E967">
        <v>0.780159131475611</v>
      </c>
      <c r="F967">
        <v>0.78170647676995397</v>
      </c>
      <c r="G967">
        <v>0.58563104706195301</v>
      </c>
      <c r="H967">
        <v>0.39378779454499002</v>
      </c>
      <c r="I967">
        <v>0.293172267961327</v>
      </c>
      <c r="J967">
        <v>0.25959692073926999</v>
      </c>
      <c r="K967">
        <v>0.17833253091051901</v>
      </c>
      <c r="L967">
        <v>611.14618333471901</v>
      </c>
      <c r="M967">
        <v>10.5456955592929</v>
      </c>
      <c r="N967">
        <v>58.5862991250278</v>
      </c>
      <c r="O967">
        <v>55.984715511801298</v>
      </c>
      <c r="P967">
        <v>-4.4569684404155797E-2</v>
      </c>
      <c r="Q967">
        <v>5.3933871536465498E-2</v>
      </c>
      <c r="R967">
        <v>0.960207140215664</v>
      </c>
      <c r="S967" t="s">
        <v>6793</v>
      </c>
      <c r="T967" t="s">
        <v>11650</v>
      </c>
      <c r="U967" t="s">
        <v>11650</v>
      </c>
      <c r="V967" t="s">
        <v>11650</v>
      </c>
      <c r="W967" t="s">
        <v>12595</v>
      </c>
      <c r="X967">
        <v>1</v>
      </c>
      <c r="Y967" t="s">
        <v>18353</v>
      </c>
      <c r="Z967" t="s">
        <v>24029</v>
      </c>
      <c r="AA967">
        <v>0.63067931309738579</v>
      </c>
      <c r="AB967" t="str">
        <f>HYPERLINK("Melting_Curves/meltCurve_I3L2K5_ZC3H7A.pdf", "Melting_Curves/meltCurve_I3L2K5_ZC3H7A.pdf")</f>
        <v>Melting_Curves/meltCurve_I3L2K5_ZC3H7A.pdf</v>
      </c>
    </row>
    <row r="968" spans="1:28" x14ac:dyDescent="0.25">
      <c r="A968" t="s">
        <v>972</v>
      </c>
      <c r="B968">
        <v>0.99996721820229495</v>
      </c>
      <c r="C968">
        <v>0.49197719190776801</v>
      </c>
      <c r="D968">
        <v>0.21402554453765599</v>
      </c>
      <c r="E968">
        <v>0.21641755143216801</v>
      </c>
      <c r="F968">
        <v>0.22845810240077899</v>
      </c>
      <c r="G968">
        <v>0.12317768562640399</v>
      </c>
      <c r="H968">
        <v>0.109900128753949</v>
      </c>
      <c r="I968">
        <v>0.122936001895045</v>
      </c>
      <c r="J968">
        <v>0.109724851500152</v>
      </c>
      <c r="K968">
        <v>6.9424476361743495E-2</v>
      </c>
      <c r="L968">
        <v>2117.21348245435</v>
      </c>
      <c r="M968">
        <v>49.688987870884297</v>
      </c>
      <c r="N968">
        <v>42.907007034598102</v>
      </c>
      <c r="O968">
        <v>42.540464024929101</v>
      </c>
      <c r="P968">
        <v>-0.24943472263907501</v>
      </c>
      <c r="Q968">
        <v>0.14580189923683301</v>
      </c>
      <c r="R968">
        <v>0.966170355003238</v>
      </c>
      <c r="S968" t="s">
        <v>6794</v>
      </c>
      <c r="T968" t="s">
        <v>11650</v>
      </c>
      <c r="U968" t="s">
        <v>11650</v>
      </c>
      <c r="V968" t="s">
        <v>11650</v>
      </c>
      <c r="W968" t="s">
        <v>12596</v>
      </c>
      <c r="X968">
        <v>6</v>
      </c>
      <c r="Y968" t="s">
        <v>18354</v>
      </c>
      <c r="Z968" t="s">
        <v>24030</v>
      </c>
      <c r="AA968">
        <v>0.22251894853770879</v>
      </c>
      <c r="AB968" t="str">
        <f>HYPERLINK("Melting_Curves/meltCurve_I3L2N2_DVL2.pdf", "Melting_Curves/meltCurve_I3L2N2_DVL2.pdf")</f>
        <v>Melting_Curves/meltCurve_I3L2N2_DVL2.pdf</v>
      </c>
    </row>
    <row r="969" spans="1:28" x14ac:dyDescent="0.25">
      <c r="A969" t="s">
        <v>973</v>
      </c>
      <c r="B969">
        <v>0.99996721820229495</v>
      </c>
      <c r="C969">
        <v>0.99692425872373402</v>
      </c>
      <c r="D969">
        <v>0.97786858211475303</v>
      </c>
      <c r="E969">
        <v>1.0008906942096401</v>
      </c>
      <c r="F969">
        <v>0.85555610740992205</v>
      </c>
      <c r="G969">
        <v>0.50791655921981804</v>
      </c>
      <c r="H969">
        <v>0.27416563604042399</v>
      </c>
      <c r="I969">
        <v>0.139929545723986</v>
      </c>
      <c r="J969">
        <v>9.1921486602626501E-2</v>
      </c>
      <c r="K969">
        <v>7.4556335029189597E-2</v>
      </c>
      <c r="L969">
        <v>1264.1138285163099</v>
      </c>
      <c r="M969">
        <v>22.176915240078699</v>
      </c>
      <c r="N969">
        <v>57.367524498584302</v>
      </c>
      <c r="O969">
        <v>56.543928490369296</v>
      </c>
      <c r="P969">
        <v>-9.1582454524360299E-2</v>
      </c>
      <c r="Q969">
        <v>6.5998229780774104E-2</v>
      </c>
      <c r="R969">
        <v>0.99760496437448298</v>
      </c>
      <c r="S969" t="s">
        <v>6795</v>
      </c>
      <c r="T969" t="s">
        <v>11650</v>
      </c>
      <c r="U969" t="s">
        <v>11650</v>
      </c>
      <c r="V969" t="s">
        <v>11650</v>
      </c>
      <c r="W969" t="s">
        <v>12597</v>
      </c>
      <c r="X969">
        <v>4</v>
      </c>
      <c r="Y969" t="s">
        <v>18355</v>
      </c>
      <c r="Z969" t="s">
        <v>24031</v>
      </c>
      <c r="AA969">
        <v>0.6053268778199602</v>
      </c>
      <c r="AB969" t="str">
        <f>HYPERLINK("Melting_Curves/meltCurve_I3L367_TOM1L1.pdf", "Melting_Curves/meltCurve_I3L367_TOM1L1.pdf")</f>
        <v>Melting_Curves/meltCurve_I3L367_TOM1L1.pdf</v>
      </c>
    </row>
    <row r="970" spans="1:28" x14ac:dyDescent="0.25">
      <c r="A970" t="s">
        <v>974</v>
      </c>
      <c r="B970">
        <v>0.99996721820229495</v>
      </c>
      <c r="C970">
        <v>1.4918024369254901</v>
      </c>
      <c r="D970">
        <v>1.1561403314024301</v>
      </c>
      <c r="E970">
        <v>0.79903914007965204</v>
      </c>
      <c r="F970">
        <v>0.60767078656604001</v>
      </c>
      <c r="G970">
        <v>0.53691281243549005</v>
      </c>
      <c r="H970">
        <v>0.360209480649053</v>
      </c>
      <c r="I970">
        <v>0.311760026570371</v>
      </c>
      <c r="J970">
        <v>0.26987964040166301</v>
      </c>
      <c r="K970">
        <v>0.19368922559962301</v>
      </c>
      <c r="L970">
        <v>1001.29201081604</v>
      </c>
      <c r="M970">
        <v>18.5415637966729</v>
      </c>
      <c r="N970">
        <v>56.120080185370803</v>
      </c>
      <c r="O970">
        <v>53.3861768591808</v>
      </c>
      <c r="P970">
        <v>-6.4983747723556404E-2</v>
      </c>
      <c r="Q970">
        <v>0.25160991181297898</v>
      </c>
      <c r="R970">
        <v>0.81717577650969897</v>
      </c>
      <c r="S970" t="s">
        <v>6796</v>
      </c>
      <c r="T970" t="s">
        <v>11650</v>
      </c>
      <c r="U970" t="s">
        <v>11650</v>
      </c>
      <c r="V970" t="s">
        <v>11650</v>
      </c>
      <c r="W970" t="s">
        <v>12598</v>
      </c>
      <c r="X970">
        <v>13</v>
      </c>
      <c r="Y970" t="s">
        <v>18356</v>
      </c>
      <c r="Z970" t="s">
        <v>24032</v>
      </c>
      <c r="AA970">
        <v>0.6123743652339233</v>
      </c>
      <c r="AB970" t="str">
        <f>HYPERLINK("Melting_Curves/meltCurve_I3L397_EIF5A.pdf", "Melting_Curves/meltCurve_I3L397_EIF5A.pdf")</f>
        <v>Melting_Curves/meltCurve_I3L397_EIF5A.pdf</v>
      </c>
    </row>
    <row r="971" spans="1:28" x14ac:dyDescent="0.25">
      <c r="A971" t="s">
        <v>975</v>
      </c>
      <c r="B971">
        <v>0.99996721820229495</v>
      </c>
      <c r="C971">
        <v>1.03642901810522</v>
      </c>
      <c r="D971">
        <v>1.14210599766628</v>
      </c>
      <c r="E971">
        <v>1.43476253648873</v>
      </c>
      <c r="F971">
        <v>2.4834207631445202</v>
      </c>
      <c r="G971">
        <v>3.3475043796803301</v>
      </c>
      <c r="H971">
        <v>2.7757904651551302</v>
      </c>
      <c r="I971">
        <v>1.5168190990694399</v>
      </c>
      <c r="J971">
        <v>0.78141797736916196</v>
      </c>
      <c r="K971">
        <v>1.7152329528343</v>
      </c>
      <c r="L971">
        <v>2915.0043057070902</v>
      </c>
      <c r="M971">
        <v>62.438798898041199</v>
      </c>
      <c r="O971">
        <v>46.637945041764397</v>
      </c>
      <c r="P971">
        <v>0.16734976313230299</v>
      </c>
      <c r="Q971">
        <v>1.5</v>
      </c>
      <c r="R971">
        <v>1.39988813442637E-2</v>
      </c>
      <c r="S971" t="s">
        <v>6797</v>
      </c>
      <c r="T971" t="s">
        <v>11650</v>
      </c>
      <c r="U971" t="s">
        <v>11650</v>
      </c>
      <c r="V971" t="s">
        <v>11650</v>
      </c>
      <c r="W971" t="s">
        <v>12599</v>
      </c>
      <c r="X971">
        <v>1</v>
      </c>
      <c r="Y971" t="s">
        <v>18357</v>
      </c>
      <c r="Z971" t="s">
        <v>24033</v>
      </c>
      <c r="AA971">
        <v>1.387911049080413</v>
      </c>
      <c r="AB971" t="str">
        <f>HYPERLINK("Melting_Curves/meltCurve_I3L3Y1_CRYM.pdf", "Melting_Curves/meltCurve_I3L3Y1_CRYM.pdf")</f>
        <v>Melting_Curves/meltCurve_I3L3Y1_CRYM.pdf</v>
      </c>
    </row>
    <row r="972" spans="1:28" x14ac:dyDescent="0.25">
      <c r="A972" t="s">
        <v>976</v>
      </c>
      <c r="B972">
        <v>0.99996721820229495</v>
      </c>
      <c r="C972">
        <v>0.99827751136580001</v>
      </c>
      <c r="D972">
        <v>0.86315242448400797</v>
      </c>
      <c r="E972">
        <v>0.59926673554503396</v>
      </c>
      <c r="F972">
        <v>0.35226957328188002</v>
      </c>
      <c r="G972">
        <v>0.212584231458919</v>
      </c>
      <c r="H972">
        <v>0.11050677468669499</v>
      </c>
      <c r="I972">
        <v>8.7895786343972201E-2</v>
      </c>
      <c r="J972">
        <v>5.1259210437589298E-2</v>
      </c>
      <c r="K972">
        <v>4.66272394316442E-2</v>
      </c>
      <c r="L972">
        <v>867.25050950851596</v>
      </c>
      <c r="M972">
        <v>17.0292500390076</v>
      </c>
      <c r="N972">
        <v>51.246448210401297</v>
      </c>
      <c r="O972">
        <v>50.240401549061801</v>
      </c>
      <c r="P972">
        <v>-8.0478322697523405E-2</v>
      </c>
      <c r="Q972">
        <v>5.0336540845422703E-2</v>
      </c>
      <c r="R972">
        <v>0.99777844542859595</v>
      </c>
      <c r="S972" t="s">
        <v>6798</v>
      </c>
      <c r="T972" t="s">
        <v>11650</v>
      </c>
      <c r="U972" t="s">
        <v>11650</v>
      </c>
      <c r="V972" t="s">
        <v>11650</v>
      </c>
      <c r="W972" t="s">
        <v>12600</v>
      </c>
      <c r="X972">
        <v>3</v>
      </c>
      <c r="Y972" t="s">
        <v>18358</v>
      </c>
      <c r="Z972" t="s">
        <v>24034</v>
      </c>
      <c r="AA972">
        <v>0.41392517111516131</v>
      </c>
      <c r="AB972" t="str">
        <f>HYPERLINK("Melting_Curves/meltCurve_I3L448_ATPAF1.pdf", "Melting_Curves/meltCurve_I3L448_ATPAF1.pdf")</f>
        <v>Melting_Curves/meltCurve_I3L448_ATPAF1.pdf</v>
      </c>
    </row>
    <row r="973" spans="1:28" x14ac:dyDescent="0.25">
      <c r="A973" t="s">
        <v>977</v>
      </c>
      <c r="B973">
        <v>0.99996721820229495</v>
      </c>
      <c r="C973">
        <v>0.87770936561727497</v>
      </c>
      <c r="D973">
        <v>1.0429879887642</v>
      </c>
      <c r="E973">
        <v>1.3834364730963</v>
      </c>
      <c r="F973">
        <v>2.0154541644016799</v>
      </c>
      <c r="G973">
        <v>1.86973170924898</v>
      </c>
      <c r="H973">
        <v>0.914403143682607</v>
      </c>
      <c r="I973">
        <v>0.43229986917944102</v>
      </c>
      <c r="J973">
        <v>0.236693553679235</v>
      </c>
      <c r="K973">
        <v>0.177399690468384</v>
      </c>
      <c r="L973">
        <v>4219.3734574649798</v>
      </c>
      <c r="M973">
        <v>66.817440983531597</v>
      </c>
      <c r="N973">
        <v>63.627233810068198</v>
      </c>
      <c r="O973">
        <v>63.091293530389201</v>
      </c>
      <c r="P973">
        <v>-0.21239702217040299</v>
      </c>
      <c r="Q973">
        <v>0.19779033295944901</v>
      </c>
      <c r="R973">
        <v>0.44813310404580298</v>
      </c>
      <c r="S973" t="s">
        <v>6799</v>
      </c>
      <c r="T973" t="s">
        <v>11650</v>
      </c>
      <c r="U973" t="s">
        <v>11650</v>
      </c>
      <c r="V973" t="s">
        <v>11650</v>
      </c>
      <c r="W973" t="s">
        <v>12601</v>
      </c>
      <c r="X973">
        <v>15</v>
      </c>
      <c r="Y973" t="s">
        <v>18359</v>
      </c>
      <c r="Z973" t="s">
        <v>24035</v>
      </c>
      <c r="AA973">
        <v>0.81797140042152383</v>
      </c>
      <c r="AB973" t="str">
        <f>HYPERLINK("Melting_Curves/meltCurve_I3L459_PITPNA.pdf", "Melting_Curves/meltCurve_I3L459_PITPNA.pdf")</f>
        <v>Melting_Curves/meltCurve_I3L459_PITPNA.pdf</v>
      </c>
    </row>
    <row r="974" spans="1:28" x14ac:dyDescent="0.25">
      <c r="A974" t="s">
        <v>978</v>
      </c>
      <c r="B974">
        <v>0.99996721820229495</v>
      </c>
      <c r="C974">
        <v>0.97548195164223706</v>
      </c>
      <c r="D974">
        <v>0.98559978736251397</v>
      </c>
      <c r="E974">
        <v>1.1179429313684</v>
      </c>
      <c r="F974">
        <v>1.47279280656031</v>
      </c>
      <c r="G974">
        <v>1.5749703587514501</v>
      </c>
      <c r="H974">
        <v>1.13030062145998</v>
      </c>
      <c r="I974">
        <v>1.09082327065031</v>
      </c>
      <c r="J974">
        <v>1.0199201936056399</v>
      </c>
      <c r="K974">
        <v>0.72609842573455996</v>
      </c>
      <c r="L974">
        <v>15000</v>
      </c>
      <c r="M974">
        <v>213.31078458045201</v>
      </c>
      <c r="Q974">
        <v>0</v>
      </c>
      <c r="R974">
        <v>-8.1189309480677305E-2</v>
      </c>
      <c r="S974" t="s">
        <v>6800</v>
      </c>
      <c r="T974" t="s">
        <v>11650</v>
      </c>
      <c r="U974" t="s">
        <v>11650</v>
      </c>
      <c r="V974" t="s">
        <v>11650</v>
      </c>
      <c r="W974" t="s">
        <v>12602</v>
      </c>
      <c r="X974">
        <v>8</v>
      </c>
      <c r="Y974" t="s">
        <v>18360</v>
      </c>
      <c r="Z974" t="s">
        <v>24036</v>
      </c>
      <c r="AA974">
        <v>0.99654955440304205</v>
      </c>
      <c r="AB974" t="str">
        <f>HYPERLINK("Melting_Curves/meltCurve_I3L4Q0_FAM195B.pdf", "Melting_Curves/meltCurve_I3L4Q0_FAM195B.pdf")</f>
        <v>Melting_Curves/meltCurve_I3L4Q0_FAM195B.pdf</v>
      </c>
    </row>
    <row r="975" spans="1:28" x14ac:dyDescent="0.25">
      <c r="A975" t="s">
        <v>979</v>
      </c>
      <c r="B975">
        <v>0.99996721820229495</v>
      </c>
      <c r="C975">
        <v>0.920839749806866</v>
      </c>
      <c r="D975">
        <v>0.93459473760659095</v>
      </c>
      <c r="E975">
        <v>0.92138640066340205</v>
      </c>
      <c r="F975">
        <v>0.53108963202703796</v>
      </c>
      <c r="G975">
        <v>0.26606996840100999</v>
      </c>
      <c r="H975">
        <v>0.24107516149511199</v>
      </c>
      <c r="I975">
        <v>9.4130849584866602E-2</v>
      </c>
      <c r="J975">
        <v>6.8760423342777197E-2</v>
      </c>
      <c r="K975">
        <v>6.3067643019738898E-2</v>
      </c>
      <c r="L975">
        <v>1181.9256251687</v>
      </c>
      <c r="M975">
        <v>22.100946846449201</v>
      </c>
      <c r="N975">
        <v>53.9461738491148</v>
      </c>
      <c r="O975">
        <v>53.046449879997503</v>
      </c>
      <c r="P975">
        <v>-9.5079807784996404E-2</v>
      </c>
      <c r="Q975">
        <v>8.7181997948403395E-2</v>
      </c>
      <c r="R975">
        <v>0.98003190400435203</v>
      </c>
      <c r="S975" t="s">
        <v>6801</v>
      </c>
      <c r="T975" t="s">
        <v>11650</v>
      </c>
      <c r="U975" t="s">
        <v>11650</v>
      </c>
      <c r="V975" t="s">
        <v>11650</v>
      </c>
      <c r="W975" t="s">
        <v>12603</v>
      </c>
      <c r="X975">
        <v>5</v>
      </c>
      <c r="Y975" t="s">
        <v>18361</v>
      </c>
      <c r="Z975" t="s">
        <v>24037</v>
      </c>
      <c r="AA975">
        <v>0.50782783154239042</v>
      </c>
      <c r="AB975" t="str">
        <f>HYPERLINK("Melting_Curves/meltCurve_I3L4X3_NFKBIB.pdf", "Melting_Curves/meltCurve_I3L4X3_NFKBIB.pdf")</f>
        <v>Melting_Curves/meltCurve_I3L4X3_NFKBIB.pdf</v>
      </c>
    </row>
    <row r="976" spans="1:28" x14ac:dyDescent="0.25">
      <c r="A976" t="s">
        <v>980</v>
      </c>
      <c r="B976">
        <v>0.99996721820229495</v>
      </c>
      <c r="C976">
        <v>0.90170621737452195</v>
      </c>
      <c r="D976">
        <v>0.94773000089727699</v>
      </c>
      <c r="E976">
        <v>0.99864857990494305</v>
      </c>
      <c r="F976">
        <v>1.2508955831937301</v>
      </c>
      <c r="G976">
        <v>1.08642771124227</v>
      </c>
      <c r="H976">
        <v>0.63241390757556903</v>
      </c>
      <c r="I976">
        <v>0.34052975225141402</v>
      </c>
      <c r="J976">
        <v>0.19321515915776499</v>
      </c>
      <c r="K976">
        <v>0.116511811841897</v>
      </c>
      <c r="L976">
        <v>2559.8922017294799</v>
      </c>
      <c r="M976">
        <v>41.484474331356502</v>
      </c>
      <c r="N976">
        <v>62.222562373905099</v>
      </c>
      <c r="O976">
        <v>61.564363025257997</v>
      </c>
      <c r="P976">
        <v>-0.143968561518209</v>
      </c>
      <c r="Q976">
        <v>0.14538467186083201</v>
      </c>
      <c r="R976">
        <v>0.93537476738432601</v>
      </c>
      <c r="S976" t="s">
        <v>6802</v>
      </c>
      <c r="T976" t="s">
        <v>11650</v>
      </c>
      <c r="U976" t="s">
        <v>11650</v>
      </c>
      <c r="V976" t="s">
        <v>11650</v>
      </c>
      <c r="W976" t="s">
        <v>12604</v>
      </c>
      <c r="X976">
        <v>17</v>
      </c>
      <c r="Y976" t="s">
        <v>18310</v>
      </c>
      <c r="Z976" t="s">
        <v>24038</v>
      </c>
      <c r="AA976">
        <v>0.7667278505027938</v>
      </c>
      <c r="AB976" t="str">
        <f>HYPERLINK("Melting_Curves/meltCurve_I3NI03_P4HB.pdf", "Melting_Curves/meltCurve_I3NI03_P4HB.pdf")</f>
        <v>Melting_Curves/meltCurve_I3NI03_P4HB.pdf</v>
      </c>
    </row>
    <row r="977" spans="1:28" x14ac:dyDescent="0.25">
      <c r="A977" t="s">
        <v>981</v>
      </c>
      <c r="B977">
        <v>0.99996721820229495</v>
      </c>
      <c r="C977">
        <v>0.84624910914109197</v>
      </c>
      <c r="D977">
        <v>0.90770648202844395</v>
      </c>
      <c r="E977">
        <v>1.23449262956279</v>
      </c>
      <c r="F977">
        <v>1.44563379300759</v>
      </c>
      <c r="G977">
        <v>1.03154956123651</v>
      </c>
      <c r="H977">
        <v>0.83145749198156205</v>
      </c>
      <c r="I977">
        <v>0.52993128373854803</v>
      </c>
      <c r="J977">
        <v>0.22556529173555701</v>
      </c>
      <c r="K977">
        <v>0.49046006351987098</v>
      </c>
      <c r="L977">
        <v>3344.2376664517901</v>
      </c>
      <c r="M977">
        <v>53.651318545447403</v>
      </c>
      <c r="N977">
        <v>63.8919640524553</v>
      </c>
      <c r="O977">
        <v>62.246395711654401</v>
      </c>
      <c r="P977">
        <v>-0.13683209248418801</v>
      </c>
      <c r="Q977">
        <v>0.36498865660769603</v>
      </c>
      <c r="R977">
        <v>0.72278741450386796</v>
      </c>
      <c r="S977" t="s">
        <v>6803</v>
      </c>
      <c r="T977" t="s">
        <v>11650</v>
      </c>
      <c r="U977" t="s">
        <v>11650</v>
      </c>
      <c r="V977" t="s">
        <v>11650</v>
      </c>
      <c r="W977" t="s">
        <v>12605</v>
      </c>
      <c r="X977">
        <v>1</v>
      </c>
      <c r="Y977" t="s">
        <v>18362</v>
      </c>
      <c r="Z977" t="s">
        <v>24039</v>
      </c>
      <c r="AA977">
        <v>0.83913287968616646</v>
      </c>
      <c r="AB977" t="str">
        <f>HYPERLINK("Melting_Curves/meltCurve_I3NI23_TMEM159.pdf", "Melting_Curves/meltCurve_I3NI23_TMEM159.pdf")</f>
        <v>Melting_Curves/meltCurve_I3NI23_TMEM159.pdf</v>
      </c>
    </row>
    <row r="978" spans="1:28" x14ac:dyDescent="0.25">
      <c r="A978" t="s">
        <v>982</v>
      </c>
      <c r="B978">
        <v>0.99996721820229495</v>
      </c>
      <c r="C978">
        <v>1.1833981389419901</v>
      </c>
      <c r="D978">
        <v>1.13016842542379</v>
      </c>
      <c r="E978">
        <v>1.2753768126813401</v>
      </c>
      <c r="F978">
        <v>1.91436820056249</v>
      </c>
      <c r="G978">
        <v>3.6107909109521401</v>
      </c>
      <c r="H978">
        <v>2.4191674627322999</v>
      </c>
      <c r="I978">
        <v>1.3407826616985601</v>
      </c>
      <c r="J978">
        <v>0.81911964442241003</v>
      </c>
      <c r="K978">
        <v>0.42356794623247501</v>
      </c>
      <c r="L978">
        <v>15000</v>
      </c>
      <c r="M978">
        <v>223.09776790041201</v>
      </c>
      <c r="N978">
        <v>67.805583133689197</v>
      </c>
      <c r="O978">
        <v>67.229718176286696</v>
      </c>
      <c r="P978">
        <v>-0.478286782295684</v>
      </c>
      <c r="Q978">
        <v>0.42348013022327902</v>
      </c>
      <c r="R978">
        <v>-0.29429747804885797</v>
      </c>
      <c r="S978" t="s">
        <v>6804</v>
      </c>
      <c r="T978" t="s">
        <v>11650</v>
      </c>
      <c r="U978" t="s">
        <v>11650</v>
      </c>
      <c r="V978" t="s">
        <v>11650</v>
      </c>
      <c r="W978" t="s">
        <v>12606</v>
      </c>
      <c r="X978">
        <v>16</v>
      </c>
      <c r="Y978" t="s">
        <v>18215</v>
      </c>
      <c r="Z978" t="s">
        <v>24040</v>
      </c>
      <c r="AA978">
        <v>0.94695042760533921</v>
      </c>
      <c r="AB978" t="str">
        <f>HYPERLINK("Melting_Curves/meltCurve_I6L894_ANK2.pdf", "Melting_Curves/meltCurve_I6L894_ANK2.pdf")</f>
        <v>Melting_Curves/meltCurve_I6L894_ANK2.pdf</v>
      </c>
    </row>
    <row r="979" spans="1:28" x14ac:dyDescent="0.25">
      <c r="A979" t="s">
        <v>983</v>
      </c>
      <c r="B979">
        <v>0.99996721820229495</v>
      </c>
      <c r="C979">
        <v>1.08617487457072</v>
      </c>
      <c r="D979">
        <v>0.99506316874404799</v>
      </c>
      <c r="E979">
        <v>0.988855714019506</v>
      </c>
      <c r="F979">
        <v>1.3283899981587699</v>
      </c>
      <c r="G979">
        <v>1.63846180027449</v>
      </c>
      <c r="H979">
        <v>1.2247625544101599</v>
      </c>
      <c r="I979">
        <v>1.0117272960318899</v>
      </c>
      <c r="J979">
        <v>0.74941613528708295</v>
      </c>
      <c r="K979">
        <v>0.38500995221137402</v>
      </c>
      <c r="L979">
        <v>15000</v>
      </c>
      <c r="M979">
        <v>223.50594778796901</v>
      </c>
      <c r="N979">
        <v>67.556376072508897</v>
      </c>
      <c r="O979">
        <v>67.106932719434795</v>
      </c>
      <c r="P979">
        <v>-0.51212135746968201</v>
      </c>
      <c r="Q979">
        <v>0.38494890469217102</v>
      </c>
      <c r="R979">
        <v>0.42519019313242301</v>
      </c>
      <c r="S979" t="s">
        <v>6805</v>
      </c>
      <c r="T979" t="s">
        <v>11650</v>
      </c>
      <c r="U979" t="s">
        <v>11650</v>
      </c>
      <c r="V979" t="s">
        <v>11650</v>
      </c>
      <c r="W979" t="s">
        <v>12607</v>
      </c>
      <c r="X979">
        <v>11</v>
      </c>
      <c r="Y979" t="s">
        <v>18363</v>
      </c>
      <c r="Z979" t="s">
        <v>24041</v>
      </c>
      <c r="AA979">
        <v>0.94088736414370844</v>
      </c>
      <c r="AB979" t="str">
        <f>HYPERLINK("Melting_Curves/meltCurve_J3KMY5_NPC2.pdf", "Melting_Curves/meltCurve_J3KMY5_NPC2.pdf")</f>
        <v>Melting_Curves/meltCurve_J3KMY5_NPC2.pdf</v>
      </c>
    </row>
    <row r="980" spans="1:28" x14ac:dyDescent="0.25">
      <c r="A980" t="s">
        <v>984</v>
      </c>
      <c r="B980">
        <v>0.99996721820229495</v>
      </c>
      <c r="C980">
        <v>0.88389531287255296</v>
      </c>
      <c r="D980">
        <v>0.98002211040765097</v>
      </c>
      <c r="E980">
        <v>1.08902106375271</v>
      </c>
      <c r="F980">
        <v>1.39219636632482</v>
      </c>
      <c r="G980">
        <v>1.2854835786279299</v>
      </c>
      <c r="H980">
        <v>0.82721425101742796</v>
      </c>
      <c r="I980">
        <v>0.44677234152083001</v>
      </c>
      <c r="J980">
        <v>0.22692214358952301</v>
      </c>
      <c r="K980">
        <v>0.194547458806197</v>
      </c>
      <c r="L980">
        <v>3129.4463488628098</v>
      </c>
      <c r="M980">
        <v>49.757921677514297</v>
      </c>
      <c r="N980">
        <v>63.516095748277699</v>
      </c>
      <c r="O980">
        <v>62.792091611534701</v>
      </c>
      <c r="P980">
        <v>-0.15986980368850401</v>
      </c>
      <c r="Q980">
        <v>0.19300884824344799</v>
      </c>
      <c r="R980">
        <v>0.83258495827684698</v>
      </c>
      <c r="S980" t="s">
        <v>6806</v>
      </c>
      <c r="T980" t="s">
        <v>11650</v>
      </c>
      <c r="U980" t="s">
        <v>11650</v>
      </c>
      <c r="V980" t="s">
        <v>11650</v>
      </c>
      <c r="W980" t="s">
        <v>12608</v>
      </c>
      <c r="X980">
        <v>24</v>
      </c>
      <c r="Y980" t="s">
        <v>18364</v>
      </c>
      <c r="Z980" t="s">
        <v>24042</v>
      </c>
      <c r="AA980">
        <v>0.81081451038867292</v>
      </c>
      <c r="AB980" t="str">
        <f>HYPERLINK("Melting_Curves/meltCurve_J3KMZ9_LDLR.pdf", "Melting_Curves/meltCurve_J3KMZ9_LDLR.pdf")</f>
        <v>Melting_Curves/meltCurve_J3KMZ9_LDLR.pdf</v>
      </c>
    </row>
    <row r="981" spans="1:28" x14ac:dyDescent="0.25">
      <c r="A981" t="s">
        <v>985</v>
      </c>
      <c r="B981">
        <v>0.99996721820229495</v>
      </c>
      <c r="C981">
        <v>1.0428680290641199</v>
      </c>
      <c r="D981">
        <v>1.06225031527701</v>
      </c>
      <c r="E981">
        <v>0.51099773281961103</v>
      </c>
      <c r="F981">
        <v>0.28948188500359001</v>
      </c>
      <c r="G981">
        <v>0.22979189645494699</v>
      </c>
      <c r="H981">
        <v>0.141970272907948</v>
      </c>
      <c r="I981">
        <v>0.104756958509316</v>
      </c>
      <c r="J981">
        <v>8.8036369068130907E-2</v>
      </c>
      <c r="K981">
        <v>6.95891939936856E-2</v>
      </c>
      <c r="L981">
        <v>1691.2865134235301</v>
      </c>
      <c r="M981">
        <v>33.844552976818299</v>
      </c>
      <c r="N981">
        <v>50.414472445558097</v>
      </c>
      <c r="O981">
        <v>49.798689340041904</v>
      </c>
      <c r="P981">
        <v>-0.14808357969188499</v>
      </c>
      <c r="Q981">
        <v>0.12844594941753901</v>
      </c>
      <c r="R981">
        <v>0.979873594598619</v>
      </c>
      <c r="S981" t="s">
        <v>6807</v>
      </c>
      <c r="T981" t="s">
        <v>11650</v>
      </c>
      <c r="U981" t="s">
        <v>11650</v>
      </c>
      <c r="V981" t="s">
        <v>11650</v>
      </c>
      <c r="W981" t="s">
        <v>12609</v>
      </c>
      <c r="X981">
        <v>42</v>
      </c>
      <c r="Y981" t="s">
        <v>18365</v>
      </c>
      <c r="Z981" t="s">
        <v>24043</v>
      </c>
      <c r="AA981">
        <v>0.42237746946180632</v>
      </c>
      <c r="AB981" t="str">
        <f>HYPERLINK("Melting_Curves/meltCurve_J3KN16_KIAA0368.pdf", "Melting_Curves/meltCurve_J3KN16_KIAA0368.pdf")</f>
        <v>Melting_Curves/meltCurve_J3KN16_KIAA0368.pdf</v>
      </c>
    </row>
    <row r="982" spans="1:28" x14ac:dyDescent="0.25">
      <c r="A982" t="s">
        <v>986</v>
      </c>
      <c r="B982">
        <v>0.99996721820229495</v>
      </c>
      <c r="C982">
        <v>0.95229252102861595</v>
      </c>
      <c r="D982">
        <v>0.93262965510218199</v>
      </c>
      <c r="E982">
        <v>1.01908427432216</v>
      </c>
      <c r="F982">
        <v>1.3524631661136599</v>
      </c>
      <c r="G982">
        <v>1.5932592006237001</v>
      </c>
      <c r="H982">
        <v>1.21393902268636</v>
      </c>
      <c r="I982">
        <v>1.04461913449029</v>
      </c>
      <c r="J982">
        <v>0.84227568687000098</v>
      </c>
      <c r="K982">
        <v>0.57591825949352005</v>
      </c>
      <c r="L982">
        <v>15000</v>
      </c>
      <c r="M982">
        <v>223.356390257454</v>
      </c>
      <c r="O982">
        <v>67.151861813666599</v>
      </c>
      <c r="P982">
        <v>-0.35267955432938702</v>
      </c>
      <c r="Q982">
        <v>0.57586906482357902</v>
      </c>
      <c r="R982">
        <v>0.24996242127662899</v>
      </c>
      <c r="S982" t="s">
        <v>6808</v>
      </c>
      <c r="T982" t="s">
        <v>11650</v>
      </c>
      <c r="U982" t="s">
        <v>11650</v>
      </c>
      <c r="V982" t="s">
        <v>11650</v>
      </c>
      <c r="W982" t="s">
        <v>12610</v>
      </c>
      <c r="X982">
        <v>17</v>
      </c>
      <c r="Y982" t="s">
        <v>18366</v>
      </c>
      <c r="Z982" t="s">
        <v>24044</v>
      </c>
      <c r="AA982">
        <v>0.95987209267756868</v>
      </c>
      <c r="AB982" t="str">
        <f>HYPERLINK("Melting_Curves/meltCurve_J3KN29_PSMD9.pdf", "Melting_Curves/meltCurve_J3KN29_PSMD9.pdf")</f>
        <v>Melting_Curves/meltCurve_J3KN29_PSMD9.pdf</v>
      </c>
    </row>
    <row r="983" spans="1:28" x14ac:dyDescent="0.25">
      <c r="A983" t="s">
        <v>987</v>
      </c>
      <c r="B983">
        <v>0.99996721820229495</v>
      </c>
      <c r="C983">
        <v>1.0411007562538901</v>
      </c>
      <c r="D983">
        <v>0.90345687037872902</v>
      </c>
      <c r="E983">
        <v>1.1501475957232301</v>
      </c>
      <c r="F983">
        <v>1.41294039717457</v>
      </c>
      <c r="G983">
        <v>1.33346286682211</v>
      </c>
      <c r="H983">
        <v>0.89330859567779997</v>
      </c>
      <c r="I983">
        <v>0.48877172368954303</v>
      </c>
      <c r="J983">
        <v>0.46910058528970999</v>
      </c>
      <c r="K983">
        <v>0.35898017482381001</v>
      </c>
      <c r="L983">
        <v>4495.9613093672097</v>
      </c>
      <c r="M983">
        <v>72.138806412611203</v>
      </c>
      <c r="N983">
        <v>63.857565317962397</v>
      </c>
      <c r="O983">
        <v>62.275900041049702</v>
      </c>
      <c r="P983">
        <v>-0.17039795475073799</v>
      </c>
      <c r="Q983">
        <v>0.41159625557624502</v>
      </c>
      <c r="R983">
        <v>0.73005535452387404</v>
      </c>
      <c r="S983" t="s">
        <v>6809</v>
      </c>
      <c r="T983" t="s">
        <v>11650</v>
      </c>
      <c r="U983" t="s">
        <v>11650</v>
      </c>
      <c r="V983" t="s">
        <v>11650</v>
      </c>
      <c r="W983" t="s">
        <v>12611</v>
      </c>
      <c r="X983">
        <v>5</v>
      </c>
      <c r="Y983" t="s">
        <v>18367</v>
      </c>
      <c r="Z983" t="s">
        <v>24045</v>
      </c>
      <c r="AA983">
        <v>0.85020902943040955</v>
      </c>
      <c r="AB983" t="str">
        <f>HYPERLINK("Melting_Curves/meltCurve_J3KN59_BNIP2.pdf", "Melting_Curves/meltCurve_J3KN59_BNIP2.pdf")</f>
        <v>Melting_Curves/meltCurve_J3KN59_BNIP2.pdf</v>
      </c>
    </row>
    <row r="984" spans="1:28" x14ac:dyDescent="0.25">
      <c r="A984" t="s">
        <v>988</v>
      </c>
      <c r="B984">
        <v>0.99996721820229495</v>
      </c>
      <c r="C984">
        <v>1.0498863218284999</v>
      </c>
      <c r="D984">
        <v>1.0748133524654</v>
      </c>
      <c r="E984">
        <v>1.0889278601421799</v>
      </c>
      <c r="F984">
        <v>1.4205647258387799</v>
      </c>
      <c r="G984">
        <v>1.59477535930314</v>
      </c>
      <c r="H984">
        <v>0.81986571489909199</v>
      </c>
      <c r="I984">
        <v>0.25393110716656903</v>
      </c>
      <c r="J984">
        <v>0.169006734610986</v>
      </c>
      <c r="K984">
        <v>0.12792038724753499</v>
      </c>
      <c r="L984">
        <v>4550.1470580013001</v>
      </c>
      <c r="M984">
        <v>73.192936130335895</v>
      </c>
      <c r="N984">
        <v>62.471329218974702</v>
      </c>
      <c r="O984">
        <v>62.120118714937298</v>
      </c>
      <c r="P984">
        <v>-0.25032741360327099</v>
      </c>
      <c r="Q984">
        <v>0.15017122845664499</v>
      </c>
      <c r="R984">
        <v>0.77038508228336899</v>
      </c>
      <c r="S984" t="s">
        <v>6810</v>
      </c>
      <c r="T984" t="s">
        <v>11650</v>
      </c>
      <c r="U984" t="s">
        <v>11650</v>
      </c>
      <c r="V984" t="s">
        <v>11650</v>
      </c>
      <c r="W984" t="s">
        <v>12612</v>
      </c>
      <c r="X984">
        <v>10</v>
      </c>
      <c r="Y984" t="s">
        <v>18368</v>
      </c>
      <c r="Z984" t="s">
        <v>24046</v>
      </c>
      <c r="AA984">
        <v>0.77917045107475791</v>
      </c>
      <c r="AB984" t="str">
        <f>HYPERLINK("Melting_Curves/meltCurve_J3KN69_NCEH1.pdf", "Melting_Curves/meltCurve_J3KN69_NCEH1.pdf")</f>
        <v>Melting_Curves/meltCurve_J3KN69_NCEH1.pdf</v>
      </c>
    </row>
    <row r="985" spans="1:28" x14ac:dyDescent="0.25">
      <c r="A985" t="s">
        <v>989</v>
      </c>
      <c r="B985">
        <v>0.99996721820229495</v>
      </c>
      <c r="C985">
        <v>1.0555573071020501</v>
      </c>
      <c r="D985">
        <v>1.06522543058658</v>
      </c>
      <c r="E985">
        <v>0.85554124024820999</v>
      </c>
      <c r="F985">
        <v>0.47214999076715503</v>
      </c>
      <c r="G985">
        <v>0.34958679220008299</v>
      </c>
      <c r="H985">
        <v>0.22041401480398801</v>
      </c>
      <c r="I985">
        <v>0.15713335534588199</v>
      </c>
      <c r="J985">
        <v>0.13466246954588701</v>
      </c>
      <c r="K985">
        <v>0.105196292497217</v>
      </c>
      <c r="L985">
        <v>1273.44786936937</v>
      </c>
      <c r="M985">
        <v>24.152288199225499</v>
      </c>
      <c r="N985">
        <v>53.522434106749401</v>
      </c>
      <c r="O985">
        <v>52.3682906643241</v>
      </c>
      <c r="P985">
        <v>-9.7892736893857496E-2</v>
      </c>
      <c r="Q985">
        <v>0.150987826951448</v>
      </c>
      <c r="R985">
        <v>0.98051289827911703</v>
      </c>
      <c r="S985" t="s">
        <v>6811</v>
      </c>
      <c r="T985" t="s">
        <v>11650</v>
      </c>
      <c r="U985" t="s">
        <v>11650</v>
      </c>
      <c r="V985" t="s">
        <v>11650</v>
      </c>
      <c r="W985" t="s">
        <v>12613</v>
      </c>
      <c r="X985">
        <v>20</v>
      </c>
      <c r="Y985" t="s">
        <v>18369</v>
      </c>
      <c r="Z985" t="s">
        <v>24047</v>
      </c>
      <c r="AA985">
        <v>0.51945617954300938</v>
      </c>
      <c r="AB985" t="str">
        <f>HYPERLINK("Melting_Curves/meltCurve_J3KN75_TBC1D8B.pdf", "Melting_Curves/meltCurve_J3KN75_TBC1D8B.pdf")</f>
        <v>Melting_Curves/meltCurve_J3KN75_TBC1D8B.pdf</v>
      </c>
    </row>
    <row r="986" spans="1:28" x14ac:dyDescent="0.25">
      <c r="A986" t="s">
        <v>990</v>
      </c>
      <c r="B986">
        <v>0.99996721820229495</v>
      </c>
      <c r="C986">
        <v>0.86290328820985496</v>
      </c>
      <c r="D986">
        <v>0.93532867508722395</v>
      </c>
      <c r="E986">
        <v>1.3922469637063399</v>
      </c>
      <c r="F986">
        <v>0.90468602431830403</v>
      </c>
      <c r="G986">
        <v>0.75553813367032496</v>
      </c>
      <c r="H986">
        <v>0.37001345611001701</v>
      </c>
      <c r="I986">
        <v>0.212812004575477</v>
      </c>
      <c r="J986">
        <v>0.13211752565856599</v>
      </c>
      <c r="K986">
        <v>0.126133465878325</v>
      </c>
      <c r="L986">
        <v>1701.5048823202101</v>
      </c>
      <c r="M986">
        <v>28.839325881170499</v>
      </c>
      <c r="N986">
        <v>59.550627095253098</v>
      </c>
      <c r="O986">
        <v>58.717975183876803</v>
      </c>
      <c r="P986">
        <v>-0.10840604729750999</v>
      </c>
      <c r="Q986">
        <v>0.117131298916529</v>
      </c>
      <c r="R986">
        <v>0.89017826107396902</v>
      </c>
      <c r="S986" t="s">
        <v>6812</v>
      </c>
      <c r="T986" t="s">
        <v>11650</v>
      </c>
      <c r="U986" t="s">
        <v>11650</v>
      </c>
      <c r="V986" t="s">
        <v>11650</v>
      </c>
      <c r="W986" t="s">
        <v>12614</v>
      </c>
      <c r="X986">
        <v>7</v>
      </c>
      <c r="Y986" t="s">
        <v>18370</v>
      </c>
      <c r="Z986" t="s">
        <v>24048</v>
      </c>
      <c r="AA986">
        <v>0.68225970590986706</v>
      </c>
      <c r="AB986" t="str">
        <f>HYPERLINK("Melting_Curves/meltCurve_J3KN93_ANKRD44.pdf", "Melting_Curves/meltCurve_J3KN93_ANKRD44.pdf")</f>
        <v>Melting_Curves/meltCurve_J3KN93_ANKRD44.pdf</v>
      </c>
    </row>
    <row r="987" spans="1:28" x14ac:dyDescent="0.25">
      <c r="A987" t="s">
        <v>991</v>
      </c>
      <c r="B987">
        <v>0.99996721820229495</v>
      </c>
      <c r="C987">
        <v>0.90044772626508696</v>
      </c>
      <c r="D987">
        <v>1.00744151087759</v>
      </c>
      <c r="E987">
        <v>1.4289421914273099</v>
      </c>
      <c r="F987">
        <v>1.5973067038433699</v>
      </c>
      <c r="G987">
        <v>1.0618425321496601</v>
      </c>
      <c r="H987">
        <v>0.49932446591726198</v>
      </c>
      <c r="I987">
        <v>0.28987218015073501</v>
      </c>
      <c r="J987">
        <v>0.170737509039218</v>
      </c>
      <c r="K987">
        <v>0.16021284802772601</v>
      </c>
      <c r="L987">
        <v>3935.12324206534</v>
      </c>
      <c r="M987">
        <v>64.936193075241206</v>
      </c>
      <c r="N987">
        <v>61.064831489276997</v>
      </c>
      <c r="O987">
        <v>60.542438554234501</v>
      </c>
      <c r="P987">
        <v>-0.21584154965359101</v>
      </c>
      <c r="Q987">
        <v>0.195051524770743</v>
      </c>
      <c r="R987">
        <v>0.75998959514138298</v>
      </c>
      <c r="S987" t="s">
        <v>6813</v>
      </c>
      <c r="T987" t="s">
        <v>11650</v>
      </c>
      <c r="U987" t="s">
        <v>11650</v>
      </c>
      <c r="V987" t="s">
        <v>11650</v>
      </c>
      <c r="W987" t="s">
        <v>12615</v>
      </c>
      <c r="X987">
        <v>3</v>
      </c>
      <c r="Y987" t="s">
        <v>18371</v>
      </c>
      <c r="Z987" t="s">
        <v>24049</v>
      </c>
      <c r="AA987">
        <v>0.74904577923234705</v>
      </c>
      <c r="AB987" t="str">
        <f>HYPERLINK("Melting_Curves/meltCurve_J3KNA0_OXA1L.pdf", "Melting_Curves/meltCurve_J3KNA0_OXA1L.pdf")</f>
        <v>Melting_Curves/meltCurve_J3KNA0_OXA1L.pdf</v>
      </c>
    </row>
    <row r="988" spans="1:28" x14ac:dyDescent="0.25">
      <c r="A988" t="s">
        <v>992</v>
      </c>
      <c r="B988">
        <v>0.99996721820229495</v>
      </c>
      <c r="C988">
        <v>0.91524088523413505</v>
      </c>
      <c r="D988">
        <v>0.94105667882918498</v>
      </c>
      <c r="E988">
        <v>0.95771615394009502</v>
      </c>
      <c r="F988">
        <v>1.65571143490905</v>
      </c>
      <c r="G988">
        <v>1.7452785200635099</v>
      </c>
      <c r="H988">
        <v>1.17642633724124</v>
      </c>
      <c r="I988">
        <v>0.82509559997239301</v>
      </c>
      <c r="J988">
        <v>0.94322443535636202</v>
      </c>
      <c r="K988">
        <v>0.56638120284796301</v>
      </c>
      <c r="L988">
        <v>3069.55360608504</v>
      </c>
      <c r="M988">
        <v>43.5578298681314</v>
      </c>
      <c r="Q988">
        <v>0</v>
      </c>
      <c r="R988">
        <v>0.11740464157675</v>
      </c>
      <c r="S988" t="s">
        <v>6814</v>
      </c>
      <c r="T988" t="s">
        <v>11650</v>
      </c>
      <c r="U988" t="s">
        <v>11650</v>
      </c>
      <c r="V988" t="s">
        <v>11650</v>
      </c>
      <c r="W988" t="s">
        <v>12386</v>
      </c>
      <c r="X988">
        <v>12</v>
      </c>
      <c r="Y988" t="s">
        <v>18146</v>
      </c>
      <c r="Z988" t="s">
        <v>24050</v>
      </c>
      <c r="AA988">
        <v>0.97179027861414913</v>
      </c>
      <c r="AB988" t="str">
        <f>HYPERLINK("Melting_Curves/meltCurve_J3KND3_MYL6.pdf", "Melting_Curves/meltCurve_J3KND3_MYL6.pdf")</f>
        <v>Melting_Curves/meltCurve_J3KND3_MYL6.pdf</v>
      </c>
    </row>
    <row r="989" spans="1:28" x14ac:dyDescent="0.25">
      <c r="A989" t="s">
        <v>993</v>
      </c>
      <c r="B989">
        <v>0.99996721820229495</v>
      </c>
      <c r="C989">
        <v>1.02398789522814</v>
      </c>
      <c r="D989">
        <v>0.96902180439253005</v>
      </c>
      <c r="E989">
        <v>0.79922587357552499</v>
      </c>
      <c r="F989">
        <v>0.62216344042663996</v>
      </c>
      <c r="G989">
        <v>0.53205653455037305</v>
      </c>
      <c r="H989">
        <v>0.30549724519828297</v>
      </c>
      <c r="I989">
        <v>0.20045834928249501</v>
      </c>
      <c r="J989">
        <v>0.16057104554634599</v>
      </c>
      <c r="K989">
        <v>0.108974548285588</v>
      </c>
      <c r="L989">
        <v>647.472730778921</v>
      </c>
      <c r="M989">
        <v>11.489659337084699</v>
      </c>
      <c r="N989">
        <v>56.533408840283798</v>
      </c>
      <c r="O989">
        <v>54.726659954446497</v>
      </c>
      <c r="P989">
        <v>-5.1554678081507897E-2</v>
      </c>
      <c r="Q989">
        <v>1.8035041639081099E-2</v>
      </c>
      <c r="R989">
        <v>0.99083349773969698</v>
      </c>
      <c r="S989" t="s">
        <v>6815</v>
      </c>
      <c r="T989" t="s">
        <v>11650</v>
      </c>
      <c r="U989" t="s">
        <v>11650</v>
      </c>
      <c r="V989" t="s">
        <v>11650</v>
      </c>
      <c r="W989" t="s">
        <v>12616</v>
      </c>
      <c r="X989">
        <v>12</v>
      </c>
      <c r="Y989" t="s">
        <v>18372</v>
      </c>
      <c r="Z989" t="s">
        <v>24051</v>
      </c>
      <c r="AA989">
        <v>0.57230655309626066</v>
      </c>
      <c r="AB989" t="str">
        <f>HYPERLINK("Melting_Curves/meltCurve_J3KNF4_CCS.pdf", "Melting_Curves/meltCurve_J3KNF4_CCS.pdf")</f>
        <v>Melting_Curves/meltCurve_J3KNF4_CCS.pdf</v>
      </c>
    </row>
    <row r="990" spans="1:28" x14ac:dyDescent="0.25">
      <c r="A990" t="s">
        <v>994</v>
      </c>
      <c r="B990">
        <v>0.99996721820229495</v>
      </c>
      <c r="C990">
        <v>1.1191075473140999</v>
      </c>
      <c r="D990">
        <v>1.1076767548848301</v>
      </c>
      <c r="E990">
        <v>1.10432663984197</v>
      </c>
      <c r="F990">
        <v>1.25659165634823</v>
      </c>
      <c r="G990">
        <v>1.6858759109261601</v>
      </c>
      <c r="H990">
        <v>1.29994467639339</v>
      </c>
      <c r="I990">
        <v>1.04436846072487</v>
      </c>
      <c r="J990">
        <v>0.79037091836735596</v>
      </c>
      <c r="K990">
        <v>0.63432283817294599</v>
      </c>
      <c r="L990">
        <v>15000</v>
      </c>
      <c r="M990">
        <v>224.175564142387</v>
      </c>
      <c r="O990">
        <v>66.906527507751704</v>
      </c>
      <c r="P990">
        <v>-0.30632492800689598</v>
      </c>
      <c r="Q990">
        <v>0.63430208625979201</v>
      </c>
      <c r="R990">
        <v>9.3987153174267105E-2</v>
      </c>
      <c r="S990" t="s">
        <v>6816</v>
      </c>
      <c r="T990" t="s">
        <v>11650</v>
      </c>
      <c r="U990" t="s">
        <v>11650</v>
      </c>
      <c r="V990" t="s">
        <v>11650</v>
      </c>
      <c r="W990" t="s">
        <v>12617</v>
      </c>
      <c r="X990">
        <v>1</v>
      </c>
      <c r="Y990" t="s">
        <v>18373</v>
      </c>
      <c r="Z990" t="s">
        <v>24052</v>
      </c>
      <c r="AA990">
        <v>0.96240877927701496</v>
      </c>
      <c r="AB990" t="str">
        <f>HYPERLINK("Melting_Curves/meltCurve_J3KNF5_CEP290.pdf", "Melting_Curves/meltCurve_J3KNF5_CEP290.pdf")</f>
        <v>Melting_Curves/meltCurve_J3KNF5_CEP290.pdf</v>
      </c>
    </row>
    <row r="991" spans="1:28" x14ac:dyDescent="0.25">
      <c r="A991" t="s">
        <v>995</v>
      </c>
      <c r="B991">
        <v>0.99996721820229495</v>
      </c>
      <c r="C991">
        <v>1.0435175763662401</v>
      </c>
      <c r="D991">
        <v>1.1020147149889601</v>
      </c>
      <c r="E991">
        <v>1.0314374118984799</v>
      </c>
      <c r="F991">
        <v>1.47699145113719</v>
      </c>
      <c r="G991">
        <v>1.43331514979256</v>
      </c>
      <c r="H991">
        <v>1.1587801732232299</v>
      </c>
      <c r="I991">
        <v>1.0202912563112001</v>
      </c>
      <c r="J991">
        <v>0.747806572879816</v>
      </c>
      <c r="K991">
        <v>0.54195335068772799</v>
      </c>
      <c r="L991">
        <v>15000</v>
      </c>
      <c r="M991">
        <v>224.08347766014501</v>
      </c>
      <c r="O991">
        <v>66.934007967107704</v>
      </c>
      <c r="P991">
        <v>-0.38338724604665497</v>
      </c>
      <c r="Q991">
        <v>0.54192705039915301</v>
      </c>
      <c r="R991">
        <v>0.34805835407573299</v>
      </c>
      <c r="S991" t="s">
        <v>6817</v>
      </c>
      <c r="T991" t="s">
        <v>11650</v>
      </c>
      <c r="U991" t="s">
        <v>11650</v>
      </c>
      <c r="V991" t="s">
        <v>11650</v>
      </c>
      <c r="W991" t="s">
        <v>12618</v>
      </c>
      <c r="X991">
        <v>2</v>
      </c>
      <c r="Y991" t="s">
        <v>18374</v>
      </c>
      <c r="Z991" t="s">
        <v>24053</v>
      </c>
      <c r="AA991">
        <v>0.95333317926149541</v>
      </c>
      <c r="AB991" t="str">
        <f>HYPERLINK("Melting_Curves/meltCurve_J3KNF8_CYB5B.pdf", "Melting_Curves/meltCurve_J3KNF8_CYB5B.pdf")</f>
        <v>Melting_Curves/meltCurve_J3KNF8_CYB5B.pdf</v>
      </c>
    </row>
    <row r="992" spans="1:28" x14ac:dyDescent="0.25">
      <c r="A992" t="s">
        <v>996</v>
      </c>
      <c r="B992">
        <v>0.99996721820229495</v>
      </c>
      <c r="C992">
        <v>0.93143638029405396</v>
      </c>
      <c r="D992">
        <v>0.70267589671352004</v>
      </c>
      <c r="E992">
        <v>0.39849199582599198</v>
      </c>
      <c r="F992">
        <v>0.45276648098552402</v>
      </c>
      <c r="G992">
        <v>0.47207786864082601</v>
      </c>
      <c r="H992">
        <v>0.306890396067803</v>
      </c>
      <c r="I992">
        <v>0.17004920026914599</v>
      </c>
      <c r="J992">
        <v>0.13137099098525301</v>
      </c>
      <c r="K992">
        <v>9.5231885521402104E-2</v>
      </c>
      <c r="L992">
        <v>442.92589338208199</v>
      </c>
      <c r="M992">
        <v>8.6998937074140894</v>
      </c>
      <c r="N992">
        <v>51.679999654889599</v>
      </c>
      <c r="O992">
        <v>48.436331867536801</v>
      </c>
      <c r="P992">
        <v>-4.22144880661941E-2</v>
      </c>
      <c r="Q992">
        <v>6.0665127166581699E-2</v>
      </c>
      <c r="R992">
        <v>0.92135015397032605</v>
      </c>
      <c r="S992" t="s">
        <v>6818</v>
      </c>
      <c r="T992" t="s">
        <v>11650</v>
      </c>
      <c r="U992" t="s">
        <v>11650</v>
      </c>
      <c r="V992" t="s">
        <v>11650</v>
      </c>
      <c r="W992" t="s">
        <v>12619</v>
      </c>
      <c r="X992">
        <v>6</v>
      </c>
      <c r="Y992" t="s">
        <v>18375</v>
      </c>
      <c r="Z992" t="s">
        <v>24054</v>
      </c>
      <c r="AA992">
        <v>0.44868150743980162</v>
      </c>
      <c r="AB992" t="str">
        <f>HYPERLINK("Melting_Curves/meltCurve_J3KNI1_COG4.pdf", "Melting_Curves/meltCurve_J3KNI1_COG4.pdf")</f>
        <v>Melting_Curves/meltCurve_J3KNI1_COG4.pdf</v>
      </c>
    </row>
    <row r="993" spans="1:28" x14ac:dyDescent="0.25">
      <c r="A993" t="s">
        <v>997</v>
      </c>
      <c r="B993">
        <v>0.99996721820229495</v>
      </c>
      <c r="C993">
        <v>0.98086093733848001</v>
      </c>
      <c r="D993">
        <v>0.87901566265852804</v>
      </c>
      <c r="E993">
        <v>0.49347206361021301</v>
      </c>
      <c r="F993">
        <v>0.30162312450479001</v>
      </c>
      <c r="G993">
        <v>0.19111957490489101</v>
      </c>
      <c r="H993">
        <v>0.100482489797996</v>
      </c>
      <c r="I993">
        <v>3.5888306514924702E-2</v>
      </c>
      <c r="J993">
        <v>1.36451117724171E-2</v>
      </c>
      <c r="K993">
        <v>3.8006826790042601E-2</v>
      </c>
      <c r="L993">
        <v>909.39342346690296</v>
      </c>
      <c r="M993">
        <v>18.1187794420476</v>
      </c>
      <c r="N993">
        <v>50.406877149441698</v>
      </c>
      <c r="O993">
        <v>49.591234801622299</v>
      </c>
      <c r="P993">
        <v>-8.7929728453316994E-2</v>
      </c>
      <c r="Q993">
        <v>3.7388670110288499E-2</v>
      </c>
      <c r="R993">
        <v>0.99411743236195704</v>
      </c>
      <c r="S993" t="s">
        <v>6819</v>
      </c>
      <c r="T993" t="s">
        <v>11650</v>
      </c>
      <c r="U993" t="s">
        <v>11650</v>
      </c>
      <c r="V993" t="s">
        <v>11650</v>
      </c>
      <c r="W993" t="s">
        <v>12620</v>
      </c>
      <c r="X993">
        <v>3</v>
      </c>
      <c r="Y993" t="s">
        <v>18376</v>
      </c>
      <c r="Z993" t="s">
        <v>24055</v>
      </c>
      <c r="AA993">
        <v>0.38055118104160968</v>
      </c>
      <c r="AB993" t="str">
        <f>HYPERLINK("Melting_Curves/meltCurve_J3KNL3_CHID1.pdf", "Melting_Curves/meltCurve_J3KNL3_CHID1.pdf")</f>
        <v>Melting_Curves/meltCurve_J3KNL3_CHID1.pdf</v>
      </c>
    </row>
    <row r="994" spans="1:28" x14ac:dyDescent="0.25">
      <c r="A994" t="s">
        <v>998</v>
      </c>
      <c r="B994">
        <v>0.99996721820229495</v>
      </c>
      <c r="C994">
        <v>1.0458712453465</v>
      </c>
      <c r="D994">
        <v>1.04850377490622</v>
      </c>
      <c r="E994">
        <v>0.97425145204491603</v>
      </c>
      <c r="F994">
        <v>1.2868608533835799</v>
      </c>
      <c r="G994">
        <v>1.3684393167820801</v>
      </c>
      <c r="H994">
        <v>1.0205283811813199</v>
      </c>
      <c r="I994">
        <v>0.76044270970573802</v>
      </c>
      <c r="J994">
        <v>0.71486200386385401</v>
      </c>
      <c r="K994">
        <v>0.49957903584987901</v>
      </c>
      <c r="L994">
        <v>2254.8014844455301</v>
      </c>
      <c r="M994">
        <v>34.337611560677601</v>
      </c>
      <c r="O994">
        <v>65.444135792949496</v>
      </c>
      <c r="P994">
        <v>-6.9368021327207596E-2</v>
      </c>
      <c r="Q994">
        <v>0.47116736693514899</v>
      </c>
      <c r="R994">
        <v>0.60139897044853297</v>
      </c>
      <c r="S994" t="s">
        <v>6820</v>
      </c>
      <c r="T994" t="s">
        <v>11650</v>
      </c>
      <c r="U994" t="s">
        <v>11650</v>
      </c>
      <c r="V994" t="s">
        <v>11650</v>
      </c>
      <c r="W994" t="s">
        <v>12621</v>
      </c>
      <c r="X994">
        <v>20</v>
      </c>
      <c r="Y994" t="s">
        <v>18377</v>
      </c>
      <c r="Z994" t="s">
        <v>24056</v>
      </c>
      <c r="AA994">
        <v>0.92224094368528642</v>
      </c>
      <c r="AB994" t="str">
        <f>HYPERLINK("Melting_Curves/meltCurve_J3KNL6_SEC16A.pdf", "Melting_Curves/meltCurve_J3KNL6_SEC16A.pdf")</f>
        <v>Melting_Curves/meltCurve_J3KNL6_SEC16A.pdf</v>
      </c>
    </row>
    <row r="995" spans="1:28" x14ac:dyDescent="0.25">
      <c r="A995" t="s">
        <v>999</v>
      </c>
      <c r="B995">
        <v>0.99996721820229495</v>
      </c>
      <c r="C995">
        <v>0.98618844613824197</v>
      </c>
      <c r="D995">
        <v>0.88535705930110598</v>
      </c>
      <c r="E995">
        <v>0.424738311420847</v>
      </c>
      <c r="F995">
        <v>0.39654333324199498</v>
      </c>
      <c r="G995">
        <v>0.31661900304829099</v>
      </c>
      <c r="H995">
        <v>0.169361737293165</v>
      </c>
      <c r="I995">
        <v>0.13062335624554999</v>
      </c>
      <c r="J995">
        <v>0.11035080860704501</v>
      </c>
      <c r="K995">
        <v>8.9022606903519999E-2</v>
      </c>
      <c r="L995">
        <v>824.88866147718397</v>
      </c>
      <c r="M995">
        <v>16.571747255760499</v>
      </c>
      <c r="N995">
        <v>50.635164580453598</v>
      </c>
      <c r="O995">
        <v>49.0689112469273</v>
      </c>
      <c r="P995">
        <v>-7.4096997759364305E-2</v>
      </c>
      <c r="Q995">
        <v>0.12245574342372099</v>
      </c>
      <c r="R995">
        <v>0.971901377015711</v>
      </c>
      <c r="S995" t="s">
        <v>6821</v>
      </c>
      <c r="T995" t="s">
        <v>11650</v>
      </c>
      <c r="U995" t="s">
        <v>11650</v>
      </c>
      <c r="V995" t="s">
        <v>11650</v>
      </c>
      <c r="W995" t="s">
        <v>12622</v>
      </c>
      <c r="X995">
        <v>3</v>
      </c>
      <c r="Y995" t="s">
        <v>18378</v>
      </c>
      <c r="Z995" t="s">
        <v>24057</v>
      </c>
      <c r="AA995">
        <v>0.42599923775127552</v>
      </c>
      <c r="AB995" t="str">
        <f>HYPERLINK("Melting_Curves/meltCurve_J3KNL7_FAM63B.pdf", "Melting_Curves/meltCurve_J3KNL7_FAM63B.pdf")</f>
        <v>Melting_Curves/meltCurve_J3KNL7_FAM63B.pdf</v>
      </c>
    </row>
    <row r="996" spans="1:28" x14ac:dyDescent="0.25">
      <c r="A996" t="s">
        <v>1000</v>
      </c>
      <c r="B996">
        <v>0.99996721820229495</v>
      </c>
      <c r="C996">
        <v>1.0213645950007</v>
      </c>
      <c r="D996">
        <v>1.01487284401957</v>
      </c>
      <c r="E996">
        <v>0.777184462264214</v>
      </c>
      <c r="F996">
        <v>0.82192597257342104</v>
      </c>
      <c r="G996">
        <v>0.832262847503766</v>
      </c>
      <c r="H996">
        <v>0.52542353911836404</v>
      </c>
      <c r="I996">
        <v>0.59005174500673596</v>
      </c>
      <c r="J996">
        <v>0.38223690133079102</v>
      </c>
      <c r="K996">
        <v>0.32827350475705203</v>
      </c>
      <c r="L996">
        <v>504.79564202319398</v>
      </c>
      <c r="M996">
        <v>7.8609955911644001</v>
      </c>
      <c r="N996">
        <v>64.215228943124401</v>
      </c>
      <c r="O996">
        <v>60.457773837620103</v>
      </c>
      <c r="P996">
        <v>-3.2545377533119299E-2</v>
      </c>
      <c r="Q996">
        <v>0</v>
      </c>
      <c r="R996">
        <v>0.92350559176019698</v>
      </c>
      <c r="S996" t="s">
        <v>6822</v>
      </c>
      <c r="T996" t="s">
        <v>11650</v>
      </c>
      <c r="U996" t="s">
        <v>11650</v>
      </c>
      <c r="V996" t="s">
        <v>11650</v>
      </c>
      <c r="W996" t="s">
        <v>12623</v>
      </c>
      <c r="X996">
        <v>1</v>
      </c>
      <c r="Y996" t="s">
        <v>18379</v>
      </c>
      <c r="Z996" t="s">
        <v>24058</v>
      </c>
      <c r="AA996">
        <v>0.74086501084541623</v>
      </c>
      <c r="AB996" t="str">
        <f>HYPERLINK("Melting_Curves/meltCurve_J3KNM9_FBXL7.pdf", "Melting_Curves/meltCurve_J3KNM9_FBXL7.pdf")</f>
        <v>Melting_Curves/meltCurve_J3KNM9_FBXL7.pdf</v>
      </c>
    </row>
    <row r="997" spans="1:28" x14ac:dyDescent="0.25">
      <c r="A997" t="s">
        <v>1001</v>
      </c>
      <c r="B997">
        <v>0.99996721820229495</v>
      </c>
      <c r="C997">
        <v>1.0397849290692101</v>
      </c>
      <c r="D997">
        <v>0.91006799556450002</v>
      </c>
      <c r="E997">
        <v>0.57150145495876303</v>
      </c>
      <c r="F997">
        <v>0.37547935862556597</v>
      </c>
      <c r="G997">
        <v>0.27826579257596201</v>
      </c>
      <c r="H997">
        <v>0.169648159298152</v>
      </c>
      <c r="I997">
        <v>0.13579419326213599</v>
      </c>
      <c r="J997">
        <v>0.115429755837939</v>
      </c>
      <c r="K997">
        <v>8.4197003645624505E-2</v>
      </c>
      <c r="L997">
        <v>946.55874378813201</v>
      </c>
      <c r="M997">
        <v>18.6973740944631</v>
      </c>
      <c r="N997">
        <v>51.371586074524799</v>
      </c>
      <c r="O997">
        <v>50.056783084716599</v>
      </c>
      <c r="P997">
        <v>-8.2277754196593597E-2</v>
      </c>
      <c r="Q997">
        <v>0.118938356882881</v>
      </c>
      <c r="R997">
        <v>0.99020910024526998</v>
      </c>
      <c r="S997" t="s">
        <v>6823</v>
      </c>
      <c r="T997" t="s">
        <v>11650</v>
      </c>
      <c r="U997" t="s">
        <v>11650</v>
      </c>
      <c r="V997" t="s">
        <v>11650</v>
      </c>
      <c r="W997" t="s">
        <v>12624</v>
      </c>
      <c r="X997">
        <v>9</v>
      </c>
      <c r="Y997" t="s">
        <v>18380</v>
      </c>
      <c r="Z997" t="s">
        <v>24059</v>
      </c>
      <c r="AA997">
        <v>0.44488458684958138</v>
      </c>
      <c r="AB997" t="str">
        <f>HYPERLINK("Melting_Curves/meltCurve_J3KNN7_BRAP.pdf", "Melting_Curves/meltCurve_J3KNN7_BRAP.pdf")</f>
        <v>Melting_Curves/meltCurve_J3KNN7_BRAP.pdf</v>
      </c>
    </row>
    <row r="998" spans="1:28" x14ac:dyDescent="0.25">
      <c r="A998" t="s">
        <v>1002</v>
      </c>
      <c r="B998">
        <v>0.99996721820229495</v>
      </c>
      <c r="C998">
        <v>0.98108779193050499</v>
      </c>
      <c r="D998">
        <v>1.0348892639935501</v>
      </c>
      <c r="E998">
        <v>1.1393828225809299</v>
      </c>
      <c r="F998">
        <v>0.45772559953121</v>
      </c>
      <c r="G998">
        <v>0.37317047374287399</v>
      </c>
      <c r="H998">
        <v>0.22444398183196801</v>
      </c>
      <c r="I998">
        <v>0.18198494941305501</v>
      </c>
      <c r="J998">
        <v>0.11379142498334301</v>
      </c>
      <c r="K998">
        <v>0.105822186621472</v>
      </c>
      <c r="L998">
        <v>13210.607043279801</v>
      </c>
      <c r="M998">
        <v>250</v>
      </c>
      <c r="N998">
        <v>52.950511051707998</v>
      </c>
      <c r="O998">
        <v>52.839049134869597</v>
      </c>
      <c r="P998">
        <v>-0.94645614295262803</v>
      </c>
      <c r="Q998">
        <v>0.19984255690788699</v>
      </c>
      <c r="R998">
        <v>0.95836329696627598</v>
      </c>
      <c r="S998" t="s">
        <v>6824</v>
      </c>
      <c r="T998" t="s">
        <v>11650</v>
      </c>
      <c r="U998" t="s">
        <v>11650</v>
      </c>
      <c r="V998" t="s">
        <v>11650</v>
      </c>
      <c r="W998" t="s">
        <v>12625</v>
      </c>
      <c r="X998">
        <v>12</v>
      </c>
      <c r="Y998" t="s">
        <v>18381</v>
      </c>
      <c r="Z998" t="s">
        <v>24060</v>
      </c>
      <c r="AA998">
        <v>0.54244891128992057</v>
      </c>
      <c r="AB998" t="str">
        <f>HYPERLINK("Melting_Curves/meltCurve_J3KNQ4_PARVA.pdf", "Melting_Curves/meltCurve_J3KNQ4_PARVA.pdf")</f>
        <v>Melting_Curves/meltCurve_J3KNQ4_PARVA.pdf</v>
      </c>
    </row>
    <row r="999" spans="1:28" x14ac:dyDescent="0.25">
      <c r="A999" t="s">
        <v>1003</v>
      </c>
      <c r="B999">
        <v>0.99996721820229495</v>
      </c>
      <c r="C999">
        <v>1.1011198751381199</v>
      </c>
      <c r="D999">
        <v>1.0708992591811499</v>
      </c>
      <c r="E999">
        <v>0.94480510760717995</v>
      </c>
      <c r="F999">
        <v>1.1564260447682599</v>
      </c>
      <c r="G999">
        <v>1.6619309241904701</v>
      </c>
      <c r="H999">
        <v>1.16625641081861</v>
      </c>
      <c r="I999">
        <v>0.99112405190821895</v>
      </c>
      <c r="J999">
        <v>0.96373234212290604</v>
      </c>
      <c r="K999">
        <v>0.69079062495259402</v>
      </c>
      <c r="L999">
        <v>5025.8330325228299</v>
      </c>
      <c r="M999">
        <v>72.581766384717298</v>
      </c>
      <c r="O999">
        <v>69.191242966712096</v>
      </c>
      <c r="P999">
        <v>-0.118108609793317</v>
      </c>
      <c r="Q999">
        <v>0.54963462456323897</v>
      </c>
      <c r="R999">
        <v>7.4811654457237101E-2</v>
      </c>
      <c r="S999" t="s">
        <v>6825</v>
      </c>
      <c r="T999" t="s">
        <v>11650</v>
      </c>
      <c r="U999" t="s">
        <v>11650</v>
      </c>
      <c r="V999" t="s">
        <v>11650</v>
      </c>
      <c r="W999" t="s">
        <v>12626</v>
      </c>
      <c r="X999">
        <v>3</v>
      </c>
      <c r="Y999" t="s">
        <v>18382</v>
      </c>
      <c r="Z999" t="s">
        <v>24061</v>
      </c>
      <c r="AA999">
        <v>0.98361774795699963</v>
      </c>
      <c r="AB999" t="str">
        <f>HYPERLINK("Melting_Curves/meltCurve_J3KNR0_MARK3.pdf", "Melting_Curves/meltCurve_J3KNR0_MARK3.pdf")</f>
        <v>Melting_Curves/meltCurve_J3KNR0_MARK3.pdf</v>
      </c>
    </row>
    <row r="1000" spans="1:28" x14ac:dyDescent="0.25">
      <c r="A1000" t="s">
        <v>1004</v>
      </c>
      <c r="B1000">
        <v>0.99996721820229495</v>
      </c>
      <c r="C1000">
        <v>0.94284550815960899</v>
      </c>
      <c r="D1000">
        <v>1.0165027548091501</v>
      </c>
      <c r="E1000">
        <v>0.668018761176015</v>
      </c>
      <c r="F1000">
        <v>0.862052959257121</v>
      </c>
      <c r="G1000">
        <v>0.95216947007346997</v>
      </c>
      <c r="H1000">
        <v>0.64580141177803196</v>
      </c>
      <c r="I1000">
        <v>0.445560748766056</v>
      </c>
      <c r="J1000">
        <v>0.32249431035681803</v>
      </c>
      <c r="K1000">
        <v>0.22561334818112899</v>
      </c>
      <c r="L1000">
        <v>779.68784824281204</v>
      </c>
      <c r="M1000">
        <v>12.282030224212599</v>
      </c>
      <c r="N1000">
        <v>63.482000461729797</v>
      </c>
      <c r="O1000">
        <v>61.869466195484101</v>
      </c>
      <c r="P1000">
        <v>-4.9639735030998701E-2</v>
      </c>
      <c r="Q1000">
        <v>0</v>
      </c>
      <c r="R1000">
        <v>0.84537262021684301</v>
      </c>
      <c r="S1000" t="s">
        <v>6826</v>
      </c>
      <c r="T1000" t="s">
        <v>11650</v>
      </c>
      <c r="U1000" t="s">
        <v>11650</v>
      </c>
      <c r="V1000" t="s">
        <v>11650</v>
      </c>
      <c r="W1000" t="s">
        <v>12627</v>
      </c>
      <c r="X1000">
        <v>3</v>
      </c>
      <c r="Y1000" t="s">
        <v>18383</v>
      </c>
      <c r="Z1000" t="s">
        <v>24062</v>
      </c>
      <c r="AA1000">
        <v>0.75997930124435764</v>
      </c>
      <c r="AB1000" t="str">
        <f>HYPERLINK("Melting_Curves/meltCurve_J3KNT4_FGFR1.pdf", "Melting_Curves/meltCurve_J3KNT4_FGFR1.pdf")</f>
        <v>Melting_Curves/meltCurve_J3KNT4_FGFR1.pdf</v>
      </c>
    </row>
    <row r="1001" spans="1:28" x14ac:dyDescent="0.25">
      <c r="A1001" t="s">
        <v>1005</v>
      </c>
      <c r="B1001">
        <v>0.99996721820229495</v>
      </c>
      <c r="C1001">
        <v>0.92316169010868598</v>
      </c>
      <c r="D1001">
        <v>0.81970750293720496</v>
      </c>
      <c r="E1001">
        <v>0.73947255584049798</v>
      </c>
      <c r="F1001">
        <v>0.55112854992988503</v>
      </c>
      <c r="G1001">
        <v>0.63318463248199797</v>
      </c>
      <c r="H1001">
        <v>0.27833722125892202</v>
      </c>
      <c r="I1001">
        <v>0.20638465515818299</v>
      </c>
      <c r="J1001">
        <v>0.218224754416529</v>
      </c>
      <c r="K1001">
        <v>0.235789415864324</v>
      </c>
      <c r="L1001">
        <v>457.13618046430798</v>
      </c>
      <c r="M1001">
        <v>8.1950746623723596</v>
      </c>
      <c r="N1001">
        <v>56.168432876447703</v>
      </c>
      <c r="O1001">
        <v>52.755652448593104</v>
      </c>
      <c r="P1001">
        <v>-3.7809126948334298E-2</v>
      </c>
      <c r="Q1001">
        <v>2.74230449411152E-2</v>
      </c>
      <c r="R1001">
        <v>0.94563455507029204</v>
      </c>
      <c r="S1001" t="s">
        <v>6827</v>
      </c>
      <c r="T1001" t="s">
        <v>11650</v>
      </c>
      <c r="U1001" t="s">
        <v>11650</v>
      </c>
      <c r="V1001" t="s">
        <v>11650</v>
      </c>
      <c r="W1001" t="s">
        <v>12628</v>
      </c>
      <c r="X1001">
        <v>26</v>
      </c>
      <c r="Y1001" t="s">
        <v>18384</v>
      </c>
      <c r="Z1001" t="s">
        <v>24063</v>
      </c>
      <c r="AA1001">
        <v>0.56010896626619688</v>
      </c>
      <c r="AB1001" t="str">
        <f>HYPERLINK("Melting_Curves/meltCurve_J3KNW4_FHL2.pdf", "Melting_Curves/meltCurve_J3KNW4_FHL2.pdf")</f>
        <v>Melting_Curves/meltCurve_J3KNW4_FHL2.pdf</v>
      </c>
    </row>
    <row r="1002" spans="1:28" x14ac:dyDescent="0.25">
      <c r="A1002" t="s">
        <v>1006</v>
      </c>
      <c r="B1002">
        <v>0.99996721820229495</v>
      </c>
      <c r="C1002">
        <v>0.79807301520238805</v>
      </c>
      <c r="D1002">
        <v>0.86564013470828205</v>
      </c>
      <c r="E1002">
        <v>1.5347195379715799</v>
      </c>
      <c r="F1002">
        <v>1.2693850358648799</v>
      </c>
      <c r="G1002">
        <v>1.0532770189339</v>
      </c>
      <c r="H1002">
        <v>0.83168053213721704</v>
      </c>
      <c r="I1002">
        <v>0.75955239744006897</v>
      </c>
      <c r="J1002">
        <v>0.66828228176737203</v>
      </c>
      <c r="K1002">
        <v>0.48347000425306402</v>
      </c>
      <c r="L1002">
        <v>1514.8189283736899</v>
      </c>
      <c r="M1002">
        <v>23.223156442559102</v>
      </c>
      <c r="O1002">
        <v>64.750919166553103</v>
      </c>
      <c r="P1002">
        <v>-5.29529898471882E-2</v>
      </c>
      <c r="Q1002">
        <v>0.40943548965328203</v>
      </c>
      <c r="R1002">
        <v>0.47760973342895902</v>
      </c>
      <c r="S1002" t="s">
        <v>6828</v>
      </c>
      <c r="T1002" t="s">
        <v>11650</v>
      </c>
      <c r="U1002" t="s">
        <v>11650</v>
      </c>
      <c r="V1002" t="s">
        <v>11650</v>
      </c>
      <c r="W1002" t="s">
        <v>12629</v>
      </c>
      <c r="X1002">
        <v>8</v>
      </c>
      <c r="Y1002" t="s">
        <v>18385</v>
      </c>
      <c r="Z1002" t="s">
        <v>24064</v>
      </c>
      <c r="AA1002">
        <v>0.90087302278247694</v>
      </c>
      <c r="AB1002" t="str">
        <f>HYPERLINK("Melting_Curves/meltCurve_J3KNX9_MYO18A.pdf", "Melting_Curves/meltCurve_J3KNX9_MYO18A.pdf")</f>
        <v>Melting_Curves/meltCurve_J3KNX9_MYO18A.pdf</v>
      </c>
    </row>
    <row r="1003" spans="1:28" x14ac:dyDescent="0.25">
      <c r="A1003" t="s">
        <v>1007</v>
      </c>
      <c r="B1003">
        <v>0.99996721820229495</v>
      </c>
      <c r="C1003">
        <v>0.93400112029512405</v>
      </c>
      <c r="D1003">
        <v>0.90149390224487302</v>
      </c>
      <c r="E1003">
        <v>0.98370133293440698</v>
      </c>
      <c r="F1003">
        <v>1.2540755105775001</v>
      </c>
      <c r="G1003">
        <v>1.3168907817906499</v>
      </c>
      <c r="H1003">
        <v>1.06384007290047</v>
      </c>
      <c r="I1003">
        <v>1.3207824195619</v>
      </c>
      <c r="J1003">
        <v>1.3022637129557799</v>
      </c>
      <c r="K1003">
        <v>1.3815721519975499</v>
      </c>
      <c r="L1003">
        <v>13122.676196018199</v>
      </c>
      <c r="M1003">
        <v>250</v>
      </c>
      <c r="O1003">
        <v>52.487366704375098</v>
      </c>
      <c r="P1003">
        <v>0.32992473381732301</v>
      </c>
      <c r="Q1003">
        <v>1.2770699774509799</v>
      </c>
      <c r="R1003">
        <v>0.75894812964521596</v>
      </c>
      <c r="S1003" t="s">
        <v>6829</v>
      </c>
      <c r="T1003" t="s">
        <v>11650</v>
      </c>
      <c r="U1003" t="s">
        <v>11650</v>
      </c>
      <c r="V1003" t="s">
        <v>11650</v>
      </c>
      <c r="W1003" t="s">
        <v>12630</v>
      </c>
      <c r="X1003">
        <v>12</v>
      </c>
      <c r="Y1003" t="s">
        <v>18386</v>
      </c>
      <c r="Z1003" t="s">
        <v>24065</v>
      </c>
      <c r="AA1003">
        <v>1.161684477233156</v>
      </c>
      <c r="AB1003" t="str">
        <f>HYPERLINK("Melting_Curves/meltCurve_J3KP15_SRSF2.pdf", "Melting_Curves/meltCurve_J3KP15_SRSF2.pdf")</f>
        <v>Melting_Curves/meltCurve_J3KP15_SRSF2.pdf</v>
      </c>
    </row>
    <row r="1004" spans="1:28" x14ac:dyDescent="0.25">
      <c r="A1004" t="s">
        <v>1008</v>
      </c>
      <c r="B1004">
        <v>0.99996721820229495</v>
      </c>
      <c r="C1004">
        <v>0.90797886631960401</v>
      </c>
      <c r="D1004">
        <v>0.93649860595555101</v>
      </c>
      <c r="E1004">
        <v>1.4160255900134899</v>
      </c>
      <c r="F1004">
        <v>1.6566687866418801</v>
      </c>
      <c r="G1004">
        <v>1.9351099463344099</v>
      </c>
      <c r="H1004">
        <v>0.94580468057622602</v>
      </c>
      <c r="I1004">
        <v>0.57130135153749795</v>
      </c>
      <c r="J1004">
        <v>0.56145493535704505</v>
      </c>
      <c r="K1004">
        <v>0.53073458484201197</v>
      </c>
      <c r="L1004">
        <v>6481.3540010602901</v>
      </c>
      <c r="M1004">
        <v>104.220163412471</v>
      </c>
      <c r="O1004">
        <v>62.166171363003897</v>
      </c>
      <c r="P1004">
        <v>-0.18993842987294399</v>
      </c>
      <c r="Q1004">
        <v>0.54681534824192901</v>
      </c>
      <c r="R1004">
        <v>0.27905510843565601</v>
      </c>
      <c r="S1004" t="s">
        <v>6830</v>
      </c>
      <c r="T1004" t="s">
        <v>11650</v>
      </c>
      <c r="U1004" t="s">
        <v>11650</v>
      </c>
      <c r="V1004" t="s">
        <v>11650</v>
      </c>
      <c r="W1004" t="s">
        <v>12631</v>
      </c>
      <c r="X1004">
        <v>8</v>
      </c>
      <c r="Y1004" t="s">
        <v>18387</v>
      </c>
      <c r="Z1004" t="s">
        <v>24066</v>
      </c>
      <c r="AA1004">
        <v>0.88229152881545736</v>
      </c>
      <c r="AB1004" t="str">
        <f>HYPERLINK("Melting_Curves/meltCurve_J3KP19_SIPA1L1.pdf", "Melting_Curves/meltCurve_J3KP19_SIPA1L1.pdf")</f>
        <v>Melting_Curves/meltCurve_J3KP19_SIPA1L1.pdf</v>
      </c>
    </row>
    <row r="1005" spans="1:28" x14ac:dyDescent="0.25">
      <c r="A1005" t="s">
        <v>1009</v>
      </c>
      <c r="B1005">
        <v>0.99996721820229495</v>
      </c>
      <c r="C1005">
        <v>1.0461855403456599</v>
      </c>
      <c r="D1005">
        <v>1.1965932593209501</v>
      </c>
      <c r="E1005">
        <v>1.06491388097868</v>
      </c>
      <c r="F1005">
        <v>1.0533696076680501</v>
      </c>
      <c r="G1005">
        <v>0.93998724515294696</v>
      </c>
      <c r="H1005">
        <v>0.67929395422817096</v>
      </c>
      <c r="I1005">
        <v>0.46750530469058699</v>
      </c>
      <c r="J1005">
        <v>0.39789748725604601</v>
      </c>
      <c r="K1005">
        <v>0.41320152045125103</v>
      </c>
      <c r="L1005">
        <v>2329.0230799447199</v>
      </c>
      <c r="M1005">
        <v>38.340697744565297</v>
      </c>
      <c r="N1005">
        <v>63.328369871689098</v>
      </c>
      <c r="O1005">
        <v>60.580916705574303</v>
      </c>
      <c r="P1005">
        <v>-9.56722291393209E-2</v>
      </c>
      <c r="Q1005">
        <v>0.39532700059551501</v>
      </c>
      <c r="R1005">
        <v>0.94205463377041898</v>
      </c>
      <c r="S1005" t="s">
        <v>6831</v>
      </c>
      <c r="T1005" t="s">
        <v>11650</v>
      </c>
      <c r="U1005" t="s">
        <v>11650</v>
      </c>
      <c r="V1005" t="s">
        <v>11650</v>
      </c>
      <c r="W1005" t="s">
        <v>12632</v>
      </c>
      <c r="X1005">
        <v>4</v>
      </c>
      <c r="Y1005" t="s">
        <v>18388</v>
      </c>
      <c r="Z1005" t="s">
        <v>24067</v>
      </c>
      <c r="AA1005">
        <v>0.81595047008308508</v>
      </c>
      <c r="AB1005" t="str">
        <f>HYPERLINK("Melting_Curves/meltCurve_J3KP22_PTPRA.pdf", "Melting_Curves/meltCurve_J3KP22_PTPRA.pdf")</f>
        <v>Melting_Curves/meltCurve_J3KP22_PTPRA.pdf</v>
      </c>
    </row>
    <row r="1006" spans="1:28" x14ac:dyDescent="0.25">
      <c r="A1006" t="s">
        <v>1010</v>
      </c>
      <c r="B1006">
        <v>0.99996721820229495</v>
      </c>
      <c r="C1006">
        <v>0.99724777225186101</v>
      </c>
      <c r="D1006">
        <v>1.0621580283412499</v>
      </c>
      <c r="E1006">
        <v>1.2038019174196</v>
      </c>
      <c r="F1006">
        <v>1.1662284584546401</v>
      </c>
      <c r="G1006">
        <v>0.98782955277930296</v>
      </c>
      <c r="H1006">
        <v>0.49373127353350699</v>
      </c>
      <c r="I1006">
        <v>0.267221597436965</v>
      </c>
      <c r="J1006">
        <v>0.16471701671490599</v>
      </c>
      <c r="K1006">
        <v>0.14944609369182099</v>
      </c>
      <c r="L1006">
        <v>2926.1555879378302</v>
      </c>
      <c r="M1006">
        <v>48.329590783135401</v>
      </c>
      <c r="N1006">
        <v>61.063678078297698</v>
      </c>
      <c r="O1006">
        <v>60.4424477969403</v>
      </c>
      <c r="P1006">
        <v>-0.16629125942009201</v>
      </c>
      <c r="Q1006">
        <v>0.16812529879933499</v>
      </c>
      <c r="R1006">
        <v>0.95380846498090899</v>
      </c>
      <c r="S1006" t="s">
        <v>6832</v>
      </c>
      <c r="T1006" t="s">
        <v>11650</v>
      </c>
      <c r="U1006" t="s">
        <v>11650</v>
      </c>
      <c r="V1006" t="s">
        <v>11650</v>
      </c>
      <c r="W1006" t="s">
        <v>12633</v>
      </c>
      <c r="X1006">
        <v>2</v>
      </c>
      <c r="Y1006" t="s">
        <v>18389</v>
      </c>
      <c r="Z1006" t="s">
        <v>24068</v>
      </c>
      <c r="AA1006">
        <v>0.74015154955073548</v>
      </c>
      <c r="AB1006" t="str">
        <f>HYPERLINK("Melting_Curves/meltCurve_J3KP26_ANKRD46.pdf", "Melting_Curves/meltCurve_J3KP26_ANKRD46.pdf")</f>
        <v>Melting_Curves/meltCurve_J3KP26_ANKRD46.pdf</v>
      </c>
    </row>
    <row r="1007" spans="1:28" x14ac:dyDescent="0.25">
      <c r="A1007" t="s">
        <v>1011</v>
      </c>
      <c r="B1007">
        <v>0.99996721820229495</v>
      </c>
      <c r="C1007">
        <v>0.99601729565830999</v>
      </c>
      <c r="D1007">
        <v>0.77599412090906295</v>
      </c>
      <c r="E1007">
        <v>0.68963736624058503</v>
      </c>
      <c r="F1007">
        <v>0.61074337195194195</v>
      </c>
      <c r="G1007">
        <v>0.61152613690630897</v>
      </c>
      <c r="H1007">
        <v>0.42634042073741202</v>
      </c>
      <c r="I1007">
        <v>0.52656167565587197</v>
      </c>
      <c r="J1007">
        <v>0.36251437852934598</v>
      </c>
      <c r="K1007">
        <v>0.29190826462521602</v>
      </c>
      <c r="L1007">
        <v>402.03423874357702</v>
      </c>
      <c r="M1007">
        <v>7.3924821695049996</v>
      </c>
      <c r="N1007">
        <v>59.161909059570199</v>
      </c>
      <c r="O1007">
        <v>50.829797096798501</v>
      </c>
      <c r="P1007">
        <v>-2.8229438845580299E-2</v>
      </c>
      <c r="Q1007">
        <v>0.22476717991842901</v>
      </c>
      <c r="R1007">
        <v>0.92600295903138197</v>
      </c>
      <c r="S1007" t="s">
        <v>6833</v>
      </c>
      <c r="T1007" t="s">
        <v>11650</v>
      </c>
      <c r="U1007" t="s">
        <v>11650</v>
      </c>
      <c r="V1007" t="s">
        <v>11650</v>
      </c>
      <c r="W1007" t="s">
        <v>12634</v>
      </c>
      <c r="X1007">
        <v>7</v>
      </c>
      <c r="Y1007" t="s">
        <v>18390</v>
      </c>
      <c r="Z1007" t="s">
        <v>24069</v>
      </c>
      <c r="AA1007">
        <v>0.62136512178940251</v>
      </c>
      <c r="AB1007" t="str">
        <f>HYPERLINK("Melting_Curves/meltCurve_J3KP29_NUP98.pdf", "Melting_Curves/meltCurve_J3KP29_NUP98.pdf")</f>
        <v>Melting_Curves/meltCurve_J3KP29_NUP98.pdf</v>
      </c>
    </row>
    <row r="1008" spans="1:28" x14ac:dyDescent="0.25">
      <c r="A1008" t="s">
        <v>1012</v>
      </c>
      <c r="B1008">
        <v>0.99996721820229495</v>
      </c>
      <c r="C1008">
        <v>0.85738972152122395</v>
      </c>
      <c r="D1008">
        <v>0.92308820228968502</v>
      </c>
      <c r="E1008">
        <v>1.14154220569133</v>
      </c>
      <c r="F1008">
        <v>1.43032413590507</v>
      </c>
      <c r="G1008">
        <v>1.71958871195828</v>
      </c>
      <c r="H1008">
        <v>1.1813153596992401</v>
      </c>
      <c r="I1008">
        <v>0.70789604395657801</v>
      </c>
      <c r="J1008">
        <v>0.43599352211578701</v>
      </c>
      <c r="K1008">
        <v>0.56698488890009502</v>
      </c>
      <c r="L1008">
        <v>15000</v>
      </c>
      <c r="M1008">
        <v>234.72219631585</v>
      </c>
      <c r="O1008">
        <v>63.900695507695403</v>
      </c>
      <c r="P1008">
        <v>-0.457790807452014</v>
      </c>
      <c r="Q1008">
        <v>0.50148472665952104</v>
      </c>
      <c r="R1008">
        <v>0.424063348965665</v>
      </c>
      <c r="S1008" t="s">
        <v>6834</v>
      </c>
      <c r="T1008" t="s">
        <v>11650</v>
      </c>
      <c r="U1008" t="s">
        <v>11650</v>
      </c>
      <c r="V1008" t="s">
        <v>11650</v>
      </c>
      <c r="W1008" t="s">
        <v>12635</v>
      </c>
      <c r="X1008">
        <v>11</v>
      </c>
      <c r="Y1008" t="s">
        <v>18391</v>
      </c>
      <c r="Z1008" t="s">
        <v>24070</v>
      </c>
      <c r="AA1008">
        <v>0.89878726568224854</v>
      </c>
      <c r="AB1008" t="str">
        <f>HYPERLINK("Melting_Curves/meltCurve_J3KP75_PHACTR2.pdf", "Melting_Curves/meltCurve_J3KP75_PHACTR2.pdf")</f>
        <v>Melting_Curves/meltCurve_J3KP75_PHACTR2.pdf</v>
      </c>
    </row>
    <row r="1009" spans="1:28" x14ac:dyDescent="0.25">
      <c r="A1009" t="s">
        <v>1013</v>
      </c>
      <c r="B1009">
        <v>0.99996721820229495</v>
      </c>
      <c r="C1009">
        <v>0.91142754873422105</v>
      </c>
      <c r="D1009">
        <v>1.0295143913435201</v>
      </c>
      <c r="E1009">
        <v>1.0493230861935301</v>
      </c>
      <c r="F1009">
        <v>0.88371618964468301</v>
      </c>
      <c r="G1009">
        <v>0.55292357477563103</v>
      </c>
      <c r="H1009">
        <v>0.31350278813016902</v>
      </c>
      <c r="I1009">
        <v>0.23357493688956499</v>
      </c>
      <c r="J1009">
        <v>0.18878483364318799</v>
      </c>
      <c r="K1009">
        <v>0.14430738764112</v>
      </c>
      <c r="L1009">
        <v>1458.9589343103501</v>
      </c>
      <c r="M1009">
        <v>25.6531426359624</v>
      </c>
      <c r="N1009">
        <v>57.798979078142402</v>
      </c>
      <c r="O1009">
        <v>56.530298603286099</v>
      </c>
      <c r="P1009">
        <v>-9.4325704842812094E-2</v>
      </c>
      <c r="Q1009">
        <v>0.16857039946046401</v>
      </c>
      <c r="R1009">
        <v>0.987532441269382</v>
      </c>
      <c r="S1009" t="s">
        <v>6835</v>
      </c>
      <c r="T1009" t="s">
        <v>11650</v>
      </c>
      <c r="U1009" t="s">
        <v>11650</v>
      </c>
      <c r="V1009" t="s">
        <v>11650</v>
      </c>
      <c r="W1009" t="s">
        <v>12636</v>
      </c>
      <c r="X1009">
        <v>7</v>
      </c>
      <c r="Y1009" t="s">
        <v>18392</v>
      </c>
      <c r="Z1009" t="s">
        <v>24071</v>
      </c>
      <c r="AA1009">
        <v>0.64339474762800997</v>
      </c>
      <c r="AB1009" t="str">
        <f>HYPERLINK("Melting_Curves/meltCurve_J3KPC8_SIK3.pdf", "Melting_Curves/meltCurve_J3KPC8_SIK3.pdf")</f>
        <v>Melting_Curves/meltCurve_J3KPC8_SIK3.pdf</v>
      </c>
    </row>
    <row r="1010" spans="1:28" x14ac:dyDescent="0.25">
      <c r="A1010" t="s">
        <v>1014</v>
      </c>
      <c r="B1010">
        <v>0.99996721820229495</v>
      </c>
      <c r="C1010">
        <v>0.98850090296294202</v>
      </c>
      <c r="D1010">
        <v>1.1121347858930699</v>
      </c>
      <c r="E1010">
        <v>1.1194563997270099</v>
      </c>
      <c r="F1010">
        <v>1.5060772588920199</v>
      </c>
      <c r="G1010">
        <v>1.3018114215771499</v>
      </c>
      <c r="H1010">
        <v>0.72597201092753705</v>
      </c>
      <c r="I1010">
        <v>0.33179792383793599</v>
      </c>
      <c r="J1010">
        <v>0.16694303932419299</v>
      </c>
      <c r="K1010">
        <v>0.107129244104797</v>
      </c>
      <c r="L1010">
        <v>3122.4736407575701</v>
      </c>
      <c r="M1010">
        <v>50.188229728525997</v>
      </c>
      <c r="N1010">
        <v>62.594933772427297</v>
      </c>
      <c r="O1010">
        <v>62.116720764083503</v>
      </c>
      <c r="P1010">
        <v>-0.17548561332739299</v>
      </c>
      <c r="Q1010">
        <v>0.13122407466396399</v>
      </c>
      <c r="R1010">
        <v>0.81915971961248601</v>
      </c>
      <c r="S1010" t="s">
        <v>6836</v>
      </c>
      <c r="T1010" t="s">
        <v>11650</v>
      </c>
      <c r="U1010" t="s">
        <v>11650</v>
      </c>
      <c r="V1010" t="s">
        <v>11650</v>
      </c>
      <c r="W1010" t="s">
        <v>12637</v>
      </c>
      <c r="X1010">
        <v>6</v>
      </c>
      <c r="Y1010" t="s">
        <v>18393</v>
      </c>
      <c r="Z1010" t="s">
        <v>24072</v>
      </c>
      <c r="AA1010">
        <v>0.77674726816553108</v>
      </c>
      <c r="AB1010" t="str">
        <f>HYPERLINK("Melting_Curves/meltCurve_J3KPG9_CSAD.pdf", "Melting_Curves/meltCurve_J3KPG9_CSAD.pdf")</f>
        <v>Melting_Curves/meltCurve_J3KPG9_CSAD.pdf</v>
      </c>
    </row>
    <row r="1011" spans="1:28" x14ac:dyDescent="0.25">
      <c r="A1011" t="s">
        <v>1015</v>
      </c>
      <c r="B1011">
        <v>0.99996721820229495</v>
      </c>
      <c r="C1011">
        <v>1.00265369475441</v>
      </c>
      <c r="D1011">
        <v>0.93432199589885001</v>
      </c>
      <c r="E1011">
        <v>0.87920639471365702</v>
      </c>
      <c r="F1011">
        <v>0.95361849327925796</v>
      </c>
      <c r="G1011">
        <v>0.55334928604967704</v>
      </c>
      <c r="H1011">
        <v>0.335437876943948</v>
      </c>
      <c r="I1011">
        <v>0.249604212470386</v>
      </c>
      <c r="J1011">
        <v>0.205264040375119</v>
      </c>
      <c r="K1011">
        <v>0.119903476852343</v>
      </c>
      <c r="L1011">
        <v>1181.0531381189101</v>
      </c>
      <c r="M1011">
        <v>20.5922943583722</v>
      </c>
      <c r="N1011">
        <v>58.259034923041398</v>
      </c>
      <c r="O1011">
        <v>56.821467188600899</v>
      </c>
      <c r="P1011">
        <v>-7.8202552216693394E-2</v>
      </c>
      <c r="Q1011">
        <v>0.13687043109682401</v>
      </c>
      <c r="R1011">
        <v>0.98159969968419503</v>
      </c>
      <c r="S1011" t="s">
        <v>6837</v>
      </c>
      <c r="T1011" t="s">
        <v>11650</v>
      </c>
      <c r="U1011" t="s">
        <v>11650</v>
      </c>
      <c r="V1011" t="s">
        <v>11650</v>
      </c>
      <c r="W1011" t="s">
        <v>12638</v>
      </c>
      <c r="X1011">
        <v>6</v>
      </c>
      <c r="Y1011" t="s">
        <v>18394</v>
      </c>
      <c r="Z1011" t="s">
        <v>24073</v>
      </c>
      <c r="AA1011">
        <v>0.64614524237145354</v>
      </c>
      <c r="AB1011" t="str">
        <f>HYPERLINK("Melting_Curves/meltCurve_J3KPK1_SYNJ1.pdf", "Melting_Curves/meltCurve_J3KPK1_SYNJ1.pdf")</f>
        <v>Melting_Curves/meltCurve_J3KPK1_SYNJ1.pdf</v>
      </c>
    </row>
    <row r="1012" spans="1:28" x14ac:dyDescent="0.25">
      <c r="A1012" t="s">
        <v>1016</v>
      </c>
      <c r="B1012">
        <v>0.99996721820229495</v>
      </c>
      <c r="C1012">
        <v>0.97785591501543001</v>
      </c>
      <c r="D1012">
        <v>1.1179755628044701</v>
      </c>
      <c r="E1012">
        <v>1.00599095201232</v>
      </c>
      <c r="F1012">
        <v>1.5757709116713601</v>
      </c>
      <c r="G1012">
        <v>1.7985535883022901</v>
      </c>
      <c r="H1012">
        <v>1.1433124588446899</v>
      </c>
      <c r="I1012">
        <v>0.84021584242351199</v>
      </c>
      <c r="J1012">
        <v>0.61764980619367604</v>
      </c>
      <c r="K1012">
        <v>0.49236267803627098</v>
      </c>
      <c r="L1012">
        <v>3761.8242788837101</v>
      </c>
      <c r="M1012">
        <v>57.669508251433399</v>
      </c>
      <c r="O1012">
        <v>65.152438526060095</v>
      </c>
      <c r="P1012">
        <v>-0.11061554216953801</v>
      </c>
      <c r="Q1012">
        <v>0.50012624343979695</v>
      </c>
      <c r="R1012">
        <v>0.27958889439092399</v>
      </c>
      <c r="S1012" t="s">
        <v>6838</v>
      </c>
      <c r="T1012" t="s">
        <v>11650</v>
      </c>
      <c r="U1012" t="s">
        <v>11650</v>
      </c>
      <c r="V1012" t="s">
        <v>11650</v>
      </c>
      <c r="W1012" t="s">
        <v>12639</v>
      </c>
      <c r="X1012">
        <v>1</v>
      </c>
      <c r="Y1012" t="s">
        <v>18395</v>
      </c>
      <c r="Z1012" t="s">
        <v>24074</v>
      </c>
      <c r="AA1012">
        <v>0.92117264132611865</v>
      </c>
      <c r="AB1012" t="str">
        <f>HYPERLINK("Melting_Curves/meltCurve_J3KPP0_MRPL42.pdf", "Melting_Curves/meltCurve_J3KPP0_MRPL42.pdf")</f>
        <v>Melting_Curves/meltCurve_J3KPP0_MRPL42.pdf</v>
      </c>
    </row>
    <row r="1013" spans="1:28" x14ac:dyDescent="0.25">
      <c r="A1013" t="s">
        <v>1017</v>
      </c>
      <c r="B1013">
        <v>0.99996721820229495</v>
      </c>
      <c r="C1013">
        <v>0.87830683162986301</v>
      </c>
      <c r="D1013">
        <v>0.724968772116378</v>
      </c>
      <c r="E1013">
        <v>0.70532718558486196</v>
      </c>
      <c r="F1013">
        <v>0.40066556631705202</v>
      </c>
      <c r="G1013">
        <v>0.26292330279683201</v>
      </c>
      <c r="H1013">
        <v>0.17390591919865001</v>
      </c>
      <c r="I1013">
        <v>0.11630814485804</v>
      </c>
      <c r="J1013">
        <v>7.5055560311499805E-2</v>
      </c>
      <c r="K1013">
        <v>7.9193750881470099E-2</v>
      </c>
      <c r="L1013">
        <v>548.15233319399999</v>
      </c>
      <c r="M1013">
        <v>10.563665055941</v>
      </c>
      <c r="N1013">
        <v>51.890345193900501</v>
      </c>
      <c r="O1013">
        <v>50.134352748386299</v>
      </c>
      <c r="P1013">
        <v>-5.2697566837532697E-2</v>
      </c>
      <c r="Q1013">
        <v>0</v>
      </c>
      <c r="R1013">
        <v>0.98124833925812904</v>
      </c>
      <c r="S1013" t="s">
        <v>6839</v>
      </c>
      <c r="T1013" t="s">
        <v>11650</v>
      </c>
      <c r="U1013" t="s">
        <v>11650</v>
      </c>
      <c r="V1013" t="s">
        <v>11650</v>
      </c>
      <c r="W1013" t="s">
        <v>12640</v>
      </c>
      <c r="X1013">
        <v>4</v>
      </c>
      <c r="Y1013" t="s">
        <v>18396</v>
      </c>
      <c r="Z1013" t="s">
        <v>24075</v>
      </c>
      <c r="AA1013">
        <v>0.4324075798154548</v>
      </c>
      <c r="AB1013" t="str">
        <f>HYPERLINK("Melting_Curves/meltCurve_J3KPP4_LUC7L3.pdf", "Melting_Curves/meltCurve_J3KPP4_LUC7L3.pdf")</f>
        <v>Melting_Curves/meltCurve_J3KPP4_LUC7L3.pdf</v>
      </c>
    </row>
    <row r="1014" spans="1:28" x14ac:dyDescent="0.25">
      <c r="A1014" t="s">
        <v>1018</v>
      </c>
      <c r="B1014">
        <v>0.99996721820229495</v>
      </c>
      <c r="C1014">
        <v>0.86614974632500696</v>
      </c>
      <c r="D1014">
        <v>0.73875167815283804</v>
      </c>
      <c r="E1014">
        <v>0.54254873696511996</v>
      </c>
      <c r="F1014">
        <v>0.29178173064548502</v>
      </c>
      <c r="G1014">
        <v>0.28487513554517901</v>
      </c>
      <c r="H1014">
        <v>0.190603767965871</v>
      </c>
      <c r="I1014">
        <v>0.117228326546876</v>
      </c>
      <c r="J1014">
        <v>0.107370212146797</v>
      </c>
      <c r="K1014">
        <v>0.120015487006833</v>
      </c>
      <c r="L1014">
        <v>637.03725792892601</v>
      </c>
      <c r="M1014">
        <v>12.9153767243525</v>
      </c>
      <c r="N1014">
        <v>50.156525579582201</v>
      </c>
      <c r="O1014">
        <v>48.186343358962098</v>
      </c>
      <c r="P1014">
        <v>-6.0553256968957199E-2</v>
      </c>
      <c r="Q1014">
        <v>9.6484050818542305E-2</v>
      </c>
      <c r="R1014">
        <v>0.98809751692546199</v>
      </c>
      <c r="S1014" t="s">
        <v>6840</v>
      </c>
      <c r="T1014" t="s">
        <v>11650</v>
      </c>
      <c r="U1014" t="s">
        <v>11650</v>
      </c>
      <c r="V1014" t="s">
        <v>11650</v>
      </c>
      <c r="W1014" t="s">
        <v>12641</v>
      </c>
      <c r="X1014">
        <v>2</v>
      </c>
      <c r="Y1014" t="s">
        <v>18397</v>
      </c>
      <c r="Z1014" t="s">
        <v>24076</v>
      </c>
      <c r="AA1014">
        <v>0.4060716342468888</v>
      </c>
      <c r="AB1014" t="str">
        <f>HYPERLINK("Melting_Curves/meltCurve_J3KPS0_DNAJB12.pdf", "Melting_Curves/meltCurve_J3KPS0_DNAJB12.pdf")</f>
        <v>Melting_Curves/meltCurve_J3KPS0_DNAJB12.pdf</v>
      </c>
    </row>
    <row r="1015" spans="1:28" x14ac:dyDescent="0.25">
      <c r="A1015" t="s">
        <v>1019</v>
      </c>
      <c r="B1015">
        <v>0.99996721820229495</v>
      </c>
      <c r="C1015">
        <v>0.97513943469613995</v>
      </c>
      <c r="D1015">
        <v>0.94590837416213502</v>
      </c>
      <c r="E1015">
        <v>0.74590075561715097</v>
      </c>
      <c r="F1015">
        <v>0.70792733973624</v>
      </c>
      <c r="G1015">
        <v>0.524629419095896</v>
      </c>
      <c r="H1015">
        <v>0.39916393945108097</v>
      </c>
      <c r="I1015">
        <v>0.198285525208486</v>
      </c>
      <c r="J1015">
        <v>0.14231617203369601</v>
      </c>
      <c r="K1015">
        <v>0.103517984459695</v>
      </c>
      <c r="L1015">
        <v>606.63981466151995</v>
      </c>
      <c r="M1015">
        <v>10.632026732194101</v>
      </c>
      <c r="N1015">
        <v>57.0577774026847</v>
      </c>
      <c r="O1015">
        <v>55.1502832190465</v>
      </c>
      <c r="P1015">
        <v>-4.8214241475509699E-2</v>
      </c>
      <c r="Q1015">
        <v>0</v>
      </c>
      <c r="R1015">
        <v>0.98792503060345405</v>
      </c>
      <c r="S1015" t="s">
        <v>6841</v>
      </c>
      <c r="T1015" t="s">
        <v>11650</v>
      </c>
      <c r="U1015" t="s">
        <v>11650</v>
      </c>
      <c r="V1015" t="s">
        <v>11650</v>
      </c>
      <c r="W1015" t="s">
        <v>12642</v>
      </c>
      <c r="X1015">
        <v>4</v>
      </c>
      <c r="Y1015" t="s">
        <v>18398</v>
      </c>
      <c r="Z1015" t="s">
        <v>24077</v>
      </c>
      <c r="AA1015">
        <v>0.58466443056199935</v>
      </c>
      <c r="AB1015" t="str">
        <f>HYPERLINK("Melting_Curves/meltCurve_J3KPT4_TRABD.pdf", "Melting_Curves/meltCurve_J3KPT4_TRABD.pdf")</f>
        <v>Melting_Curves/meltCurve_J3KPT4_TRABD.pdf</v>
      </c>
    </row>
    <row r="1016" spans="1:28" x14ac:dyDescent="0.25">
      <c r="A1016" t="s">
        <v>1020</v>
      </c>
      <c r="B1016">
        <v>0.99996721820229495</v>
      </c>
      <c r="C1016">
        <v>0.997695399036582</v>
      </c>
      <c r="D1016">
        <v>0.868041125968953</v>
      </c>
      <c r="E1016">
        <v>0.69579164966131402</v>
      </c>
      <c r="F1016">
        <v>0.34012423020170302</v>
      </c>
      <c r="G1016">
        <v>0.26004245689178201</v>
      </c>
      <c r="H1016">
        <v>0.15520713469529601</v>
      </c>
      <c r="I1016">
        <v>0.112707714674865</v>
      </c>
      <c r="J1016">
        <v>8.8463419134870505E-2</v>
      </c>
      <c r="K1016">
        <v>7.8221129005193707E-2</v>
      </c>
      <c r="L1016">
        <v>932.64990010374504</v>
      </c>
      <c r="M1016">
        <v>18.205739868419901</v>
      </c>
      <c r="N1016">
        <v>51.786809870319402</v>
      </c>
      <c r="O1016">
        <v>50.622253155620903</v>
      </c>
      <c r="P1016">
        <v>-8.1900202338759803E-2</v>
      </c>
      <c r="Q1016">
        <v>8.9127279807263399E-2</v>
      </c>
      <c r="R1016">
        <v>0.991146810771389</v>
      </c>
      <c r="S1016" t="s">
        <v>6842</v>
      </c>
      <c r="T1016" t="s">
        <v>11650</v>
      </c>
      <c r="U1016" t="s">
        <v>11650</v>
      </c>
      <c r="V1016" t="s">
        <v>11650</v>
      </c>
      <c r="W1016" t="s">
        <v>12643</v>
      </c>
      <c r="X1016">
        <v>17</v>
      </c>
      <c r="Y1016" t="s">
        <v>18399</v>
      </c>
      <c r="Z1016" t="s">
        <v>24078</v>
      </c>
      <c r="AA1016">
        <v>0.4450459920973226</v>
      </c>
      <c r="AB1016" t="str">
        <f>HYPERLINK("Melting_Curves/meltCurve_J3KPV7_MPST.pdf", "Melting_Curves/meltCurve_J3KPV7_MPST.pdf")</f>
        <v>Melting_Curves/meltCurve_J3KPV7_MPST.pdf</v>
      </c>
    </row>
    <row r="1017" spans="1:28" x14ac:dyDescent="0.25">
      <c r="A1017" t="s">
        <v>1021</v>
      </c>
      <c r="B1017">
        <v>0.99996721820229495</v>
      </c>
      <c r="C1017">
        <v>0.98188870983190102</v>
      </c>
      <c r="D1017">
        <v>1.10475176824959</v>
      </c>
      <c r="E1017">
        <v>1.33045560905514</v>
      </c>
      <c r="F1017">
        <v>1.0492003922217401</v>
      </c>
      <c r="G1017">
        <v>0.66801829938030299</v>
      </c>
      <c r="H1017">
        <v>0.37282514191107602</v>
      </c>
      <c r="I1017">
        <v>0.33455050449803603</v>
      </c>
      <c r="J1017">
        <v>0.249273008218723</v>
      </c>
      <c r="K1017">
        <v>0.100820441980516</v>
      </c>
      <c r="L1017">
        <v>1788.51429077987</v>
      </c>
      <c r="M1017">
        <v>30.7434462727092</v>
      </c>
      <c r="N1017">
        <v>59.189273250335702</v>
      </c>
      <c r="O1017">
        <v>57.930998023127998</v>
      </c>
      <c r="P1017">
        <v>-0.10551662258078701</v>
      </c>
      <c r="Q1017">
        <v>0.20468959779509099</v>
      </c>
      <c r="R1017">
        <v>0.90641854972579206</v>
      </c>
      <c r="S1017" t="s">
        <v>6843</v>
      </c>
      <c r="T1017" t="s">
        <v>11650</v>
      </c>
      <c r="U1017" t="s">
        <v>11650</v>
      </c>
      <c r="V1017" t="s">
        <v>11650</v>
      </c>
      <c r="W1017" t="s">
        <v>12644</v>
      </c>
      <c r="X1017">
        <v>3</v>
      </c>
      <c r="Y1017" t="s">
        <v>18400</v>
      </c>
      <c r="Z1017" t="s">
        <v>24079</v>
      </c>
      <c r="AA1017">
        <v>0.69153870652453253</v>
      </c>
      <c r="AB1017" t="str">
        <f>HYPERLINK("Melting_Curves/meltCurve_J3KPW7_HDAC2.pdf", "Melting_Curves/meltCurve_J3KPW7_HDAC2.pdf")</f>
        <v>Melting_Curves/meltCurve_J3KPW7_HDAC2.pdf</v>
      </c>
    </row>
    <row r="1018" spans="1:28" x14ac:dyDescent="0.25">
      <c r="A1018" t="s">
        <v>1022</v>
      </c>
      <c r="B1018">
        <v>0.99996721820229495</v>
      </c>
      <c r="C1018">
        <v>1.0041106290196899</v>
      </c>
      <c r="D1018">
        <v>1.1209598598306001</v>
      </c>
      <c r="E1018">
        <v>1.7952425803632299</v>
      </c>
      <c r="F1018">
        <v>3.0015329273116702</v>
      </c>
      <c r="G1018">
        <v>3.2572243948211201</v>
      </c>
      <c r="H1018">
        <v>2.3282466386063798</v>
      </c>
      <c r="I1018">
        <v>1.1762680971010699</v>
      </c>
      <c r="J1018">
        <v>1.01574246614068</v>
      </c>
      <c r="K1018">
        <v>0.49012020399970102</v>
      </c>
      <c r="L1018">
        <v>15000</v>
      </c>
      <c r="M1018">
        <v>214.325220679062</v>
      </c>
      <c r="N1018">
        <v>69.987097792471502</v>
      </c>
      <c r="O1018">
        <v>69.981004240930403</v>
      </c>
      <c r="P1018">
        <v>-0.76565500171608902</v>
      </c>
      <c r="Q1018">
        <v>0</v>
      </c>
      <c r="R1018">
        <v>-0.44788080613096898</v>
      </c>
      <c r="S1018" t="s">
        <v>6844</v>
      </c>
      <c r="T1018" t="s">
        <v>11650</v>
      </c>
      <c r="U1018" t="s">
        <v>11650</v>
      </c>
      <c r="V1018" t="s">
        <v>11650</v>
      </c>
      <c r="W1018" t="s">
        <v>12645</v>
      </c>
      <c r="X1018">
        <v>9</v>
      </c>
      <c r="Y1018" t="s">
        <v>18401</v>
      </c>
      <c r="Z1018" t="s">
        <v>24080</v>
      </c>
      <c r="AA1018">
        <v>0.99232028848659504</v>
      </c>
      <c r="AB1018" t="str">
        <f>HYPERLINK("Melting_Curves/meltCurve_J3KPX7_PHB2.pdf", "Melting_Curves/meltCurve_J3KPX7_PHB2.pdf")</f>
        <v>Melting_Curves/meltCurve_J3KPX7_PHB2.pdf</v>
      </c>
    </row>
    <row r="1019" spans="1:28" x14ac:dyDescent="0.25">
      <c r="A1019" t="s">
        <v>1023</v>
      </c>
      <c r="B1019">
        <v>0.99996721820229495</v>
      </c>
      <c r="C1019">
        <v>0.99500099701585099</v>
      </c>
      <c r="D1019">
        <v>0.95721540897182</v>
      </c>
      <c r="E1019">
        <v>1.03008666137377</v>
      </c>
      <c r="F1019">
        <v>1.2516906748762699</v>
      </c>
      <c r="G1019">
        <v>1.2141704211045901</v>
      </c>
      <c r="H1019">
        <v>0.82146513736168203</v>
      </c>
      <c r="I1019">
        <v>0.57788645221815305</v>
      </c>
      <c r="J1019">
        <v>0.43715779004611599</v>
      </c>
      <c r="K1019">
        <v>0.372385402195483</v>
      </c>
      <c r="L1019">
        <v>2767.3560813024201</v>
      </c>
      <c r="M1019">
        <v>44.1607716617305</v>
      </c>
      <c r="N1019">
        <v>64.857533497122205</v>
      </c>
      <c r="O1019">
        <v>62.537387798501904</v>
      </c>
      <c r="P1019">
        <v>-0.108111731336706</v>
      </c>
      <c r="Q1019">
        <v>0.38759985028013899</v>
      </c>
      <c r="R1019">
        <v>0.86190008338060098</v>
      </c>
      <c r="S1019" t="s">
        <v>6845</v>
      </c>
      <c r="T1019" t="s">
        <v>11650</v>
      </c>
      <c r="U1019" t="s">
        <v>11650</v>
      </c>
      <c r="V1019" t="s">
        <v>11650</v>
      </c>
      <c r="W1019" t="s">
        <v>12646</v>
      </c>
      <c r="X1019">
        <v>110</v>
      </c>
      <c r="Y1019" t="s">
        <v>18402</v>
      </c>
      <c r="Z1019" t="s">
        <v>24081</v>
      </c>
      <c r="AA1019">
        <v>0.85208030112750699</v>
      </c>
      <c r="AB1019" t="str">
        <f>HYPERLINK("Melting_Curves/meltCurve_J3KPX8_MAP1A.pdf", "Melting_Curves/meltCurve_J3KPX8_MAP1A.pdf")</f>
        <v>Melting_Curves/meltCurve_J3KPX8_MAP1A.pdf</v>
      </c>
    </row>
    <row r="1020" spans="1:28" x14ac:dyDescent="0.25">
      <c r="A1020" t="s">
        <v>1024</v>
      </c>
      <c r="B1020">
        <v>0.99996721820229495</v>
      </c>
      <c r="C1020">
        <v>0.98991276693213603</v>
      </c>
      <c r="D1020">
        <v>1.0553835056198999</v>
      </c>
      <c r="E1020">
        <v>1.1578614181493601</v>
      </c>
      <c r="F1020">
        <v>1.4234051901984299</v>
      </c>
      <c r="G1020">
        <v>1.5613636416861001</v>
      </c>
      <c r="H1020">
        <v>0.96684067614448499</v>
      </c>
      <c r="I1020">
        <v>0.53927414895287795</v>
      </c>
      <c r="J1020">
        <v>0.35695190171396801</v>
      </c>
      <c r="K1020">
        <v>0.37526019254064003</v>
      </c>
      <c r="L1020">
        <v>5305.5601560662699</v>
      </c>
      <c r="M1020">
        <v>83.875003727507007</v>
      </c>
      <c r="N1020">
        <v>64.250619284890007</v>
      </c>
      <c r="O1020">
        <v>63.219626213172504</v>
      </c>
      <c r="P1020">
        <v>-0.211084237093836</v>
      </c>
      <c r="Q1020">
        <v>0.36359275295744697</v>
      </c>
      <c r="R1020">
        <v>0.65297142501855698</v>
      </c>
      <c r="S1020" t="s">
        <v>6846</v>
      </c>
      <c r="T1020" t="s">
        <v>11650</v>
      </c>
      <c r="U1020" t="s">
        <v>11650</v>
      </c>
      <c r="V1020" t="s">
        <v>11650</v>
      </c>
      <c r="W1020" t="s">
        <v>12647</v>
      </c>
      <c r="X1020">
        <v>9</v>
      </c>
      <c r="Y1020" t="s">
        <v>18403</v>
      </c>
      <c r="Z1020" t="s">
        <v>24082</v>
      </c>
      <c r="AA1020">
        <v>0.8575488034653681</v>
      </c>
      <c r="AB1020" t="str">
        <f>HYPERLINK("Melting_Curves/meltCurve_J3KPY9_ANTXR2.pdf", "Melting_Curves/meltCurve_J3KPY9_ANTXR2.pdf")</f>
        <v>Melting_Curves/meltCurve_J3KPY9_ANTXR2.pdf</v>
      </c>
    </row>
    <row r="1021" spans="1:28" x14ac:dyDescent="0.25">
      <c r="A1021" t="s">
        <v>1025</v>
      </c>
      <c r="B1021">
        <v>0.99996721820229495</v>
      </c>
      <c r="C1021">
        <v>0.98067445885867099</v>
      </c>
      <c r="D1021">
        <v>1.10807269409176</v>
      </c>
      <c r="E1021">
        <v>1.27948905666039</v>
      </c>
      <c r="F1021">
        <v>1.80776758004605</v>
      </c>
      <c r="G1021">
        <v>1.6696208784467299</v>
      </c>
      <c r="H1021">
        <v>1.20801652699957</v>
      </c>
      <c r="I1021">
        <v>0.69994269341143101</v>
      </c>
      <c r="J1021">
        <v>0.418439127461187</v>
      </c>
      <c r="K1021">
        <v>0.44550567855923601</v>
      </c>
      <c r="L1021">
        <v>15000</v>
      </c>
      <c r="M1021">
        <v>234.48801268313201</v>
      </c>
      <c r="N1021">
        <v>64.517960495082903</v>
      </c>
      <c r="O1021">
        <v>63.964500911232101</v>
      </c>
      <c r="P1021">
        <v>-0.52059143678821895</v>
      </c>
      <c r="Q1021">
        <v>0.43196461984523898</v>
      </c>
      <c r="R1021">
        <v>0.36089443668106302</v>
      </c>
      <c r="S1021" t="s">
        <v>6847</v>
      </c>
      <c r="T1021" t="s">
        <v>11650</v>
      </c>
      <c r="U1021" t="s">
        <v>11650</v>
      </c>
      <c r="V1021" t="s">
        <v>11650</v>
      </c>
      <c r="W1021" t="s">
        <v>12648</v>
      </c>
      <c r="X1021">
        <v>1</v>
      </c>
      <c r="Y1021" t="s">
        <v>18404</v>
      </c>
      <c r="Z1021" t="s">
        <v>24083</v>
      </c>
      <c r="AA1021">
        <v>0.88588137541241296</v>
      </c>
      <c r="AB1021" t="str">
        <f>HYPERLINK("Melting_Curves/meltCurve_J3KQ06_TMEM45A.pdf", "Melting_Curves/meltCurve_J3KQ06_TMEM45A.pdf")</f>
        <v>Melting_Curves/meltCurve_J3KQ06_TMEM45A.pdf</v>
      </c>
    </row>
    <row r="1022" spans="1:28" x14ac:dyDescent="0.25">
      <c r="A1022" t="s">
        <v>1026</v>
      </c>
      <c r="B1022">
        <v>0.99996721820229495</v>
      </c>
      <c r="C1022">
        <v>1.0180652337823901</v>
      </c>
      <c r="D1022">
        <v>1.0191254621917101</v>
      </c>
      <c r="E1022">
        <v>0.983906232684572</v>
      </c>
      <c r="F1022">
        <v>0.215712132100075</v>
      </c>
      <c r="G1022">
        <v>0.195189042950414</v>
      </c>
      <c r="H1022">
        <v>9.9635794002703004E-2</v>
      </c>
      <c r="I1022">
        <v>6.8643358724070097E-2</v>
      </c>
      <c r="J1022">
        <v>5.2733716696911799E-2</v>
      </c>
      <c r="K1022">
        <v>4.38346970724399E-2</v>
      </c>
      <c r="L1022">
        <v>5111.31516454343</v>
      </c>
      <c r="M1022">
        <v>98.282824382916601</v>
      </c>
      <c r="N1022">
        <v>52.113899507496299</v>
      </c>
      <c r="O1022">
        <v>51.9846683977648</v>
      </c>
      <c r="P1022">
        <v>-0.42920889607610702</v>
      </c>
      <c r="Q1022">
        <v>9.1915358130656599E-2</v>
      </c>
      <c r="R1022">
        <v>0.99187387947175998</v>
      </c>
      <c r="S1022" t="s">
        <v>6848</v>
      </c>
      <c r="T1022" t="s">
        <v>11650</v>
      </c>
      <c r="U1022" t="s">
        <v>11650</v>
      </c>
      <c r="V1022" t="s">
        <v>11650</v>
      </c>
      <c r="W1022" t="s">
        <v>12649</v>
      </c>
      <c r="X1022">
        <v>16</v>
      </c>
      <c r="Y1022" t="s">
        <v>18405</v>
      </c>
      <c r="Z1022" t="s">
        <v>24084</v>
      </c>
      <c r="AA1022">
        <v>0.45587347596153749</v>
      </c>
      <c r="AB1022" t="str">
        <f>HYPERLINK("Melting_Curves/meltCurve_J3KQ32_OLA1.pdf", "Melting_Curves/meltCurve_J3KQ32_OLA1.pdf")</f>
        <v>Melting_Curves/meltCurve_J3KQ32_OLA1.pdf</v>
      </c>
    </row>
    <row r="1023" spans="1:28" x14ac:dyDescent="0.25">
      <c r="A1023" t="s">
        <v>1027</v>
      </c>
      <c r="B1023">
        <v>0.99996721820229495</v>
      </c>
      <c r="C1023">
        <v>1.01674283374606</v>
      </c>
      <c r="D1023">
        <v>1.0748208592931801</v>
      </c>
      <c r="E1023">
        <v>1.5337425644175899</v>
      </c>
      <c r="F1023">
        <v>2.0088159643677201</v>
      </c>
      <c r="G1023">
        <v>1.28714422957214</v>
      </c>
      <c r="H1023">
        <v>0.53034693131106103</v>
      </c>
      <c r="I1023">
        <v>0.30702288436083702</v>
      </c>
      <c r="J1023">
        <v>9.5182499961977196E-2</v>
      </c>
      <c r="K1023">
        <v>6.6202328243976302E-2</v>
      </c>
      <c r="L1023">
        <v>3640.0979927782</v>
      </c>
      <c r="M1023">
        <v>59.623699666763301</v>
      </c>
      <c r="N1023">
        <v>61.357594892729601</v>
      </c>
      <c r="O1023">
        <v>60.982634709747202</v>
      </c>
      <c r="P1023">
        <v>-0.21295791730733099</v>
      </c>
      <c r="Q1023">
        <v>0.12875396634179101</v>
      </c>
      <c r="R1023">
        <v>0.61218020400520901</v>
      </c>
      <c r="S1023" t="s">
        <v>6849</v>
      </c>
      <c r="T1023" t="s">
        <v>11650</v>
      </c>
      <c r="U1023" t="s">
        <v>11650</v>
      </c>
      <c r="V1023" t="s">
        <v>11650</v>
      </c>
      <c r="W1023" t="s">
        <v>12650</v>
      </c>
      <c r="X1023">
        <v>3</v>
      </c>
      <c r="Y1023" t="s">
        <v>18406</v>
      </c>
      <c r="Z1023" t="s">
        <v>24085</v>
      </c>
      <c r="AA1023">
        <v>0.74174023120127353</v>
      </c>
      <c r="AB1023" t="str">
        <f>HYPERLINK("Melting_Curves/meltCurve_J3KQ34_COPS7B.pdf", "Melting_Curves/meltCurve_J3KQ34_COPS7B.pdf")</f>
        <v>Melting_Curves/meltCurve_J3KQ34_COPS7B.pdf</v>
      </c>
    </row>
    <row r="1024" spans="1:28" x14ac:dyDescent="0.25">
      <c r="A1024" t="s">
        <v>1028</v>
      </c>
      <c r="B1024">
        <v>0.99996721820229495</v>
      </c>
      <c r="C1024">
        <v>0.965835229808651</v>
      </c>
      <c r="D1024">
        <v>1.05642894513275</v>
      </c>
      <c r="E1024">
        <v>1.06780326950293</v>
      </c>
      <c r="F1024">
        <v>0.92831606336786898</v>
      </c>
      <c r="G1024">
        <v>0.50458577855529196</v>
      </c>
      <c r="H1024">
        <v>0.20377395277433599</v>
      </c>
      <c r="I1024">
        <v>0.118323351881801</v>
      </c>
      <c r="J1024">
        <v>9.8723658459073702E-2</v>
      </c>
      <c r="K1024">
        <v>6.3145351149082304E-2</v>
      </c>
      <c r="L1024">
        <v>1865.58714921827</v>
      </c>
      <c r="M1024">
        <v>32.836555811316998</v>
      </c>
      <c r="N1024">
        <v>57.157127626656496</v>
      </c>
      <c r="O1024">
        <v>56.604865451279402</v>
      </c>
      <c r="P1024">
        <v>-0.13206396873347001</v>
      </c>
      <c r="Q1024">
        <v>8.9377213292654106E-2</v>
      </c>
      <c r="R1024">
        <v>0.99297973597742495</v>
      </c>
      <c r="S1024" t="s">
        <v>6850</v>
      </c>
      <c r="T1024" t="s">
        <v>11650</v>
      </c>
      <c r="U1024" t="s">
        <v>11650</v>
      </c>
      <c r="V1024" t="s">
        <v>11650</v>
      </c>
      <c r="W1024" t="s">
        <v>12651</v>
      </c>
      <c r="X1024">
        <v>5</v>
      </c>
      <c r="Y1024" t="s">
        <v>18407</v>
      </c>
      <c r="Z1024" t="s">
        <v>24086</v>
      </c>
      <c r="AA1024">
        <v>0.60491454784019705</v>
      </c>
      <c r="AB1024" t="str">
        <f>HYPERLINK("Melting_Curves/meltCurve_J3KQ48_PTRH2.pdf", "Melting_Curves/meltCurve_J3KQ48_PTRH2.pdf")</f>
        <v>Melting_Curves/meltCurve_J3KQ48_PTRH2.pdf</v>
      </c>
    </row>
    <row r="1025" spans="1:28" x14ac:dyDescent="0.25">
      <c r="A1025" t="s">
        <v>1029</v>
      </c>
      <c r="B1025">
        <v>0.99996721820229495</v>
      </c>
      <c r="C1025">
        <v>1.1606818781066699</v>
      </c>
      <c r="D1025">
        <v>1.0036004082796799</v>
      </c>
      <c r="E1025">
        <v>0.783750005956239</v>
      </c>
      <c r="F1025">
        <v>0.48446002148707801</v>
      </c>
      <c r="G1025">
        <v>0.34090158067408799</v>
      </c>
      <c r="H1025">
        <v>0.215235907402375</v>
      </c>
      <c r="I1025">
        <v>0.14538233189400501</v>
      </c>
      <c r="J1025">
        <v>0.106686183454165</v>
      </c>
      <c r="K1025">
        <v>8.2640783226834602E-2</v>
      </c>
      <c r="L1025">
        <v>1031.9203741908</v>
      </c>
      <c r="M1025">
        <v>19.5209519461953</v>
      </c>
      <c r="N1025">
        <v>53.568437010119702</v>
      </c>
      <c r="O1025">
        <v>52.316827908496599</v>
      </c>
      <c r="P1025">
        <v>-8.2701921567914699E-2</v>
      </c>
      <c r="Q1025">
        <v>0.113455724293232</v>
      </c>
      <c r="R1025">
        <v>0.97350599833888696</v>
      </c>
      <c r="S1025" t="s">
        <v>6851</v>
      </c>
      <c r="T1025" t="s">
        <v>11650</v>
      </c>
      <c r="U1025" t="s">
        <v>11650</v>
      </c>
      <c r="V1025" t="s">
        <v>11650</v>
      </c>
      <c r="W1025" t="s">
        <v>12652</v>
      </c>
      <c r="X1025">
        <v>6</v>
      </c>
      <c r="Y1025" t="s">
        <v>18408</v>
      </c>
      <c r="Z1025" t="s">
        <v>24087</v>
      </c>
      <c r="AA1025">
        <v>0.50627574994090374</v>
      </c>
      <c r="AB1025" t="str">
        <f>HYPERLINK("Melting_Curves/meltCurve_J3KQ88_C6orf203.pdf", "Melting_Curves/meltCurve_J3KQ88_C6orf203.pdf")</f>
        <v>Melting_Curves/meltCurve_J3KQ88_C6orf203.pdf</v>
      </c>
    </row>
    <row r="1026" spans="1:28" x14ac:dyDescent="0.25">
      <c r="A1026" t="s">
        <v>1030</v>
      </c>
      <c r="B1026">
        <v>0.99996721820229495</v>
      </c>
      <c r="C1026">
        <v>1.0567132860080299</v>
      </c>
      <c r="D1026">
        <v>0.97517624492454902</v>
      </c>
      <c r="E1026">
        <v>0.96724537414992595</v>
      </c>
      <c r="F1026">
        <v>1.71836996253664</v>
      </c>
      <c r="G1026">
        <v>1.7869700984135699</v>
      </c>
      <c r="H1026">
        <v>2.7305222384941898</v>
      </c>
      <c r="I1026">
        <v>0.924099912162335</v>
      </c>
      <c r="J1026">
        <v>0.32375139966897598</v>
      </c>
      <c r="K1026">
        <v>0.441039578882301</v>
      </c>
      <c r="L1026">
        <v>15000</v>
      </c>
      <c r="M1026">
        <v>232.41088569911099</v>
      </c>
      <c r="N1026">
        <v>64.945182943262793</v>
      </c>
      <c r="O1026">
        <v>64.536088129716006</v>
      </c>
      <c r="P1026">
        <v>-0.55608164741479904</v>
      </c>
      <c r="Q1026">
        <v>0.38234676294866798</v>
      </c>
      <c r="R1026">
        <v>8.7766327638437794E-2</v>
      </c>
      <c r="S1026" t="s">
        <v>6852</v>
      </c>
      <c r="T1026" t="s">
        <v>11650</v>
      </c>
      <c r="U1026" t="s">
        <v>11650</v>
      </c>
      <c r="V1026" t="s">
        <v>11650</v>
      </c>
      <c r="W1026" t="s">
        <v>12653</v>
      </c>
      <c r="X1026">
        <v>3</v>
      </c>
      <c r="Y1026" t="s">
        <v>18409</v>
      </c>
      <c r="Z1026" t="s">
        <v>24088</v>
      </c>
      <c r="AA1026">
        <v>0.88768590871631436</v>
      </c>
      <c r="AB1026" t="str">
        <f>HYPERLINK("Melting_Curves/meltCurve_J3KQ98_PPP1R37.pdf", "Melting_Curves/meltCurve_J3KQ98_PPP1R37.pdf")</f>
        <v>Melting_Curves/meltCurve_J3KQ98_PPP1R37.pdf</v>
      </c>
    </row>
    <row r="1027" spans="1:28" x14ac:dyDescent="0.25">
      <c r="A1027" t="s">
        <v>1031</v>
      </c>
      <c r="B1027">
        <v>0.99996721820229495</v>
      </c>
      <c r="C1027">
        <v>0.89954682184277401</v>
      </c>
      <c r="D1027">
        <v>0.94007971357169795</v>
      </c>
      <c r="E1027">
        <v>1.0520341323264499</v>
      </c>
      <c r="F1027">
        <v>1.08819260845749</v>
      </c>
      <c r="G1027">
        <v>0.74351586010554704</v>
      </c>
      <c r="H1027">
        <v>0.50393123402143503</v>
      </c>
      <c r="I1027">
        <v>0.171139278610343</v>
      </c>
      <c r="J1027">
        <v>7.9744689477985201E-2</v>
      </c>
      <c r="K1027">
        <v>6.0064585724230603E-2</v>
      </c>
      <c r="L1027">
        <v>1518.79330812594</v>
      </c>
      <c r="M1027">
        <v>25.1352106274399</v>
      </c>
      <c r="N1027">
        <v>60.483923926534501</v>
      </c>
      <c r="O1027">
        <v>60.046351537086302</v>
      </c>
      <c r="P1027">
        <v>-0.103383273292386</v>
      </c>
      <c r="Q1027">
        <v>1.2109937840162699E-2</v>
      </c>
      <c r="R1027">
        <v>0.97340242900083296</v>
      </c>
      <c r="S1027" t="s">
        <v>6853</v>
      </c>
      <c r="T1027" t="s">
        <v>11650</v>
      </c>
      <c r="U1027" t="s">
        <v>11650</v>
      </c>
      <c r="V1027" t="s">
        <v>11650</v>
      </c>
      <c r="W1027" t="s">
        <v>12654</v>
      </c>
      <c r="X1027">
        <v>14</v>
      </c>
      <c r="Y1027" t="s">
        <v>18410</v>
      </c>
      <c r="Z1027" t="s">
        <v>24089</v>
      </c>
      <c r="AA1027">
        <v>0.69157134864963765</v>
      </c>
      <c r="AB1027" t="str">
        <f>HYPERLINK("Melting_Curves/meltCurve_J3KQB0_THUMPD1.pdf", "Melting_Curves/meltCurve_J3KQB0_THUMPD1.pdf")</f>
        <v>Melting_Curves/meltCurve_J3KQB0_THUMPD1.pdf</v>
      </c>
    </row>
    <row r="1028" spans="1:28" x14ac:dyDescent="0.25">
      <c r="A1028" t="s">
        <v>1032</v>
      </c>
      <c r="B1028">
        <v>0.99996721820229495</v>
      </c>
      <c r="C1028">
        <v>1.19174858942686</v>
      </c>
      <c r="D1028">
        <v>1.55998104731632</v>
      </c>
      <c r="E1028">
        <v>2.4577979248413602</v>
      </c>
      <c r="F1028">
        <v>2.9503123675147598</v>
      </c>
      <c r="G1028">
        <v>3.8979520268735501</v>
      </c>
      <c r="H1028">
        <v>3.3255946558088398</v>
      </c>
      <c r="I1028">
        <v>1.8041328062524999</v>
      </c>
      <c r="J1028">
        <v>1.11481888801204</v>
      </c>
      <c r="K1028">
        <v>2.2959389850706802</v>
      </c>
      <c r="L1028">
        <v>10745.3659377655</v>
      </c>
      <c r="M1028">
        <v>250</v>
      </c>
      <c r="O1028">
        <v>42.978713166260803</v>
      </c>
      <c r="P1028">
        <v>0.72710413350134695</v>
      </c>
      <c r="Q1028">
        <v>1.5</v>
      </c>
      <c r="R1028">
        <v>-0.44673878069879502</v>
      </c>
      <c r="S1028" t="s">
        <v>6854</v>
      </c>
      <c r="T1028" t="s">
        <v>11650</v>
      </c>
      <c r="U1028" t="s">
        <v>11650</v>
      </c>
      <c r="V1028" t="s">
        <v>11650</v>
      </c>
      <c r="W1028" t="s">
        <v>12655</v>
      </c>
      <c r="X1028">
        <v>1</v>
      </c>
      <c r="Y1028" t="s">
        <v>18411</v>
      </c>
      <c r="Z1028" t="s">
        <v>24090</v>
      </c>
      <c r="AA1028">
        <v>1.4502712215624289</v>
      </c>
      <c r="AB1028" t="str">
        <f>HYPERLINK("Melting_Curves/meltCurve_J3KQC3_SHANK2.pdf", "Melting_Curves/meltCurve_J3KQC3_SHANK2.pdf")</f>
        <v>Melting_Curves/meltCurve_J3KQC3_SHANK2.pdf</v>
      </c>
    </row>
    <row r="1029" spans="1:28" x14ac:dyDescent="0.25">
      <c r="A1029" t="s">
        <v>1033</v>
      </c>
      <c r="B1029">
        <v>0.99996721820229495</v>
      </c>
      <c r="C1029">
        <v>0.94906241789576395</v>
      </c>
      <c r="D1029">
        <v>0.91495404258921698</v>
      </c>
      <c r="E1029">
        <v>0.82210569358086005</v>
      </c>
      <c r="F1029">
        <v>1.0052541561609101</v>
      </c>
      <c r="G1029">
        <v>0.61712788165881505</v>
      </c>
      <c r="H1029">
        <v>0.142246768776598</v>
      </c>
      <c r="I1029">
        <v>7.0508052780592106E-2</v>
      </c>
      <c r="J1029">
        <v>4.5177036351412202E-2</v>
      </c>
      <c r="K1029">
        <v>4.8564372641679898E-2</v>
      </c>
      <c r="L1029">
        <v>2298.4892807556098</v>
      </c>
      <c r="M1029">
        <v>39.912152175482603</v>
      </c>
      <c r="N1029">
        <v>57.734479277285303</v>
      </c>
      <c r="O1029">
        <v>57.444719005109299</v>
      </c>
      <c r="P1029">
        <v>-0.16537305059151</v>
      </c>
      <c r="Q1029">
        <v>4.7930457504281702E-2</v>
      </c>
      <c r="R1029">
        <v>0.97505783530013501</v>
      </c>
      <c r="S1029" t="s">
        <v>6855</v>
      </c>
      <c r="T1029" t="s">
        <v>11650</v>
      </c>
      <c r="U1029" t="s">
        <v>11650</v>
      </c>
      <c r="V1029" t="s">
        <v>11650</v>
      </c>
      <c r="W1029" t="s">
        <v>12656</v>
      </c>
      <c r="X1029">
        <v>6</v>
      </c>
      <c r="Y1029" t="s">
        <v>18412</v>
      </c>
      <c r="Z1029" t="s">
        <v>24091</v>
      </c>
      <c r="AA1029">
        <v>0.60986645106514414</v>
      </c>
      <c r="AB1029" t="str">
        <f>HYPERLINK("Melting_Curves/meltCurve_J3KQD0_FAM213B.pdf", "Melting_Curves/meltCurve_J3KQD0_FAM213B.pdf")</f>
        <v>Melting_Curves/meltCurve_J3KQD0_FAM213B.pdf</v>
      </c>
    </row>
    <row r="1030" spans="1:28" x14ac:dyDescent="0.25">
      <c r="A1030" t="s">
        <v>1034</v>
      </c>
      <c r="B1030">
        <v>0.99996721820229495</v>
      </c>
      <c r="C1030">
        <v>1.0403128336602001</v>
      </c>
      <c r="D1030">
        <v>0.96332339770870401</v>
      </c>
      <c r="E1030">
        <v>0.88301229575685802</v>
      </c>
      <c r="F1030">
        <v>1.0159906548453399</v>
      </c>
      <c r="G1030">
        <v>0.815981215892985</v>
      </c>
      <c r="H1030">
        <v>0.26857016538832301</v>
      </c>
      <c r="I1030">
        <v>0.101996010352079</v>
      </c>
      <c r="J1030">
        <v>6.56124672427775E-2</v>
      </c>
      <c r="K1030">
        <v>5.3057344480950001E-2</v>
      </c>
      <c r="L1030">
        <v>2309.7576512853102</v>
      </c>
      <c r="M1030">
        <v>39.0915623498203</v>
      </c>
      <c r="N1030">
        <v>59.261308200310097</v>
      </c>
      <c r="O1030">
        <v>58.931867739506401</v>
      </c>
      <c r="P1030">
        <v>-0.15677134362508299</v>
      </c>
      <c r="Q1030">
        <v>5.4649807541532397E-2</v>
      </c>
      <c r="R1030">
        <v>0.990021298905983</v>
      </c>
      <c r="S1030" t="s">
        <v>6856</v>
      </c>
      <c r="T1030" t="s">
        <v>11650</v>
      </c>
      <c r="U1030" t="s">
        <v>11650</v>
      </c>
      <c r="V1030" t="s">
        <v>11650</v>
      </c>
      <c r="W1030" t="s">
        <v>12657</v>
      </c>
      <c r="X1030">
        <v>16</v>
      </c>
      <c r="Y1030" t="s">
        <v>18413</v>
      </c>
      <c r="Z1030" t="s">
        <v>24092</v>
      </c>
      <c r="AA1030">
        <v>0.65996122633502863</v>
      </c>
      <c r="AB1030" t="str">
        <f>HYPERLINK("Melting_Curves/meltCurve_J3KQE5_RAN.pdf", "Melting_Curves/meltCurve_J3KQE5_RAN.pdf")</f>
        <v>Melting_Curves/meltCurve_J3KQE5_RAN.pdf</v>
      </c>
    </row>
    <row r="1031" spans="1:28" x14ac:dyDescent="0.25">
      <c r="A1031" t="s">
        <v>1035</v>
      </c>
      <c r="B1031">
        <v>0.99996721820229495</v>
      </c>
      <c r="C1031">
        <v>0.87163248126068704</v>
      </c>
      <c r="D1031">
        <v>1.11530606513526</v>
      </c>
      <c r="E1031">
        <v>1.3140537183510499</v>
      </c>
      <c r="F1031">
        <v>1.7278598476342799</v>
      </c>
      <c r="G1031">
        <v>1.6965489794668001</v>
      </c>
      <c r="H1031">
        <v>1.1902537336413399</v>
      </c>
      <c r="I1031">
        <v>0.26862254509646599</v>
      </c>
      <c r="J1031">
        <v>0.14909911033786499</v>
      </c>
      <c r="K1031">
        <v>0.109628255234063</v>
      </c>
      <c r="L1031">
        <v>15000</v>
      </c>
      <c r="M1031">
        <v>236.03275788647301</v>
      </c>
      <c r="N1031">
        <v>63.631190241228403</v>
      </c>
      <c r="O1031">
        <v>63.545938969980902</v>
      </c>
      <c r="P1031">
        <v>-0.80849156275035094</v>
      </c>
      <c r="Q1031">
        <v>0.12933517170202399</v>
      </c>
      <c r="R1031">
        <v>0.63116625480998301</v>
      </c>
      <c r="S1031" t="s">
        <v>6857</v>
      </c>
      <c r="T1031" t="s">
        <v>11650</v>
      </c>
      <c r="U1031" t="s">
        <v>11650</v>
      </c>
      <c r="V1031" t="s">
        <v>11650</v>
      </c>
      <c r="W1031" t="s">
        <v>12658</v>
      </c>
      <c r="X1031">
        <v>12</v>
      </c>
      <c r="Y1031" t="s">
        <v>18414</v>
      </c>
      <c r="Z1031" t="s">
        <v>24093</v>
      </c>
      <c r="AA1031">
        <v>0.81293054079900495</v>
      </c>
      <c r="AB1031" t="str">
        <f>HYPERLINK("Melting_Curves/meltCurve_J3KQG4_GBA.pdf", "Melting_Curves/meltCurve_J3KQG4_GBA.pdf")</f>
        <v>Melting_Curves/meltCurve_J3KQG4_GBA.pdf</v>
      </c>
    </row>
    <row r="1032" spans="1:28" x14ac:dyDescent="0.25">
      <c r="A1032" t="s">
        <v>1036</v>
      </c>
      <c r="B1032">
        <v>0.99996721820229495</v>
      </c>
      <c r="C1032">
        <v>0.95991316762698198</v>
      </c>
      <c r="D1032">
        <v>0.82413857246887601</v>
      </c>
      <c r="E1032">
        <v>0.74324464971154203</v>
      </c>
      <c r="F1032">
        <v>0.35348007855085301</v>
      </c>
      <c r="G1032">
        <v>0.29838086777484601</v>
      </c>
      <c r="H1032">
        <v>0.20028249725490599</v>
      </c>
      <c r="I1032">
        <v>0.13820765364736201</v>
      </c>
      <c r="J1032">
        <v>0.103112222622001</v>
      </c>
      <c r="K1032">
        <v>9.4872956728654798E-2</v>
      </c>
      <c r="L1032">
        <v>770.43113179453599</v>
      </c>
      <c r="M1032">
        <v>14.943048227215399</v>
      </c>
      <c r="N1032">
        <v>52.2437006736928</v>
      </c>
      <c r="O1032">
        <v>50.660902879344199</v>
      </c>
      <c r="P1032">
        <v>-6.7179626385117999E-2</v>
      </c>
      <c r="Q1032">
        <v>8.9066251255644893E-2</v>
      </c>
      <c r="R1032">
        <v>0.98073786422579301</v>
      </c>
      <c r="S1032" t="s">
        <v>6858</v>
      </c>
      <c r="T1032" t="s">
        <v>11650</v>
      </c>
      <c r="U1032" t="s">
        <v>11650</v>
      </c>
      <c r="V1032" t="s">
        <v>11650</v>
      </c>
      <c r="W1032" t="s">
        <v>12659</v>
      </c>
      <c r="X1032">
        <v>12</v>
      </c>
      <c r="Y1032" t="s">
        <v>18415</v>
      </c>
      <c r="Z1032" t="s">
        <v>24094</v>
      </c>
      <c r="AA1032">
        <v>0.46081093538333912</v>
      </c>
      <c r="AB1032" t="str">
        <f>HYPERLINK("Melting_Curves/meltCurve_J3KQJ1_SUMF2.pdf", "Melting_Curves/meltCurve_J3KQJ1_SUMF2.pdf")</f>
        <v>Melting_Curves/meltCurve_J3KQJ1_SUMF2.pdf</v>
      </c>
    </row>
    <row r="1033" spans="1:28" x14ac:dyDescent="0.25">
      <c r="A1033" t="s">
        <v>1037</v>
      </c>
      <c r="B1033">
        <v>0.99996721820229495</v>
      </c>
      <c r="C1033">
        <v>0.75318979114327</v>
      </c>
      <c r="D1033">
        <v>0.65555671810919502</v>
      </c>
      <c r="E1033">
        <v>0.57291572544408598</v>
      </c>
      <c r="F1033">
        <v>0.38450688602079203</v>
      </c>
      <c r="G1033">
        <v>0.29005189313368701</v>
      </c>
      <c r="H1033">
        <v>0.20107602661378601</v>
      </c>
      <c r="I1033">
        <v>0.13838892875068601</v>
      </c>
      <c r="J1033">
        <v>9.9840822129796905E-2</v>
      </c>
      <c r="K1033">
        <v>8.3314636643994994E-2</v>
      </c>
      <c r="L1033">
        <v>426.68058236255501</v>
      </c>
      <c r="M1033">
        <v>8.4423059960538094</v>
      </c>
      <c r="N1033">
        <v>50.540777396745298</v>
      </c>
      <c r="O1033">
        <v>47.943954004634101</v>
      </c>
      <c r="P1033">
        <v>-4.4062440042775999E-2</v>
      </c>
      <c r="Q1033">
        <v>0</v>
      </c>
      <c r="R1033">
        <v>0.97883722878259005</v>
      </c>
      <c r="S1033" t="s">
        <v>6859</v>
      </c>
      <c r="T1033" t="s">
        <v>11650</v>
      </c>
      <c r="U1033" t="s">
        <v>11650</v>
      </c>
      <c r="V1033" t="s">
        <v>11650</v>
      </c>
      <c r="W1033" t="s">
        <v>12660</v>
      </c>
      <c r="X1033">
        <v>13</v>
      </c>
      <c r="Y1033" t="s">
        <v>18416</v>
      </c>
      <c r="Z1033" t="s">
        <v>24095</v>
      </c>
      <c r="AA1033">
        <v>0.40440751997934887</v>
      </c>
      <c r="AB1033" t="str">
        <f>HYPERLINK("Melting_Curves/meltCurve_J3KQL8_APOL2.pdf", "Melting_Curves/meltCurve_J3KQL8_APOL2.pdf")</f>
        <v>Melting_Curves/meltCurve_J3KQL8_APOL2.pdf</v>
      </c>
    </row>
    <row r="1034" spans="1:28" x14ac:dyDescent="0.25">
      <c r="A1034" t="s">
        <v>1038</v>
      </c>
      <c r="B1034">
        <v>0.99996721820229495</v>
      </c>
      <c r="C1034">
        <v>1.0218365487896499</v>
      </c>
      <c r="D1034">
        <v>0.81004576450297205</v>
      </c>
      <c r="E1034">
        <v>0.77838616124569204</v>
      </c>
      <c r="F1034">
        <v>0.78656626065596502</v>
      </c>
      <c r="G1034">
        <v>0.93525664779254303</v>
      </c>
      <c r="H1034">
        <v>0.77101999830526202</v>
      </c>
      <c r="I1034">
        <v>0.63458259226965896</v>
      </c>
      <c r="J1034">
        <v>0.59850540032388999</v>
      </c>
      <c r="K1034">
        <v>0.44936664253847203</v>
      </c>
      <c r="L1034">
        <v>331.555675271197</v>
      </c>
      <c r="M1034">
        <v>4.5924651453686698</v>
      </c>
      <c r="O1034">
        <v>61.693027559847501</v>
      </c>
      <c r="P1034">
        <v>-1.8762232694159098E-2</v>
      </c>
      <c r="Q1034">
        <v>0</v>
      </c>
      <c r="R1034">
        <v>0.75308521219664404</v>
      </c>
      <c r="S1034" t="s">
        <v>6860</v>
      </c>
      <c r="T1034" t="s">
        <v>11650</v>
      </c>
      <c r="U1034" t="s">
        <v>11650</v>
      </c>
      <c r="V1034" t="s">
        <v>11650</v>
      </c>
      <c r="W1034" t="s">
        <v>12661</v>
      </c>
      <c r="X1034">
        <v>13</v>
      </c>
      <c r="Y1034" t="s">
        <v>18417</v>
      </c>
      <c r="Z1034" t="s">
        <v>24096</v>
      </c>
      <c r="AA1034">
        <v>0.78949955907959257</v>
      </c>
      <c r="AB1034" t="str">
        <f>HYPERLINK("Melting_Curves/meltCurve_J3KQR7_CEP170B.pdf", "Melting_Curves/meltCurve_J3KQR7_CEP170B.pdf")</f>
        <v>Melting_Curves/meltCurve_J3KQR7_CEP170B.pdf</v>
      </c>
    </row>
    <row r="1035" spans="1:28" x14ac:dyDescent="0.25">
      <c r="A1035" t="s">
        <v>1039</v>
      </c>
      <c r="B1035">
        <v>0.99996721820229495</v>
      </c>
      <c r="C1035">
        <v>0.76443914129691903</v>
      </c>
      <c r="D1035">
        <v>0.67287948971992595</v>
      </c>
      <c r="E1035">
        <v>0.854964522457061</v>
      </c>
      <c r="F1035">
        <v>1.2818542340961601</v>
      </c>
      <c r="G1035">
        <v>1.0400994290832399</v>
      </c>
      <c r="H1035">
        <v>0.940727384406714</v>
      </c>
      <c r="I1035">
        <v>0.50484359763007702</v>
      </c>
      <c r="J1035">
        <v>0.25016520833073502</v>
      </c>
      <c r="K1035">
        <v>0.22744371061635499</v>
      </c>
      <c r="L1035">
        <v>4020.4065627373898</v>
      </c>
      <c r="M1035">
        <v>63.391990432595101</v>
      </c>
      <c r="N1035">
        <v>64.025900750777495</v>
      </c>
      <c r="O1035">
        <v>63.358319699812903</v>
      </c>
      <c r="P1035">
        <v>-0.193803904759313</v>
      </c>
      <c r="Q1035">
        <v>0.22519613451103601</v>
      </c>
      <c r="R1035">
        <v>0.751731278328712</v>
      </c>
      <c r="S1035" t="s">
        <v>6861</v>
      </c>
      <c r="T1035" t="s">
        <v>11650</v>
      </c>
      <c r="U1035" t="s">
        <v>11650</v>
      </c>
      <c r="V1035" t="s">
        <v>11650</v>
      </c>
      <c r="W1035" t="s">
        <v>12662</v>
      </c>
      <c r="X1035">
        <v>11</v>
      </c>
      <c r="Y1035" t="s">
        <v>18418</v>
      </c>
      <c r="Z1035" t="s">
        <v>24097</v>
      </c>
      <c r="AA1035">
        <v>0.83135625616389897</v>
      </c>
      <c r="AB1035" t="str">
        <f>HYPERLINK("Melting_Curves/meltCurve_J3KQS6_BABAM1.pdf", "Melting_Curves/meltCurve_J3KQS6_BABAM1.pdf")</f>
        <v>Melting_Curves/meltCurve_J3KQS6_BABAM1.pdf</v>
      </c>
    </row>
    <row r="1036" spans="1:28" x14ac:dyDescent="0.25">
      <c r="A1036" t="s">
        <v>1040</v>
      </c>
      <c r="B1036">
        <v>0.99996721820229495</v>
      </c>
      <c r="C1036">
        <v>0.94102846431267195</v>
      </c>
      <c r="D1036">
        <v>0.86671789288040102</v>
      </c>
      <c r="E1036">
        <v>0.795030685537506</v>
      </c>
      <c r="F1036">
        <v>0.85063342782504303</v>
      </c>
      <c r="G1036">
        <v>0.771743144874805</v>
      </c>
      <c r="H1036">
        <v>0.58539422407983799</v>
      </c>
      <c r="I1036">
        <v>0.44424631758260003</v>
      </c>
      <c r="J1036">
        <v>0.38507783853175398</v>
      </c>
      <c r="K1036">
        <v>0.30980584617184398</v>
      </c>
      <c r="L1036">
        <v>464.46294536477598</v>
      </c>
      <c r="M1036">
        <v>7.3465946265842703</v>
      </c>
      <c r="N1036">
        <v>63.221528559061603</v>
      </c>
      <c r="O1036">
        <v>59.043261967265998</v>
      </c>
      <c r="P1036">
        <v>-3.1155096494760299E-2</v>
      </c>
      <c r="Q1036">
        <v>0</v>
      </c>
      <c r="R1036">
        <v>0.95673037417546303</v>
      </c>
      <c r="S1036" t="s">
        <v>6862</v>
      </c>
      <c r="T1036" t="s">
        <v>11650</v>
      </c>
      <c r="U1036" t="s">
        <v>11650</v>
      </c>
      <c r="V1036" t="s">
        <v>11650</v>
      </c>
      <c r="W1036" t="s">
        <v>12663</v>
      </c>
      <c r="X1036">
        <v>3</v>
      </c>
      <c r="Y1036" t="s">
        <v>18419</v>
      </c>
      <c r="Z1036" t="s">
        <v>24098</v>
      </c>
      <c r="AA1036">
        <v>0.71467757806883947</v>
      </c>
      <c r="AB1036" t="str">
        <f>HYPERLINK("Melting_Curves/meltCurve_J3KQV0_CDKN1A.pdf", "Melting_Curves/meltCurve_J3KQV0_CDKN1A.pdf")</f>
        <v>Melting_Curves/meltCurve_J3KQV0_CDKN1A.pdf</v>
      </c>
    </row>
    <row r="1037" spans="1:28" x14ac:dyDescent="0.25">
      <c r="A1037" t="s">
        <v>1041</v>
      </c>
      <c r="B1037">
        <v>0.99996721820229495</v>
      </c>
      <c r="C1037">
        <v>0.94360008446636801</v>
      </c>
      <c r="D1037">
        <v>0.9348402732694</v>
      </c>
      <c r="E1037">
        <v>1.1790872774013501</v>
      </c>
      <c r="F1037">
        <v>1.9499898723801701</v>
      </c>
      <c r="G1037">
        <v>2.6078704225646301</v>
      </c>
      <c r="H1037">
        <v>2.1559153868441401</v>
      </c>
      <c r="I1037">
        <v>2.4597699796624499</v>
      </c>
      <c r="J1037">
        <v>2.1810475488589498</v>
      </c>
      <c r="K1037">
        <v>1.4951049142327799</v>
      </c>
      <c r="L1037">
        <v>12529.163800339</v>
      </c>
      <c r="M1037">
        <v>250</v>
      </c>
      <c r="O1037">
        <v>50.113447689220799</v>
      </c>
      <c r="P1037">
        <v>0.623585110214255</v>
      </c>
      <c r="Q1037">
        <v>1.5</v>
      </c>
      <c r="R1037">
        <v>0.15811037647540599</v>
      </c>
      <c r="S1037" t="s">
        <v>6863</v>
      </c>
      <c r="T1037" t="s">
        <v>11650</v>
      </c>
      <c r="U1037" t="s">
        <v>11650</v>
      </c>
      <c r="V1037" t="s">
        <v>11650</v>
      </c>
      <c r="W1037" t="s">
        <v>12664</v>
      </c>
      <c r="X1037">
        <v>6</v>
      </c>
      <c r="Y1037" t="s">
        <v>18420</v>
      </c>
      <c r="Z1037" t="s">
        <v>24099</v>
      </c>
      <c r="AA1037">
        <v>1.331345103002455</v>
      </c>
      <c r="AB1037" t="str">
        <f>HYPERLINK("Melting_Curves/meltCurve_J3KR35_CCDC12.pdf", "Melting_Curves/meltCurve_J3KR35_CCDC12.pdf")</f>
        <v>Melting_Curves/meltCurve_J3KR35_CCDC12.pdf</v>
      </c>
    </row>
    <row r="1038" spans="1:28" x14ac:dyDescent="0.25">
      <c r="A1038" t="s">
        <v>1042</v>
      </c>
      <c r="B1038">
        <v>0.99996721820229495</v>
      </c>
      <c r="C1038">
        <v>0.99802266069382295</v>
      </c>
      <c r="D1038">
        <v>1.0314069092265301</v>
      </c>
      <c r="E1038">
        <v>1.08344781771247</v>
      </c>
      <c r="F1038">
        <v>1.37993394876047</v>
      </c>
      <c r="G1038">
        <v>1.5273221801249901</v>
      </c>
      <c r="H1038">
        <v>0.98960830988259196</v>
      </c>
      <c r="I1038">
        <v>0.60324286910143898</v>
      </c>
      <c r="J1038">
        <v>0.243492893730724</v>
      </c>
      <c r="K1038">
        <v>0.114423911770609</v>
      </c>
      <c r="L1038">
        <v>3666.8488768224101</v>
      </c>
      <c r="M1038">
        <v>57.044260112195701</v>
      </c>
      <c r="N1038">
        <v>64.626921326485402</v>
      </c>
      <c r="O1038">
        <v>64.201913515262007</v>
      </c>
      <c r="P1038">
        <v>-0.192888018044342</v>
      </c>
      <c r="Q1038">
        <v>0.13163753033894901</v>
      </c>
      <c r="R1038">
        <v>0.76401812285727999</v>
      </c>
      <c r="S1038" t="s">
        <v>6864</v>
      </c>
      <c r="T1038" t="s">
        <v>11650</v>
      </c>
      <c r="U1038" t="s">
        <v>11650</v>
      </c>
      <c r="V1038" t="s">
        <v>11650</v>
      </c>
      <c r="W1038" t="s">
        <v>12665</v>
      </c>
      <c r="X1038">
        <v>5</v>
      </c>
      <c r="Y1038" t="s">
        <v>18421</v>
      </c>
      <c r="Z1038" t="s">
        <v>24100</v>
      </c>
      <c r="AA1038">
        <v>0.83596466128272706</v>
      </c>
      <c r="AB1038" t="str">
        <f>HYPERLINK("Melting_Curves/meltCurve_J3KR58_SEPHS2.pdf", "Melting_Curves/meltCurve_J3KR58_SEPHS2.pdf")</f>
        <v>Melting_Curves/meltCurve_J3KR58_SEPHS2.pdf</v>
      </c>
    </row>
    <row r="1039" spans="1:28" x14ac:dyDescent="0.25">
      <c r="A1039" t="s">
        <v>1043</v>
      </c>
      <c r="B1039">
        <v>0.99996721820229495</v>
      </c>
      <c r="C1039">
        <v>0.96535865183607505</v>
      </c>
      <c r="D1039">
        <v>1.07002283740978</v>
      </c>
      <c r="E1039">
        <v>1.2228622663981801</v>
      </c>
      <c r="F1039">
        <v>1.3744121179284501</v>
      </c>
      <c r="G1039">
        <v>1.3002133373458999</v>
      </c>
      <c r="H1039">
        <v>0.78696632930416699</v>
      </c>
      <c r="I1039">
        <v>0.518193710232564</v>
      </c>
      <c r="J1039">
        <v>0.38707720437111898</v>
      </c>
      <c r="K1039">
        <v>0.41499023969524901</v>
      </c>
      <c r="L1039">
        <v>3618.9454830275699</v>
      </c>
      <c r="M1039">
        <v>58.556889515345702</v>
      </c>
      <c r="N1039">
        <v>63.681530283355897</v>
      </c>
      <c r="O1039">
        <v>61.730267013238702</v>
      </c>
      <c r="P1039">
        <v>-0.13963587495240501</v>
      </c>
      <c r="Q1039">
        <v>0.411187652240739</v>
      </c>
      <c r="R1039">
        <v>0.75474128238246896</v>
      </c>
      <c r="S1039" t="s">
        <v>6865</v>
      </c>
      <c r="T1039" t="s">
        <v>11650</v>
      </c>
      <c r="U1039" t="s">
        <v>11650</v>
      </c>
      <c r="V1039" t="s">
        <v>11650</v>
      </c>
      <c r="W1039" t="s">
        <v>12666</v>
      </c>
      <c r="X1039">
        <v>9</v>
      </c>
      <c r="Y1039" t="s">
        <v>18422</v>
      </c>
      <c r="Z1039" t="s">
        <v>24101</v>
      </c>
      <c r="AA1039">
        <v>0.8402409045371434</v>
      </c>
      <c r="AB1039" t="str">
        <f>HYPERLINK("Melting_Curves/meltCurve_J3KR88_CORIN.pdf", "Melting_Curves/meltCurve_J3KR88_CORIN.pdf")</f>
        <v>Melting_Curves/meltCurve_J3KR88_CORIN.pdf</v>
      </c>
    </row>
    <row r="1040" spans="1:28" x14ac:dyDescent="0.25">
      <c r="A1040" t="s">
        <v>1044</v>
      </c>
      <c r="B1040">
        <v>0.99996721820229495</v>
      </c>
      <c r="C1040">
        <v>1.0566196507546199</v>
      </c>
      <c r="D1040">
        <v>1.1733409575688301</v>
      </c>
      <c r="E1040">
        <v>1.5205922183264</v>
      </c>
      <c r="F1040">
        <v>0.50581878777355005</v>
      </c>
      <c r="G1040">
        <v>0.42803866308001898</v>
      </c>
      <c r="H1040">
        <v>0.237144161500354</v>
      </c>
      <c r="I1040">
        <v>0.14317639038589999</v>
      </c>
      <c r="J1040">
        <v>9.5906101830097706E-2</v>
      </c>
      <c r="K1040">
        <v>6.6891952261302401E-2</v>
      </c>
      <c r="L1040">
        <v>13225.5555436746</v>
      </c>
      <c r="M1040">
        <v>250</v>
      </c>
      <c r="N1040">
        <v>53.006496345401899</v>
      </c>
      <c r="O1040">
        <v>52.898837971025401</v>
      </c>
      <c r="P1040">
        <v>-0.95201602214081404</v>
      </c>
      <c r="Q1040">
        <v>0.194231358212125</v>
      </c>
      <c r="R1040">
        <v>0.841543629790651</v>
      </c>
      <c r="S1040" t="s">
        <v>6866</v>
      </c>
      <c r="T1040" t="s">
        <v>11650</v>
      </c>
      <c r="U1040" t="s">
        <v>11650</v>
      </c>
      <c r="V1040" t="s">
        <v>11650</v>
      </c>
      <c r="W1040" t="s">
        <v>12667</v>
      </c>
      <c r="X1040">
        <v>18</v>
      </c>
      <c r="Y1040" t="s">
        <v>18423</v>
      </c>
      <c r="Z1040" t="s">
        <v>24102</v>
      </c>
      <c r="AA1040">
        <v>0.54084636910735839</v>
      </c>
      <c r="AB1040" t="str">
        <f>HYPERLINK("Melting_Curves/meltCurve_J3KR97_TBCD.pdf", "Melting_Curves/meltCurve_J3KR97_TBCD.pdf")</f>
        <v>Melting_Curves/meltCurve_J3KR97_TBCD.pdf</v>
      </c>
    </row>
    <row r="1041" spans="1:28" x14ac:dyDescent="0.25">
      <c r="A1041" t="s">
        <v>1045</v>
      </c>
      <c r="B1041">
        <v>0.99996721820229495</v>
      </c>
      <c r="C1041">
        <v>1.1489916031265901</v>
      </c>
      <c r="D1041">
        <v>0.94321130456719704</v>
      </c>
      <c r="E1041">
        <v>1.0060240417747801</v>
      </c>
      <c r="F1041">
        <v>1.0276060544087999</v>
      </c>
      <c r="G1041">
        <v>0.82769144788823701</v>
      </c>
      <c r="H1041">
        <v>0.53807812628321505</v>
      </c>
      <c r="I1041">
        <v>0.38680240674477201</v>
      </c>
      <c r="J1041">
        <v>0.30321028616948698</v>
      </c>
      <c r="K1041">
        <v>0.26813643293167799</v>
      </c>
      <c r="L1041">
        <v>1580.2154977201601</v>
      </c>
      <c r="M1041">
        <v>26.405900567091699</v>
      </c>
      <c r="N1041">
        <v>61.565908006106199</v>
      </c>
      <c r="O1041">
        <v>59.503219251018599</v>
      </c>
      <c r="P1041">
        <v>-8.1969188841385696E-2</v>
      </c>
      <c r="Q1041">
        <v>0.26116849152153199</v>
      </c>
      <c r="R1041">
        <v>0.97181365277381604</v>
      </c>
      <c r="S1041" t="s">
        <v>6867</v>
      </c>
      <c r="T1041" t="s">
        <v>11650</v>
      </c>
      <c r="U1041" t="s">
        <v>11650</v>
      </c>
      <c r="V1041" t="s">
        <v>11650</v>
      </c>
      <c r="W1041" t="s">
        <v>12668</v>
      </c>
      <c r="X1041">
        <v>1</v>
      </c>
      <c r="Y1041" t="s">
        <v>18424</v>
      </c>
      <c r="Z1041" t="s">
        <v>24103</v>
      </c>
      <c r="AA1041">
        <v>0.75515354372855537</v>
      </c>
      <c r="AB1041" t="str">
        <f>HYPERLINK("Melting_Curves/meltCurve_J3KRM8_CSNK1D.pdf", "Melting_Curves/meltCurve_J3KRM8_CSNK1D.pdf")</f>
        <v>Melting_Curves/meltCurve_J3KRM8_CSNK1D.pdf</v>
      </c>
    </row>
    <row r="1042" spans="1:28" x14ac:dyDescent="0.25">
      <c r="A1042" t="s">
        <v>1046</v>
      </c>
      <c r="B1042">
        <v>0.99996721820229495</v>
      </c>
      <c r="C1042">
        <v>0.95689104574400596</v>
      </c>
      <c r="D1042">
        <v>1.01491094379078</v>
      </c>
      <c r="E1042">
        <v>1.02675382867603</v>
      </c>
      <c r="F1042">
        <v>1.4836673077164799</v>
      </c>
      <c r="G1042">
        <v>1.59602498896114</v>
      </c>
      <c r="H1042">
        <v>1.41609262967477</v>
      </c>
      <c r="I1042">
        <v>0.89588145737935398</v>
      </c>
      <c r="J1042">
        <v>0.66727446704237803</v>
      </c>
      <c r="K1042">
        <v>0.49455035189958202</v>
      </c>
      <c r="L1042">
        <v>4066.68440438786</v>
      </c>
      <c r="M1042">
        <v>61.3818983229895</v>
      </c>
      <c r="N1042">
        <v>69.987906882143903</v>
      </c>
      <c r="O1042">
        <v>66.181962489378407</v>
      </c>
      <c r="P1042">
        <v>-0.12031224755623</v>
      </c>
      <c r="Q1042">
        <v>0.48111751494660199</v>
      </c>
      <c r="R1042">
        <v>0.30730167638608602</v>
      </c>
      <c r="S1042" t="s">
        <v>6868</v>
      </c>
      <c r="T1042" t="s">
        <v>11650</v>
      </c>
      <c r="U1042" t="s">
        <v>11650</v>
      </c>
      <c r="V1042" t="s">
        <v>11650</v>
      </c>
      <c r="W1042" t="s">
        <v>12669</v>
      </c>
      <c r="X1042">
        <v>3</v>
      </c>
      <c r="Y1042" t="s">
        <v>18425</v>
      </c>
      <c r="Z1042" t="s">
        <v>24104</v>
      </c>
      <c r="AA1042">
        <v>0.93538858999488339</v>
      </c>
      <c r="AB1042" t="str">
        <f>HYPERLINK("Melting_Curves/meltCurve_J3KRP6_SS18.pdf", "Melting_Curves/meltCurve_J3KRP6_SS18.pdf")</f>
        <v>Melting_Curves/meltCurve_J3KRP6_SS18.pdf</v>
      </c>
    </row>
    <row r="1043" spans="1:28" x14ac:dyDescent="0.25">
      <c r="A1043" t="s">
        <v>1047</v>
      </c>
      <c r="B1043">
        <v>0.99996721820229495</v>
      </c>
      <c r="C1043">
        <v>0.899189852263376</v>
      </c>
      <c r="D1043">
        <v>1.05393834567579</v>
      </c>
      <c r="E1043">
        <v>1.1247133888691101</v>
      </c>
      <c r="F1043">
        <v>1.4920587622847501</v>
      </c>
      <c r="G1043">
        <v>1.50593529976723</v>
      </c>
      <c r="H1043">
        <v>0.88642612424556799</v>
      </c>
      <c r="I1043">
        <v>0.63214156721969095</v>
      </c>
      <c r="J1043">
        <v>0.44822866940249401</v>
      </c>
      <c r="K1043">
        <v>0.34235827092961002</v>
      </c>
      <c r="L1043">
        <v>2987.1741094143299</v>
      </c>
      <c r="M1043">
        <v>46.967063540905102</v>
      </c>
      <c r="N1043">
        <v>65.384350062816594</v>
      </c>
      <c r="O1043">
        <v>63.4864853585213</v>
      </c>
      <c r="P1043">
        <v>-0.118168467145011</v>
      </c>
      <c r="Q1043">
        <v>0.36107631459756101</v>
      </c>
      <c r="R1043">
        <v>0.61221489594143397</v>
      </c>
      <c r="S1043" t="s">
        <v>6869</v>
      </c>
      <c r="T1043" t="s">
        <v>11650</v>
      </c>
      <c r="U1043" t="s">
        <v>11650</v>
      </c>
      <c r="V1043" t="s">
        <v>11650</v>
      </c>
      <c r="W1043" t="s">
        <v>12670</v>
      </c>
      <c r="X1043">
        <v>1</v>
      </c>
      <c r="Y1043" t="s">
        <v>18426</v>
      </c>
      <c r="Z1043" t="s">
        <v>24105</v>
      </c>
      <c r="AA1043">
        <v>0.86526243169675887</v>
      </c>
      <c r="AB1043" t="str">
        <f>HYPERLINK("Melting_Curves/meltCurve_J3KRW7_TMEM199.pdf", "Melting_Curves/meltCurve_J3KRW7_TMEM199.pdf")</f>
        <v>Melting_Curves/meltCurve_J3KRW7_TMEM199.pdf</v>
      </c>
    </row>
    <row r="1044" spans="1:28" x14ac:dyDescent="0.25">
      <c r="A1044" t="s">
        <v>1048</v>
      </c>
      <c r="B1044">
        <v>0.99996721820229495</v>
      </c>
      <c r="C1044">
        <v>1.1827493734688701</v>
      </c>
      <c r="D1044">
        <v>1.0690721076294201</v>
      </c>
      <c r="E1044">
        <v>0.97517853666526999</v>
      </c>
      <c r="F1044">
        <v>1.24530571656206</v>
      </c>
      <c r="G1044">
        <v>1.22033295015946</v>
      </c>
      <c r="H1044">
        <v>0.67565917402193099</v>
      </c>
      <c r="I1044">
        <v>0.667275776189861</v>
      </c>
      <c r="J1044">
        <v>0.34882637445736703</v>
      </c>
      <c r="K1044">
        <v>0.26464168200823701</v>
      </c>
      <c r="L1044">
        <v>1824.3829025605301</v>
      </c>
      <c r="M1044">
        <v>28.6247999577743</v>
      </c>
      <c r="N1044">
        <v>64.991709265400104</v>
      </c>
      <c r="O1044">
        <v>63.4257191024397</v>
      </c>
      <c r="P1044">
        <v>-8.8839649876847504E-2</v>
      </c>
      <c r="Q1044">
        <v>0.21261641046313001</v>
      </c>
      <c r="R1044">
        <v>0.83256282295059603</v>
      </c>
      <c r="S1044" t="s">
        <v>6870</v>
      </c>
      <c r="T1044" t="s">
        <v>11650</v>
      </c>
      <c r="U1044" t="s">
        <v>11650</v>
      </c>
      <c r="V1044" t="s">
        <v>11650</v>
      </c>
      <c r="W1044" t="s">
        <v>12671</v>
      </c>
      <c r="X1044">
        <v>6</v>
      </c>
      <c r="Y1044" t="s">
        <v>18427</v>
      </c>
      <c r="Z1044" t="s">
        <v>24106</v>
      </c>
      <c r="AA1044">
        <v>0.8366808654497464</v>
      </c>
      <c r="AB1044" t="str">
        <f>HYPERLINK("Melting_Curves/meltCurve_J3KS05_CBX1.pdf", "Melting_Curves/meltCurve_J3KS05_CBX1.pdf")</f>
        <v>Melting_Curves/meltCurve_J3KS05_CBX1.pdf</v>
      </c>
    </row>
    <row r="1045" spans="1:28" x14ac:dyDescent="0.25">
      <c r="A1045" t="s">
        <v>1049</v>
      </c>
      <c r="B1045">
        <v>0.99996721820229495</v>
      </c>
      <c r="C1045">
        <v>1.17664399756806</v>
      </c>
      <c r="D1045">
        <v>1.17118863718274</v>
      </c>
      <c r="E1045">
        <v>0.96906260793219601</v>
      </c>
      <c r="F1045">
        <v>0.43214105974300199</v>
      </c>
      <c r="G1045">
        <v>0.24900930608139199</v>
      </c>
      <c r="H1045">
        <v>6.4986130476698004E-2</v>
      </c>
      <c r="I1045">
        <v>6.7016333541674897E-2</v>
      </c>
      <c r="J1045">
        <v>5.11137869681536E-2</v>
      </c>
      <c r="K1045">
        <v>4.26524842453559E-2</v>
      </c>
      <c r="L1045">
        <v>2405.08328972249</v>
      </c>
      <c r="M1045">
        <v>45.728883542244397</v>
      </c>
      <c r="N1045">
        <v>52.811674097426</v>
      </c>
      <c r="O1045">
        <v>52.4941173630286</v>
      </c>
      <c r="P1045">
        <v>-0.19910570570307401</v>
      </c>
      <c r="Q1045">
        <v>8.5753711305305305E-2</v>
      </c>
      <c r="R1045">
        <v>0.960974383424124</v>
      </c>
      <c r="S1045" t="s">
        <v>6871</v>
      </c>
      <c r="T1045" t="s">
        <v>11650</v>
      </c>
      <c r="U1045" t="s">
        <v>11650</v>
      </c>
      <c r="V1045" t="s">
        <v>11650</v>
      </c>
      <c r="W1045" t="s">
        <v>12672</v>
      </c>
      <c r="X1045">
        <v>2</v>
      </c>
      <c r="Y1045" t="s">
        <v>18428</v>
      </c>
      <c r="Z1045" t="s">
        <v>24107</v>
      </c>
      <c r="AA1045">
        <v>0.47210433993863321</v>
      </c>
      <c r="AB1045" t="str">
        <f>HYPERLINK("Melting_Curves/meltCurve_J3KSL8_TRAPPC8.pdf", "Melting_Curves/meltCurve_J3KSL8_TRAPPC8.pdf")</f>
        <v>Melting_Curves/meltCurve_J3KSL8_TRAPPC8.pdf</v>
      </c>
    </row>
    <row r="1046" spans="1:28" x14ac:dyDescent="0.25">
      <c r="A1046" t="s">
        <v>1050</v>
      </c>
      <c r="B1046">
        <v>0.99996721820229495</v>
      </c>
      <c r="C1046">
        <v>0.93949288618029103</v>
      </c>
      <c r="D1046">
        <v>0.81614413575803402</v>
      </c>
      <c r="E1046">
        <v>0.74717297603617105</v>
      </c>
      <c r="F1046">
        <v>0.53323546170193603</v>
      </c>
      <c r="G1046">
        <v>0.47948627806744398</v>
      </c>
      <c r="H1046">
        <v>0.35864823238809102</v>
      </c>
      <c r="I1046">
        <v>0.27064182963826999</v>
      </c>
      <c r="J1046">
        <v>0.22624368136808201</v>
      </c>
      <c r="K1046">
        <v>0.17365994321869199</v>
      </c>
      <c r="L1046">
        <v>472.19833075394598</v>
      </c>
      <c r="M1046">
        <v>8.6351626545514808</v>
      </c>
      <c r="N1046">
        <v>55.593109507197198</v>
      </c>
      <c r="O1046">
        <v>51.987725232554403</v>
      </c>
      <c r="P1046">
        <v>-3.8821433040800601E-2</v>
      </c>
      <c r="Q1046">
        <v>6.5900499120907896E-2</v>
      </c>
      <c r="R1046">
        <v>0.98862900215986205</v>
      </c>
      <c r="S1046" t="s">
        <v>6872</v>
      </c>
      <c r="T1046" t="s">
        <v>11650</v>
      </c>
      <c r="U1046" t="s">
        <v>11650</v>
      </c>
      <c r="V1046" t="s">
        <v>11650</v>
      </c>
      <c r="W1046" t="s">
        <v>12673</v>
      </c>
      <c r="X1046">
        <v>10</v>
      </c>
      <c r="Y1046" t="s">
        <v>18429</v>
      </c>
      <c r="Z1046" t="s">
        <v>24108</v>
      </c>
      <c r="AA1046">
        <v>0.55006093521847221</v>
      </c>
      <c r="AB1046" t="str">
        <f>HYPERLINK("Melting_Curves/meltCurve_J3KSS7_GGA3.pdf", "Melting_Curves/meltCurve_J3KSS7_GGA3.pdf")</f>
        <v>Melting_Curves/meltCurve_J3KSS7_GGA3.pdf</v>
      </c>
    </row>
    <row r="1047" spans="1:28" x14ac:dyDescent="0.25">
      <c r="A1047" t="s">
        <v>1051</v>
      </c>
      <c r="B1047">
        <v>0.99996721820229495</v>
      </c>
      <c r="C1047">
        <v>0.93975266370845001</v>
      </c>
      <c r="D1047">
        <v>0.62554887096270995</v>
      </c>
      <c r="E1047">
        <v>0.43349752524062801</v>
      </c>
      <c r="F1047">
        <v>1.15074963739463</v>
      </c>
      <c r="G1047">
        <v>0.58392340869987003</v>
      </c>
      <c r="H1047">
        <v>0.44252443381055301</v>
      </c>
      <c r="I1047">
        <v>0.34764679754012501</v>
      </c>
      <c r="J1047">
        <v>0.365030526076077</v>
      </c>
      <c r="K1047">
        <v>0.21051343359548999</v>
      </c>
      <c r="L1047">
        <v>338.185456217423</v>
      </c>
      <c r="M1047">
        <v>5.6872379878464097</v>
      </c>
      <c r="N1047">
        <v>59.463932651724001</v>
      </c>
      <c r="O1047">
        <v>53.338328774410499</v>
      </c>
      <c r="P1047">
        <v>-2.6760815279440801E-2</v>
      </c>
      <c r="Q1047">
        <v>0</v>
      </c>
      <c r="R1047">
        <v>0.561878805704082</v>
      </c>
      <c r="S1047" t="s">
        <v>6873</v>
      </c>
      <c r="T1047" t="s">
        <v>11650</v>
      </c>
      <c r="U1047" t="s">
        <v>11650</v>
      </c>
      <c r="V1047" t="s">
        <v>11650</v>
      </c>
      <c r="W1047" t="s">
        <v>12674</v>
      </c>
      <c r="X1047">
        <v>1</v>
      </c>
      <c r="Y1047" t="s">
        <v>18430</v>
      </c>
      <c r="Z1047" t="s">
        <v>24109</v>
      </c>
      <c r="AA1047">
        <v>0.61831858532430695</v>
      </c>
      <c r="AB1047" t="str">
        <f>HYPERLINK("Melting_Curves/meltCurve_J3KSW2_POLI.pdf", "Melting_Curves/meltCurve_J3KSW2_POLI.pdf")</f>
        <v>Melting_Curves/meltCurve_J3KSW2_POLI.pdf</v>
      </c>
    </row>
    <row r="1048" spans="1:28" x14ac:dyDescent="0.25">
      <c r="A1048" t="s">
        <v>1052</v>
      </c>
      <c r="B1048">
        <v>0.99996721820229495</v>
      </c>
      <c r="C1048">
        <v>1.1865960852510899</v>
      </c>
      <c r="D1048">
        <v>1.41066754727092</v>
      </c>
      <c r="E1048">
        <v>2.0785728365606002</v>
      </c>
      <c r="F1048">
        <v>2.82245511600938</v>
      </c>
      <c r="G1048">
        <v>2.3193761637419601</v>
      </c>
      <c r="H1048">
        <v>0.51458829328007305</v>
      </c>
      <c r="I1048">
        <v>0.13261833746847099</v>
      </c>
      <c r="J1048">
        <v>0.118602634358016</v>
      </c>
      <c r="K1048">
        <v>7.0127374371288007E-2</v>
      </c>
      <c r="L1048">
        <v>12473.5695672939</v>
      </c>
      <c r="M1048">
        <v>204.65967471953601</v>
      </c>
      <c r="N1048">
        <v>61.0197299354611</v>
      </c>
      <c r="O1048">
        <v>60.942031567349702</v>
      </c>
      <c r="P1048">
        <v>-0.74965184910504501</v>
      </c>
      <c r="Q1048">
        <v>0.10709689863626599</v>
      </c>
      <c r="R1048">
        <v>0.267949176869336</v>
      </c>
      <c r="S1048" t="s">
        <v>6874</v>
      </c>
      <c r="T1048" t="s">
        <v>11650</v>
      </c>
      <c r="U1048" t="s">
        <v>11650</v>
      </c>
      <c r="V1048" t="s">
        <v>11650</v>
      </c>
      <c r="W1048" t="s">
        <v>12675</v>
      </c>
      <c r="X1048">
        <v>3</v>
      </c>
      <c r="Y1048" t="s">
        <v>18431</v>
      </c>
      <c r="Z1048" t="s">
        <v>24110</v>
      </c>
      <c r="AA1048">
        <v>0.73071978461358866</v>
      </c>
      <c r="AB1048" t="str">
        <f>HYPERLINK("Melting_Curves/meltCurve_J3KT10_NUP85.pdf", "Melting_Curves/meltCurve_J3KT10_NUP85.pdf")</f>
        <v>Melting_Curves/meltCurve_J3KT10_NUP85.pdf</v>
      </c>
    </row>
    <row r="1049" spans="1:28" x14ac:dyDescent="0.25">
      <c r="A1049" t="s">
        <v>1053</v>
      </c>
      <c r="B1049">
        <v>0.99996721820229495</v>
      </c>
      <c r="C1049">
        <v>1.0708981158416599</v>
      </c>
      <c r="D1049">
        <v>0.99589051732658196</v>
      </c>
      <c r="E1049">
        <v>0.48304702285958001</v>
      </c>
      <c r="F1049">
        <v>0.400179250294245</v>
      </c>
      <c r="G1049">
        <v>0.339490079835087</v>
      </c>
      <c r="H1049">
        <v>0.19952882271632499</v>
      </c>
      <c r="I1049">
        <v>0.20232469767157299</v>
      </c>
      <c r="J1049">
        <v>8.0968191810435006E-2</v>
      </c>
      <c r="K1049">
        <v>5.4349832459853302E-2</v>
      </c>
      <c r="L1049">
        <v>1003.54321818505</v>
      </c>
      <c r="M1049">
        <v>19.9194216369781</v>
      </c>
      <c r="N1049">
        <v>51.252584544610599</v>
      </c>
      <c r="O1049">
        <v>49.880624088709197</v>
      </c>
      <c r="P1049">
        <v>-8.5483570434303699E-2</v>
      </c>
      <c r="Q1049">
        <v>0.14378380745486599</v>
      </c>
      <c r="R1049">
        <v>0.95267308234710102</v>
      </c>
      <c r="S1049" t="s">
        <v>6875</v>
      </c>
      <c r="T1049" t="s">
        <v>11650</v>
      </c>
      <c r="U1049" t="s">
        <v>11650</v>
      </c>
      <c r="V1049" t="s">
        <v>11650</v>
      </c>
      <c r="W1049" t="s">
        <v>12676</v>
      </c>
      <c r="X1049">
        <v>10</v>
      </c>
      <c r="Y1049" t="s">
        <v>18432</v>
      </c>
      <c r="Z1049" t="s">
        <v>24111</v>
      </c>
      <c r="AA1049">
        <v>0.45203577046390181</v>
      </c>
      <c r="AB1049" t="str">
        <f>HYPERLINK("Melting_Curves/meltCurve_J3KTA4_DDX5.pdf", "Melting_Curves/meltCurve_J3KTA4_DDX5.pdf")</f>
        <v>Melting_Curves/meltCurve_J3KTA4_DDX5.pdf</v>
      </c>
    </row>
    <row r="1050" spans="1:28" x14ac:dyDescent="0.25">
      <c r="A1050" t="s">
        <v>1054</v>
      </c>
      <c r="B1050">
        <v>0.99996721820229495</v>
      </c>
      <c r="C1050">
        <v>0.93098075611792397</v>
      </c>
      <c r="D1050">
        <v>0.95203795962705495</v>
      </c>
      <c r="E1050">
        <v>1.07780908514408</v>
      </c>
      <c r="F1050">
        <v>1.49081959612187</v>
      </c>
      <c r="G1050">
        <v>1.7062768511292601</v>
      </c>
      <c r="H1050">
        <v>1.5917413055207701</v>
      </c>
      <c r="I1050">
        <v>2.2690854404526202</v>
      </c>
      <c r="J1050">
        <v>3.3939642120158702</v>
      </c>
      <c r="K1050">
        <v>2.9939711491401599</v>
      </c>
      <c r="L1050">
        <v>5078.3051438791799</v>
      </c>
      <c r="M1050">
        <v>99.873941958892104</v>
      </c>
      <c r="O1050">
        <v>50.826752512353004</v>
      </c>
      <c r="P1050">
        <v>0.245623378806993</v>
      </c>
      <c r="Q1050">
        <v>1.5</v>
      </c>
      <c r="R1050">
        <v>6.7218203017780406E-2</v>
      </c>
      <c r="S1050" t="s">
        <v>6876</v>
      </c>
      <c r="T1050" t="s">
        <v>11650</v>
      </c>
      <c r="U1050" t="s">
        <v>11650</v>
      </c>
      <c r="V1050" t="s">
        <v>11650</v>
      </c>
      <c r="W1050" t="s">
        <v>12677</v>
      </c>
      <c r="X1050">
        <v>19</v>
      </c>
      <c r="Y1050" t="s">
        <v>18433</v>
      </c>
      <c r="Z1050" t="s">
        <v>24112</v>
      </c>
      <c r="AA1050">
        <v>1.3189343007139449</v>
      </c>
      <c r="AB1050" t="str">
        <f>HYPERLINK("Melting_Curves/meltCurve_J3KTL2_SRSF1.pdf", "Melting_Curves/meltCurve_J3KTL2_SRSF1.pdf")</f>
        <v>Melting_Curves/meltCurve_J3KTL2_SRSF1.pdf</v>
      </c>
    </row>
    <row r="1051" spans="1:28" x14ac:dyDescent="0.25">
      <c r="A1051" t="s">
        <v>1055</v>
      </c>
      <c r="B1051">
        <v>0.99996721820229495</v>
      </c>
      <c r="C1051">
        <v>0.91562612529792797</v>
      </c>
      <c r="D1051">
        <v>1.0319476613226599</v>
      </c>
      <c r="E1051">
        <v>1.07810132251054</v>
      </c>
      <c r="F1051">
        <v>0.86771656577348599</v>
      </c>
      <c r="G1051">
        <v>0.58029625115162498</v>
      </c>
      <c r="H1051">
        <v>0.37654003277659698</v>
      </c>
      <c r="I1051">
        <v>0.246319994216988</v>
      </c>
      <c r="J1051">
        <v>0.22025692462000299</v>
      </c>
      <c r="K1051">
        <v>0.12886910769045301</v>
      </c>
      <c r="L1051">
        <v>1244.2271810970899</v>
      </c>
      <c r="M1051">
        <v>21.648817990369999</v>
      </c>
      <c r="N1051">
        <v>58.483617654145597</v>
      </c>
      <c r="O1051">
        <v>56.989577930628798</v>
      </c>
      <c r="P1051">
        <v>-8.0153461376175697E-2</v>
      </c>
      <c r="Q1051">
        <v>0.15601824957444299</v>
      </c>
      <c r="R1051">
        <v>0.97970892042689905</v>
      </c>
      <c r="S1051" t="s">
        <v>6877</v>
      </c>
      <c r="T1051" t="s">
        <v>11650</v>
      </c>
      <c r="U1051" t="s">
        <v>11650</v>
      </c>
      <c r="V1051" t="s">
        <v>11650</v>
      </c>
      <c r="W1051" t="s">
        <v>12678</v>
      </c>
      <c r="X1051">
        <v>14</v>
      </c>
      <c r="Y1051" t="s">
        <v>18434</v>
      </c>
      <c r="Z1051" t="s">
        <v>24113</v>
      </c>
      <c r="AA1051">
        <v>0.65670693811582981</v>
      </c>
      <c r="AB1051" t="str">
        <f>HYPERLINK("Melting_Curves/meltCurve_J3KTN0_EIF4A1.pdf", "Melting_Curves/meltCurve_J3KTN0_EIF4A1.pdf")</f>
        <v>Melting_Curves/meltCurve_J3KTN0_EIF4A1.pdf</v>
      </c>
    </row>
    <row r="1052" spans="1:28" x14ac:dyDescent="0.25">
      <c r="A1052" t="s">
        <v>1056</v>
      </c>
      <c r="B1052">
        <v>0.99996721820229495</v>
      </c>
      <c r="C1052">
        <v>0.88782460165593502</v>
      </c>
      <c r="D1052">
        <v>0.74072160085177396</v>
      </c>
      <c r="E1052">
        <v>0.501248427980449</v>
      </c>
      <c r="F1052">
        <v>0.49483015822656001</v>
      </c>
      <c r="G1052">
        <v>0.46540284832853801</v>
      </c>
      <c r="H1052">
        <v>0.32343855021085199</v>
      </c>
      <c r="I1052">
        <v>0.28363268562621302</v>
      </c>
      <c r="J1052">
        <v>0.252255233078925</v>
      </c>
      <c r="K1052">
        <v>0.25827264116517201</v>
      </c>
      <c r="L1052">
        <v>542.02034689000402</v>
      </c>
      <c r="M1052">
        <v>11.066019711993</v>
      </c>
      <c r="N1052">
        <v>52.143121767016602</v>
      </c>
      <c r="O1052">
        <v>47.4626560497952</v>
      </c>
      <c r="P1052">
        <v>-4.4054494110589801E-2</v>
      </c>
      <c r="Q1052">
        <v>0.244442279459156</v>
      </c>
      <c r="R1052">
        <v>0.96988005965666402</v>
      </c>
      <c r="S1052" t="s">
        <v>6878</v>
      </c>
      <c r="T1052" t="s">
        <v>11650</v>
      </c>
      <c r="U1052" t="s">
        <v>11650</v>
      </c>
      <c r="V1052" t="s">
        <v>11650</v>
      </c>
      <c r="W1052" t="s">
        <v>12679</v>
      </c>
      <c r="X1052">
        <v>3</v>
      </c>
      <c r="Y1052" t="s">
        <v>18435</v>
      </c>
      <c r="Z1052" t="s">
        <v>24114</v>
      </c>
      <c r="AA1052">
        <v>0.50234114320853673</v>
      </c>
      <c r="AB1052" t="str">
        <f>HYPERLINK("Melting_Curves/meltCurve_J3QK89_CHERP.pdf", "Melting_Curves/meltCurve_J3QK89_CHERP.pdf")</f>
        <v>Melting_Curves/meltCurve_J3QK89_CHERP.pdf</v>
      </c>
    </row>
    <row r="1053" spans="1:28" x14ac:dyDescent="0.25">
      <c r="A1053" t="s">
        <v>1057</v>
      </c>
      <c r="B1053">
        <v>0.99996721820229495</v>
      </c>
      <c r="C1053">
        <v>1.0387349889058399</v>
      </c>
      <c r="D1053">
        <v>1.0859703341611</v>
      </c>
      <c r="E1053">
        <v>1.17593773919684</v>
      </c>
      <c r="F1053">
        <v>2.0072049453877301</v>
      </c>
      <c r="G1053">
        <v>3.1990734191282901</v>
      </c>
      <c r="H1053">
        <v>3.3924699616566998</v>
      </c>
      <c r="I1053">
        <v>2.1408419731844899</v>
      </c>
      <c r="J1053">
        <v>0.38220706867967702</v>
      </c>
      <c r="K1053">
        <v>1.9661132181417</v>
      </c>
      <c r="L1053">
        <v>12530.5391037154</v>
      </c>
      <c r="M1053">
        <v>250</v>
      </c>
      <c r="O1053">
        <v>50.118948772590599</v>
      </c>
      <c r="P1053">
        <v>0.62351666793140703</v>
      </c>
      <c r="Q1053">
        <v>1.5</v>
      </c>
      <c r="R1053">
        <v>1.8222269625210799E-2</v>
      </c>
      <c r="S1053" t="s">
        <v>6879</v>
      </c>
      <c r="T1053" t="s">
        <v>11650</v>
      </c>
      <c r="U1053" t="s">
        <v>11650</v>
      </c>
      <c r="V1053" t="s">
        <v>11650</v>
      </c>
      <c r="W1053" t="s">
        <v>12680</v>
      </c>
      <c r="X1053">
        <v>5</v>
      </c>
      <c r="Y1053" t="s">
        <v>18436</v>
      </c>
      <c r="Z1053" t="s">
        <v>24115</v>
      </c>
      <c r="AA1053">
        <v>1.3312534112834229</v>
      </c>
      <c r="AB1053" t="str">
        <f>HYPERLINK("Melting_Curves/meltCurve_J3QKR3_PSMB3.pdf", "Melting_Curves/meltCurve_J3QKR3_PSMB3.pdf")</f>
        <v>Melting_Curves/meltCurve_J3QKR3_PSMB3.pdf</v>
      </c>
    </row>
    <row r="1054" spans="1:28" x14ac:dyDescent="0.25">
      <c r="A1054" t="s">
        <v>1058</v>
      </c>
      <c r="B1054">
        <v>0.99996721820229495</v>
      </c>
      <c r="C1054">
        <v>0.85408342270986304</v>
      </c>
      <c r="D1054">
        <v>0.89886493835022796</v>
      </c>
      <c r="E1054">
        <v>0.68335410024908705</v>
      </c>
      <c r="F1054">
        <v>0.41381491299284601</v>
      </c>
      <c r="G1054">
        <v>0.34316862489827199</v>
      </c>
      <c r="H1054">
        <v>0.23464320386999801</v>
      </c>
      <c r="I1054">
        <v>0.18906360914944301</v>
      </c>
      <c r="J1054">
        <v>0.10268498677777101</v>
      </c>
      <c r="K1054">
        <v>0.12155401615433301</v>
      </c>
      <c r="L1054">
        <v>633.66439934677601</v>
      </c>
      <c r="M1054">
        <v>12.190552842699599</v>
      </c>
      <c r="N1054">
        <v>52.765955839341302</v>
      </c>
      <c r="O1054">
        <v>50.640544768679902</v>
      </c>
      <c r="P1054">
        <v>-5.5197500707974398E-2</v>
      </c>
      <c r="Q1054">
        <v>8.3028387725097394E-2</v>
      </c>
      <c r="R1054">
        <v>0.98147453397292395</v>
      </c>
      <c r="S1054" t="s">
        <v>6880</v>
      </c>
      <c r="T1054" t="s">
        <v>11650</v>
      </c>
      <c r="U1054" t="s">
        <v>11650</v>
      </c>
      <c r="V1054" t="s">
        <v>11650</v>
      </c>
      <c r="W1054" t="s">
        <v>12681</v>
      </c>
      <c r="X1054">
        <v>2</v>
      </c>
      <c r="Y1054" t="s">
        <v>18437</v>
      </c>
      <c r="Z1054" t="s">
        <v>24116</v>
      </c>
      <c r="AA1054">
        <v>0.47673683884730161</v>
      </c>
      <c r="AB1054" t="str">
        <f>HYPERLINK("Melting_Curves/meltCurve_J3QL56_SCO1.pdf", "Melting_Curves/meltCurve_J3QL56_SCO1.pdf")</f>
        <v>Melting_Curves/meltCurve_J3QL56_SCO1.pdf</v>
      </c>
    </row>
    <row r="1055" spans="1:28" x14ac:dyDescent="0.25">
      <c r="A1055" t="s">
        <v>1059</v>
      </c>
      <c r="B1055">
        <v>0.99996721820229495</v>
      </c>
      <c r="C1055">
        <v>1.0421770842640401</v>
      </c>
      <c r="D1055">
        <v>1.00800206438345</v>
      </c>
      <c r="E1055">
        <v>0.96876854570401905</v>
      </c>
      <c r="F1055">
        <v>0.46524825872140002</v>
      </c>
      <c r="G1055">
        <v>0.415315455096744</v>
      </c>
      <c r="H1055">
        <v>0.232619277528121</v>
      </c>
      <c r="I1055">
        <v>0.13862326237820999</v>
      </c>
      <c r="J1055">
        <v>8.4151765033048706E-2</v>
      </c>
      <c r="K1055">
        <v>7.8157344913377405E-2</v>
      </c>
      <c r="L1055">
        <v>1037.9458072898899</v>
      </c>
      <c r="M1055">
        <v>19.227893166745702</v>
      </c>
      <c r="N1055">
        <v>54.584085053821497</v>
      </c>
      <c r="O1055">
        <v>53.407536575772099</v>
      </c>
      <c r="P1055">
        <v>-8.1398617853294997E-2</v>
      </c>
      <c r="Q1055">
        <v>9.5660808402408107E-2</v>
      </c>
      <c r="R1055">
        <v>0.96325054197494597</v>
      </c>
      <c r="S1055" t="s">
        <v>6881</v>
      </c>
      <c r="T1055" t="s">
        <v>11650</v>
      </c>
      <c r="U1055" t="s">
        <v>11650</v>
      </c>
      <c r="V1055" t="s">
        <v>11650</v>
      </c>
      <c r="W1055" t="s">
        <v>12682</v>
      </c>
      <c r="X1055">
        <v>10</v>
      </c>
      <c r="Y1055" t="s">
        <v>18438</v>
      </c>
      <c r="Z1055" t="s">
        <v>24117</v>
      </c>
      <c r="AA1055">
        <v>0.53020964570459828</v>
      </c>
      <c r="AB1055" t="str">
        <f>HYPERLINK("Melting_Curves/meltCurve_J3QL71_SCRN2.pdf", "Melting_Curves/meltCurve_J3QL71_SCRN2.pdf")</f>
        <v>Melting_Curves/meltCurve_J3QL71_SCRN2.pdf</v>
      </c>
    </row>
    <row r="1056" spans="1:28" x14ac:dyDescent="0.25">
      <c r="A1056" t="s">
        <v>1060</v>
      </c>
      <c r="B1056">
        <v>0.99996721820229495</v>
      </c>
      <c r="C1056">
        <v>1.1180736433105101</v>
      </c>
      <c r="D1056">
        <v>1.3640713081515401</v>
      </c>
      <c r="E1056">
        <v>1.49167071282134</v>
      </c>
      <c r="F1056">
        <v>1.7829467799253</v>
      </c>
      <c r="G1056">
        <v>2.76678338976114</v>
      </c>
      <c r="H1056">
        <v>2.0068974601779002</v>
      </c>
      <c r="I1056">
        <v>1.0981892714096999</v>
      </c>
      <c r="J1056">
        <v>0.562171446483688</v>
      </c>
      <c r="K1056">
        <v>0.43438785698589999</v>
      </c>
      <c r="L1056">
        <v>15000</v>
      </c>
      <c r="M1056">
        <v>225.11121093352099</v>
      </c>
      <c r="N1056">
        <v>67.240162231968398</v>
      </c>
      <c r="O1056">
        <v>66.628472566629299</v>
      </c>
      <c r="P1056">
        <v>-0.47778126562783302</v>
      </c>
      <c r="Q1056">
        <v>0.43434472677119401</v>
      </c>
      <c r="R1056">
        <v>-0.18476920552307999</v>
      </c>
      <c r="S1056" t="s">
        <v>6882</v>
      </c>
      <c r="T1056" t="s">
        <v>11650</v>
      </c>
      <c r="U1056" t="s">
        <v>11650</v>
      </c>
      <c r="V1056" t="s">
        <v>11650</v>
      </c>
      <c r="W1056" t="s">
        <v>12683</v>
      </c>
      <c r="X1056">
        <v>4</v>
      </c>
      <c r="Y1056" t="s">
        <v>18439</v>
      </c>
      <c r="Z1056" t="s">
        <v>24118</v>
      </c>
      <c r="AA1056">
        <v>0.93660988139233037</v>
      </c>
      <c r="AB1056" t="str">
        <f>HYPERLINK("Melting_Curves/meltCurve_J3QLB2_SLC39A11.pdf", "Melting_Curves/meltCurve_J3QLB2_SLC39A11.pdf")</f>
        <v>Melting_Curves/meltCurve_J3QLB2_SLC39A11.pdf</v>
      </c>
    </row>
    <row r="1057" spans="1:28" x14ac:dyDescent="0.25">
      <c r="A1057" t="s">
        <v>1061</v>
      </c>
      <c r="B1057">
        <v>0.99996721820229495</v>
      </c>
      <c r="C1057">
        <v>0.93482969785397196</v>
      </c>
      <c r="D1057">
        <v>1.0208334228206799</v>
      </c>
      <c r="E1057">
        <v>1.40754668770921</v>
      </c>
      <c r="F1057">
        <v>2.5861569451605901</v>
      </c>
      <c r="G1057">
        <v>3.5660691941153302</v>
      </c>
      <c r="H1057">
        <v>2.5095582742612899</v>
      </c>
      <c r="I1057">
        <v>1.5489610564277101</v>
      </c>
      <c r="J1057">
        <v>0.57847457786955303</v>
      </c>
      <c r="K1057">
        <v>0.64550371772336901</v>
      </c>
      <c r="L1057">
        <v>15000</v>
      </c>
      <c r="M1057">
        <v>227.77545508685901</v>
      </c>
      <c r="O1057">
        <v>65.849253538950194</v>
      </c>
      <c r="P1057">
        <v>-0.33825740292609802</v>
      </c>
      <c r="Q1057">
        <v>0.60884288603929404</v>
      </c>
      <c r="R1057">
        <v>-0.34817440994749099</v>
      </c>
      <c r="S1057" t="s">
        <v>6883</v>
      </c>
      <c r="T1057" t="s">
        <v>11650</v>
      </c>
      <c r="U1057" t="s">
        <v>11650</v>
      </c>
      <c r="V1057" t="s">
        <v>11650</v>
      </c>
      <c r="W1057" t="s">
        <v>12684</v>
      </c>
      <c r="X1057">
        <v>8</v>
      </c>
      <c r="Y1057" t="s">
        <v>18440</v>
      </c>
      <c r="Z1057" t="s">
        <v>24119</v>
      </c>
      <c r="AA1057">
        <v>0.94600084660818951</v>
      </c>
      <c r="AB1057" t="str">
        <f>HYPERLINK("Melting_Curves/meltCurve_J3QLE5_SNRPN.pdf", "Melting_Curves/meltCurve_J3QLE5_SNRPN.pdf")</f>
        <v>Melting_Curves/meltCurve_J3QLE5_SNRPN.pdf</v>
      </c>
    </row>
    <row r="1058" spans="1:28" x14ac:dyDescent="0.25">
      <c r="A1058" t="s">
        <v>1062</v>
      </c>
      <c r="B1058">
        <v>0.99996721820229495</v>
      </c>
      <c r="C1058">
        <v>0.83092183102804396</v>
      </c>
      <c r="D1058">
        <v>0.75027181753482397</v>
      </c>
      <c r="E1058">
        <v>0.73424854553001295</v>
      </c>
      <c r="F1058">
        <v>0.84919323552662496</v>
      </c>
      <c r="G1058">
        <v>0.65992901219357403</v>
      </c>
      <c r="H1058">
        <v>0.50948467746537196</v>
      </c>
      <c r="I1058">
        <v>0.34002435153472799</v>
      </c>
      <c r="J1058">
        <v>0.122551381878029</v>
      </c>
      <c r="K1058">
        <v>0.16751458855873899</v>
      </c>
      <c r="L1058">
        <v>494.843242199266</v>
      </c>
      <c r="M1058">
        <v>8.3883680285083404</v>
      </c>
      <c r="N1058">
        <v>58.991598890545802</v>
      </c>
      <c r="O1058">
        <v>55.924777993610498</v>
      </c>
      <c r="P1058">
        <v>-3.7533951284434798E-2</v>
      </c>
      <c r="Q1058">
        <v>0</v>
      </c>
      <c r="R1058">
        <v>0.87146775530446197</v>
      </c>
      <c r="S1058" t="s">
        <v>6884</v>
      </c>
      <c r="T1058" t="s">
        <v>11650</v>
      </c>
      <c r="U1058" t="s">
        <v>11650</v>
      </c>
      <c r="V1058" t="s">
        <v>11650</v>
      </c>
      <c r="W1058" t="s">
        <v>12685</v>
      </c>
      <c r="X1058">
        <v>3</v>
      </c>
      <c r="Y1058" t="s">
        <v>18441</v>
      </c>
      <c r="Z1058" t="s">
        <v>24120</v>
      </c>
      <c r="AA1058">
        <v>0.62984280070764964</v>
      </c>
      <c r="AB1058" t="str">
        <f>HYPERLINK("Melting_Curves/meltCurve_J3QLU9_ERBB2.pdf", "Melting_Curves/meltCurve_J3QLU9_ERBB2.pdf")</f>
        <v>Melting_Curves/meltCurve_J3QLU9_ERBB2.pdf</v>
      </c>
    </row>
    <row r="1059" spans="1:28" x14ac:dyDescent="0.25">
      <c r="A1059" t="s">
        <v>1063</v>
      </c>
      <c r="B1059">
        <v>0.99996721820229495</v>
      </c>
      <c r="C1059">
        <v>0.94966309875031296</v>
      </c>
      <c r="D1059">
        <v>0.97212993055600605</v>
      </c>
      <c r="E1059">
        <v>1.12899143259125</v>
      </c>
      <c r="F1059">
        <v>1.26889242411465</v>
      </c>
      <c r="G1059">
        <v>1.15665071230317</v>
      </c>
      <c r="H1059">
        <v>0.85581480072086702</v>
      </c>
      <c r="I1059">
        <v>0.84467188084159295</v>
      </c>
      <c r="J1059">
        <v>0.66051257633970595</v>
      </c>
      <c r="K1059">
        <v>0.57935486827660099</v>
      </c>
      <c r="L1059">
        <v>1910.0715391244501</v>
      </c>
      <c r="M1059">
        <v>29.4305805194751</v>
      </c>
      <c r="O1059">
        <v>64.603482859084593</v>
      </c>
      <c r="P1059">
        <v>-5.3328340079175703E-2</v>
      </c>
      <c r="Q1059">
        <v>0.53175613521766096</v>
      </c>
      <c r="R1059">
        <v>0.69655638767679495</v>
      </c>
      <c r="S1059" t="s">
        <v>6885</v>
      </c>
      <c r="T1059" t="s">
        <v>11650</v>
      </c>
      <c r="U1059" t="s">
        <v>11650</v>
      </c>
      <c r="V1059" t="s">
        <v>11650</v>
      </c>
      <c r="W1059" t="s">
        <v>12686</v>
      </c>
      <c r="X1059">
        <v>7</v>
      </c>
      <c r="Y1059" t="s">
        <v>18442</v>
      </c>
      <c r="Z1059" t="s">
        <v>24121</v>
      </c>
      <c r="AA1059">
        <v>0.91950798226464237</v>
      </c>
      <c r="AB1059" t="str">
        <f>HYPERLINK("Melting_Curves/meltCurve_J3QQJ0_SAP30BP.pdf", "Melting_Curves/meltCurve_J3QQJ0_SAP30BP.pdf")</f>
        <v>Melting_Curves/meltCurve_J3QQJ0_SAP30BP.pdf</v>
      </c>
    </row>
    <row r="1060" spans="1:28" x14ac:dyDescent="0.25">
      <c r="A1060" t="s">
        <v>1064</v>
      </c>
      <c r="B1060">
        <v>0.99996721820229495</v>
      </c>
      <c r="C1060">
        <v>0.85924405309586005</v>
      </c>
      <c r="D1060">
        <v>0.69963321020590696</v>
      </c>
      <c r="E1060">
        <v>0.85057764889863197</v>
      </c>
      <c r="F1060">
        <v>0.66012596695965697</v>
      </c>
      <c r="G1060">
        <v>0.50450569899112696</v>
      </c>
      <c r="H1060">
        <v>0.31225358011118898</v>
      </c>
      <c r="I1060">
        <v>0.158025179480277</v>
      </c>
      <c r="J1060">
        <v>0.14139778555157401</v>
      </c>
      <c r="K1060">
        <v>0.10751943866864699</v>
      </c>
      <c r="L1060">
        <v>525.95668249168796</v>
      </c>
      <c r="M1060">
        <v>9.4267529467010593</v>
      </c>
      <c r="N1060">
        <v>55.794045462877797</v>
      </c>
      <c r="O1060">
        <v>53.456102210183602</v>
      </c>
      <c r="P1060">
        <v>-4.4113277050558598E-2</v>
      </c>
      <c r="Q1060">
        <v>0</v>
      </c>
      <c r="R1060">
        <v>0.93741544515900099</v>
      </c>
      <c r="S1060" t="s">
        <v>6886</v>
      </c>
      <c r="T1060" t="s">
        <v>11650</v>
      </c>
      <c r="U1060" t="s">
        <v>11650</v>
      </c>
      <c r="V1060" t="s">
        <v>11650</v>
      </c>
      <c r="W1060" t="s">
        <v>12687</v>
      </c>
      <c r="X1060">
        <v>2</v>
      </c>
      <c r="Y1060" t="s">
        <v>18443</v>
      </c>
      <c r="Z1060" t="s">
        <v>24122</v>
      </c>
      <c r="AA1060">
        <v>0.54861571177811996</v>
      </c>
      <c r="AB1060" t="str">
        <f>HYPERLINK("Melting_Curves/meltCurve_J3QQM5_LIMD2.pdf", "Melting_Curves/meltCurve_J3QQM5_LIMD2.pdf")</f>
        <v>Melting_Curves/meltCurve_J3QQM5_LIMD2.pdf</v>
      </c>
    </row>
    <row r="1061" spans="1:28" x14ac:dyDescent="0.25">
      <c r="A1061" t="s">
        <v>1065</v>
      </c>
      <c r="B1061">
        <v>0.99996721820229495</v>
      </c>
      <c r="C1061">
        <v>1.0124077201278401</v>
      </c>
      <c r="D1061">
        <v>0.94398979189766097</v>
      </c>
      <c r="E1061">
        <v>0.66325309578254499</v>
      </c>
      <c r="F1061">
        <v>0.54180557436834398</v>
      </c>
      <c r="G1061">
        <v>0.42866189194381898</v>
      </c>
      <c r="H1061">
        <v>0.26167449494668299</v>
      </c>
      <c r="I1061">
        <v>0.17026453690350099</v>
      </c>
      <c r="J1061">
        <v>0.11936995149834199</v>
      </c>
      <c r="K1061">
        <v>9.8175680839377402E-2</v>
      </c>
      <c r="L1061">
        <v>632.52313871261799</v>
      </c>
      <c r="M1061">
        <v>11.7264417048843</v>
      </c>
      <c r="N1061">
        <v>54.387479066105001</v>
      </c>
      <c r="O1061">
        <v>52.442911366146198</v>
      </c>
      <c r="P1061">
        <v>-5.3343829230384998E-2</v>
      </c>
      <c r="Q1061">
        <v>4.5995846168850101E-2</v>
      </c>
      <c r="R1061">
        <v>0.987479157036945</v>
      </c>
      <c r="S1061" t="s">
        <v>6887</v>
      </c>
      <c r="T1061" t="s">
        <v>11650</v>
      </c>
      <c r="U1061" t="s">
        <v>11650</v>
      </c>
      <c r="V1061" t="s">
        <v>11650</v>
      </c>
      <c r="W1061" t="s">
        <v>12688</v>
      </c>
      <c r="X1061">
        <v>2</v>
      </c>
      <c r="Y1061" t="s">
        <v>18444</v>
      </c>
      <c r="Z1061" t="s">
        <v>24123</v>
      </c>
      <c r="AA1061">
        <v>0.51488276822477064</v>
      </c>
      <c r="AB1061" t="str">
        <f>HYPERLINK("Melting_Curves/meltCurve_J3QQN7_GDPD1.pdf", "Melting_Curves/meltCurve_J3QQN7_GDPD1.pdf")</f>
        <v>Melting_Curves/meltCurve_J3QQN7_GDPD1.pdf</v>
      </c>
    </row>
    <row r="1062" spans="1:28" x14ac:dyDescent="0.25">
      <c r="A1062" t="s">
        <v>1066</v>
      </c>
      <c r="B1062">
        <v>0.99996721820229495</v>
      </c>
      <c r="C1062">
        <v>0.94622972087948298</v>
      </c>
      <c r="D1062">
        <v>0.86062696000928096</v>
      </c>
      <c r="E1062">
        <v>1.2461877463848301</v>
      </c>
      <c r="F1062">
        <v>1.0551419386068499</v>
      </c>
      <c r="G1062">
        <v>0.69258701113114196</v>
      </c>
      <c r="H1062">
        <v>0.52230879531251095</v>
      </c>
      <c r="I1062">
        <v>0.358898152459594</v>
      </c>
      <c r="J1062">
        <v>0.28112830492725899</v>
      </c>
      <c r="K1062">
        <v>0.248296181140337</v>
      </c>
      <c r="L1062">
        <v>1512.64280542552</v>
      </c>
      <c r="M1062">
        <v>25.679747972685899</v>
      </c>
      <c r="N1062">
        <v>60.614343129752001</v>
      </c>
      <c r="O1062">
        <v>58.5503922293721</v>
      </c>
      <c r="P1062">
        <v>-8.1389568877123397E-2</v>
      </c>
      <c r="Q1062">
        <v>0.25772892170968797</v>
      </c>
      <c r="R1062">
        <v>0.90554404636061103</v>
      </c>
      <c r="S1062" t="s">
        <v>6888</v>
      </c>
      <c r="T1062" t="s">
        <v>11650</v>
      </c>
      <c r="U1062" t="s">
        <v>11650</v>
      </c>
      <c r="V1062" t="s">
        <v>11650</v>
      </c>
      <c r="W1062" t="s">
        <v>12689</v>
      </c>
      <c r="X1062">
        <v>6</v>
      </c>
      <c r="Y1062" t="s">
        <v>18445</v>
      </c>
      <c r="Z1062" t="s">
        <v>24124</v>
      </c>
      <c r="AA1062">
        <v>0.73138837451770511</v>
      </c>
      <c r="AB1062" t="str">
        <f>HYPERLINK("Melting_Curves/meltCurve_J3QQT2_RPL17.pdf", "Melting_Curves/meltCurve_J3QQT2_RPL17.pdf")</f>
        <v>Melting_Curves/meltCurve_J3QQT2_RPL17.pdf</v>
      </c>
    </row>
    <row r="1063" spans="1:28" x14ac:dyDescent="0.25">
      <c r="A1063" t="s">
        <v>1067</v>
      </c>
      <c r="B1063">
        <v>0.99996721820229495</v>
      </c>
      <c r="C1063">
        <v>0.96775656978677105</v>
      </c>
      <c r="D1063">
        <v>1.1376174134397099</v>
      </c>
      <c r="E1063">
        <v>1.32739906904163</v>
      </c>
      <c r="F1063">
        <v>1.10916579344431</v>
      </c>
      <c r="G1063">
        <v>1.16231790635666</v>
      </c>
      <c r="H1063">
        <v>0.84598327342091495</v>
      </c>
      <c r="I1063">
        <v>0.56188251334345996</v>
      </c>
      <c r="J1063">
        <v>0.44462260717368601</v>
      </c>
      <c r="K1063">
        <v>0.31785693720782399</v>
      </c>
      <c r="L1063">
        <v>2626.1646941837598</v>
      </c>
      <c r="M1063">
        <v>41.693377504624102</v>
      </c>
      <c r="N1063">
        <v>64.823271189873495</v>
      </c>
      <c r="O1063">
        <v>62.843189765067599</v>
      </c>
      <c r="P1063">
        <v>-0.108396945171048</v>
      </c>
      <c r="Q1063">
        <v>0.346467161391741</v>
      </c>
      <c r="R1063">
        <v>0.83224755226667702</v>
      </c>
      <c r="S1063" t="s">
        <v>6889</v>
      </c>
      <c r="T1063" t="s">
        <v>11650</v>
      </c>
      <c r="U1063" t="s">
        <v>11650</v>
      </c>
      <c r="V1063" t="s">
        <v>11650</v>
      </c>
      <c r="W1063" t="s">
        <v>12690</v>
      </c>
      <c r="X1063">
        <v>4</v>
      </c>
      <c r="Y1063" t="s">
        <v>18446</v>
      </c>
      <c r="Z1063" t="s">
        <v>24125</v>
      </c>
      <c r="AA1063">
        <v>0.84920094113362221</v>
      </c>
      <c r="AB1063" t="str">
        <f>HYPERLINK("Melting_Curves/meltCurve_J3QR07_YTHDC1.pdf", "Melting_Curves/meltCurve_J3QR07_YTHDC1.pdf")</f>
        <v>Melting_Curves/meltCurve_J3QR07_YTHDC1.pdf</v>
      </c>
    </row>
    <row r="1064" spans="1:28" x14ac:dyDescent="0.25">
      <c r="A1064" t="s">
        <v>1068</v>
      </c>
      <c r="B1064">
        <v>0.99996721820229495</v>
      </c>
      <c r="C1064">
        <v>0.71488299809013001</v>
      </c>
      <c r="D1064">
        <v>0.53325485905315495</v>
      </c>
      <c r="E1064">
        <v>0.587608522548967</v>
      </c>
      <c r="F1064">
        <v>0.49250299224135902</v>
      </c>
      <c r="G1064">
        <v>0.53827817113513898</v>
      </c>
      <c r="H1064">
        <v>0.51274256642623495</v>
      </c>
      <c r="I1064">
        <v>0.44610799985086103</v>
      </c>
      <c r="J1064">
        <v>0.46178798477701199</v>
      </c>
      <c r="K1064">
        <v>0.343783462949174</v>
      </c>
      <c r="L1064">
        <v>1748.26839440715</v>
      </c>
      <c r="M1064">
        <v>40.879055350451701</v>
      </c>
      <c r="N1064">
        <v>46.791081969963898</v>
      </c>
      <c r="O1064">
        <v>42.664881236306002</v>
      </c>
      <c r="P1064">
        <v>-0.123328174685308</v>
      </c>
      <c r="Q1064">
        <v>0.48513754569411599</v>
      </c>
      <c r="R1064">
        <v>0.87386928085805304</v>
      </c>
      <c r="S1064" t="s">
        <v>6890</v>
      </c>
      <c r="T1064" t="s">
        <v>11650</v>
      </c>
      <c r="U1064" t="s">
        <v>11650</v>
      </c>
      <c r="V1064" t="s">
        <v>11650</v>
      </c>
      <c r="W1064" t="s">
        <v>12691</v>
      </c>
      <c r="X1064">
        <v>3</v>
      </c>
      <c r="Y1064" t="s">
        <v>18447</v>
      </c>
      <c r="Z1064" t="s">
        <v>24126</v>
      </c>
      <c r="AA1064">
        <v>0.53494294741617732</v>
      </c>
      <c r="AB1064" t="str">
        <f>HYPERLINK("Melting_Curves/meltCurve_J3QR29_CDK11B.pdf", "Melting_Curves/meltCurve_J3QR29_CDK11B.pdf")</f>
        <v>Melting_Curves/meltCurve_J3QR29_CDK11B.pdf</v>
      </c>
    </row>
    <row r="1065" spans="1:28" x14ac:dyDescent="0.25">
      <c r="A1065" t="s">
        <v>1069</v>
      </c>
      <c r="B1065">
        <v>0.99996721820229495</v>
      </c>
      <c r="C1065">
        <v>0.85822105019695005</v>
      </c>
      <c r="D1065">
        <v>0.463293076120114</v>
      </c>
      <c r="E1065">
        <v>0.41876252340060999</v>
      </c>
      <c r="F1065">
        <v>0.52728318719687395</v>
      </c>
      <c r="G1065">
        <v>0.42172760709174001</v>
      </c>
      <c r="H1065">
        <v>0.27914336713882498</v>
      </c>
      <c r="I1065">
        <v>0.229332346808371</v>
      </c>
      <c r="J1065">
        <v>0.115607907958474</v>
      </c>
      <c r="K1065">
        <v>0.151252815419367</v>
      </c>
      <c r="L1065">
        <v>388.69869339915903</v>
      </c>
      <c r="M1065">
        <v>7.92989339714733</v>
      </c>
      <c r="N1065">
        <v>50.382343215755498</v>
      </c>
      <c r="O1065">
        <v>46.193770314072097</v>
      </c>
      <c r="P1065">
        <v>-3.8811983170510801E-2</v>
      </c>
      <c r="Q1065">
        <v>9.6694966283665196E-2</v>
      </c>
      <c r="R1065">
        <v>0.86596058449187896</v>
      </c>
      <c r="S1065" t="s">
        <v>6891</v>
      </c>
      <c r="T1065" t="s">
        <v>11650</v>
      </c>
      <c r="U1065" t="s">
        <v>11650</v>
      </c>
      <c r="V1065" t="s">
        <v>11650</v>
      </c>
      <c r="W1065" t="s">
        <v>12692</v>
      </c>
      <c r="X1065">
        <v>2</v>
      </c>
      <c r="Y1065" t="s">
        <v>18448</v>
      </c>
      <c r="Z1065" t="s">
        <v>24127</v>
      </c>
      <c r="AA1065">
        <v>0.42836004667124611</v>
      </c>
      <c r="AB1065" t="str">
        <f>HYPERLINK("Melting_Curves/meltCurve_J3QRC3_NAT9.pdf", "Melting_Curves/meltCurve_J3QRC3_NAT9.pdf")</f>
        <v>Melting_Curves/meltCurve_J3QRC3_NAT9.pdf</v>
      </c>
    </row>
    <row r="1066" spans="1:28" x14ac:dyDescent="0.25">
      <c r="A1066" t="s">
        <v>1070</v>
      </c>
      <c r="B1066">
        <v>0.99996721820229495</v>
      </c>
      <c r="C1066">
        <v>0.91375012363116703</v>
      </c>
      <c r="D1066">
        <v>0.81768918240400701</v>
      </c>
      <c r="E1066">
        <v>0.59905861210447198</v>
      </c>
      <c r="F1066">
        <v>0.46760829645206597</v>
      </c>
      <c r="G1066">
        <v>0.30729907522105698</v>
      </c>
      <c r="H1066">
        <v>0.17432907977550699</v>
      </c>
      <c r="I1066">
        <v>0.126839153552918</v>
      </c>
      <c r="J1066">
        <v>8.6665074228764002E-2</v>
      </c>
      <c r="K1066">
        <v>6.62005462486355E-2</v>
      </c>
      <c r="L1066">
        <v>571.92239050437195</v>
      </c>
      <c r="M1066">
        <v>10.963192648940201</v>
      </c>
      <c r="N1066">
        <v>52.269554714798097</v>
      </c>
      <c r="O1066">
        <v>50.521878566290802</v>
      </c>
      <c r="P1066">
        <v>-5.3693565675958801E-2</v>
      </c>
      <c r="Q1066">
        <v>1.0589683434784E-2</v>
      </c>
      <c r="R1066">
        <v>0.99829188532998903</v>
      </c>
      <c r="S1066" t="s">
        <v>6892</v>
      </c>
      <c r="T1066" t="s">
        <v>11650</v>
      </c>
      <c r="U1066" t="s">
        <v>11650</v>
      </c>
      <c r="V1066" t="s">
        <v>11650</v>
      </c>
      <c r="W1066" t="s">
        <v>12693</v>
      </c>
      <c r="X1066">
        <v>3</v>
      </c>
      <c r="Y1066" t="s">
        <v>18449</v>
      </c>
      <c r="Z1066" t="s">
        <v>24128</v>
      </c>
      <c r="AA1066">
        <v>0.44526264997505999</v>
      </c>
      <c r="AB1066" t="str">
        <f>HYPERLINK("Melting_Curves/meltCurve_J3QRD1_ALDH3A2.pdf", "Melting_Curves/meltCurve_J3QRD1_ALDH3A2.pdf")</f>
        <v>Melting_Curves/meltCurve_J3QRD1_ALDH3A2.pdf</v>
      </c>
    </row>
    <row r="1067" spans="1:28" x14ac:dyDescent="0.25">
      <c r="A1067" t="s">
        <v>1071</v>
      </c>
      <c r="B1067">
        <v>0.99996721820229495</v>
      </c>
      <c r="C1067">
        <v>1.06770254451266</v>
      </c>
      <c r="D1067">
        <v>1.2642123200837101</v>
      </c>
      <c r="E1067">
        <v>1.8585158377123601</v>
      </c>
      <c r="F1067">
        <v>1.92279620115102</v>
      </c>
      <c r="G1067">
        <v>1.89885629646024</v>
      </c>
      <c r="H1067">
        <v>1.3178819391495999</v>
      </c>
      <c r="I1067">
        <v>1.0971203499256199</v>
      </c>
      <c r="J1067">
        <v>1.2722319771750701</v>
      </c>
      <c r="K1067">
        <v>1.5612894526448999</v>
      </c>
      <c r="L1067">
        <v>9214.1614291146507</v>
      </c>
      <c r="M1067">
        <v>200.421680200406</v>
      </c>
      <c r="O1067">
        <v>45.969298480162102</v>
      </c>
      <c r="P1067">
        <v>0.54498787098872603</v>
      </c>
      <c r="Q1067">
        <v>1.5</v>
      </c>
      <c r="R1067">
        <v>0.37500361515175301</v>
      </c>
      <c r="S1067" t="s">
        <v>6893</v>
      </c>
      <c r="T1067" t="s">
        <v>11650</v>
      </c>
      <c r="U1067" t="s">
        <v>11650</v>
      </c>
      <c r="V1067" t="s">
        <v>11650</v>
      </c>
      <c r="W1067" t="s">
        <v>12694</v>
      </c>
      <c r="X1067">
        <v>14</v>
      </c>
      <c r="Y1067" t="s">
        <v>18450</v>
      </c>
      <c r="Z1067" t="s">
        <v>24129</v>
      </c>
      <c r="AA1067">
        <v>1.4003726269756269</v>
      </c>
      <c r="AB1067" t="str">
        <f>HYPERLINK("Melting_Curves/meltCurve_J3QRS3_MYL12A.pdf", "Melting_Curves/meltCurve_J3QRS3_MYL12A.pdf")</f>
        <v>Melting_Curves/meltCurve_J3QRS3_MYL12A.pdf</v>
      </c>
    </row>
    <row r="1068" spans="1:28" x14ac:dyDescent="0.25">
      <c r="A1068" t="s">
        <v>1072</v>
      </c>
      <c r="B1068">
        <v>0.99996721820229495</v>
      </c>
      <c r="C1068">
        <v>0.98525098653529897</v>
      </c>
      <c r="D1068">
        <v>1.0018909757965799</v>
      </c>
      <c r="E1068">
        <v>1.04475500483864</v>
      </c>
      <c r="F1068">
        <v>1.3602304263781799</v>
      </c>
      <c r="G1068">
        <v>1.30137632422845</v>
      </c>
      <c r="H1068">
        <v>0.74280465579191501</v>
      </c>
      <c r="I1068">
        <v>0.45492282479749702</v>
      </c>
      <c r="J1068">
        <v>0.36983662768908399</v>
      </c>
      <c r="K1068">
        <v>0.26679856526579299</v>
      </c>
      <c r="L1068">
        <v>3283.6575017999899</v>
      </c>
      <c r="M1068">
        <v>53.097721572102998</v>
      </c>
      <c r="N1068">
        <v>63.072820061559803</v>
      </c>
      <c r="O1068">
        <v>61.754246448178698</v>
      </c>
      <c r="P1068">
        <v>-0.145605432130651</v>
      </c>
      <c r="Q1068">
        <v>0.32262647561939101</v>
      </c>
      <c r="R1068">
        <v>0.82009552769494798</v>
      </c>
      <c r="S1068" t="s">
        <v>6894</v>
      </c>
      <c r="T1068" t="s">
        <v>11650</v>
      </c>
      <c r="U1068" t="s">
        <v>11650</v>
      </c>
      <c r="V1068" t="s">
        <v>11650</v>
      </c>
      <c r="W1068" t="s">
        <v>12695</v>
      </c>
      <c r="X1068">
        <v>3</v>
      </c>
      <c r="Y1068" t="s">
        <v>18451</v>
      </c>
      <c r="Z1068" t="s">
        <v>24130</v>
      </c>
      <c r="AA1068">
        <v>0.81735970897331112</v>
      </c>
      <c r="AB1068" t="str">
        <f>HYPERLINK("Melting_Curves/meltCurve_J3QRS9_ZNF207.pdf", "Melting_Curves/meltCurve_J3QRS9_ZNF207.pdf")</f>
        <v>Melting_Curves/meltCurve_J3QRS9_ZNF207.pdf</v>
      </c>
    </row>
    <row r="1069" spans="1:28" x14ac:dyDescent="0.25">
      <c r="A1069" t="s">
        <v>1073</v>
      </c>
      <c r="B1069">
        <v>0.99996721820229495</v>
      </c>
      <c r="C1069">
        <v>0.78064565507140504</v>
      </c>
      <c r="D1069">
        <v>0.75672379938226997</v>
      </c>
      <c r="E1069">
        <v>0.417886386863562</v>
      </c>
      <c r="F1069">
        <v>0.215585510504051</v>
      </c>
      <c r="G1069">
        <v>0.19170167796517301</v>
      </c>
      <c r="H1069">
        <v>0.13260212134553701</v>
      </c>
      <c r="I1069">
        <v>7.00216968266376E-2</v>
      </c>
      <c r="J1069">
        <v>4.7055992794852002E-2</v>
      </c>
      <c r="K1069">
        <v>3.2801874295590998E-2</v>
      </c>
      <c r="L1069">
        <v>663.71501655358099</v>
      </c>
      <c r="M1069">
        <v>13.673185021863301</v>
      </c>
      <c r="N1069">
        <v>48.833166842550199</v>
      </c>
      <c r="O1069">
        <v>47.538375780690203</v>
      </c>
      <c r="P1069">
        <v>-6.9095420179075898E-2</v>
      </c>
      <c r="Q1069">
        <v>3.9226789910780303E-2</v>
      </c>
      <c r="R1069">
        <v>0.98229598817122699</v>
      </c>
      <c r="S1069" t="s">
        <v>6895</v>
      </c>
      <c r="T1069" t="s">
        <v>11650</v>
      </c>
      <c r="U1069" t="s">
        <v>11650</v>
      </c>
      <c r="V1069" t="s">
        <v>11650</v>
      </c>
      <c r="W1069" t="s">
        <v>12696</v>
      </c>
      <c r="X1069">
        <v>11</v>
      </c>
      <c r="Y1069" t="s">
        <v>18452</v>
      </c>
      <c r="Z1069" t="s">
        <v>24131</v>
      </c>
      <c r="AA1069">
        <v>0.3415297830423123</v>
      </c>
      <c r="AB1069" t="str">
        <f>HYPERLINK("Melting_Curves/meltCurve_J3QRU1_YES1.pdf", "Melting_Curves/meltCurve_J3QRU1_YES1.pdf")</f>
        <v>Melting_Curves/meltCurve_J3QRU1_YES1.pdf</v>
      </c>
    </row>
    <row r="1070" spans="1:28" x14ac:dyDescent="0.25">
      <c r="A1070" t="s">
        <v>1074</v>
      </c>
      <c r="B1070">
        <v>0.99996721820229495</v>
      </c>
      <c r="C1070">
        <v>0.99757739920245403</v>
      </c>
      <c r="D1070">
        <v>1.0939328452141599</v>
      </c>
      <c r="E1070">
        <v>1.0991172043625399</v>
      </c>
      <c r="F1070">
        <v>1.4918491816364401</v>
      </c>
      <c r="G1070">
        <v>1.7716480525743099</v>
      </c>
      <c r="H1070">
        <v>1.49731210864291</v>
      </c>
      <c r="I1070">
        <v>1.04476296745865</v>
      </c>
      <c r="J1070">
        <v>0.70194465886157398</v>
      </c>
      <c r="K1070">
        <v>0.695298310009835</v>
      </c>
      <c r="L1070">
        <v>15000</v>
      </c>
      <c r="M1070">
        <v>227.34593141933399</v>
      </c>
      <c r="O1070">
        <v>65.973630276506796</v>
      </c>
      <c r="P1070">
        <v>-0.26359936340386703</v>
      </c>
      <c r="Q1070">
        <v>0.69402381403875302</v>
      </c>
      <c r="R1070">
        <v>-1.14441630158282E-2</v>
      </c>
      <c r="S1070" t="s">
        <v>6896</v>
      </c>
      <c r="T1070" t="s">
        <v>11650</v>
      </c>
      <c r="U1070" t="s">
        <v>11650</v>
      </c>
      <c r="V1070" t="s">
        <v>11650</v>
      </c>
      <c r="W1070" t="s">
        <v>12697</v>
      </c>
      <c r="X1070">
        <v>9</v>
      </c>
      <c r="Y1070" t="s">
        <v>18453</v>
      </c>
      <c r="Z1070" t="s">
        <v>24132</v>
      </c>
      <c r="AA1070">
        <v>0.95902926226832752</v>
      </c>
      <c r="AB1070" t="str">
        <f>HYPERLINK("Melting_Curves/meltCurve_J3QRU4_VAMP2.pdf", "Melting_Curves/meltCurve_J3QRU4_VAMP2.pdf")</f>
        <v>Melting_Curves/meltCurve_J3QRU4_VAMP2.pdf</v>
      </c>
    </row>
    <row r="1071" spans="1:28" x14ac:dyDescent="0.25">
      <c r="A1071" t="s">
        <v>1075</v>
      </c>
      <c r="B1071">
        <v>0.99996721820229495</v>
      </c>
      <c r="C1071">
        <v>0.96529024205338498</v>
      </c>
      <c r="D1071">
        <v>0.99763925525369801</v>
      </c>
      <c r="E1071">
        <v>0.94182308793905101</v>
      </c>
      <c r="F1071">
        <v>1.14145164038743</v>
      </c>
      <c r="G1071">
        <v>1.1513559161317299</v>
      </c>
      <c r="H1071">
        <v>0.79868502350903603</v>
      </c>
      <c r="I1071">
        <v>0.96862504928738902</v>
      </c>
      <c r="J1071">
        <v>1.30241903271316</v>
      </c>
      <c r="K1071">
        <v>1.14361133822826</v>
      </c>
      <c r="L1071">
        <v>15000</v>
      </c>
      <c r="M1071">
        <v>229.57229512649599</v>
      </c>
      <c r="O1071">
        <v>65.333949284265898</v>
      </c>
      <c r="P1071">
        <v>0.19600183604129301</v>
      </c>
      <c r="Q1071">
        <v>1.22312050222081</v>
      </c>
      <c r="R1071">
        <v>0.447027912377925</v>
      </c>
      <c r="S1071" t="s">
        <v>6897</v>
      </c>
      <c r="T1071" t="s">
        <v>11650</v>
      </c>
      <c r="U1071" t="s">
        <v>11650</v>
      </c>
      <c r="V1071" t="s">
        <v>11650</v>
      </c>
      <c r="W1071" t="s">
        <v>12698</v>
      </c>
      <c r="X1071">
        <v>1</v>
      </c>
      <c r="Y1071" t="s">
        <v>18454</v>
      </c>
      <c r="Z1071" t="s">
        <v>24133</v>
      </c>
      <c r="AA1071">
        <v>1.03463593102407</v>
      </c>
      <c r="AB1071" t="str">
        <f>HYPERLINK("Melting_Curves/meltCurve_J3QS68_RNF135.pdf", "Melting_Curves/meltCurve_J3QS68_RNF135.pdf")</f>
        <v>Melting_Curves/meltCurve_J3QS68_RNF135.pdf</v>
      </c>
    </row>
    <row r="1072" spans="1:28" x14ac:dyDescent="0.25">
      <c r="A1072" t="s">
        <v>1076</v>
      </c>
      <c r="B1072">
        <v>0.99996721820229495</v>
      </c>
      <c r="C1072">
        <v>0.93812630300623301</v>
      </c>
      <c r="D1072">
        <v>0.94650491275328896</v>
      </c>
      <c r="E1072">
        <v>0.82249917011409801</v>
      </c>
      <c r="F1072">
        <v>0.92193589821234201</v>
      </c>
      <c r="G1072">
        <v>0.58718874627140805</v>
      </c>
      <c r="H1072">
        <v>0.31314977106057501</v>
      </c>
      <c r="I1072">
        <v>0.16592236657429699</v>
      </c>
      <c r="J1072">
        <v>0.13391664029102199</v>
      </c>
      <c r="K1072">
        <v>0.12552306416187101</v>
      </c>
      <c r="L1072">
        <v>1066.3983706153999</v>
      </c>
      <c r="M1072">
        <v>18.485512954607401</v>
      </c>
      <c r="N1072">
        <v>58.139152308757303</v>
      </c>
      <c r="O1072">
        <v>57.025933692313203</v>
      </c>
      <c r="P1072">
        <v>-7.5632247873923794E-2</v>
      </c>
      <c r="Q1072">
        <v>6.6770187382759499E-2</v>
      </c>
      <c r="R1072">
        <v>0.977312017917223</v>
      </c>
      <c r="S1072" t="s">
        <v>6898</v>
      </c>
      <c r="T1072" t="s">
        <v>11650</v>
      </c>
      <c r="U1072" t="s">
        <v>11650</v>
      </c>
      <c r="V1072" t="s">
        <v>11650</v>
      </c>
      <c r="W1072" t="s">
        <v>12699</v>
      </c>
      <c r="X1072">
        <v>1</v>
      </c>
      <c r="Y1072" t="s">
        <v>18455</v>
      </c>
      <c r="Z1072" t="s">
        <v>24134</v>
      </c>
      <c r="AA1072">
        <v>0.62872685184478405</v>
      </c>
      <c r="AB1072" t="str">
        <f>HYPERLINK("Melting_Curves/meltCurve_J3QSW1_SAMD4A.pdf", "Melting_Curves/meltCurve_J3QSW1_SAMD4A.pdf")</f>
        <v>Melting_Curves/meltCurve_J3QSW1_SAMD4A.pdf</v>
      </c>
    </row>
    <row r="1073" spans="1:28" x14ac:dyDescent="0.25">
      <c r="A1073" t="s">
        <v>1077</v>
      </c>
      <c r="B1073">
        <v>0.99996721820229495</v>
      </c>
      <c r="C1073">
        <v>0.93024613968885195</v>
      </c>
      <c r="D1073">
        <v>0.88826922005440401</v>
      </c>
      <c r="E1073">
        <v>0.94090806930145299</v>
      </c>
      <c r="F1073">
        <v>1.1853818643688601</v>
      </c>
      <c r="G1073">
        <v>1.09290020535266</v>
      </c>
      <c r="H1073">
        <v>0.72664308731205196</v>
      </c>
      <c r="I1073">
        <v>0.48189386871131701</v>
      </c>
      <c r="J1073">
        <v>0.37151419239806299</v>
      </c>
      <c r="K1073">
        <v>0.28427007662914999</v>
      </c>
      <c r="L1073">
        <v>2536.5850412467198</v>
      </c>
      <c r="M1073">
        <v>40.954842405242204</v>
      </c>
      <c r="N1073">
        <v>63.471166499357899</v>
      </c>
      <c r="O1073">
        <v>61.789024533059902</v>
      </c>
      <c r="P1073">
        <v>-0.113623722755006</v>
      </c>
      <c r="Q1073">
        <v>0.31429981451438899</v>
      </c>
      <c r="R1073">
        <v>0.91781748500681504</v>
      </c>
      <c r="S1073" t="s">
        <v>6899</v>
      </c>
      <c r="T1073" t="s">
        <v>11650</v>
      </c>
      <c r="U1073" t="s">
        <v>11650</v>
      </c>
      <c r="V1073" t="s">
        <v>11650</v>
      </c>
      <c r="W1073" t="s">
        <v>12700</v>
      </c>
      <c r="X1073">
        <v>19</v>
      </c>
      <c r="Y1073" t="s">
        <v>18456</v>
      </c>
      <c r="Z1073" t="s">
        <v>24135</v>
      </c>
      <c r="AA1073">
        <v>0.81807062904239303</v>
      </c>
      <c r="AB1073" t="str">
        <f>HYPERLINK("Melting_Curves/meltCurve_J3QT34_MAST4.pdf", "Melting_Curves/meltCurve_J3QT34_MAST4.pdf")</f>
        <v>Melting_Curves/meltCurve_J3QT34_MAST4.pdf</v>
      </c>
    </row>
    <row r="1074" spans="1:28" x14ac:dyDescent="0.25">
      <c r="A1074" t="s">
        <v>1078</v>
      </c>
      <c r="B1074">
        <v>0.99996721820229495</v>
      </c>
      <c r="C1074">
        <v>1.72363591440501</v>
      </c>
      <c r="D1074">
        <v>1.5345773381962</v>
      </c>
      <c r="E1074">
        <v>2.0130291768819299</v>
      </c>
      <c r="F1074">
        <v>2.337369345705</v>
      </c>
      <c r="G1074">
        <v>0.73641997458509401</v>
      </c>
      <c r="H1074">
        <v>0.32737903319345901</v>
      </c>
      <c r="I1074">
        <v>0.17735033062898101</v>
      </c>
      <c r="J1074">
        <v>0.15810173221666701</v>
      </c>
      <c r="K1074">
        <v>0.17051027012044001</v>
      </c>
      <c r="L1074">
        <v>6735.3701885029004</v>
      </c>
      <c r="M1074">
        <v>117.464018971301</v>
      </c>
      <c r="N1074">
        <v>57.603763788470403</v>
      </c>
      <c r="O1074">
        <v>57.323256121928999</v>
      </c>
      <c r="P1074">
        <v>-0.40568789516409798</v>
      </c>
      <c r="Q1074">
        <v>0.20808617057717199</v>
      </c>
      <c r="R1074">
        <v>0.41393704038241602</v>
      </c>
      <c r="S1074" t="s">
        <v>6900</v>
      </c>
      <c r="T1074" t="s">
        <v>11650</v>
      </c>
      <c r="U1074" t="s">
        <v>11650</v>
      </c>
      <c r="V1074" t="s">
        <v>11650</v>
      </c>
      <c r="W1074" t="s">
        <v>12701</v>
      </c>
      <c r="X1074">
        <v>1</v>
      </c>
      <c r="Y1074" t="s">
        <v>18457</v>
      </c>
      <c r="Z1074" t="s">
        <v>24136</v>
      </c>
      <c r="AA1074">
        <v>0.66616987843323694</v>
      </c>
      <c r="AB1074" t="str">
        <f>HYPERLINK("Melting_Curves/meltCurve_J3QT87_CRBN.pdf", "Melting_Curves/meltCurve_J3QT87_CRBN.pdf")</f>
        <v>Melting_Curves/meltCurve_J3QT87_CRBN.pdf</v>
      </c>
    </row>
    <row r="1075" spans="1:28" x14ac:dyDescent="0.25">
      <c r="A1075" t="s">
        <v>1079</v>
      </c>
      <c r="B1075">
        <v>0.99996721820229495</v>
      </c>
      <c r="C1075">
        <v>1.0622723290048499</v>
      </c>
      <c r="D1075">
        <v>1.0121105975384199</v>
      </c>
      <c r="E1075">
        <v>0.91691237977515105</v>
      </c>
      <c r="F1075">
        <v>1.14344619012263</v>
      </c>
      <c r="G1075">
        <v>1.17309345191229</v>
      </c>
      <c r="H1075">
        <v>0.71449921914949299</v>
      </c>
      <c r="I1075">
        <v>0.43385547480513198</v>
      </c>
      <c r="J1075">
        <v>0.30283256426463101</v>
      </c>
      <c r="K1075">
        <v>0.20548036492810501</v>
      </c>
      <c r="L1075">
        <v>2663.1783426874699</v>
      </c>
      <c r="M1075">
        <v>42.892839289822</v>
      </c>
      <c r="N1075">
        <v>63.055711528914401</v>
      </c>
      <c r="O1075">
        <v>61.954619968542801</v>
      </c>
      <c r="P1075">
        <v>-0.13138101405956301</v>
      </c>
      <c r="Q1075">
        <v>0.240931894753595</v>
      </c>
      <c r="R1075">
        <v>0.93754155150191698</v>
      </c>
      <c r="S1075" t="s">
        <v>6901</v>
      </c>
      <c r="T1075" t="s">
        <v>11650</v>
      </c>
      <c r="U1075" t="s">
        <v>11650</v>
      </c>
      <c r="V1075" t="s">
        <v>11650</v>
      </c>
      <c r="W1075" t="s">
        <v>12702</v>
      </c>
      <c r="X1075">
        <v>4</v>
      </c>
      <c r="Y1075" t="s">
        <v>18458</v>
      </c>
      <c r="Z1075" t="s">
        <v>24137</v>
      </c>
      <c r="AA1075">
        <v>0.80228245560237565</v>
      </c>
      <c r="AB1075" t="str">
        <f>HYPERLINK("Melting_Curves/meltCurve_J3QTA2_BAG1.pdf", "Melting_Curves/meltCurve_J3QTA2_BAG1.pdf")</f>
        <v>Melting_Curves/meltCurve_J3QTA2_BAG1.pdf</v>
      </c>
    </row>
    <row r="1076" spans="1:28" x14ac:dyDescent="0.25">
      <c r="A1076" t="s">
        <v>1080</v>
      </c>
      <c r="B1076">
        <v>0.99996721820229495</v>
      </c>
      <c r="C1076">
        <v>0.83512880510364795</v>
      </c>
      <c r="D1076">
        <v>0.90289320768431103</v>
      </c>
      <c r="E1076">
        <v>1.16130588648512</v>
      </c>
      <c r="F1076">
        <v>1.6630397501543199</v>
      </c>
      <c r="G1076">
        <v>2.01613706612051</v>
      </c>
      <c r="H1076">
        <v>1.42661732096269</v>
      </c>
      <c r="I1076">
        <v>1.1700492978669299</v>
      </c>
      <c r="J1076">
        <v>0.95463746230473701</v>
      </c>
      <c r="K1076">
        <v>0.85705621352791805</v>
      </c>
      <c r="L1076">
        <v>1.0000000000000001E-5</v>
      </c>
      <c r="M1076">
        <v>1.0000000000000001E-5</v>
      </c>
      <c r="Q1076">
        <v>1.3973644971904999</v>
      </c>
      <c r="R1076">
        <v>3.97962240938909E-9</v>
      </c>
      <c r="S1076" t="s">
        <v>6902</v>
      </c>
      <c r="T1076" t="s">
        <v>11650</v>
      </c>
      <c r="U1076" t="s">
        <v>11650</v>
      </c>
      <c r="V1076" t="s">
        <v>11650</v>
      </c>
      <c r="W1076" t="s">
        <v>12703</v>
      </c>
      <c r="X1076">
        <v>7</v>
      </c>
      <c r="Y1076" t="s">
        <v>18459</v>
      </c>
      <c r="Z1076" t="s">
        <v>24138</v>
      </c>
      <c r="AA1076">
        <v>1.1986832234755389</v>
      </c>
      <c r="AB1076" t="str">
        <f>HYPERLINK("Melting_Curves/meltCurve_J3QTA6_CHCHD6.pdf", "Melting_Curves/meltCurve_J3QTA6_CHCHD6.pdf")</f>
        <v>Melting_Curves/meltCurve_J3QTA6_CHCHD6.pdf</v>
      </c>
    </row>
    <row r="1077" spans="1:28" x14ac:dyDescent="0.25">
      <c r="A1077" t="s">
        <v>1081</v>
      </c>
      <c r="B1077">
        <v>0.99996721820229495</v>
      </c>
      <c r="C1077">
        <v>0.89090272585123598</v>
      </c>
      <c r="D1077">
        <v>0.90020813527050203</v>
      </c>
      <c r="E1077">
        <v>1.1674407571333301</v>
      </c>
      <c r="F1077">
        <v>1.77168596605019</v>
      </c>
      <c r="G1077">
        <v>1.4582970701724201</v>
      </c>
      <c r="H1077">
        <v>0.96784882816113704</v>
      </c>
      <c r="I1077">
        <v>0.86637495465205105</v>
      </c>
      <c r="J1077">
        <v>0.64575679374773298</v>
      </c>
      <c r="K1077">
        <v>0.46435366712994802</v>
      </c>
      <c r="L1077">
        <v>2644.3492017303402</v>
      </c>
      <c r="M1077">
        <v>39.933479750146603</v>
      </c>
      <c r="N1077">
        <v>69.128111682893007</v>
      </c>
      <c r="O1077">
        <v>66.053450261813495</v>
      </c>
      <c r="P1077">
        <v>-8.9646465282076093E-2</v>
      </c>
      <c r="Q1077">
        <v>0.40686907344143702</v>
      </c>
      <c r="R1077">
        <v>0.33317652043513901</v>
      </c>
      <c r="S1077" t="s">
        <v>6903</v>
      </c>
      <c r="T1077" t="s">
        <v>11650</v>
      </c>
      <c r="U1077" t="s">
        <v>11650</v>
      </c>
      <c r="V1077" t="s">
        <v>11650</v>
      </c>
      <c r="W1077" t="s">
        <v>12704</v>
      </c>
      <c r="X1077">
        <v>29</v>
      </c>
      <c r="Y1077" t="s">
        <v>18460</v>
      </c>
      <c r="Z1077" t="s">
        <v>24139</v>
      </c>
      <c r="AA1077">
        <v>0.92371992543811221</v>
      </c>
      <c r="AB1077" t="str">
        <f>HYPERLINK("Melting_Curves/meltCurve_J9JID7_LMNB2.pdf", "Melting_Curves/meltCurve_J9JID7_LMNB2.pdf")</f>
        <v>Melting_Curves/meltCurve_J9JID7_LMNB2.pdf</v>
      </c>
    </row>
    <row r="1078" spans="1:28" x14ac:dyDescent="0.25">
      <c r="A1078" t="s">
        <v>1082</v>
      </c>
      <c r="B1078">
        <v>0.99996721820229495</v>
      </c>
      <c r="C1078">
        <v>0.59252387407681595</v>
      </c>
      <c r="D1078">
        <v>0.78810451293751005</v>
      </c>
      <c r="E1078">
        <v>1.06266331427912</v>
      </c>
      <c r="F1078">
        <v>0.89715461695627297</v>
      </c>
      <c r="G1078">
        <v>0.42454595698042302</v>
      </c>
      <c r="H1078">
        <v>0.222276912596792</v>
      </c>
      <c r="I1078">
        <v>0.135514235035846</v>
      </c>
      <c r="J1078">
        <v>7.9002757985462801E-2</v>
      </c>
      <c r="K1078">
        <v>9.4108111252382207E-2</v>
      </c>
      <c r="L1078">
        <v>1837.5121482688301</v>
      </c>
      <c r="M1078">
        <v>32.721909520654698</v>
      </c>
      <c r="N1078">
        <v>56.575705981479302</v>
      </c>
      <c r="O1078">
        <v>55.946919178232697</v>
      </c>
      <c r="P1078">
        <v>-0.13044224343421101</v>
      </c>
      <c r="Q1078">
        <v>0.107899497749706</v>
      </c>
      <c r="R1078">
        <v>0.837610043602941</v>
      </c>
      <c r="S1078" t="s">
        <v>6904</v>
      </c>
      <c r="T1078" t="s">
        <v>11650</v>
      </c>
      <c r="U1078" t="s">
        <v>11650</v>
      </c>
      <c r="V1078" t="s">
        <v>11650</v>
      </c>
      <c r="W1078" t="s">
        <v>12705</v>
      </c>
      <c r="X1078">
        <v>3</v>
      </c>
      <c r="Y1078" t="s">
        <v>18461</v>
      </c>
      <c r="Z1078" t="s">
        <v>24140</v>
      </c>
      <c r="AA1078">
        <v>0.59337367182339684</v>
      </c>
      <c r="AB1078" t="str">
        <f>HYPERLINK("Melting_Curves/meltCurve_J9JIE6_TMCO1.pdf", "Melting_Curves/meltCurve_J9JIE6_TMCO1.pdf")</f>
        <v>Melting_Curves/meltCurve_J9JIE6_TMCO1.pdf</v>
      </c>
    </row>
    <row r="1079" spans="1:28" x14ac:dyDescent="0.25">
      <c r="A1079" t="s">
        <v>1083</v>
      </c>
      <c r="B1079">
        <v>0.99996721820229495</v>
      </c>
      <c r="C1079">
        <v>1.0334231735732899</v>
      </c>
      <c r="D1079">
        <v>1.0168820956892</v>
      </c>
      <c r="E1079">
        <v>1.17075606239546</v>
      </c>
      <c r="F1079">
        <v>1.41173385245028</v>
      </c>
      <c r="G1079">
        <v>1.3885938207397599</v>
      </c>
      <c r="H1079">
        <v>0.75587759231053797</v>
      </c>
      <c r="I1079">
        <v>0.50365475821195205</v>
      </c>
      <c r="J1079">
        <v>0.40986700009978699</v>
      </c>
      <c r="K1079">
        <v>0.34713366574009702</v>
      </c>
      <c r="L1079">
        <v>3694.73742999453</v>
      </c>
      <c r="M1079">
        <v>59.9443648735338</v>
      </c>
      <c r="N1079">
        <v>63.273846538007199</v>
      </c>
      <c r="O1079">
        <v>61.567603024407198</v>
      </c>
      <c r="P1079">
        <v>-0.14749556878607001</v>
      </c>
      <c r="Q1079">
        <v>0.39404158529521799</v>
      </c>
      <c r="R1079">
        <v>0.73065680400619604</v>
      </c>
      <c r="S1079" t="s">
        <v>6905</v>
      </c>
      <c r="T1079" t="s">
        <v>11650</v>
      </c>
      <c r="U1079" t="s">
        <v>11650</v>
      </c>
      <c r="V1079" t="s">
        <v>11650</v>
      </c>
      <c r="W1079" t="s">
        <v>12706</v>
      </c>
      <c r="X1079">
        <v>7</v>
      </c>
      <c r="Y1079" t="s">
        <v>18462</v>
      </c>
      <c r="Z1079" t="s">
        <v>24141</v>
      </c>
      <c r="AA1079">
        <v>0.83218365830685714</v>
      </c>
      <c r="AB1079" t="str">
        <f>HYPERLINK("Melting_Curves/meltCurve_J9JIE9_HYI.pdf", "Melting_Curves/meltCurve_J9JIE9_HYI.pdf")</f>
        <v>Melting_Curves/meltCurve_J9JIE9_HYI.pdf</v>
      </c>
    </row>
    <row r="1080" spans="1:28" x14ac:dyDescent="0.25">
      <c r="A1080" t="s">
        <v>1084</v>
      </c>
      <c r="B1080">
        <v>0.99996721820229495</v>
      </c>
      <c r="C1080">
        <v>1.07344245914084</v>
      </c>
      <c r="D1080">
        <v>1.2202220893309701</v>
      </c>
      <c r="E1080">
        <v>1.0883946339344801</v>
      </c>
      <c r="F1080">
        <v>1.66272247019983</v>
      </c>
      <c r="G1080">
        <v>1.9547731049073001</v>
      </c>
      <c r="H1080">
        <v>1.39612481687642</v>
      </c>
      <c r="I1080">
        <v>0.99602743198423305</v>
      </c>
      <c r="J1080">
        <v>0.68716936733693801</v>
      </c>
      <c r="K1080">
        <v>0.57886606899971704</v>
      </c>
      <c r="L1080">
        <v>8635.7453592163693</v>
      </c>
      <c r="M1080">
        <v>129.94742342967101</v>
      </c>
      <c r="O1080">
        <v>66.439928012259401</v>
      </c>
      <c r="P1080">
        <v>-0.20620038544473801</v>
      </c>
      <c r="Q1080">
        <v>0.57829272611606197</v>
      </c>
      <c r="R1080">
        <v>2.72773179011976E-4</v>
      </c>
      <c r="S1080" t="s">
        <v>6906</v>
      </c>
      <c r="T1080" t="s">
        <v>11650</v>
      </c>
      <c r="U1080" t="s">
        <v>11650</v>
      </c>
      <c r="V1080" t="s">
        <v>11650</v>
      </c>
      <c r="W1080" t="s">
        <v>12707</v>
      </c>
      <c r="X1080">
        <v>1</v>
      </c>
      <c r="Y1080" t="s">
        <v>18463</v>
      </c>
      <c r="Z1080" t="s">
        <v>24142</v>
      </c>
      <c r="AA1080">
        <v>0.95034881757461453</v>
      </c>
      <c r="AB1080" t="str">
        <f>HYPERLINK("Melting_Curves/meltCurve_J9JIG6_ARSG.pdf", "Melting_Curves/meltCurve_J9JIG6_ARSG.pdf")</f>
        <v>Melting_Curves/meltCurve_J9JIG6_ARSG.pdf</v>
      </c>
    </row>
    <row r="1081" spans="1:28" x14ac:dyDescent="0.25">
      <c r="A1081" t="s">
        <v>1085</v>
      </c>
      <c r="B1081">
        <v>0.99996721820229495</v>
      </c>
      <c r="C1081">
        <v>0.96773790617226796</v>
      </c>
      <c r="D1081">
        <v>1.1758974583311199</v>
      </c>
      <c r="E1081">
        <v>1.65210577331945</v>
      </c>
      <c r="F1081">
        <v>2.0958127238321498</v>
      </c>
      <c r="G1081">
        <v>1.2704780639881701</v>
      </c>
      <c r="H1081">
        <v>0.44564163962574999</v>
      </c>
      <c r="I1081">
        <v>0.38837923910776601</v>
      </c>
      <c r="J1081">
        <v>0.33112376726029003</v>
      </c>
      <c r="K1081">
        <v>0.22906351632466099</v>
      </c>
      <c r="L1081">
        <v>12130.1085448309</v>
      </c>
      <c r="M1081">
        <v>200.30850456781999</v>
      </c>
      <c r="N1081">
        <v>60.8611440657739</v>
      </c>
      <c r="O1081">
        <v>60.551095901094797</v>
      </c>
      <c r="P1081">
        <v>-0.56553505531959203</v>
      </c>
      <c r="Q1081">
        <v>0.31617946374484901</v>
      </c>
      <c r="R1081">
        <v>0.49216806849642802</v>
      </c>
      <c r="S1081" t="s">
        <v>6907</v>
      </c>
      <c r="T1081" t="s">
        <v>11650</v>
      </c>
      <c r="U1081" t="s">
        <v>11650</v>
      </c>
      <c r="V1081" t="s">
        <v>11650</v>
      </c>
      <c r="W1081" t="s">
        <v>12708</v>
      </c>
      <c r="X1081">
        <v>12</v>
      </c>
      <c r="Y1081" t="s">
        <v>18464</v>
      </c>
      <c r="Z1081" t="s">
        <v>24143</v>
      </c>
      <c r="AA1081">
        <v>0.78487231523554002</v>
      </c>
      <c r="AB1081" t="str">
        <f>HYPERLINK("Melting_Curves/meltCurve_K4DI93_CUL4B.pdf", "Melting_Curves/meltCurve_K4DI93_CUL4B.pdf")</f>
        <v>Melting_Curves/meltCurve_K4DI93_CUL4B.pdf</v>
      </c>
    </row>
    <row r="1082" spans="1:28" x14ac:dyDescent="0.25">
      <c r="A1082" t="s">
        <v>1086</v>
      </c>
      <c r="B1082">
        <v>0.99996721820229495</v>
      </c>
      <c r="C1082">
        <v>0.86728494013911905</v>
      </c>
      <c r="D1082">
        <v>0.84577557965587202</v>
      </c>
      <c r="E1082">
        <v>0.57738926025896598</v>
      </c>
      <c r="F1082">
        <v>0.51346242496960504</v>
      </c>
      <c r="G1082">
        <v>0.27376857487897699</v>
      </c>
      <c r="H1082">
        <v>0.16755954479627999</v>
      </c>
      <c r="I1082">
        <v>8.6136394661848401E-2</v>
      </c>
      <c r="J1082">
        <v>5.94811202474093E-2</v>
      </c>
      <c r="K1082">
        <v>4.7818229804022998E-2</v>
      </c>
      <c r="L1082">
        <v>590.77494730533499</v>
      </c>
      <c r="M1082">
        <v>11.3180822520638</v>
      </c>
      <c r="N1082">
        <v>52.197434707305</v>
      </c>
      <c r="O1082">
        <v>50.647578403587303</v>
      </c>
      <c r="P1082">
        <v>-5.5883734704353601E-2</v>
      </c>
      <c r="Q1082">
        <v>0</v>
      </c>
      <c r="R1082">
        <v>0.99135995036517299</v>
      </c>
      <c r="S1082" t="s">
        <v>6908</v>
      </c>
      <c r="T1082" t="s">
        <v>11650</v>
      </c>
      <c r="U1082" t="s">
        <v>11650</v>
      </c>
      <c r="V1082" t="s">
        <v>11650</v>
      </c>
      <c r="W1082" t="s">
        <v>12709</v>
      </c>
      <c r="X1082">
        <v>1</v>
      </c>
      <c r="Y1082" t="s">
        <v>18465</v>
      </c>
      <c r="Z1082" t="s">
        <v>24144</v>
      </c>
      <c r="AA1082">
        <v>0.43900924886672071</v>
      </c>
      <c r="AB1082" t="str">
        <f>HYPERLINK("Melting_Curves/meltCurve_K7EID0_MLX.pdf", "Melting_Curves/meltCurve_K7EID0_MLX.pdf")</f>
        <v>Melting_Curves/meltCurve_K7EID0_MLX.pdf</v>
      </c>
    </row>
    <row r="1083" spans="1:28" x14ac:dyDescent="0.25">
      <c r="A1083" t="s">
        <v>1087</v>
      </c>
      <c r="B1083">
        <v>0.99996721820229495</v>
      </c>
      <c r="C1083">
        <v>0.88839350402374295</v>
      </c>
      <c r="D1083">
        <v>0.88361439768897798</v>
      </c>
      <c r="E1083">
        <v>0.46218599397958998</v>
      </c>
      <c r="F1083">
        <v>0.24200202959634401</v>
      </c>
      <c r="G1083">
        <v>0.145734986541106</v>
      </c>
      <c r="H1083">
        <v>9.2222537792206002E-2</v>
      </c>
      <c r="I1083">
        <v>6.10258407030227E-2</v>
      </c>
      <c r="J1083">
        <v>5.3138782010297203E-2</v>
      </c>
      <c r="K1083">
        <v>7.6289009499945507E-2</v>
      </c>
      <c r="L1083">
        <v>1039.1858511865601</v>
      </c>
      <c r="M1083">
        <v>21.022667039111901</v>
      </c>
      <c r="N1083">
        <v>49.7701451344196</v>
      </c>
      <c r="O1083">
        <v>48.990913200979499</v>
      </c>
      <c r="P1083">
        <v>-0.10013553582648101</v>
      </c>
      <c r="Q1083">
        <v>6.66072197601075E-2</v>
      </c>
      <c r="R1083">
        <v>0.99323291985989903</v>
      </c>
      <c r="S1083" t="s">
        <v>6909</v>
      </c>
      <c r="T1083" t="s">
        <v>11650</v>
      </c>
      <c r="U1083" t="s">
        <v>11650</v>
      </c>
      <c r="V1083" t="s">
        <v>11650</v>
      </c>
      <c r="W1083" t="s">
        <v>12710</v>
      </c>
      <c r="X1083">
        <v>1</v>
      </c>
      <c r="Y1083" t="s">
        <v>18466</v>
      </c>
      <c r="Z1083" t="s">
        <v>24145</v>
      </c>
      <c r="AA1083">
        <v>0.37184740486614448</v>
      </c>
      <c r="AB1083" t="str">
        <f>HYPERLINK("Melting_Curves/meltCurve_K7EIE9_PTPN2.pdf", "Melting_Curves/meltCurve_K7EIE9_PTPN2.pdf")</f>
        <v>Melting_Curves/meltCurve_K7EIE9_PTPN2.pdf</v>
      </c>
    </row>
    <row r="1084" spans="1:28" x14ac:dyDescent="0.25">
      <c r="A1084" t="s">
        <v>1088</v>
      </c>
      <c r="B1084">
        <v>0.99996721820229495</v>
      </c>
      <c r="C1084">
        <v>1.15312455491056</v>
      </c>
      <c r="D1084">
        <v>1.2056214531656599</v>
      </c>
      <c r="E1084">
        <v>0.857937452803752</v>
      </c>
      <c r="F1084">
        <v>0.64413229505452496</v>
      </c>
      <c r="G1084">
        <v>0.385490673766057</v>
      </c>
      <c r="H1084">
        <v>0.31650994441320901</v>
      </c>
      <c r="I1084">
        <v>0.33048264883468498</v>
      </c>
      <c r="J1084">
        <v>0.207522384295518</v>
      </c>
      <c r="K1084">
        <v>0.16906343800259699</v>
      </c>
      <c r="L1084">
        <v>1330.28411100732</v>
      </c>
      <c r="M1084">
        <v>24.881113493729298</v>
      </c>
      <c r="N1084">
        <v>54.926461610179501</v>
      </c>
      <c r="O1084">
        <v>53.123834945989003</v>
      </c>
      <c r="P1084">
        <v>-8.8752590324062394E-2</v>
      </c>
      <c r="Q1084">
        <v>0.24202534586588201</v>
      </c>
      <c r="R1084">
        <v>0.93882668501345001</v>
      </c>
      <c r="S1084" t="s">
        <v>6910</v>
      </c>
      <c r="T1084" t="s">
        <v>11650</v>
      </c>
      <c r="U1084" t="s">
        <v>11650</v>
      </c>
      <c r="V1084" t="s">
        <v>11650</v>
      </c>
      <c r="W1084" t="s">
        <v>12592</v>
      </c>
      <c r="X1084">
        <v>4</v>
      </c>
      <c r="Y1084" t="s">
        <v>18350</v>
      </c>
      <c r="Z1084" t="s">
        <v>24146</v>
      </c>
      <c r="AA1084">
        <v>0.58930622496993801</v>
      </c>
      <c r="AB1084" t="str">
        <f>HYPERLINK("Melting_Curves/meltCurve_K7EIG1_CLUH.pdf", "Melting_Curves/meltCurve_K7EIG1_CLUH.pdf")</f>
        <v>Melting_Curves/meltCurve_K7EIG1_CLUH.pdf</v>
      </c>
    </row>
    <row r="1085" spans="1:28" x14ac:dyDescent="0.25">
      <c r="A1085" t="s">
        <v>1089</v>
      </c>
      <c r="B1085">
        <v>0.99996721820229495</v>
      </c>
      <c r="C1085">
        <v>0.68221350068103503</v>
      </c>
      <c r="D1085">
        <v>0.63061127196918298</v>
      </c>
      <c r="E1085">
        <v>0.62508617341928296</v>
      </c>
      <c r="F1085">
        <v>0.91273615945474096</v>
      </c>
      <c r="G1085">
        <v>0.68834203206294298</v>
      </c>
      <c r="H1085">
        <v>0.428943197696249</v>
      </c>
      <c r="I1085">
        <v>0.46667393117690298</v>
      </c>
      <c r="J1085">
        <v>0.33672637426441299</v>
      </c>
      <c r="K1085">
        <v>0.27638337872547902</v>
      </c>
      <c r="L1085">
        <v>248.97404240556</v>
      </c>
      <c r="M1085">
        <v>4.1285261291027604</v>
      </c>
      <c r="N1085">
        <v>60.305814726662099</v>
      </c>
      <c r="O1085">
        <v>49.9977309407059</v>
      </c>
      <c r="P1085">
        <v>-2.0883192024924599E-2</v>
      </c>
      <c r="Q1085">
        <v>0</v>
      </c>
      <c r="R1085">
        <v>0.64941203136607595</v>
      </c>
      <c r="S1085" t="s">
        <v>6911</v>
      </c>
      <c r="T1085" t="s">
        <v>11650</v>
      </c>
      <c r="U1085" t="s">
        <v>11650</v>
      </c>
      <c r="V1085" t="s">
        <v>11650</v>
      </c>
      <c r="W1085" t="s">
        <v>12711</v>
      </c>
      <c r="X1085">
        <v>2</v>
      </c>
      <c r="Y1085" t="s">
        <v>18467</v>
      </c>
      <c r="Z1085" t="s">
        <v>24147</v>
      </c>
      <c r="AA1085">
        <v>0.60956218228528769</v>
      </c>
      <c r="AB1085" t="str">
        <f>HYPERLINK("Melting_Curves/meltCurve_K7EIN1_WBP2.pdf", "Melting_Curves/meltCurve_K7EIN1_WBP2.pdf")</f>
        <v>Melting_Curves/meltCurve_K7EIN1_WBP2.pdf</v>
      </c>
    </row>
    <row r="1086" spans="1:28" x14ac:dyDescent="0.25">
      <c r="A1086" t="s">
        <v>1090</v>
      </c>
      <c r="B1086">
        <v>0.99996721820229495</v>
      </c>
      <c r="C1086">
        <v>0.925840159684437</v>
      </c>
      <c r="D1086">
        <v>0.93830658517040499</v>
      </c>
      <c r="E1086">
        <v>1.00423827819733</v>
      </c>
      <c r="F1086">
        <v>1.30145125014019</v>
      </c>
      <c r="G1086">
        <v>1.17788521933639</v>
      </c>
      <c r="H1086">
        <v>0.95156157969049104</v>
      </c>
      <c r="I1086">
        <v>0.64472212581849397</v>
      </c>
      <c r="J1086">
        <v>0.384698398606661</v>
      </c>
      <c r="K1086">
        <v>0.33048276950654598</v>
      </c>
      <c r="L1086">
        <v>3562.0954411840198</v>
      </c>
      <c r="M1086">
        <v>55.772772756728003</v>
      </c>
      <c r="N1086">
        <v>65.137794794086304</v>
      </c>
      <c r="O1086">
        <v>63.786046091500801</v>
      </c>
      <c r="P1086">
        <v>-0.14614577523795599</v>
      </c>
      <c r="Q1086">
        <v>0.33142603053349501</v>
      </c>
      <c r="R1086">
        <v>0.85428281631787895</v>
      </c>
      <c r="S1086" t="s">
        <v>6912</v>
      </c>
      <c r="T1086" t="s">
        <v>11650</v>
      </c>
      <c r="U1086" t="s">
        <v>11650</v>
      </c>
      <c r="V1086" t="s">
        <v>11650</v>
      </c>
      <c r="W1086" t="s">
        <v>12712</v>
      </c>
      <c r="X1086">
        <v>1</v>
      </c>
      <c r="Y1086" t="s">
        <v>18468</v>
      </c>
      <c r="Z1086" t="s">
        <v>24148</v>
      </c>
      <c r="AA1086">
        <v>0.86461523998135692</v>
      </c>
      <c r="AB1086" t="str">
        <f>HYPERLINK("Melting_Curves/meltCurve_K7EIP7_YIPF2.pdf", "Melting_Curves/meltCurve_K7EIP7_YIPF2.pdf")</f>
        <v>Melting_Curves/meltCurve_K7EIP7_YIPF2.pdf</v>
      </c>
    </row>
    <row r="1087" spans="1:28" x14ac:dyDescent="0.25">
      <c r="A1087" t="s">
        <v>1091</v>
      </c>
      <c r="B1087">
        <v>0.99996721820229495</v>
      </c>
      <c r="C1087">
        <v>0.94936376219590701</v>
      </c>
      <c r="D1087">
        <v>0.89010185843872203</v>
      </c>
      <c r="E1087">
        <v>0.93203818815924899</v>
      </c>
      <c r="F1087">
        <v>0.65415212136447698</v>
      </c>
      <c r="G1087">
        <v>0.431578579579175</v>
      </c>
      <c r="H1087">
        <v>0.22067524825854801</v>
      </c>
      <c r="I1087">
        <v>0.130420372209305</v>
      </c>
      <c r="J1087">
        <v>9.9097380249631606E-2</v>
      </c>
      <c r="K1087">
        <v>7.6191195554001806E-2</v>
      </c>
      <c r="L1087">
        <v>884.27399834949301</v>
      </c>
      <c r="M1087">
        <v>15.9296743636105</v>
      </c>
      <c r="N1087">
        <v>55.779863174198702</v>
      </c>
      <c r="O1087">
        <v>54.658413798283803</v>
      </c>
      <c r="P1087">
        <v>-7.0174337097961795E-2</v>
      </c>
      <c r="Q1087">
        <v>3.69393764812058E-2</v>
      </c>
      <c r="R1087">
        <v>0.98924140008389405</v>
      </c>
      <c r="S1087" t="s">
        <v>6913</v>
      </c>
      <c r="T1087" t="s">
        <v>11650</v>
      </c>
      <c r="U1087" t="s">
        <v>11650</v>
      </c>
      <c r="V1087" t="s">
        <v>11650</v>
      </c>
      <c r="W1087" t="s">
        <v>12713</v>
      </c>
      <c r="X1087">
        <v>13</v>
      </c>
      <c r="Y1087" t="s">
        <v>18469</v>
      </c>
      <c r="Z1087" t="s">
        <v>24149</v>
      </c>
      <c r="AA1087">
        <v>0.55167645196737625</v>
      </c>
      <c r="AB1087" t="str">
        <f>HYPERLINK("Melting_Curves/meltCurve_K7EIU8_SMAD4.pdf", "Melting_Curves/meltCurve_K7EIU8_SMAD4.pdf")</f>
        <v>Melting_Curves/meltCurve_K7EIU8_SMAD4.pdf</v>
      </c>
    </row>
    <row r="1088" spans="1:28" x14ac:dyDescent="0.25">
      <c r="A1088" t="s">
        <v>1092</v>
      </c>
      <c r="B1088">
        <v>0.99996721820229495</v>
      </c>
      <c r="C1088">
        <v>1.0170459897964701</v>
      </c>
      <c r="D1088">
        <v>1.0769266763665</v>
      </c>
      <c r="E1088">
        <v>1.6286337857961899</v>
      </c>
      <c r="F1088">
        <v>1.69907197025236</v>
      </c>
      <c r="G1088">
        <v>1.66208689769066</v>
      </c>
      <c r="H1088">
        <v>0.989832111392975</v>
      </c>
      <c r="I1088">
        <v>0.66562345228414099</v>
      </c>
      <c r="J1088">
        <v>0.34725551535661298</v>
      </c>
      <c r="K1088">
        <v>0.45524170592886698</v>
      </c>
      <c r="L1088">
        <v>15000</v>
      </c>
      <c r="M1088">
        <v>234.609918556515</v>
      </c>
      <c r="N1088">
        <v>64.381002928437098</v>
      </c>
      <c r="O1088">
        <v>63.931270091409601</v>
      </c>
      <c r="P1088">
        <v>-0.54931679436498204</v>
      </c>
      <c r="Q1088">
        <v>0.40124406573927701</v>
      </c>
      <c r="R1088">
        <v>0.37466019028916397</v>
      </c>
      <c r="S1088" t="s">
        <v>6914</v>
      </c>
      <c r="T1088" t="s">
        <v>11650</v>
      </c>
      <c r="U1088" t="s">
        <v>11650</v>
      </c>
      <c r="V1088" t="s">
        <v>11650</v>
      </c>
      <c r="W1088" t="s">
        <v>12714</v>
      </c>
      <c r="X1088">
        <v>1</v>
      </c>
      <c r="Y1088" t="s">
        <v>18470</v>
      </c>
      <c r="Z1088" t="s">
        <v>24150</v>
      </c>
      <c r="AA1088">
        <v>0.87904607686818947</v>
      </c>
      <c r="AB1088" t="str">
        <f>HYPERLINK("Melting_Curves/meltCurve_K7EJ78_RPS15.pdf", "Melting_Curves/meltCurve_K7EJ78_RPS15.pdf")</f>
        <v>Melting_Curves/meltCurve_K7EJ78_RPS15.pdf</v>
      </c>
    </row>
    <row r="1089" spans="1:28" x14ac:dyDescent="0.25">
      <c r="A1089" t="s">
        <v>1093</v>
      </c>
      <c r="B1089">
        <v>0.99996721820229495</v>
      </c>
      <c r="C1089">
        <v>0.99358856309563404</v>
      </c>
      <c r="D1089">
        <v>0.93056621558342201</v>
      </c>
      <c r="E1089">
        <v>0.83861934926258297</v>
      </c>
      <c r="F1089">
        <v>0.87699020712210796</v>
      </c>
      <c r="G1089">
        <v>0.57085262125750402</v>
      </c>
      <c r="H1089">
        <v>0.40711265946839098</v>
      </c>
      <c r="I1089">
        <v>0.331053835808582</v>
      </c>
      <c r="J1089">
        <v>0.224706496316294</v>
      </c>
      <c r="K1089">
        <v>0.18689333113585499</v>
      </c>
      <c r="L1089">
        <v>706.79877253994698</v>
      </c>
      <c r="M1089">
        <v>12.1031409938818</v>
      </c>
      <c r="N1089">
        <v>59.166897901038901</v>
      </c>
      <c r="O1089">
        <v>56.872298779412901</v>
      </c>
      <c r="P1089">
        <v>-4.9342821868759497E-2</v>
      </c>
      <c r="Q1089">
        <v>7.2774479930321795E-2</v>
      </c>
      <c r="R1089">
        <v>0.98610483768940504</v>
      </c>
      <c r="S1089" t="s">
        <v>6915</v>
      </c>
      <c r="T1089" t="s">
        <v>11650</v>
      </c>
      <c r="U1089" t="s">
        <v>11650</v>
      </c>
      <c r="V1089" t="s">
        <v>11650</v>
      </c>
      <c r="W1089" t="s">
        <v>12715</v>
      </c>
      <c r="X1089">
        <v>1</v>
      </c>
      <c r="Y1089" t="s">
        <v>18471</v>
      </c>
      <c r="Z1089" t="s">
        <v>24151</v>
      </c>
      <c r="AA1089">
        <v>0.65160162601445781</v>
      </c>
      <c r="AB1089" t="str">
        <f>HYPERLINK("Melting_Curves/meltCurve_K7EJH0_SPC24.pdf", "Melting_Curves/meltCurve_K7EJH0_SPC24.pdf")</f>
        <v>Melting_Curves/meltCurve_K7EJH0_SPC24.pdf</v>
      </c>
    </row>
    <row r="1090" spans="1:28" x14ac:dyDescent="0.25">
      <c r="A1090" t="s">
        <v>1094</v>
      </c>
      <c r="B1090">
        <v>0.99996721820229495</v>
      </c>
      <c r="C1090">
        <v>1.0119689965557299</v>
      </c>
      <c r="D1090">
        <v>1.0674601221312501</v>
      </c>
      <c r="E1090">
        <v>1.1525598865562201</v>
      </c>
      <c r="F1090">
        <v>1.0957726503329099</v>
      </c>
      <c r="G1090">
        <v>1.37912332479265</v>
      </c>
      <c r="H1090">
        <v>0.34057532578972199</v>
      </c>
      <c r="I1090">
        <v>0.19359454671665899</v>
      </c>
      <c r="J1090">
        <v>0.11322870226504</v>
      </c>
      <c r="K1090">
        <v>0.10360835616662301</v>
      </c>
      <c r="L1090">
        <v>12185.561199498101</v>
      </c>
      <c r="M1090">
        <v>200.93756137703301</v>
      </c>
      <c r="N1090">
        <v>60.740144955759</v>
      </c>
      <c r="O1090">
        <v>60.637513926946902</v>
      </c>
      <c r="P1090">
        <v>-0.71510797158754102</v>
      </c>
      <c r="Q1090">
        <v>0.13679912930338101</v>
      </c>
      <c r="R1090">
        <v>0.91593308111722704</v>
      </c>
      <c r="S1090" t="s">
        <v>6916</v>
      </c>
      <c r="T1090" t="s">
        <v>11650</v>
      </c>
      <c r="U1090" t="s">
        <v>11650</v>
      </c>
      <c r="V1090" t="s">
        <v>11650</v>
      </c>
      <c r="W1090" t="s">
        <v>12716</v>
      </c>
      <c r="X1090">
        <v>11</v>
      </c>
      <c r="Y1090" t="s">
        <v>18472</v>
      </c>
      <c r="Z1090" t="s">
        <v>24152</v>
      </c>
      <c r="AA1090">
        <v>0.73092486229793219</v>
      </c>
      <c r="AB1090" t="str">
        <f>HYPERLINK("Melting_Curves/meltCurve_K7EJL1_AP1M1.pdf", "Melting_Curves/meltCurve_K7EJL1_AP1M1.pdf")</f>
        <v>Melting_Curves/meltCurve_K7EJL1_AP1M1.pdf</v>
      </c>
    </row>
    <row r="1091" spans="1:28" x14ac:dyDescent="0.25">
      <c r="A1091" t="s">
        <v>1095</v>
      </c>
      <c r="B1091">
        <v>0.99996721820229495</v>
      </c>
      <c r="C1091">
        <v>0.95951894400828697</v>
      </c>
      <c r="D1091">
        <v>1.04000545864976</v>
      </c>
      <c r="E1091">
        <v>1.2149061429747501</v>
      </c>
      <c r="F1091">
        <v>1.6646131801681801</v>
      </c>
      <c r="G1091">
        <v>1.97795931516843</v>
      </c>
      <c r="H1091">
        <v>1.8652243086862501</v>
      </c>
      <c r="I1091">
        <v>1.72777579570582</v>
      </c>
      <c r="J1091">
        <v>1.4649042642526999</v>
      </c>
      <c r="K1091">
        <v>0.69367618515373697</v>
      </c>
      <c r="L1091">
        <v>12514.1306116252</v>
      </c>
      <c r="M1091">
        <v>250</v>
      </c>
      <c r="O1091">
        <v>50.0533302681091</v>
      </c>
      <c r="P1091">
        <v>0.62433422071482403</v>
      </c>
      <c r="Q1091">
        <v>1.5</v>
      </c>
      <c r="R1091">
        <v>0.36811707876757199</v>
      </c>
      <c r="S1091" t="s">
        <v>6917</v>
      </c>
      <c r="T1091" t="s">
        <v>11650</v>
      </c>
      <c r="U1091" t="s">
        <v>11650</v>
      </c>
      <c r="V1091" t="s">
        <v>11650</v>
      </c>
      <c r="W1091" t="s">
        <v>12717</v>
      </c>
      <c r="X1091">
        <v>6</v>
      </c>
      <c r="Y1091" t="s">
        <v>18473</v>
      </c>
      <c r="Z1091" t="s">
        <v>24153</v>
      </c>
      <c r="AA1091">
        <v>1.3323473683493989</v>
      </c>
      <c r="AB1091" t="str">
        <f>HYPERLINK("Melting_Curves/meltCurve_K7EK00_FAM210A.pdf", "Melting_Curves/meltCurve_K7EK00_FAM210A.pdf")</f>
        <v>Melting_Curves/meltCurve_K7EK00_FAM210A.pdf</v>
      </c>
    </row>
    <row r="1092" spans="1:28" x14ac:dyDescent="0.25">
      <c r="A1092" t="s">
        <v>1096</v>
      </c>
      <c r="B1092">
        <v>0.99996721820229495</v>
      </c>
      <c r="C1092">
        <v>0.87833007700681098</v>
      </c>
      <c r="D1092">
        <v>0.81351089861691805</v>
      </c>
      <c r="E1092">
        <v>0.84309491142841497</v>
      </c>
      <c r="F1092">
        <v>1.20619322598069</v>
      </c>
      <c r="G1092">
        <v>1.0492410747969201</v>
      </c>
      <c r="H1092">
        <v>1.0359379378206</v>
      </c>
      <c r="I1092">
        <v>1.2663067463139499</v>
      </c>
      <c r="J1092">
        <v>0.16662313137102899</v>
      </c>
      <c r="K1092">
        <v>0.22458619214021</v>
      </c>
      <c r="L1092">
        <v>13240.2533538428</v>
      </c>
      <c r="M1092">
        <v>201.24605484471701</v>
      </c>
      <c r="N1092">
        <v>65.943754199888104</v>
      </c>
      <c r="O1092">
        <v>65.784873055675902</v>
      </c>
      <c r="P1092">
        <v>-0.62257882163685596</v>
      </c>
      <c r="Q1092">
        <v>0.18594642216033</v>
      </c>
      <c r="R1092">
        <v>0.84408250408766805</v>
      </c>
      <c r="S1092" t="s">
        <v>6918</v>
      </c>
      <c r="T1092" t="s">
        <v>11650</v>
      </c>
      <c r="U1092" t="s">
        <v>11650</v>
      </c>
      <c r="V1092" t="s">
        <v>11650</v>
      </c>
      <c r="W1092" t="s">
        <v>12718</v>
      </c>
      <c r="X1092">
        <v>4</v>
      </c>
      <c r="Y1092" t="s">
        <v>18474</v>
      </c>
      <c r="Z1092" t="s">
        <v>24154</v>
      </c>
      <c r="AA1092">
        <v>0.88594329426229346</v>
      </c>
      <c r="AB1092" t="str">
        <f>HYPERLINK("Melting_Curves/meltCurve_K7EK07_H3F3B.pdf", "Melting_Curves/meltCurve_K7EK07_H3F3B.pdf")</f>
        <v>Melting_Curves/meltCurve_K7EK07_H3F3B.pdf</v>
      </c>
    </row>
    <row r="1093" spans="1:28" x14ac:dyDescent="0.25">
      <c r="A1093" t="s">
        <v>1097</v>
      </c>
      <c r="B1093">
        <v>0.99996721820229495</v>
      </c>
      <c r="C1093">
        <v>1.01619263445429</v>
      </c>
      <c r="D1093">
        <v>1.23858313824539</v>
      </c>
      <c r="E1093">
        <v>1.74159986880009</v>
      </c>
      <c r="F1093">
        <v>2.3166770799207299</v>
      </c>
      <c r="G1093">
        <v>2.7202767934613599</v>
      </c>
      <c r="H1093">
        <v>1.3751143001355599</v>
      </c>
      <c r="I1093">
        <v>0.404059372897972</v>
      </c>
      <c r="J1093">
        <v>0.28289676961131499</v>
      </c>
      <c r="K1093">
        <v>0.207333195733229</v>
      </c>
      <c r="L1093">
        <v>15000</v>
      </c>
      <c r="M1093">
        <v>235.69572340363001</v>
      </c>
      <c r="N1093">
        <v>63.823789793494797</v>
      </c>
      <c r="O1093">
        <v>63.636793514799201</v>
      </c>
      <c r="P1093">
        <v>-0.69900652450562495</v>
      </c>
      <c r="Q1093">
        <v>0.24508543289507501</v>
      </c>
      <c r="R1093">
        <v>0.15052075924403999</v>
      </c>
      <c r="S1093" t="s">
        <v>6919</v>
      </c>
      <c r="T1093" t="s">
        <v>11650</v>
      </c>
      <c r="U1093" t="s">
        <v>11650</v>
      </c>
      <c r="V1093" t="s">
        <v>11650</v>
      </c>
      <c r="W1093" t="s">
        <v>12719</v>
      </c>
      <c r="X1093">
        <v>6</v>
      </c>
      <c r="Y1093" t="s">
        <v>18475</v>
      </c>
      <c r="Z1093" t="s">
        <v>24155</v>
      </c>
      <c r="AA1093">
        <v>0.84008758419131901</v>
      </c>
      <c r="AB1093" t="str">
        <f>HYPERLINK("Melting_Curves/meltCurve_K7EK10_CAPNS1.pdf", "Melting_Curves/meltCurve_K7EK10_CAPNS1.pdf")</f>
        <v>Melting_Curves/meltCurve_K7EK10_CAPNS1.pdf</v>
      </c>
    </row>
    <row r="1094" spans="1:28" x14ac:dyDescent="0.25">
      <c r="A1094" t="s">
        <v>1098</v>
      </c>
      <c r="B1094">
        <v>0.99996721820229495</v>
      </c>
      <c r="C1094">
        <v>0.87035778316116097</v>
      </c>
      <c r="D1094">
        <v>0.70774429621435797</v>
      </c>
      <c r="E1094">
        <v>0.47653474628878301</v>
      </c>
      <c r="F1094">
        <v>0.35994542940222202</v>
      </c>
      <c r="G1094">
        <v>0.291888665666798</v>
      </c>
      <c r="H1094">
        <v>0.213353451766913</v>
      </c>
      <c r="I1094">
        <v>0.15267750450696499</v>
      </c>
      <c r="J1094">
        <v>6.7634758501654194E-2</v>
      </c>
      <c r="K1094">
        <v>8.7225213235917795E-2</v>
      </c>
      <c r="L1094">
        <v>552.80023594837803</v>
      </c>
      <c r="M1094">
        <v>11.1602073398884</v>
      </c>
      <c r="N1094">
        <v>50.207908032563999</v>
      </c>
      <c r="O1094">
        <v>48.022589453524802</v>
      </c>
      <c r="P1094">
        <v>-5.4070020260398602E-2</v>
      </c>
      <c r="Q1094">
        <v>6.9639504037442901E-2</v>
      </c>
      <c r="R1094">
        <v>0.98759747181073199</v>
      </c>
      <c r="S1094" t="s">
        <v>6920</v>
      </c>
      <c r="T1094" t="s">
        <v>11650</v>
      </c>
      <c r="U1094" t="s">
        <v>11650</v>
      </c>
      <c r="V1094" t="s">
        <v>11650</v>
      </c>
      <c r="W1094" t="s">
        <v>12720</v>
      </c>
      <c r="X1094">
        <v>11</v>
      </c>
      <c r="Y1094" t="s">
        <v>18476</v>
      </c>
      <c r="Z1094" t="s">
        <v>24156</v>
      </c>
      <c r="AA1094">
        <v>0.40240193994701939</v>
      </c>
      <c r="AB1094" t="str">
        <f>HYPERLINK("Melting_Curves/meltCurve_K7EK35_STAT5A.pdf", "Melting_Curves/meltCurve_K7EK35_STAT5A.pdf")</f>
        <v>Melting_Curves/meltCurve_K7EK35_STAT5A.pdf</v>
      </c>
    </row>
    <row r="1095" spans="1:28" x14ac:dyDescent="0.25">
      <c r="A1095" t="s">
        <v>1099</v>
      </c>
      <c r="B1095">
        <v>0.99996721820229495</v>
      </c>
      <c r="C1095">
        <v>1.02906906634861</v>
      </c>
      <c r="D1095">
        <v>1.03855259657527</v>
      </c>
      <c r="E1095">
        <v>1.20654707786254</v>
      </c>
      <c r="F1095">
        <v>1.1631527467218901</v>
      </c>
      <c r="G1095">
        <v>0.71037847576371704</v>
      </c>
      <c r="H1095">
        <v>0.29302645904483998</v>
      </c>
      <c r="I1095">
        <v>0.16987965931844101</v>
      </c>
      <c r="J1095">
        <v>0.116415124814472</v>
      </c>
      <c r="K1095">
        <v>8.2432617589521098E-2</v>
      </c>
      <c r="L1095">
        <v>2196.4059911517802</v>
      </c>
      <c r="M1095">
        <v>37.580370916972299</v>
      </c>
      <c r="N1095">
        <v>58.849293952516298</v>
      </c>
      <c r="O1095">
        <v>58.280810774305202</v>
      </c>
      <c r="P1095">
        <v>-0.14288645521012</v>
      </c>
      <c r="Q1095">
        <v>0.11363133776902599</v>
      </c>
      <c r="R1095">
        <v>0.95751831957198597</v>
      </c>
      <c r="S1095" t="s">
        <v>6921</v>
      </c>
      <c r="T1095" t="s">
        <v>11650</v>
      </c>
      <c r="U1095" t="s">
        <v>11650</v>
      </c>
      <c r="V1095" t="s">
        <v>11650</v>
      </c>
      <c r="W1095" t="s">
        <v>12721</v>
      </c>
      <c r="X1095">
        <v>36</v>
      </c>
      <c r="Y1095" t="s">
        <v>18477</v>
      </c>
      <c r="Z1095" t="s">
        <v>24157</v>
      </c>
      <c r="AA1095">
        <v>0.66253717927172495</v>
      </c>
      <c r="AB1095" t="str">
        <f>HYPERLINK("Melting_Curves/meltCurve_K7EKE6_LONP1.pdf", "Melting_Curves/meltCurve_K7EKE6_LONP1.pdf")</f>
        <v>Melting_Curves/meltCurve_K7EKE6_LONP1.pdf</v>
      </c>
    </row>
    <row r="1096" spans="1:28" x14ac:dyDescent="0.25">
      <c r="A1096" t="s">
        <v>1100</v>
      </c>
      <c r="B1096">
        <v>0.99996721820229495</v>
      </c>
      <c r="C1096">
        <v>1.0966238921418801</v>
      </c>
      <c r="D1096">
        <v>1.1201626040380399</v>
      </c>
      <c r="E1096">
        <v>0.83703194842734796</v>
      </c>
      <c r="F1096">
        <v>0.91687816372384401</v>
      </c>
      <c r="G1096">
        <v>0.87392542292652897</v>
      </c>
      <c r="H1096">
        <v>0.59839269772443904</v>
      </c>
      <c r="I1096">
        <v>0.40488139443437898</v>
      </c>
      <c r="J1096">
        <v>0.31389464323941402</v>
      </c>
      <c r="K1096">
        <v>0.25966867475048799</v>
      </c>
      <c r="L1096">
        <v>1074.96434820528</v>
      </c>
      <c r="M1096">
        <v>17.545486356561302</v>
      </c>
      <c r="N1096">
        <v>62.6693037030375</v>
      </c>
      <c r="O1096">
        <v>60.488022104262903</v>
      </c>
      <c r="P1096">
        <v>-6.0748595251094398E-2</v>
      </c>
      <c r="Q1096">
        <v>0.16232311545568101</v>
      </c>
      <c r="R1096">
        <v>0.94623452167239097</v>
      </c>
      <c r="S1096" t="s">
        <v>6922</v>
      </c>
      <c r="T1096" t="s">
        <v>11650</v>
      </c>
      <c r="U1096" t="s">
        <v>11650</v>
      </c>
      <c r="V1096" t="s">
        <v>11650</v>
      </c>
      <c r="W1096" t="s">
        <v>12722</v>
      </c>
      <c r="X1096">
        <v>24</v>
      </c>
      <c r="Y1096" t="s">
        <v>18478</v>
      </c>
      <c r="Z1096" t="s">
        <v>24158</v>
      </c>
      <c r="AA1096">
        <v>0.75954067974522343</v>
      </c>
      <c r="AB1096" t="str">
        <f>HYPERLINK("Melting_Curves/meltCurve_K7EKI8_PPL.pdf", "Melting_Curves/meltCurve_K7EKI8_PPL.pdf")</f>
        <v>Melting_Curves/meltCurve_K7EKI8_PPL.pdf</v>
      </c>
    </row>
    <row r="1097" spans="1:28" x14ac:dyDescent="0.25">
      <c r="A1097" t="s">
        <v>1101</v>
      </c>
      <c r="B1097">
        <v>0.99996721820229495</v>
      </c>
      <c r="C1097">
        <v>0.85359607581666097</v>
      </c>
      <c r="D1097">
        <v>0.97158699583084496</v>
      </c>
      <c r="E1097">
        <v>1.65638059628607</v>
      </c>
      <c r="F1097">
        <v>2.1025026913187501</v>
      </c>
      <c r="G1097">
        <v>2.99317708469259</v>
      </c>
      <c r="H1097">
        <v>1.9876422680383501</v>
      </c>
      <c r="I1097">
        <v>0.65081416431962402</v>
      </c>
      <c r="J1097">
        <v>0.26021904468078499</v>
      </c>
      <c r="K1097">
        <v>0.22389529132390301</v>
      </c>
      <c r="L1097">
        <v>15000</v>
      </c>
      <c r="M1097">
        <v>234.21725221887399</v>
      </c>
      <c r="N1097">
        <v>64.224577600674294</v>
      </c>
      <c r="O1097">
        <v>64.038420038488695</v>
      </c>
      <c r="P1097">
        <v>-0.69304938537716998</v>
      </c>
      <c r="Q1097">
        <v>0.24204049213350101</v>
      </c>
      <c r="R1097">
        <v>7.5703042552447905E-2</v>
      </c>
      <c r="S1097" t="s">
        <v>6923</v>
      </c>
      <c r="T1097" t="s">
        <v>11650</v>
      </c>
      <c r="U1097" t="s">
        <v>11650</v>
      </c>
      <c r="V1097" t="s">
        <v>11650</v>
      </c>
      <c r="W1097" t="s">
        <v>12723</v>
      </c>
      <c r="X1097">
        <v>23</v>
      </c>
      <c r="Y1097" t="s">
        <v>18479</v>
      </c>
      <c r="Z1097" t="s">
        <v>24159</v>
      </c>
      <c r="AA1097">
        <v>0.8495942131903641</v>
      </c>
      <c r="AB1097" t="str">
        <f>HYPERLINK("Melting_Curves/meltCurve_K7EKP8_ACOT7.pdf", "Melting_Curves/meltCurve_K7EKP8_ACOT7.pdf")</f>
        <v>Melting_Curves/meltCurve_K7EKP8_ACOT7.pdf</v>
      </c>
    </row>
    <row r="1098" spans="1:28" x14ac:dyDescent="0.25">
      <c r="A1098" t="s">
        <v>1102</v>
      </c>
      <c r="B1098">
        <v>0.99996721820229495</v>
      </c>
      <c r="C1098">
        <v>0.89712480265028305</v>
      </c>
      <c r="D1098">
        <v>0.97058256053970804</v>
      </c>
      <c r="E1098">
        <v>1.02758797454341</v>
      </c>
      <c r="F1098">
        <v>1.20760032144017</v>
      </c>
      <c r="G1098">
        <v>1.28321725580042</v>
      </c>
      <c r="H1098">
        <v>0.98191179023860597</v>
      </c>
      <c r="I1098">
        <v>0.68979842387541301</v>
      </c>
      <c r="J1098">
        <v>0.54927070867788297</v>
      </c>
      <c r="K1098">
        <v>0.426060026980489</v>
      </c>
      <c r="L1098">
        <v>3518.95480823144</v>
      </c>
      <c r="M1098">
        <v>55.146509907772199</v>
      </c>
      <c r="N1098">
        <v>66.927541609023606</v>
      </c>
      <c r="O1098">
        <v>63.727268888115702</v>
      </c>
      <c r="P1098">
        <v>-0.116464946388804</v>
      </c>
      <c r="Q1098">
        <v>0.46165306316853399</v>
      </c>
      <c r="R1098">
        <v>0.78997395292329498</v>
      </c>
      <c r="S1098" t="s">
        <v>6924</v>
      </c>
      <c r="T1098" t="s">
        <v>11650</v>
      </c>
      <c r="U1098" t="s">
        <v>11650</v>
      </c>
      <c r="V1098" t="s">
        <v>11650</v>
      </c>
      <c r="W1098" t="s">
        <v>12724</v>
      </c>
      <c r="X1098">
        <v>3</v>
      </c>
      <c r="Y1098" t="s">
        <v>18480</v>
      </c>
      <c r="Z1098" t="s">
        <v>24160</v>
      </c>
      <c r="AA1098">
        <v>0.88998574977784517</v>
      </c>
      <c r="AB1098" t="str">
        <f>HYPERLINK("Melting_Curves/meltCurve_K7EKW3_TMUB2.pdf", "Melting_Curves/meltCurve_K7EKW3_TMUB2.pdf")</f>
        <v>Melting_Curves/meltCurve_K7EKW3_TMUB2.pdf</v>
      </c>
    </row>
    <row r="1099" spans="1:28" x14ac:dyDescent="0.25">
      <c r="A1099" t="s">
        <v>1103</v>
      </c>
      <c r="B1099">
        <v>0.99996721820229495</v>
      </c>
      <c r="C1099">
        <v>1.0939568315308099</v>
      </c>
      <c r="D1099">
        <v>1.0678936813845099</v>
      </c>
      <c r="E1099">
        <v>0.98789213182220303</v>
      </c>
      <c r="F1099">
        <v>1.1586603707633201</v>
      </c>
      <c r="G1099">
        <v>0.90880893536302998</v>
      </c>
      <c r="H1099">
        <v>0.53564322612192306</v>
      </c>
      <c r="I1099">
        <v>0.41295830832026098</v>
      </c>
      <c r="J1099">
        <v>0.33737954471932502</v>
      </c>
      <c r="K1099">
        <v>0.19617877786995799</v>
      </c>
      <c r="L1099">
        <v>1886.46472623006</v>
      </c>
      <c r="M1099">
        <v>31.199362517686598</v>
      </c>
      <c r="N1099">
        <v>61.867516593183304</v>
      </c>
      <c r="O1099">
        <v>60.218069916633603</v>
      </c>
      <c r="P1099">
        <v>-9.66886735392994E-2</v>
      </c>
      <c r="Q1099">
        <v>0.25352671084560002</v>
      </c>
      <c r="R1099">
        <v>0.95476291716918904</v>
      </c>
      <c r="S1099" t="s">
        <v>6925</v>
      </c>
      <c r="T1099" t="s">
        <v>11650</v>
      </c>
      <c r="U1099" t="s">
        <v>11650</v>
      </c>
      <c r="V1099" t="s">
        <v>11650</v>
      </c>
      <c r="W1099" t="s">
        <v>12725</v>
      </c>
      <c r="X1099">
        <v>3</v>
      </c>
      <c r="Y1099" t="s">
        <v>18481</v>
      </c>
      <c r="Z1099" t="s">
        <v>24161</v>
      </c>
      <c r="AA1099">
        <v>0.76690897908481026</v>
      </c>
      <c r="AB1099" t="str">
        <f>HYPERLINK("Melting_Curves/meltCurve_K7EL21_CAPS.pdf", "Melting_Curves/meltCurve_K7EL21_CAPS.pdf")</f>
        <v>Melting_Curves/meltCurve_K7EL21_CAPS.pdf</v>
      </c>
    </row>
    <row r="1100" spans="1:28" x14ac:dyDescent="0.25">
      <c r="A1100" t="s">
        <v>1104</v>
      </c>
      <c r="B1100">
        <v>0.99996721820229495</v>
      </c>
      <c r="C1100">
        <v>1.0642960220323301</v>
      </c>
      <c r="D1100">
        <v>1.0551827260183599</v>
      </c>
      <c r="E1100">
        <v>1.13689922954033</v>
      </c>
      <c r="F1100">
        <v>1.52360516023587</v>
      </c>
      <c r="G1100">
        <v>0.883168552539636</v>
      </c>
      <c r="H1100">
        <v>0.31575367344497501</v>
      </c>
      <c r="I1100">
        <v>0.14404731202580801</v>
      </c>
      <c r="J1100">
        <v>7.1266978681954696E-2</v>
      </c>
      <c r="K1100">
        <v>6.01993775218597E-2</v>
      </c>
      <c r="L1100">
        <v>2831.93736825933</v>
      </c>
      <c r="M1100">
        <v>47.473476777758499</v>
      </c>
      <c r="N1100">
        <v>59.864305932868298</v>
      </c>
      <c r="O1100">
        <v>59.547495111958497</v>
      </c>
      <c r="P1100">
        <v>-0.18393749777511501</v>
      </c>
      <c r="Q1100">
        <v>7.7126515391503503E-2</v>
      </c>
      <c r="R1100">
        <v>0.87843990580431597</v>
      </c>
      <c r="S1100" t="s">
        <v>6926</v>
      </c>
      <c r="T1100" t="s">
        <v>11650</v>
      </c>
      <c r="U1100" t="s">
        <v>11650</v>
      </c>
      <c r="V1100" t="s">
        <v>11650</v>
      </c>
      <c r="W1100" t="s">
        <v>12726</v>
      </c>
      <c r="X1100">
        <v>18</v>
      </c>
      <c r="Y1100" t="s">
        <v>18482</v>
      </c>
      <c r="Z1100" t="s">
        <v>24162</v>
      </c>
      <c r="AA1100">
        <v>0.68434742232738699</v>
      </c>
      <c r="AB1100" t="str">
        <f>HYPERLINK("Melting_Curves/meltCurve_K7EL68_CDC37.pdf", "Melting_Curves/meltCurve_K7EL68_CDC37.pdf")</f>
        <v>Melting_Curves/meltCurve_K7EL68_CDC37.pdf</v>
      </c>
    </row>
    <row r="1101" spans="1:28" x14ac:dyDescent="0.25">
      <c r="A1101" t="s">
        <v>1105</v>
      </c>
      <c r="B1101">
        <v>0.99996721820229495</v>
      </c>
      <c r="C1101">
        <v>0.93583623757816803</v>
      </c>
      <c r="D1101">
        <v>1.0120067243016599</v>
      </c>
      <c r="E1101">
        <v>1.32797900223524</v>
      </c>
      <c r="F1101">
        <v>1.56432990295795</v>
      </c>
      <c r="G1101">
        <v>1.3269400973399801</v>
      </c>
      <c r="H1101">
        <v>0.92154377187105296</v>
      </c>
      <c r="I1101">
        <v>0.73967463465403105</v>
      </c>
      <c r="J1101">
        <v>0.56218756958452798</v>
      </c>
      <c r="K1101">
        <v>0.63047474435791995</v>
      </c>
      <c r="L1101">
        <v>3583.7138662784701</v>
      </c>
      <c r="M1101">
        <v>56.770034448269101</v>
      </c>
      <c r="O1101">
        <v>63.048669616244702</v>
      </c>
      <c r="P1101">
        <v>-9.1465726826239602E-2</v>
      </c>
      <c r="Q1101">
        <v>0.59367370518903495</v>
      </c>
      <c r="R1101">
        <v>0.42261617370367399</v>
      </c>
      <c r="S1101" t="s">
        <v>6927</v>
      </c>
      <c r="T1101" t="s">
        <v>11650</v>
      </c>
      <c r="U1101" t="s">
        <v>11650</v>
      </c>
      <c r="V1101" t="s">
        <v>11650</v>
      </c>
      <c r="W1101" t="s">
        <v>12727</v>
      </c>
      <c r="X1101">
        <v>25</v>
      </c>
      <c r="Y1101" t="s">
        <v>18483</v>
      </c>
      <c r="Z1101" t="s">
        <v>24163</v>
      </c>
      <c r="AA1101">
        <v>0.90771221875045027</v>
      </c>
      <c r="AB1101" t="str">
        <f>HYPERLINK("Melting_Curves/meltCurve_K7ELL7_PRKCSH.pdf", "Melting_Curves/meltCurve_K7ELL7_PRKCSH.pdf")</f>
        <v>Melting_Curves/meltCurve_K7ELL7_PRKCSH.pdf</v>
      </c>
    </row>
    <row r="1102" spans="1:28" x14ac:dyDescent="0.25">
      <c r="A1102" t="s">
        <v>1106</v>
      </c>
      <c r="B1102">
        <v>0.99996721820229495</v>
      </c>
      <c r="C1102">
        <v>0.98859045280129898</v>
      </c>
      <c r="D1102">
        <v>1.00856494337437</v>
      </c>
      <c r="E1102">
        <v>0.93104549450013496</v>
      </c>
      <c r="F1102">
        <v>1.0513575161143101</v>
      </c>
      <c r="G1102">
        <v>0.82516335011668096</v>
      </c>
      <c r="H1102">
        <v>0.55901809069144104</v>
      </c>
      <c r="I1102">
        <v>0.39810417800043801</v>
      </c>
      <c r="J1102">
        <v>0.31789688365379098</v>
      </c>
      <c r="K1102">
        <v>0.27900732130373102</v>
      </c>
      <c r="L1102">
        <v>1527.7142453681199</v>
      </c>
      <c r="M1102">
        <v>25.472233487866699</v>
      </c>
      <c r="N1102">
        <v>61.839758888515298</v>
      </c>
      <c r="O1102">
        <v>59.609679789165902</v>
      </c>
      <c r="P1102">
        <v>-7.8200905394235298E-2</v>
      </c>
      <c r="Q1102">
        <v>0.26799151903635499</v>
      </c>
      <c r="R1102">
        <v>0.98782140770114701</v>
      </c>
      <c r="S1102" t="s">
        <v>6928</v>
      </c>
      <c r="T1102" t="s">
        <v>11650</v>
      </c>
      <c r="U1102" t="s">
        <v>11650</v>
      </c>
      <c r="V1102" t="s">
        <v>11650</v>
      </c>
      <c r="W1102" t="s">
        <v>12728</v>
      </c>
      <c r="X1102">
        <v>3</v>
      </c>
      <c r="Y1102" t="s">
        <v>18484</v>
      </c>
      <c r="Z1102" t="s">
        <v>24164</v>
      </c>
      <c r="AA1102">
        <v>0.76076009353067753</v>
      </c>
      <c r="AB1102" t="str">
        <f>HYPERLINK("Melting_Curves/meltCurve_K7ELY2_STX10.pdf", "Melting_Curves/meltCurve_K7ELY2_STX10.pdf")</f>
        <v>Melting_Curves/meltCurve_K7ELY2_STX10.pdf</v>
      </c>
    </row>
    <row r="1103" spans="1:28" x14ac:dyDescent="0.25">
      <c r="A1103" t="s">
        <v>1107</v>
      </c>
      <c r="B1103">
        <v>0.99996721820229495</v>
      </c>
      <c r="C1103">
        <v>1.0397982991963799</v>
      </c>
      <c r="D1103">
        <v>1.1079071541438199</v>
      </c>
      <c r="E1103">
        <v>1.49398234497395</v>
      </c>
      <c r="F1103">
        <v>2.3902231929657298</v>
      </c>
      <c r="G1103">
        <v>4.0699961193493603</v>
      </c>
      <c r="H1103">
        <v>3.2222365757796401</v>
      </c>
      <c r="I1103">
        <v>1.38356976981916</v>
      </c>
      <c r="J1103">
        <v>0.45511364643562302</v>
      </c>
      <c r="K1103">
        <v>0.31525493738335503</v>
      </c>
      <c r="L1103">
        <v>15000</v>
      </c>
      <c r="M1103">
        <v>225.237040133329</v>
      </c>
      <c r="N1103">
        <v>66.891908375749907</v>
      </c>
      <c r="O1103">
        <v>66.591256283943906</v>
      </c>
      <c r="P1103">
        <v>-0.57916282535706098</v>
      </c>
      <c r="Q1103">
        <v>0.315082811796559</v>
      </c>
      <c r="R1103">
        <v>-0.25854583962494498</v>
      </c>
      <c r="S1103" t="s">
        <v>6929</v>
      </c>
      <c r="T1103" t="s">
        <v>11650</v>
      </c>
      <c r="U1103" t="s">
        <v>11650</v>
      </c>
      <c r="V1103" t="s">
        <v>11650</v>
      </c>
      <c r="W1103" t="s">
        <v>12729</v>
      </c>
      <c r="X1103">
        <v>1</v>
      </c>
      <c r="Y1103" t="s">
        <v>18485</v>
      </c>
      <c r="Z1103" t="s">
        <v>24165</v>
      </c>
      <c r="AA1103">
        <v>0.92239478529707852</v>
      </c>
      <c r="AB1103" t="str">
        <f>HYPERLINK("Melting_Curves/meltCurve_K7EM02_KATNAL2.pdf", "Melting_Curves/meltCurve_K7EM02_KATNAL2.pdf")</f>
        <v>Melting_Curves/meltCurve_K7EM02_KATNAL2.pdf</v>
      </c>
    </row>
    <row r="1104" spans="1:28" x14ac:dyDescent="0.25">
      <c r="A1104" t="s">
        <v>1108</v>
      </c>
      <c r="B1104">
        <v>0.99996721820229495</v>
      </c>
      <c r="C1104">
        <v>0.80060294140612898</v>
      </c>
      <c r="D1104">
        <v>1.0004418557119299</v>
      </c>
      <c r="E1104">
        <v>1.09592661364424</v>
      </c>
      <c r="F1104">
        <v>1.1394287236146099</v>
      </c>
      <c r="G1104">
        <v>0.91833180612974796</v>
      </c>
      <c r="H1104">
        <v>0.64991355958101005</v>
      </c>
      <c r="I1104">
        <v>0.51584320798064298</v>
      </c>
      <c r="J1104">
        <v>0.306566452697561</v>
      </c>
      <c r="K1104">
        <v>0.27054992316973597</v>
      </c>
      <c r="L1104">
        <v>1604.00004393839</v>
      </c>
      <c r="M1104">
        <v>25.911339109286899</v>
      </c>
      <c r="N1104">
        <v>63.4630643588713</v>
      </c>
      <c r="O1104">
        <v>61.538221418667</v>
      </c>
      <c r="P1104">
        <v>-8.0475446478648294E-2</v>
      </c>
      <c r="Q1104">
        <v>0.23550721934591701</v>
      </c>
      <c r="R1104">
        <v>0.916579817141568</v>
      </c>
      <c r="S1104" t="s">
        <v>6930</v>
      </c>
      <c r="T1104" t="s">
        <v>11650</v>
      </c>
      <c r="U1104" t="s">
        <v>11650</v>
      </c>
      <c r="V1104" t="s">
        <v>11650</v>
      </c>
      <c r="W1104" t="s">
        <v>12730</v>
      </c>
      <c r="X1104">
        <v>3</v>
      </c>
      <c r="Y1104" t="s">
        <v>18486</v>
      </c>
      <c r="Z1104" t="s">
        <v>24166</v>
      </c>
      <c r="AA1104">
        <v>0.79738795869845702</v>
      </c>
      <c r="AB1104" t="str">
        <f>HYPERLINK("Melting_Curves/meltCurve_K7EM09_TMEM205.pdf", "Melting_Curves/meltCurve_K7EM09_TMEM205.pdf")</f>
        <v>Melting_Curves/meltCurve_K7EM09_TMEM205.pdf</v>
      </c>
    </row>
    <row r="1105" spans="1:28" x14ac:dyDescent="0.25">
      <c r="A1105" t="s">
        <v>1109</v>
      </c>
      <c r="B1105">
        <v>0.99996721820229495</v>
      </c>
      <c r="C1105">
        <v>0.98616905680702605</v>
      </c>
      <c r="D1105">
        <v>1.0400535376723901</v>
      </c>
      <c r="E1105">
        <v>1.1234833779014499</v>
      </c>
      <c r="F1105">
        <v>1.3557392076530901</v>
      </c>
      <c r="G1105">
        <v>0.92594455419909705</v>
      </c>
      <c r="H1105">
        <v>0.53471034716176502</v>
      </c>
      <c r="I1105">
        <v>0.421033456888536</v>
      </c>
      <c r="J1105">
        <v>0.25584423374847398</v>
      </c>
      <c r="K1105">
        <v>0.19555168801370801</v>
      </c>
      <c r="L1105">
        <v>2075.4792727464901</v>
      </c>
      <c r="M1105">
        <v>34.1874935381772</v>
      </c>
      <c r="N1105">
        <v>61.815080151254001</v>
      </c>
      <c r="O1105">
        <v>60.502139662824398</v>
      </c>
      <c r="P1105">
        <v>-0.10893958115501599</v>
      </c>
      <c r="Q1105">
        <v>0.228834700764532</v>
      </c>
      <c r="R1105">
        <v>0.88999672739469904</v>
      </c>
      <c r="S1105" t="s">
        <v>6931</v>
      </c>
      <c r="T1105" t="s">
        <v>11650</v>
      </c>
      <c r="U1105" t="s">
        <v>11650</v>
      </c>
      <c r="V1105" t="s">
        <v>11650</v>
      </c>
      <c r="W1105" t="s">
        <v>12731</v>
      </c>
      <c r="X1105">
        <v>15</v>
      </c>
      <c r="Y1105" t="s">
        <v>18487</v>
      </c>
      <c r="Z1105" t="s">
        <v>24167</v>
      </c>
      <c r="AA1105">
        <v>0.76491456297837745</v>
      </c>
      <c r="AB1105" t="str">
        <f>HYPERLINK("Melting_Curves/meltCurve_K7EM38_ACTG1.pdf", "Melting_Curves/meltCurve_K7EM38_ACTG1.pdf")</f>
        <v>Melting_Curves/meltCurve_K7EM38_ACTG1.pdf</v>
      </c>
    </row>
    <row r="1106" spans="1:28" x14ac:dyDescent="0.25">
      <c r="A1106" t="s">
        <v>1110</v>
      </c>
      <c r="B1106">
        <v>0.99996721820229495</v>
      </c>
      <c r="C1106">
        <v>0.39821335864268897</v>
      </c>
      <c r="D1106">
        <v>0.36162224412576199</v>
      </c>
      <c r="E1106">
        <v>0.82022094435150295</v>
      </c>
      <c r="F1106">
        <v>0.45397336816912598</v>
      </c>
      <c r="G1106">
        <v>0.20162661176065999</v>
      </c>
      <c r="H1106">
        <v>0.219028521268152</v>
      </c>
      <c r="I1106">
        <v>0.17405056806381999</v>
      </c>
      <c r="J1106">
        <v>0.2326138104347</v>
      </c>
      <c r="K1106">
        <v>0.25051638451877001</v>
      </c>
      <c r="L1106">
        <v>275.30064312343302</v>
      </c>
      <c r="M1106">
        <v>5.8339933889049496</v>
      </c>
      <c r="N1106">
        <v>48.521168930797103</v>
      </c>
      <c r="O1106">
        <v>42.531688258049698</v>
      </c>
      <c r="P1106">
        <v>-3.18680698687627E-2</v>
      </c>
      <c r="Q1106">
        <v>7.3999542102920798E-2</v>
      </c>
      <c r="R1106">
        <v>0.534876066333274</v>
      </c>
      <c r="S1106" t="s">
        <v>6932</v>
      </c>
      <c r="T1106" t="s">
        <v>11650</v>
      </c>
      <c r="U1106" t="s">
        <v>11650</v>
      </c>
      <c r="V1106" t="s">
        <v>11650</v>
      </c>
      <c r="W1106" t="s">
        <v>12732</v>
      </c>
      <c r="X1106">
        <v>1</v>
      </c>
      <c r="Y1106" t="s">
        <v>18488</v>
      </c>
      <c r="Z1106" t="s">
        <v>24168</v>
      </c>
      <c r="AA1106">
        <v>0.3994608513567447</v>
      </c>
      <c r="AB1106" t="str">
        <f>HYPERLINK("Melting_Curves/meltCurve_K7EM88_UBALD1.pdf", "Melting_Curves/meltCurve_K7EM88_UBALD1.pdf")</f>
        <v>Melting_Curves/meltCurve_K7EM88_UBALD1.pdf</v>
      </c>
    </row>
    <row r="1107" spans="1:28" x14ac:dyDescent="0.25">
      <c r="A1107" t="s">
        <v>1111</v>
      </c>
      <c r="B1107">
        <v>0.99996721820229495</v>
      </c>
      <c r="C1107">
        <v>1.02391288595964</v>
      </c>
      <c r="D1107">
        <v>1.06481794836663</v>
      </c>
      <c r="E1107">
        <v>0.93937236443313699</v>
      </c>
      <c r="F1107">
        <v>0.84463564844256001</v>
      </c>
      <c r="G1107">
        <v>0.54357880486424703</v>
      </c>
      <c r="H1107">
        <v>0.23578422183966599</v>
      </c>
      <c r="I1107">
        <v>0.126940601642516</v>
      </c>
      <c r="J1107">
        <v>0.105625296630143</v>
      </c>
      <c r="K1107">
        <v>7.2750435976741107E-2</v>
      </c>
      <c r="L1107">
        <v>1249.51352186285</v>
      </c>
      <c r="M1107">
        <v>21.9033781060647</v>
      </c>
      <c r="N1107">
        <v>57.369486290268902</v>
      </c>
      <c r="O1107">
        <v>56.577491630966897</v>
      </c>
      <c r="P1107">
        <v>-9.1174534297486606E-2</v>
      </c>
      <c r="Q1107">
        <v>5.79883984060139E-2</v>
      </c>
      <c r="R1107">
        <v>0.99609245515937395</v>
      </c>
      <c r="S1107" t="s">
        <v>6933</v>
      </c>
      <c r="T1107" t="s">
        <v>11650</v>
      </c>
      <c r="U1107" t="s">
        <v>11650</v>
      </c>
      <c r="V1107" t="s">
        <v>11650</v>
      </c>
      <c r="W1107" t="s">
        <v>12733</v>
      </c>
      <c r="X1107">
        <v>1</v>
      </c>
      <c r="Y1107" t="s">
        <v>18489</v>
      </c>
      <c r="Z1107" t="s">
        <v>24169</v>
      </c>
      <c r="AA1107">
        <v>0.60351371117269503</v>
      </c>
      <c r="AB1107" t="str">
        <f>HYPERLINK("Melting_Curves/meltCurve_K7EN05_ELOF1.pdf", "Melting_Curves/meltCurve_K7EN05_ELOF1.pdf")</f>
        <v>Melting_Curves/meltCurve_K7EN05_ELOF1.pdf</v>
      </c>
    </row>
    <row r="1108" spans="1:28" x14ac:dyDescent="0.25">
      <c r="A1108" t="s">
        <v>1112</v>
      </c>
      <c r="B1108">
        <v>0.99996721820229495</v>
      </c>
      <c r="C1108">
        <v>0.91465335355461497</v>
      </c>
      <c r="D1108">
        <v>0.94866322821422</v>
      </c>
      <c r="E1108">
        <v>1.06597900926101</v>
      </c>
      <c r="F1108">
        <v>1.2513809730863501</v>
      </c>
      <c r="G1108">
        <v>1.1952609779607699</v>
      </c>
      <c r="H1108">
        <v>0.887865039023923</v>
      </c>
      <c r="I1108">
        <v>0.67120218432137102</v>
      </c>
      <c r="J1108">
        <v>0.54066433004367798</v>
      </c>
      <c r="K1108">
        <v>0.42965825968327598</v>
      </c>
      <c r="L1108">
        <v>2565.5547008293402</v>
      </c>
      <c r="M1108">
        <v>40.400437630371798</v>
      </c>
      <c r="N1108">
        <v>67.141717460361093</v>
      </c>
      <c r="O1108">
        <v>63.348147791952996</v>
      </c>
      <c r="P1108">
        <v>-8.8646541452504293E-2</v>
      </c>
      <c r="Q1108">
        <v>0.44400770359887598</v>
      </c>
      <c r="R1108">
        <v>0.81536215406995105</v>
      </c>
      <c r="S1108" t="s">
        <v>6934</v>
      </c>
      <c r="T1108" t="s">
        <v>11650</v>
      </c>
      <c r="U1108" t="s">
        <v>11650</v>
      </c>
      <c r="V1108" t="s">
        <v>11650</v>
      </c>
      <c r="W1108" t="s">
        <v>12734</v>
      </c>
      <c r="X1108">
        <v>2</v>
      </c>
      <c r="Y1108" t="s">
        <v>18490</v>
      </c>
      <c r="Z1108" t="s">
        <v>24170</v>
      </c>
      <c r="AA1108">
        <v>0.88111343967251488</v>
      </c>
      <c r="AB1108" t="str">
        <f>HYPERLINK("Melting_Curves/meltCurve_K7EN08_NFIX.pdf", "Melting_Curves/meltCurve_K7EN08_NFIX.pdf")</f>
        <v>Melting_Curves/meltCurve_K7EN08_NFIX.pdf</v>
      </c>
    </row>
    <row r="1109" spans="1:28" x14ac:dyDescent="0.25">
      <c r="A1109" t="s">
        <v>1113</v>
      </c>
      <c r="B1109">
        <v>0.99996721820229495</v>
      </c>
      <c r="C1109">
        <v>1.21496073387985</v>
      </c>
      <c r="D1109">
        <v>1.4250453085374</v>
      </c>
      <c r="E1109">
        <v>1.66857626637881</v>
      </c>
      <c r="F1109">
        <v>0.91755552435104104</v>
      </c>
      <c r="G1109">
        <v>0.87502089634473301</v>
      </c>
      <c r="H1109">
        <v>0.53108039460421397</v>
      </c>
      <c r="I1109">
        <v>0.44698832617569401</v>
      </c>
      <c r="J1109">
        <v>0.359097530288991</v>
      </c>
      <c r="K1109">
        <v>0.26525921538918801</v>
      </c>
      <c r="L1109">
        <v>1763.8365058765501</v>
      </c>
      <c r="M1109">
        <v>29.4538826129765</v>
      </c>
      <c r="N1109">
        <v>61.868353194459701</v>
      </c>
      <c r="O1109">
        <v>59.610674191873599</v>
      </c>
      <c r="P1109">
        <v>-8.5784741084717897E-2</v>
      </c>
      <c r="Q1109">
        <v>0.30553802651714002</v>
      </c>
      <c r="R1109">
        <v>0.65684670602085604</v>
      </c>
      <c r="S1109" t="s">
        <v>6935</v>
      </c>
      <c r="T1109" t="s">
        <v>11650</v>
      </c>
      <c r="U1109" t="s">
        <v>11650</v>
      </c>
      <c r="V1109" t="s">
        <v>11650</v>
      </c>
      <c r="W1109" t="s">
        <v>12735</v>
      </c>
      <c r="X1109">
        <v>1</v>
      </c>
      <c r="Y1109" t="s">
        <v>18491</v>
      </c>
      <c r="Z1109" t="s">
        <v>24171</v>
      </c>
      <c r="AA1109">
        <v>0.77019960293136625</v>
      </c>
      <c r="AB1109" t="str">
        <f>HYPERLINK("Melting_Curves/meltCurve_K7ENF0_NARS.pdf", "Melting_Curves/meltCurve_K7ENF0_NARS.pdf")</f>
        <v>Melting_Curves/meltCurve_K7ENF0_NARS.pdf</v>
      </c>
    </row>
    <row r="1110" spans="1:28" x14ac:dyDescent="0.25">
      <c r="A1110" t="s">
        <v>1114</v>
      </c>
      <c r="B1110">
        <v>0.99996721820229495</v>
      </c>
      <c r="C1110">
        <v>0.88043353301595195</v>
      </c>
      <c r="D1110">
        <v>0.95531579997252203</v>
      </c>
      <c r="E1110">
        <v>1.2496068192730101</v>
      </c>
      <c r="F1110">
        <v>0.24269567744655901</v>
      </c>
      <c r="G1110">
        <v>0.13759854448925099</v>
      </c>
      <c r="H1110">
        <v>6.0465517266650899E-2</v>
      </c>
      <c r="I1110">
        <v>0</v>
      </c>
      <c r="J1110">
        <v>0</v>
      </c>
      <c r="K1110">
        <v>0</v>
      </c>
      <c r="L1110">
        <v>13180.2447084747</v>
      </c>
      <c r="M1110">
        <v>250</v>
      </c>
      <c r="N1110">
        <v>52.738378766607397</v>
      </c>
      <c r="O1110">
        <v>52.717605079565601</v>
      </c>
      <c r="P1110">
        <v>-1.13859905385377</v>
      </c>
      <c r="Q1110">
        <v>3.9612557588814497E-2</v>
      </c>
      <c r="R1110">
        <v>0.95910046948087702</v>
      </c>
      <c r="S1110" t="s">
        <v>6936</v>
      </c>
      <c r="T1110" t="s">
        <v>11650</v>
      </c>
      <c r="U1110" t="s">
        <v>11650</v>
      </c>
      <c r="V1110" t="s">
        <v>11650</v>
      </c>
      <c r="W1110" t="s">
        <v>12736</v>
      </c>
      <c r="X1110">
        <v>3</v>
      </c>
      <c r="Y1110" t="s">
        <v>18492</v>
      </c>
      <c r="Z1110" t="s">
        <v>24172</v>
      </c>
      <c r="AA1110">
        <v>0.44693702786268008</v>
      </c>
      <c r="AB1110" t="str">
        <f>HYPERLINK("Melting_Curves/meltCurve_K7ENL9_C18orf8.pdf", "Melting_Curves/meltCurve_K7ENL9_C18orf8.pdf")</f>
        <v>Melting_Curves/meltCurve_K7ENL9_C18orf8.pdf</v>
      </c>
    </row>
    <row r="1111" spans="1:28" x14ac:dyDescent="0.25">
      <c r="A1111" t="s">
        <v>1115</v>
      </c>
      <c r="B1111">
        <v>0.99996721820229495</v>
      </c>
      <c r="C1111">
        <v>1.07012906401781</v>
      </c>
      <c r="D1111">
        <v>1.10783389848338</v>
      </c>
      <c r="E1111">
        <v>1.14804474149376</v>
      </c>
      <c r="F1111">
        <v>1.3552487026646001</v>
      </c>
      <c r="G1111">
        <v>1.05347208825798</v>
      </c>
      <c r="H1111">
        <v>0.39082823103283798</v>
      </c>
      <c r="I1111">
        <v>0.20464086731685699</v>
      </c>
      <c r="J1111">
        <v>0.16251268070196101</v>
      </c>
      <c r="K1111">
        <v>0.10053283611576699</v>
      </c>
      <c r="L1111">
        <v>6375.9003738320498</v>
      </c>
      <c r="M1111">
        <v>105.464374049686</v>
      </c>
      <c r="N1111">
        <v>60.6685818304585</v>
      </c>
      <c r="O1111">
        <v>60.433765798915097</v>
      </c>
      <c r="P1111">
        <v>-0.36875236000028599</v>
      </c>
      <c r="Q1111">
        <v>0.15478221359123201</v>
      </c>
      <c r="R1111">
        <v>0.91774590275293999</v>
      </c>
      <c r="S1111" t="s">
        <v>6937</v>
      </c>
      <c r="T1111" t="s">
        <v>11650</v>
      </c>
      <c r="U1111" t="s">
        <v>11650</v>
      </c>
      <c r="V1111" t="s">
        <v>11650</v>
      </c>
      <c r="W1111" t="s">
        <v>12737</v>
      </c>
      <c r="X1111">
        <v>8</v>
      </c>
      <c r="Y1111" t="s">
        <v>18493</v>
      </c>
      <c r="Z1111" t="s">
        <v>24173</v>
      </c>
      <c r="AA1111">
        <v>0.73159807526597165</v>
      </c>
      <c r="AB1111" t="str">
        <f>HYPERLINK("Melting_Curves/meltCurve_K7ENR6_PSMG2.pdf", "Melting_Curves/meltCurve_K7ENR6_PSMG2.pdf")</f>
        <v>Melting_Curves/meltCurve_K7ENR6_PSMG2.pdf</v>
      </c>
    </row>
    <row r="1112" spans="1:28" x14ac:dyDescent="0.25">
      <c r="A1112" t="s">
        <v>1116</v>
      </c>
      <c r="B1112">
        <v>0.99996721820229495</v>
      </c>
      <c r="C1112">
        <v>0.75975087174820499</v>
      </c>
      <c r="D1112">
        <v>0.38410334995153</v>
      </c>
      <c r="E1112">
        <v>0.27983521270591999</v>
      </c>
      <c r="F1112">
        <v>0.270044906623509</v>
      </c>
      <c r="G1112">
        <v>0.212586377992947</v>
      </c>
      <c r="H1112">
        <v>0.139631512210728</v>
      </c>
      <c r="I1112">
        <v>0.12560991796243001</v>
      </c>
      <c r="J1112">
        <v>8.2618962332931506E-2</v>
      </c>
      <c r="K1112">
        <v>7.7065451347216707E-2</v>
      </c>
      <c r="L1112">
        <v>938.27095877716101</v>
      </c>
      <c r="M1112">
        <v>20.987484725559</v>
      </c>
      <c r="N1112">
        <v>45.447650723651897</v>
      </c>
      <c r="O1112">
        <v>44.3062697363981</v>
      </c>
      <c r="P1112">
        <v>-0.101258322718524</v>
      </c>
      <c r="Q1112">
        <v>0.14496511533047901</v>
      </c>
      <c r="R1112">
        <v>0.96166274902386795</v>
      </c>
      <c r="S1112" t="s">
        <v>6938</v>
      </c>
      <c r="T1112" t="s">
        <v>11650</v>
      </c>
      <c r="U1112" t="s">
        <v>11650</v>
      </c>
      <c r="V1112" t="s">
        <v>11650</v>
      </c>
      <c r="W1112" t="s">
        <v>12738</v>
      </c>
      <c r="X1112">
        <v>6</v>
      </c>
      <c r="Y1112" t="s">
        <v>18494</v>
      </c>
      <c r="Z1112" t="s">
        <v>24174</v>
      </c>
      <c r="AA1112">
        <v>0.29249033454404422</v>
      </c>
      <c r="AB1112" t="str">
        <f>HYPERLINK("Melting_Curves/meltCurve_K7EP32_UBXN6.pdf", "Melting_Curves/meltCurve_K7EP32_UBXN6.pdf")</f>
        <v>Melting_Curves/meltCurve_K7EP32_UBXN6.pdf</v>
      </c>
    </row>
    <row r="1113" spans="1:28" x14ac:dyDescent="0.25">
      <c r="A1113" t="s">
        <v>1117</v>
      </c>
      <c r="B1113">
        <v>0.99996721820229495</v>
      </c>
      <c r="C1113">
        <v>1.06019010214027</v>
      </c>
      <c r="D1113">
        <v>0.80396732966800399</v>
      </c>
      <c r="E1113">
        <v>0.814954285336558</v>
      </c>
      <c r="F1113">
        <v>1.5707936294355</v>
      </c>
      <c r="G1113">
        <v>2.0275502180932499</v>
      </c>
      <c r="H1113">
        <v>1.3034945995779901</v>
      </c>
      <c r="I1113">
        <v>0.48773347640676901</v>
      </c>
      <c r="J1113">
        <v>0.12624948625416099</v>
      </c>
      <c r="K1113">
        <v>0.23972995064108901</v>
      </c>
      <c r="L1113">
        <v>15000</v>
      </c>
      <c r="M1113">
        <v>234.89425176651301</v>
      </c>
      <c r="N1113">
        <v>63.982637051427702</v>
      </c>
      <c r="O1113">
        <v>63.853897723407698</v>
      </c>
      <c r="P1113">
        <v>-0.75137621598813797</v>
      </c>
      <c r="Q1113">
        <v>0.18298047876759899</v>
      </c>
      <c r="R1113">
        <v>0.50143155260868499</v>
      </c>
      <c r="S1113" t="s">
        <v>6939</v>
      </c>
      <c r="T1113" t="s">
        <v>11650</v>
      </c>
      <c r="U1113" t="s">
        <v>11650</v>
      </c>
      <c r="V1113" t="s">
        <v>11650</v>
      </c>
      <c r="W1113" t="s">
        <v>12739</v>
      </c>
      <c r="X1113">
        <v>10</v>
      </c>
      <c r="Y1113" t="s">
        <v>18475</v>
      </c>
      <c r="Z1113" t="s">
        <v>24175</v>
      </c>
      <c r="AA1113">
        <v>0.83284683822083194</v>
      </c>
      <c r="AB1113" t="str">
        <f>HYPERLINK("Melting_Curves/meltCurve_K7EP80_CAPNS1.pdf", "Melting_Curves/meltCurve_K7EP80_CAPNS1.pdf")</f>
        <v>Melting_Curves/meltCurve_K7EP80_CAPNS1.pdf</v>
      </c>
    </row>
    <row r="1114" spans="1:28" x14ac:dyDescent="0.25">
      <c r="A1114" t="s">
        <v>1118</v>
      </c>
      <c r="B1114">
        <v>0.99996721820229495</v>
      </c>
      <c r="C1114">
        <v>1.26111521493718</v>
      </c>
      <c r="D1114">
        <v>1.50283747004059</v>
      </c>
      <c r="E1114">
        <v>1.4059891319015101</v>
      </c>
      <c r="F1114">
        <v>3.9795358573435702</v>
      </c>
      <c r="G1114">
        <v>5.5240798580329198</v>
      </c>
      <c r="H1114">
        <v>5.6516551222920599</v>
      </c>
      <c r="I1114">
        <v>1.6904130107666699</v>
      </c>
      <c r="J1114">
        <v>0.56981342540056201</v>
      </c>
      <c r="K1114">
        <v>0.25600079926640501</v>
      </c>
      <c r="L1114">
        <v>1329.16923404212</v>
      </c>
      <c r="M1114">
        <v>5.9439361682817298</v>
      </c>
      <c r="Q1114">
        <v>0.83658100352666498</v>
      </c>
      <c r="R1114">
        <v>-0.45560801582149402</v>
      </c>
      <c r="S1114" t="s">
        <v>6940</v>
      </c>
      <c r="T1114" t="s">
        <v>11650</v>
      </c>
      <c r="U1114" t="s">
        <v>11650</v>
      </c>
      <c r="V1114" t="s">
        <v>11650</v>
      </c>
      <c r="W1114" t="s">
        <v>12740</v>
      </c>
      <c r="X1114">
        <v>3</v>
      </c>
      <c r="Y1114" t="s">
        <v>18028</v>
      </c>
      <c r="Z1114" t="s">
        <v>24176</v>
      </c>
      <c r="AA1114">
        <v>0.99999996054462581</v>
      </c>
      <c r="AB1114" t="str">
        <f>HYPERLINK("Melting_Curves/meltCurve_K7EPE7_VMP1.pdf", "Melting_Curves/meltCurve_K7EPE7_VMP1.pdf")</f>
        <v>Melting_Curves/meltCurve_K7EPE7_VMP1.pdf</v>
      </c>
    </row>
    <row r="1115" spans="1:28" x14ac:dyDescent="0.25">
      <c r="A1115" t="s">
        <v>1119</v>
      </c>
      <c r="B1115">
        <v>0.99996721820229495</v>
      </c>
      <c r="C1115">
        <v>0.92717439918001698</v>
      </c>
      <c r="D1115">
        <v>1.0029338002117201</v>
      </c>
      <c r="E1115">
        <v>0.83044434535756495</v>
      </c>
      <c r="F1115">
        <v>1.2026582373144099</v>
      </c>
      <c r="G1115">
        <v>1.12493983057672</v>
      </c>
      <c r="H1115">
        <v>0.70756784802779504</v>
      </c>
      <c r="I1115">
        <v>0.49217578732453199</v>
      </c>
      <c r="J1115">
        <v>0.48136480428172501</v>
      </c>
      <c r="K1115">
        <v>0.20977108720573101</v>
      </c>
      <c r="L1115">
        <v>2077.8744094183899</v>
      </c>
      <c r="M1115">
        <v>33.351164292461</v>
      </c>
      <c r="N1115">
        <v>63.991025901774499</v>
      </c>
      <c r="O1115">
        <v>62.080186071312099</v>
      </c>
      <c r="P1115">
        <v>-9.5012800513274903E-2</v>
      </c>
      <c r="Q1115">
        <v>0.29257195061293401</v>
      </c>
      <c r="R1115">
        <v>0.85886102786828999</v>
      </c>
      <c r="S1115" t="s">
        <v>6941</v>
      </c>
      <c r="T1115" t="s">
        <v>11650</v>
      </c>
      <c r="U1115" t="s">
        <v>11650</v>
      </c>
      <c r="V1115" t="s">
        <v>11650</v>
      </c>
      <c r="W1115" t="s">
        <v>12741</v>
      </c>
      <c r="X1115">
        <v>1</v>
      </c>
      <c r="Y1115" t="s">
        <v>18495</v>
      </c>
      <c r="Z1115" t="s">
        <v>24177</v>
      </c>
      <c r="AA1115">
        <v>0.82138713730508051</v>
      </c>
      <c r="AB1115" t="str">
        <f>HYPERLINK("Melting_Curves/meltCurve_K7EPW6_C16orf71.pdf", "Melting_Curves/meltCurve_K7EPW6_C16orf71.pdf")</f>
        <v>Melting_Curves/meltCurve_K7EPW6_C16orf71.pdf</v>
      </c>
    </row>
    <row r="1116" spans="1:28" x14ac:dyDescent="0.25">
      <c r="A1116" t="s">
        <v>1120</v>
      </c>
      <c r="B1116">
        <v>0.99996721820229495</v>
      </c>
      <c r="C1116">
        <v>0.85012264728541698</v>
      </c>
      <c r="D1116">
        <v>0.84732626095709296</v>
      </c>
      <c r="E1116">
        <v>1.0295792287524099</v>
      </c>
      <c r="F1116">
        <v>0.89559208152743897</v>
      </c>
      <c r="G1116">
        <v>0.44821524821918401</v>
      </c>
      <c r="H1116">
        <v>0.228424894867364</v>
      </c>
      <c r="I1116">
        <v>6.24673675586963E-2</v>
      </c>
      <c r="J1116">
        <v>7.5019214885188396E-2</v>
      </c>
      <c r="K1116">
        <v>4.3391967292778999E-2</v>
      </c>
      <c r="L1116">
        <v>1564.8744152296399</v>
      </c>
      <c r="M1116">
        <v>27.642895884058799</v>
      </c>
      <c r="N1116">
        <v>56.849342031431704</v>
      </c>
      <c r="O1116">
        <v>56.3165853540835</v>
      </c>
      <c r="P1116">
        <v>-0.115982005985201</v>
      </c>
      <c r="Q1116">
        <v>5.4852770858269499E-2</v>
      </c>
      <c r="R1116">
        <v>0.96515781788149302</v>
      </c>
      <c r="S1116" t="s">
        <v>6942</v>
      </c>
      <c r="T1116" t="s">
        <v>11650</v>
      </c>
      <c r="U1116" t="s">
        <v>11650</v>
      </c>
      <c r="V1116" t="s">
        <v>11650</v>
      </c>
      <c r="W1116" t="s">
        <v>12742</v>
      </c>
      <c r="X1116">
        <v>1</v>
      </c>
      <c r="Y1116" t="s">
        <v>18496</v>
      </c>
      <c r="Z1116" t="s">
        <v>24178</v>
      </c>
      <c r="AA1116">
        <v>0.58543548678271806</v>
      </c>
      <c r="AB1116" t="str">
        <f>HYPERLINK("Melting_Curves/meltCurve_K7EQG1_QPCTL.pdf", "Melting_Curves/meltCurve_K7EQG1_QPCTL.pdf")</f>
        <v>Melting_Curves/meltCurve_K7EQG1_QPCTL.pdf</v>
      </c>
    </row>
    <row r="1117" spans="1:28" x14ac:dyDescent="0.25">
      <c r="A1117" t="s">
        <v>1121</v>
      </c>
      <c r="B1117">
        <v>0.99996721820229495</v>
      </c>
      <c r="C1117">
        <v>0.93758863372855095</v>
      </c>
      <c r="D1117">
        <v>1.0585735649349299</v>
      </c>
      <c r="E1117">
        <v>1.1121838292400901</v>
      </c>
      <c r="F1117">
        <v>1.60145240219844</v>
      </c>
      <c r="G1117">
        <v>1.6238616816317999</v>
      </c>
      <c r="H1117">
        <v>1.0903678074507701</v>
      </c>
      <c r="I1117">
        <v>0.73738659653967298</v>
      </c>
      <c r="J1117">
        <v>0.65861901941628598</v>
      </c>
      <c r="K1117">
        <v>0.55385419832896399</v>
      </c>
      <c r="L1117">
        <v>15000</v>
      </c>
      <c r="M1117">
        <v>235.069166814315</v>
      </c>
      <c r="O1117">
        <v>63.806389131547903</v>
      </c>
      <c r="P1117">
        <v>-0.36267150282488603</v>
      </c>
      <c r="Q1117">
        <v>0.60623064854938202</v>
      </c>
      <c r="R1117">
        <v>0.31757721589516602</v>
      </c>
      <c r="S1117" t="s">
        <v>6943</v>
      </c>
      <c r="T1117" t="s">
        <v>11650</v>
      </c>
      <c r="U1117" t="s">
        <v>11650</v>
      </c>
      <c r="V1117" t="s">
        <v>11650</v>
      </c>
      <c r="W1117" t="s">
        <v>12743</v>
      </c>
      <c r="X1117">
        <v>1</v>
      </c>
      <c r="Y1117" t="s">
        <v>18497</v>
      </c>
      <c r="Z1117" t="s">
        <v>24179</v>
      </c>
      <c r="AA1117">
        <v>0.9188153391100139</v>
      </c>
      <c r="AB1117" t="str">
        <f>HYPERLINK("Melting_Curves/meltCurve_K7EQG4_FXYD1.pdf", "Melting_Curves/meltCurve_K7EQG4_FXYD1.pdf")</f>
        <v>Melting_Curves/meltCurve_K7EQG4_FXYD1.pdf</v>
      </c>
    </row>
    <row r="1118" spans="1:28" x14ac:dyDescent="0.25">
      <c r="A1118" t="s">
        <v>1122</v>
      </c>
      <c r="B1118">
        <v>0.99996721820229495</v>
      </c>
      <c r="C1118">
        <v>0.89471451372889199</v>
      </c>
      <c r="D1118">
        <v>0.80456951330181004</v>
      </c>
      <c r="E1118">
        <v>0.97683573029585002</v>
      </c>
      <c r="F1118">
        <v>1.1820818234224999</v>
      </c>
      <c r="G1118">
        <v>1.5372786577684801</v>
      </c>
      <c r="H1118">
        <v>1.17876101246174</v>
      </c>
      <c r="I1118">
        <v>1.1230958706624901</v>
      </c>
      <c r="J1118">
        <v>0.73047135759333703</v>
      </c>
      <c r="K1118">
        <v>0.61696919459941502</v>
      </c>
      <c r="L1118">
        <v>15000</v>
      </c>
      <c r="M1118">
        <v>224.74469844380701</v>
      </c>
      <c r="O1118">
        <v>66.737134020687193</v>
      </c>
      <c r="P1118">
        <v>-0.32250019247949602</v>
      </c>
      <c r="Q1118">
        <v>0.61693900972371396</v>
      </c>
      <c r="R1118">
        <v>0.34355046847948201</v>
      </c>
      <c r="S1118" t="s">
        <v>6944</v>
      </c>
      <c r="T1118" t="s">
        <v>11650</v>
      </c>
      <c r="U1118" t="s">
        <v>11650</v>
      </c>
      <c r="V1118" t="s">
        <v>11650</v>
      </c>
      <c r="W1118" t="s">
        <v>12744</v>
      </c>
      <c r="X1118">
        <v>5</v>
      </c>
      <c r="Y1118" t="s">
        <v>18498</v>
      </c>
      <c r="Z1118" t="s">
        <v>24180</v>
      </c>
      <c r="AA1118">
        <v>0.9584600534738833</v>
      </c>
      <c r="AB1118" t="str">
        <f>HYPERLINK("Melting_Curves/meltCurve_K7EQX8_MXRA7.pdf", "Melting_Curves/meltCurve_K7EQX8_MXRA7.pdf")</f>
        <v>Melting_Curves/meltCurve_K7EQX8_MXRA7.pdf</v>
      </c>
    </row>
    <row r="1119" spans="1:28" x14ac:dyDescent="0.25">
      <c r="A1119" t="s">
        <v>1123</v>
      </c>
      <c r="B1119">
        <v>0.99996721820229495</v>
      </c>
      <c r="C1119">
        <v>0.95072178599993495</v>
      </c>
      <c r="D1119">
        <v>0.86549486894961403</v>
      </c>
      <c r="E1119">
        <v>1.1024967703588899</v>
      </c>
      <c r="F1119">
        <v>0.86360588471425004</v>
      </c>
      <c r="G1119">
        <v>0.591381528438923</v>
      </c>
      <c r="H1119">
        <v>0.52945340002471397</v>
      </c>
      <c r="I1119">
        <v>0.41168889705674699</v>
      </c>
      <c r="J1119">
        <v>0.33295036776923898</v>
      </c>
      <c r="K1119">
        <v>0.42742508460862899</v>
      </c>
      <c r="L1119">
        <v>1531.9475301381101</v>
      </c>
      <c r="M1119">
        <v>27.438375860007401</v>
      </c>
      <c r="N1119">
        <v>59.307497941337999</v>
      </c>
      <c r="O1119">
        <v>55.5382582988331</v>
      </c>
      <c r="P1119">
        <v>-7.4127763111535794E-2</v>
      </c>
      <c r="Q1119">
        <v>0.399834954251087</v>
      </c>
      <c r="R1119">
        <v>0.93016464163272605</v>
      </c>
      <c r="S1119" t="s">
        <v>6945</v>
      </c>
      <c r="T1119" t="s">
        <v>11650</v>
      </c>
      <c r="U1119" t="s">
        <v>11650</v>
      </c>
      <c r="V1119" t="s">
        <v>11650</v>
      </c>
      <c r="W1119" t="s">
        <v>12745</v>
      </c>
      <c r="X1119">
        <v>2</v>
      </c>
      <c r="Y1119" t="s">
        <v>18499</v>
      </c>
      <c r="Z1119" t="s">
        <v>24181</v>
      </c>
      <c r="AA1119">
        <v>0.72126892563287903</v>
      </c>
      <c r="AB1119" t="str">
        <f>HYPERLINK("Melting_Curves/meltCurve_K7ER00_FARSA.pdf", "Melting_Curves/meltCurve_K7ER00_FARSA.pdf")</f>
        <v>Melting_Curves/meltCurve_K7ER00_FARSA.pdf</v>
      </c>
    </row>
    <row r="1120" spans="1:28" x14ac:dyDescent="0.25">
      <c r="A1120" t="s">
        <v>1124</v>
      </c>
      <c r="B1120">
        <v>0.99996721820229495</v>
      </c>
      <c r="C1120">
        <v>1.0397895653845599</v>
      </c>
      <c r="D1120">
        <v>1.0179510322873</v>
      </c>
      <c r="E1120">
        <v>2.1214090650112598</v>
      </c>
      <c r="F1120">
        <v>1.10377664833912</v>
      </c>
      <c r="G1120">
        <v>0.54573804848425</v>
      </c>
      <c r="H1120">
        <v>0.29371233659156398</v>
      </c>
      <c r="I1120">
        <v>0.16589828439608201</v>
      </c>
      <c r="J1120">
        <v>0.112987158049298</v>
      </c>
      <c r="K1120">
        <v>9.5795372679341795E-2</v>
      </c>
      <c r="L1120">
        <v>3524.9347533086898</v>
      </c>
      <c r="M1120">
        <v>61.948458819160898</v>
      </c>
      <c r="N1120">
        <v>57.2626670420387</v>
      </c>
      <c r="O1120">
        <v>56.841878179246002</v>
      </c>
      <c r="P1120">
        <v>-0.228357387988668</v>
      </c>
      <c r="Q1120">
        <v>0.16186717637051601</v>
      </c>
      <c r="R1120">
        <v>0.64550482048105295</v>
      </c>
      <c r="S1120" t="s">
        <v>6946</v>
      </c>
      <c r="T1120" t="s">
        <v>11650</v>
      </c>
      <c r="U1120" t="s">
        <v>11650</v>
      </c>
      <c r="V1120" t="s">
        <v>11650</v>
      </c>
      <c r="W1120" t="s">
        <v>12746</v>
      </c>
      <c r="X1120">
        <v>8</v>
      </c>
      <c r="Y1120" t="s">
        <v>18500</v>
      </c>
      <c r="Z1120" t="s">
        <v>24182</v>
      </c>
      <c r="AA1120">
        <v>0.63541311658340749</v>
      </c>
      <c r="AB1120" t="str">
        <f>HYPERLINK("Melting_Curves/meltCurve_K7ERF1_EIF3K.pdf", "Melting_Curves/meltCurve_K7ERF1_EIF3K.pdf")</f>
        <v>Melting_Curves/meltCurve_K7ERF1_EIF3K.pdf</v>
      </c>
    </row>
    <row r="1121" spans="1:28" x14ac:dyDescent="0.25">
      <c r="A1121" t="s">
        <v>1125</v>
      </c>
      <c r="B1121">
        <v>0.99996721820229495</v>
      </c>
      <c r="C1121">
        <v>0.97429994317122104</v>
      </c>
      <c r="D1121">
        <v>0.91895435659025204</v>
      </c>
      <c r="E1121">
        <v>0.47802901066043602</v>
      </c>
      <c r="F1121">
        <v>4.9687171634816396</v>
      </c>
      <c r="G1121">
        <v>0.52847841687722297</v>
      </c>
      <c r="H1121">
        <v>0.226687311542454</v>
      </c>
      <c r="I1121">
        <v>0.143265489417428</v>
      </c>
      <c r="J1121">
        <v>9.5472404365448002E-2</v>
      </c>
      <c r="K1121">
        <v>5.47001901160378E-2</v>
      </c>
      <c r="L1121">
        <v>14240.4018039577</v>
      </c>
      <c r="M1121">
        <v>250</v>
      </c>
      <c r="N1121">
        <v>57.030317980343298</v>
      </c>
      <c r="O1121">
        <v>56.9579595321554</v>
      </c>
      <c r="P1121">
        <v>-0.95461707379289196</v>
      </c>
      <c r="Q1121">
        <v>0.13003131199884299</v>
      </c>
      <c r="R1121">
        <v>0.16679530092547801</v>
      </c>
      <c r="S1121" t="s">
        <v>6947</v>
      </c>
      <c r="T1121" t="s">
        <v>11650</v>
      </c>
      <c r="U1121" t="s">
        <v>11650</v>
      </c>
      <c r="V1121" t="s">
        <v>11650</v>
      </c>
      <c r="W1121" t="s">
        <v>12747</v>
      </c>
      <c r="X1121">
        <v>1</v>
      </c>
      <c r="Y1121" t="s">
        <v>18501</v>
      </c>
      <c r="Z1121" t="s">
        <v>24183</v>
      </c>
      <c r="AA1121">
        <v>0.62198718579230061</v>
      </c>
      <c r="AB1121" t="str">
        <f>HYPERLINK("Melting_Curves/meltCurve_K7ERG2_NKIRAS2.pdf", "Melting_Curves/meltCurve_K7ERG2_NKIRAS2.pdf")</f>
        <v>Melting_Curves/meltCurve_K7ERG2_NKIRAS2.pdf</v>
      </c>
    </row>
    <row r="1122" spans="1:28" x14ac:dyDescent="0.25">
      <c r="A1122" t="s">
        <v>1126</v>
      </c>
      <c r="B1122">
        <v>0.99996721820229495</v>
      </c>
      <c r="C1122">
        <v>0.84357139068869902</v>
      </c>
      <c r="D1122">
        <v>0.97513037887889897</v>
      </c>
      <c r="E1122">
        <v>0.980072104976487</v>
      </c>
      <c r="F1122">
        <v>1.34543686931863</v>
      </c>
      <c r="G1122">
        <v>1.52090044259492</v>
      </c>
      <c r="H1122">
        <v>0.98134384307807199</v>
      </c>
      <c r="I1122">
        <v>0.64104464622363999</v>
      </c>
      <c r="J1122">
        <v>0.51409191536223697</v>
      </c>
      <c r="K1122">
        <v>0.33198340467808102</v>
      </c>
      <c r="L1122">
        <v>3441.1978864849698</v>
      </c>
      <c r="M1122">
        <v>53.916497969296501</v>
      </c>
      <c r="N1122">
        <v>65.656689238673394</v>
      </c>
      <c r="O1122">
        <v>63.7369596255094</v>
      </c>
      <c r="P1122">
        <v>-0.12922810575480501</v>
      </c>
      <c r="Q1122">
        <v>0.388936472242492</v>
      </c>
      <c r="R1122">
        <v>0.62751974701528701</v>
      </c>
      <c r="S1122" t="s">
        <v>6948</v>
      </c>
      <c r="T1122" t="s">
        <v>11650</v>
      </c>
      <c r="U1122" t="s">
        <v>11650</v>
      </c>
      <c r="V1122" t="s">
        <v>11650</v>
      </c>
      <c r="W1122" t="s">
        <v>12748</v>
      </c>
      <c r="X1122">
        <v>1</v>
      </c>
      <c r="Y1122" t="s">
        <v>18502</v>
      </c>
      <c r="Z1122" t="s">
        <v>24184</v>
      </c>
      <c r="AA1122">
        <v>0.87543351926158297</v>
      </c>
      <c r="AB1122" t="str">
        <f>HYPERLINK("Melting_Curves/meltCurve_K7ERV3_TK1.pdf", "Melting_Curves/meltCurve_K7ERV3_TK1.pdf")</f>
        <v>Melting_Curves/meltCurve_K7ERV3_TK1.pdf</v>
      </c>
    </row>
    <row r="1123" spans="1:28" x14ac:dyDescent="0.25">
      <c r="A1123" t="s">
        <v>1127</v>
      </c>
      <c r="B1123">
        <v>0.99996721820229495</v>
      </c>
      <c r="C1123">
        <v>0.886317392839156</v>
      </c>
      <c r="D1123">
        <v>0.97998529538418899</v>
      </c>
      <c r="E1123">
        <v>1.0125233806679099</v>
      </c>
      <c r="F1123">
        <v>1.5752020057506799</v>
      </c>
      <c r="G1123">
        <v>2.02467587199809</v>
      </c>
      <c r="H1123">
        <v>1.73031352043223</v>
      </c>
      <c r="I1123">
        <v>1.02167439405014</v>
      </c>
      <c r="J1123">
        <v>0.22081471624496801</v>
      </c>
      <c r="K1123">
        <v>0.67681927110249895</v>
      </c>
      <c r="L1123">
        <v>15000</v>
      </c>
      <c r="M1123">
        <v>230.161442968937</v>
      </c>
      <c r="N1123">
        <v>65.822987888074394</v>
      </c>
      <c r="O1123">
        <v>65.166725424682497</v>
      </c>
      <c r="P1123">
        <v>-0.48675352908145503</v>
      </c>
      <c r="Q1123">
        <v>0.44873245447611199</v>
      </c>
      <c r="R1123">
        <v>0.19082061985453999</v>
      </c>
      <c r="S1123" t="s">
        <v>6949</v>
      </c>
      <c r="T1123" t="s">
        <v>11650</v>
      </c>
      <c r="U1123" t="s">
        <v>11650</v>
      </c>
      <c r="V1123" t="s">
        <v>11650</v>
      </c>
      <c r="W1123" t="s">
        <v>12749</v>
      </c>
      <c r="X1123">
        <v>2</v>
      </c>
      <c r="Y1123" t="s">
        <v>18503</v>
      </c>
      <c r="Z1123" t="s">
        <v>24185</v>
      </c>
      <c r="AA1123">
        <v>0.9113505559547066</v>
      </c>
      <c r="AB1123" t="str">
        <f>HYPERLINK("Melting_Curves/meltCurve_K7ES02_BLMH.pdf", "Melting_Curves/meltCurve_K7ES02_BLMH.pdf")</f>
        <v>Melting_Curves/meltCurve_K7ES02_BLMH.pdf</v>
      </c>
    </row>
    <row r="1124" spans="1:28" x14ac:dyDescent="0.25">
      <c r="A1124" t="s">
        <v>1128</v>
      </c>
      <c r="B1124">
        <v>0.99996721820229495</v>
      </c>
      <c r="C1124">
        <v>0.967851302886228</v>
      </c>
      <c r="D1124">
        <v>0.94522264847641702</v>
      </c>
      <c r="E1124">
        <v>1.004020215275</v>
      </c>
      <c r="F1124">
        <v>1.2490443326681899</v>
      </c>
      <c r="G1124">
        <v>1.61456445695906</v>
      </c>
      <c r="H1124">
        <v>1.0930209773000199</v>
      </c>
      <c r="I1124">
        <v>0.84326862481587594</v>
      </c>
      <c r="J1124">
        <v>0.63296107422479198</v>
      </c>
      <c r="K1124">
        <v>0.47760109864502098</v>
      </c>
      <c r="L1124">
        <v>3224.4793117945401</v>
      </c>
      <c r="M1124">
        <v>49.111278748412097</v>
      </c>
      <c r="N1124">
        <v>69.396707945022598</v>
      </c>
      <c r="O1124">
        <v>65.548008683987504</v>
      </c>
      <c r="P1124">
        <v>-0.100293077790106</v>
      </c>
      <c r="Q1124">
        <v>0.46456247277363</v>
      </c>
      <c r="R1124">
        <v>0.48113815508636898</v>
      </c>
      <c r="S1124" t="s">
        <v>6950</v>
      </c>
      <c r="T1124" t="s">
        <v>11650</v>
      </c>
      <c r="U1124" t="s">
        <v>11650</v>
      </c>
      <c r="V1124" t="s">
        <v>11650</v>
      </c>
      <c r="W1124" t="s">
        <v>12750</v>
      </c>
      <c r="X1124">
        <v>2</v>
      </c>
      <c r="Y1124" t="s">
        <v>18504</v>
      </c>
      <c r="Z1124" t="s">
        <v>24186</v>
      </c>
      <c r="AA1124">
        <v>0.92276935815208361</v>
      </c>
      <c r="AB1124" t="str">
        <f>HYPERLINK("Melting_Curves/meltCurve_K7ES54_FSTL3.pdf", "Melting_Curves/meltCurve_K7ES54_FSTL3.pdf")</f>
        <v>Melting_Curves/meltCurve_K7ES54_FSTL3.pdf</v>
      </c>
    </row>
    <row r="1125" spans="1:28" x14ac:dyDescent="0.25">
      <c r="A1125" t="s">
        <v>1129</v>
      </c>
      <c r="B1125">
        <v>0.99996721820229495</v>
      </c>
      <c r="C1125">
        <v>1.0451421584887901</v>
      </c>
      <c r="D1125">
        <v>1.03271008096287</v>
      </c>
      <c r="E1125">
        <v>1.67346723961682</v>
      </c>
      <c r="F1125">
        <v>2.49214970519242</v>
      </c>
      <c r="G1125">
        <v>2.4995828235131401</v>
      </c>
      <c r="H1125">
        <v>2.26889496680164</v>
      </c>
      <c r="I1125">
        <v>1.63578884039031</v>
      </c>
      <c r="J1125">
        <v>0.89399602100527797</v>
      </c>
      <c r="K1125">
        <v>0.61650333802948198</v>
      </c>
      <c r="L1125">
        <v>11622.326172675101</v>
      </c>
      <c r="M1125">
        <v>250</v>
      </c>
      <c r="O1125">
        <v>46.486329725031602</v>
      </c>
      <c r="P1125">
        <v>0.67224064040664799</v>
      </c>
      <c r="Q1125">
        <v>1.5</v>
      </c>
      <c r="R1125">
        <v>0.15093846865754901</v>
      </c>
      <c r="S1125" t="s">
        <v>6951</v>
      </c>
      <c r="T1125" t="s">
        <v>11650</v>
      </c>
      <c r="U1125" t="s">
        <v>11650</v>
      </c>
      <c r="V1125" t="s">
        <v>11650</v>
      </c>
      <c r="W1125" t="s">
        <v>12751</v>
      </c>
      <c r="X1125">
        <v>1</v>
      </c>
      <c r="Y1125" t="s">
        <v>18505</v>
      </c>
      <c r="Z1125" t="s">
        <v>24187</v>
      </c>
      <c r="AA1125">
        <v>1.39180412781856</v>
      </c>
      <c r="AB1125" t="str">
        <f>HYPERLINK("Melting_Curves/meltCurve_K7ES57_MFSD11.pdf", "Melting_Curves/meltCurve_K7ES57_MFSD11.pdf")</f>
        <v>Melting_Curves/meltCurve_K7ES57_MFSD11.pdf</v>
      </c>
    </row>
    <row r="1126" spans="1:28" x14ac:dyDescent="0.25">
      <c r="A1126" t="s">
        <v>1130</v>
      </c>
      <c r="B1126">
        <v>0.99996721820229495</v>
      </c>
      <c r="C1126">
        <v>1.0452563214909201</v>
      </c>
      <c r="D1126">
        <v>0.99411635818829003</v>
      </c>
      <c r="E1126">
        <v>0.68909140689689596</v>
      </c>
      <c r="F1126">
        <v>0.63615192569447199</v>
      </c>
      <c r="G1126">
        <v>0.35975434149954899</v>
      </c>
      <c r="H1126">
        <v>0.239223951754511</v>
      </c>
      <c r="I1126">
        <v>0.139572892549225</v>
      </c>
      <c r="J1126">
        <v>0.100287485890501</v>
      </c>
      <c r="K1126">
        <v>7.7149742713376199E-2</v>
      </c>
      <c r="L1126">
        <v>758.55935377288097</v>
      </c>
      <c r="M1126">
        <v>13.9798043527624</v>
      </c>
      <c r="N1126">
        <v>54.622402664743497</v>
      </c>
      <c r="O1126">
        <v>53.186991289999</v>
      </c>
      <c r="P1126">
        <v>-6.2817023235778494E-2</v>
      </c>
      <c r="Q1126">
        <v>4.41633003692476E-2</v>
      </c>
      <c r="R1126">
        <v>0.98638512007456403</v>
      </c>
      <c r="S1126" t="s">
        <v>6952</v>
      </c>
      <c r="T1126" t="s">
        <v>11650</v>
      </c>
      <c r="U1126" t="s">
        <v>11650</v>
      </c>
      <c r="V1126" t="s">
        <v>11650</v>
      </c>
      <c r="W1126" t="s">
        <v>12752</v>
      </c>
      <c r="X1126">
        <v>1</v>
      </c>
      <c r="Y1126" t="s">
        <v>18506</v>
      </c>
      <c r="Z1126" t="s">
        <v>24188</v>
      </c>
      <c r="AA1126">
        <v>0.51948918267823152</v>
      </c>
      <c r="AB1126" t="str">
        <f>HYPERLINK("Melting_Curves/meltCurve_K7ES84_FAM86A.pdf", "Melting_Curves/meltCurve_K7ES84_FAM86A.pdf")</f>
        <v>Melting_Curves/meltCurve_K7ES84_FAM86A.pdf</v>
      </c>
    </row>
    <row r="1127" spans="1:28" x14ac:dyDescent="0.25">
      <c r="A1127" t="s">
        <v>1131</v>
      </c>
      <c r="B1127">
        <v>0.99996721820229495</v>
      </c>
      <c r="C1127">
        <v>1.1122984515623</v>
      </c>
      <c r="D1127">
        <v>1.2577370371732099</v>
      </c>
      <c r="E1127">
        <v>1.35895415441871</v>
      </c>
      <c r="F1127">
        <v>1.5855322732163299</v>
      </c>
      <c r="G1127">
        <v>1.6276681551282499</v>
      </c>
      <c r="H1127">
        <v>0.810925447594666</v>
      </c>
      <c r="I1127">
        <v>0.32549978507639199</v>
      </c>
      <c r="J1127">
        <v>0.13895388680129001</v>
      </c>
      <c r="K1127">
        <v>7.5246736818519899E-2</v>
      </c>
      <c r="L1127">
        <v>3581.1303112103101</v>
      </c>
      <c r="M1127">
        <v>57.124500562843501</v>
      </c>
      <c r="N1127">
        <v>62.929995454761901</v>
      </c>
      <c r="O1127">
        <v>62.613237389092198</v>
      </c>
      <c r="P1127">
        <v>-0.205752776224738</v>
      </c>
      <c r="Q1127">
        <v>9.7911434730642205E-2</v>
      </c>
      <c r="R1127">
        <v>0.68110725416945905</v>
      </c>
      <c r="S1127" t="s">
        <v>6953</v>
      </c>
      <c r="T1127" t="s">
        <v>11650</v>
      </c>
      <c r="U1127" t="s">
        <v>11650</v>
      </c>
      <c r="V1127" t="s">
        <v>11650</v>
      </c>
      <c r="W1127" t="s">
        <v>12753</v>
      </c>
      <c r="X1127">
        <v>1</v>
      </c>
      <c r="Y1127" t="s">
        <v>18507</v>
      </c>
      <c r="Z1127" t="s">
        <v>24189</v>
      </c>
      <c r="AA1127">
        <v>0.7819874200080702</v>
      </c>
      <c r="AB1127" t="str">
        <f>HYPERLINK("Melting_Curves/meltCurve_K7ESE6_G6PC3.pdf", "Melting_Curves/meltCurve_K7ESE6_G6PC3.pdf")</f>
        <v>Melting_Curves/meltCurve_K7ESE6_G6PC3.pdf</v>
      </c>
    </row>
    <row r="1128" spans="1:28" x14ac:dyDescent="0.25">
      <c r="A1128" t="s">
        <v>1132</v>
      </c>
      <c r="B1128">
        <v>0.99996721820229495</v>
      </c>
      <c r="C1128">
        <v>0.80109372848143101</v>
      </c>
      <c r="D1128">
        <v>0.59128053815112702</v>
      </c>
      <c r="E1128">
        <v>0.24975718837233901</v>
      </c>
      <c r="F1128">
        <v>0.19791412754860299</v>
      </c>
      <c r="G1128">
        <v>0.17195901191434301</v>
      </c>
      <c r="H1128">
        <v>0.117077470024402</v>
      </c>
      <c r="I1128">
        <v>9.4764573738463601E-2</v>
      </c>
      <c r="J1128">
        <v>1.8814031579485E-2</v>
      </c>
      <c r="K1128">
        <v>5.4551221232179599E-2</v>
      </c>
      <c r="L1128">
        <v>802.27736481732597</v>
      </c>
      <c r="M1128">
        <v>17.259310445032199</v>
      </c>
      <c r="N1128">
        <v>46.934889647747902</v>
      </c>
      <c r="O1128">
        <v>45.873188424254202</v>
      </c>
      <c r="P1128">
        <v>-8.6875585285292295E-2</v>
      </c>
      <c r="Q1128">
        <v>7.6434244994101494E-2</v>
      </c>
      <c r="R1128">
        <v>0.98669768618419396</v>
      </c>
      <c r="S1128" t="s">
        <v>6954</v>
      </c>
      <c r="T1128" t="s">
        <v>11650</v>
      </c>
      <c r="U1128" t="s">
        <v>11650</v>
      </c>
      <c r="V1128" t="s">
        <v>11650</v>
      </c>
      <c r="W1128" t="s">
        <v>12754</v>
      </c>
      <c r="X1128">
        <v>2</v>
      </c>
      <c r="Y1128" t="s">
        <v>18508</v>
      </c>
      <c r="Z1128" t="s">
        <v>24190</v>
      </c>
      <c r="AA1128">
        <v>0.29527498575220168</v>
      </c>
      <c r="AB1128" t="str">
        <f>HYPERLINK("Melting_Curves/meltCurve_K7ESP4_DCAKD.pdf", "Melting_Curves/meltCurve_K7ESP4_DCAKD.pdf")</f>
        <v>Melting_Curves/meltCurve_K7ESP4_DCAKD.pdf</v>
      </c>
    </row>
    <row r="1129" spans="1:28" x14ac:dyDescent="0.25">
      <c r="A1129" t="s">
        <v>1133</v>
      </c>
      <c r="B1129">
        <v>0.99996721820229495</v>
      </c>
      <c r="C1129">
        <v>1.03867834976036</v>
      </c>
      <c r="D1129">
        <v>1.2154606361748901</v>
      </c>
      <c r="E1129">
        <v>0.62035306150537595</v>
      </c>
      <c r="F1129">
        <v>2.3494315259557199</v>
      </c>
      <c r="G1129">
        <v>0.96433921359743402</v>
      </c>
      <c r="H1129">
        <v>1.1248926676795701</v>
      </c>
      <c r="I1129">
        <v>1.0022282403679399</v>
      </c>
      <c r="J1129">
        <v>0.61425859805316096</v>
      </c>
      <c r="K1129">
        <v>0.45869909521187902</v>
      </c>
      <c r="L1129">
        <v>15000</v>
      </c>
      <c r="M1129">
        <v>224.78863103329999</v>
      </c>
      <c r="N1129">
        <v>67.477828304033395</v>
      </c>
      <c r="O1129">
        <v>66.724072728590599</v>
      </c>
      <c r="P1129">
        <v>-0.45591386307229398</v>
      </c>
      <c r="Q1129">
        <v>0.458683847135061</v>
      </c>
      <c r="R1129">
        <v>0.17370421486913501</v>
      </c>
      <c r="S1129" t="s">
        <v>6955</v>
      </c>
      <c r="T1129" t="s">
        <v>11650</v>
      </c>
      <c r="U1129" t="s">
        <v>11650</v>
      </c>
      <c r="V1129" t="s">
        <v>11650</v>
      </c>
      <c r="W1129" t="s">
        <v>12755</v>
      </c>
      <c r="X1129">
        <v>2</v>
      </c>
      <c r="Y1129" t="s">
        <v>18509</v>
      </c>
      <c r="Z1129" t="s">
        <v>24191</v>
      </c>
      <c r="AA1129">
        <v>0.94106312306215611</v>
      </c>
      <c r="AB1129" t="str">
        <f>HYPERLINK("Melting_Curves/meltCurve_M0QXA7_WIZ.pdf", "Melting_Curves/meltCurve_M0QXA7_WIZ.pdf")</f>
        <v>Melting_Curves/meltCurve_M0QXA7_WIZ.pdf</v>
      </c>
    </row>
    <row r="1130" spans="1:28" x14ac:dyDescent="0.25">
      <c r="A1130" t="s">
        <v>1134</v>
      </c>
      <c r="B1130">
        <v>0.99996721820229495</v>
      </c>
      <c r="C1130">
        <v>0.96993204183873105</v>
      </c>
      <c r="D1130">
        <v>1.0332802633193101</v>
      </c>
      <c r="E1130">
        <v>1.3858164751384101</v>
      </c>
      <c r="F1130">
        <v>1.6042084672971499</v>
      </c>
      <c r="G1130">
        <v>1.8760441648180399</v>
      </c>
      <c r="H1130">
        <v>1.5290268014085799</v>
      </c>
      <c r="I1130">
        <v>1.5479419396854099</v>
      </c>
      <c r="J1130">
        <v>1.26317733594725</v>
      </c>
      <c r="K1130">
        <v>0.88084663901226001</v>
      </c>
      <c r="L1130">
        <v>2928.0246754681102</v>
      </c>
      <c r="M1130">
        <v>60.641029158371502</v>
      </c>
      <c r="O1130">
        <v>48.232122237266402</v>
      </c>
      <c r="P1130">
        <v>0.141002322827258</v>
      </c>
      <c r="Q1130">
        <v>1.4485965100345499</v>
      </c>
      <c r="R1130">
        <v>0.41341361517474901</v>
      </c>
      <c r="S1130" t="s">
        <v>6956</v>
      </c>
      <c r="T1130" t="s">
        <v>11650</v>
      </c>
      <c r="U1130" t="s">
        <v>11650</v>
      </c>
      <c r="V1130" t="s">
        <v>11650</v>
      </c>
      <c r="W1130" t="s">
        <v>12756</v>
      </c>
      <c r="X1130">
        <v>1</v>
      </c>
      <c r="Y1130" t="s">
        <v>18510</v>
      </c>
      <c r="Z1130" t="s">
        <v>24192</v>
      </c>
      <c r="AA1130">
        <v>1.3240674581349361</v>
      </c>
      <c r="AB1130" t="str">
        <f>HYPERLINK("Melting_Curves/meltCurve_M0QXT0_USF2.pdf", "Melting_Curves/meltCurve_M0QXT0_USF2.pdf")</f>
        <v>Melting_Curves/meltCurve_M0QXT0_USF2.pdf</v>
      </c>
    </row>
    <row r="1131" spans="1:28" x14ac:dyDescent="0.25">
      <c r="A1131" t="s">
        <v>1135</v>
      </c>
      <c r="B1131">
        <v>0.99996721820229495</v>
      </c>
      <c r="C1131">
        <v>0.978675681090863</v>
      </c>
      <c r="D1131">
        <v>0.99839102365256505</v>
      </c>
      <c r="E1131">
        <v>1.0613596884105501</v>
      </c>
      <c r="F1131">
        <v>1.01781447314595</v>
      </c>
      <c r="G1131">
        <v>1.0117436505912201</v>
      </c>
      <c r="H1131">
        <v>0.77303301847561401</v>
      </c>
      <c r="I1131">
        <v>0.30959777653486797</v>
      </c>
      <c r="J1131">
        <v>7.7344309096318203E-2</v>
      </c>
      <c r="K1131">
        <v>0.19724214142745</v>
      </c>
      <c r="L1131">
        <v>3366.0354225180999</v>
      </c>
      <c r="M1131">
        <v>54.100658066433802</v>
      </c>
      <c r="N1131">
        <v>62.580473010795899</v>
      </c>
      <c r="O1131">
        <v>62.133178889811703</v>
      </c>
      <c r="P1131">
        <v>-0.18840270247693799</v>
      </c>
      <c r="Q1131">
        <v>0.13449843934807501</v>
      </c>
      <c r="R1131">
        <v>0.98935076128167199</v>
      </c>
      <c r="S1131" t="s">
        <v>6957</v>
      </c>
      <c r="T1131" t="s">
        <v>11650</v>
      </c>
      <c r="U1131" t="s">
        <v>11650</v>
      </c>
      <c r="V1131" t="s">
        <v>11650</v>
      </c>
      <c r="W1131" t="s">
        <v>12757</v>
      </c>
      <c r="X1131">
        <v>1</v>
      </c>
      <c r="Y1131" t="s">
        <v>18511</v>
      </c>
      <c r="Z1131" t="s">
        <v>24193</v>
      </c>
      <c r="AA1131">
        <v>0.77740945037459519</v>
      </c>
      <c r="AB1131" t="str">
        <f>HYPERLINK("Melting_Curves/meltCurve_M0QXX4_KPTN.pdf", "Melting_Curves/meltCurve_M0QXX4_KPTN.pdf")</f>
        <v>Melting_Curves/meltCurve_M0QXX4_KPTN.pdf</v>
      </c>
    </row>
    <row r="1132" spans="1:28" x14ac:dyDescent="0.25">
      <c r="A1132" t="s">
        <v>1136</v>
      </c>
      <c r="B1132">
        <v>0.99996721820229495</v>
      </c>
      <c r="C1132">
        <v>1.00161595497649</v>
      </c>
      <c r="D1132">
        <v>0.97040748448799996</v>
      </c>
      <c r="E1132">
        <v>1.0125848676511799</v>
      </c>
      <c r="F1132">
        <v>1.3621301870634199</v>
      </c>
      <c r="G1132">
        <v>1.5521634641586399</v>
      </c>
      <c r="H1132">
        <v>1.2114107501628899</v>
      </c>
      <c r="I1132">
        <v>1.21494369108303</v>
      </c>
      <c r="J1132">
        <v>1.20263926802559</v>
      </c>
      <c r="K1132">
        <v>0.78287207877897402</v>
      </c>
      <c r="L1132">
        <v>12640.253174584301</v>
      </c>
      <c r="M1132">
        <v>250</v>
      </c>
      <c r="O1132">
        <v>50.557777403537997</v>
      </c>
      <c r="P1132">
        <v>0.27323500353146002</v>
      </c>
      <c r="Q1132">
        <v>1.2210264703386999</v>
      </c>
      <c r="R1132">
        <v>0.27336345757081498</v>
      </c>
      <c r="S1132" t="s">
        <v>6958</v>
      </c>
      <c r="T1132" t="s">
        <v>11650</v>
      </c>
      <c r="U1132" t="s">
        <v>11650</v>
      </c>
      <c r="V1132" t="s">
        <v>11650</v>
      </c>
      <c r="W1132" t="s">
        <v>12758</v>
      </c>
      <c r="X1132">
        <v>6</v>
      </c>
      <c r="Y1132" t="s">
        <v>18512</v>
      </c>
      <c r="Z1132" t="s">
        <v>24194</v>
      </c>
      <c r="AA1132">
        <v>1.143198079158356</v>
      </c>
      <c r="AB1132" t="str">
        <f>HYPERLINK("Melting_Curves/meltCurve_M0QXZ5_ZNF428.pdf", "Melting_Curves/meltCurve_M0QXZ5_ZNF428.pdf")</f>
        <v>Melting_Curves/meltCurve_M0QXZ5_ZNF428.pdf</v>
      </c>
    </row>
    <row r="1133" spans="1:28" x14ac:dyDescent="0.25">
      <c r="A1133" t="s">
        <v>1137</v>
      </c>
      <c r="B1133">
        <v>0.99996721820229495</v>
      </c>
      <c r="C1133">
        <v>1.1397665604056799</v>
      </c>
      <c r="D1133">
        <v>1.0537865362634899</v>
      </c>
      <c r="E1133">
        <v>1.1370903943839099</v>
      </c>
      <c r="F1133">
        <v>1.5228267089807801</v>
      </c>
      <c r="G1133">
        <v>1.82660562489857</v>
      </c>
      <c r="H1133">
        <v>1.3133562160176899</v>
      </c>
      <c r="I1133">
        <v>1.1582536551719</v>
      </c>
      <c r="J1133">
        <v>1.05037162203271</v>
      </c>
      <c r="K1133">
        <v>0.79727019437672997</v>
      </c>
      <c r="L1133">
        <v>953.16500020182298</v>
      </c>
      <c r="M1133">
        <v>6.9276139291604597</v>
      </c>
      <c r="Q1133">
        <v>0.27471111398014803</v>
      </c>
      <c r="R1133">
        <v>-0.52240246282973302</v>
      </c>
      <c r="S1133" t="s">
        <v>6959</v>
      </c>
      <c r="T1133" t="s">
        <v>11650</v>
      </c>
      <c r="U1133" t="s">
        <v>11650</v>
      </c>
      <c r="V1133" t="s">
        <v>11650</v>
      </c>
      <c r="W1133" t="s">
        <v>12662</v>
      </c>
      <c r="X1133">
        <v>6</v>
      </c>
      <c r="Y1133" t="s">
        <v>18418</v>
      </c>
      <c r="Z1133" t="s">
        <v>24195</v>
      </c>
      <c r="AA1133">
        <v>0.99986422309799949</v>
      </c>
      <c r="AB1133" t="str">
        <f>HYPERLINK("Melting_Curves/meltCurve_M0QY17_BABAM1.pdf", "Melting_Curves/meltCurve_M0QY17_BABAM1.pdf")</f>
        <v>Melting_Curves/meltCurve_M0QY17_BABAM1.pdf</v>
      </c>
    </row>
    <row r="1134" spans="1:28" x14ac:dyDescent="0.25">
      <c r="A1134" t="s">
        <v>1138</v>
      </c>
      <c r="B1134">
        <v>0.99996721820229495</v>
      </c>
      <c r="C1134">
        <v>0.85807698359864804</v>
      </c>
      <c r="D1134">
        <v>0.80767024671118803</v>
      </c>
      <c r="E1134">
        <v>0.81130585532398103</v>
      </c>
      <c r="F1134">
        <v>0.85911799414983703</v>
      </c>
      <c r="G1134">
        <v>0.61163091551808701</v>
      </c>
      <c r="H1134">
        <v>0.307389504189365</v>
      </c>
      <c r="I1134">
        <v>0.218714322598757</v>
      </c>
      <c r="J1134">
        <v>0.147133864235271</v>
      </c>
      <c r="K1134">
        <v>0.120166061125953</v>
      </c>
      <c r="L1134">
        <v>697.60189365684698</v>
      </c>
      <c r="M1134">
        <v>12.0232513800989</v>
      </c>
      <c r="N1134">
        <v>58.021086318874403</v>
      </c>
      <c r="O1134">
        <v>56.4859175683304</v>
      </c>
      <c r="P1134">
        <v>-5.32262230743758E-2</v>
      </c>
      <c r="Q1134">
        <v>0</v>
      </c>
      <c r="R1134">
        <v>0.94215477439940698</v>
      </c>
      <c r="S1134" t="s">
        <v>6960</v>
      </c>
      <c r="T1134" t="s">
        <v>11650</v>
      </c>
      <c r="U1134" t="s">
        <v>11650</v>
      </c>
      <c r="V1134" t="s">
        <v>11650</v>
      </c>
      <c r="W1134" t="s">
        <v>12759</v>
      </c>
      <c r="X1134">
        <v>6</v>
      </c>
      <c r="Y1134" t="s">
        <v>18513</v>
      </c>
      <c r="Z1134" t="s">
        <v>24196</v>
      </c>
      <c r="AA1134">
        <v>0.61333056070589587</v>
      </c>
      <c r="AB1134" t="str">
        <f>HYPERLINK("Melting_Curves/meltCurve_M0QY77_KXD1.pdf", "Melting_Curves/meltCurve_M0QY77_KXD1.pdf")</f>
        <v>Melting_Curves/meltCurve_M0QY77_KXD1.pdf</v>
      </c>
    </row>
    <row r="1135" spans="1:28" x14ac:dyDescent="0.25">
      <c r="A1135" t="s">
        <v>1139</v>
      </c>
      <c r="B1135">
        <v>0.99996721820229495</v>
      </c>
      <c r="C1135">
        <v>0.876969372686909</v>
      </c>
      <c r="D1135">
        <v>0.85531167664407304</v>
      </c>
      <c r="E1135">
        <v>1.0056960185383199</v>
      </c>
      <c r="F1135">
        <v>1.33510557122887</v>
      </c>
      <c r="G1135">
        <v>1.3498261560943501</v>
      </c>
      <c r="H1135">
        <v>1.0962188984843499</v>
      </c>
      <c r="I1135">
        <v>1.1247966806782701</v>
      </c>
      <c r="J1135">
        <v>1.03229391626199</v>
      </c>
      <c r="K1135">
        <v>1.0265598530662099</v>
      </c>
      <c r="L1135">
        <v>12664.531627067699</v>
      </c>
      <c r="M1135">
        <v>250</v>
      </c>
      <c r="O1135">
        <v>50.654884710230398</v>
      </c>
      <c r="P1135">
        <v>0.19840101764106399</v>
      </c>
      <c r="Q1135">
        <v>1.16079969065582</v>
      </c>
      <c r="R1135">
        <v>0.42660493980194503</v>
      </c>
      <c r="S1135" t="s">
        <v>6961</v>
      </c>
      <c r="T1135" t="s">
        <v>11650</v>
      </c>
      <c r="U1135" t="s">
        <v>11650</v>
      </c>
      <c r="V1135" t="s">
        <v>11650</v>
      </c>
      <c r="W1135" t="s">
        <v>12760</v>
      </c>
      <c r="X1135">
        <v>12</v>
      </c>
      <c r="Y1135" t="s">
        <v>18514</v>
      </c>
      <c r="Z1135" t="s">
        <v>24197</v>
      </c>
      <c r="AA1135">
        <v>1.1036579467008141</v>
      </c>
      <c r="AB1135" t="str">
        <f>HYPERLINK("Melting_Curves/meltCurve_M0QY97_ZC3H4.pdf", "Melting_Curves/meltCurve_M0QY97_ZC3H4.pdf")</f>
        <v>Melting_Curves/meltCurve_M0QY97_ZC3H4.pdf</v>
      </c>
    </row>
    <row r="1136" spans="1:28" x14ac:dyDescent="0.25">
      <c r="A1136" t="s">
        <v>1140</v>
      </c>
      <c r="B1136">
        <v>0.99996721820229495</v>
      </c>
      <c r="C1136">
        <v>0.337221200212243</v>
      </c>
      <c r="D1136">
        <v>1.3798518257970001</v>
      </c>
      <c r="E1136">
        <v>1.0899569592165499</v>
      </c>
      <c r="F1136">
        <v>1.0839127560072399</v>
      </c>
      <c r="G1136">
        <v>2.1484660128453701</v>
      </c>
      <c r="H1136">
        <v>1.2767707290994701</v>
      </c>
      <c r="I1136">
        <v>0.385091631892161</v>
      </c>
      <c r="J1136">
        <v>0</v>
      </c>
      <c r="K1136">
        <v>0</v>
      </c>
      <c r="L1136">
        <v>15000</v>
      </c>
      <c r="M1136">
        <v>234.84291421958</v>
      </c>
      <c r="N1136">
        <v>63.872485105464897</v>
      </c>
      <c r="O1136">
        <v>63.867850829631799</v>
      </c>
      <c r="P1136">
        <v>-0.91925323770749501</v>
      </c>
      <c r="Q1136">
        <v>0</v>
      </c>
      <c r="R1136">
        <v>0.52558975929627405</v>
      </c>
      <c r="S1136" t="s">
        <v>6962</v>
      </c>
      <c r="T1136" t="s">
        <v>11650</v>
      </c>
      <c r="U1136" t="s">
        <v>11650</v>
      </c>
      <c r="V1136" t="s">
        <v>11650</v>
      </c>
      <c r="W1136" t="s">
        <v>12761</v>
      </c>
      <c r="X1136">
        <v>1</v>
      </c>
      <c r="Y1136" t="s">
        <v>18515</v>
      </c>
      <c r="Z1136" t="s">
        <v>24198</v>
      </c>
      <c r="AA1136">
        <v>0.79587646222913155</v>
      </c>
      <c r="AB1136" t="str">
        <f>HYPERLINK("Melting_Curves/meltCurve_M0QYH5_MPV17L2.pdf", "Melting_Curves/meltCurve_M0QYH5_MPV17L2.pdf")</f>
        <v>Melting_Curves/meltCurve_M0QYH5_MPV17L2.pdf</v>
      </c>
    </row>
    <row r="1137" spans="1:28" x14ac:dyDescent="0.25">
      <c r="A1137" t="s">
        <v>1141</v>
      </c>
      <c r="B1137">
        <v>0.99996721820229495</v>
      </c>
      <c r="C1137">
        <v>0.96320703106842198</v>
      </c>
      <c r="D1137">
        <v>1.02381899105046</v>
      </c>
      <c r="E1137">
        <v>1.0998104363435</v>
      </c>
      <c r="F1137">
        <v>1.6261838506600701</v>
      </c>
      <c r="G1137">
        <v>2.0585089327117001</v>
      </c>
      <c r="H1137">
        <v>0.66067408587437204</v>
      </c>
      <c r="I1137">
        <v>0.18934882776171599</v>
      </c>
      <c r="J1137">
        <v>0.14091517142115101</v>
      </c>
      <c r="K1137">
        <v>0.106964253396708</v>
      </c>
      <c r="L1137">
        <v>7370.3227244749496</v>
      </c>
      <c r="M1137">
        <v>120.397186144073</v>
      </c>
      <c r="N1137">
        <v>61.389936272702997</v>
      </c>
      <c r="O1137">
        <v>61.199850892049398</v>
      </c>
      <c r="P1137">
        <v>-0.42099678775494398</v>
      </c>
      <c r="Q1137">
        <v>0.144001922796822</v>
      </c>
      <c r="R1137">
        <v>0.58759623067967004</v>
      </c>
      <c r="S1137" t="s">
        <v>6963</v>
      </c>
      <c r="T1137" t="s">
        <v>11650</v>
      </c>
      <c r="U1137" t="s">
        <v>11650</v>
      </c>
      <c r="V1137" t="s">
        <v>11650</v>
      </c>
      <c r="W1137" t="s">
        <v>12762</v>
      </c>
      <c r="X1137">
        <v>8</v>
      </c>
      <c r="Y1137" t="s">
        <v>18516</v>
      </c>
      <c r="Z1137" t="s">
        <v>24199</v>
      </c>
      <c r="AA1137">
        <v>0.74978155952863212</v>
      </c>
      <c r="AB1137" t="str">
        <f>HYPERLINK("Melting_Curves/meltCurve_M0QYM7_TUBB4A.pdf", "Melting_Curves/meltCurve_M0QYM7_TUBB4A.pdf")</f>
        <v>Melting_Curves/meltCurve_M0QYM7_TUBB4A.pdf</v>
      </c>
    </row>
    <row r="1138" spans="1:28" x14ac:dyDescent="0.25">
      <c r="A1138" t="s">
        <v>1142</v>
      </c>
      <c r="B1138">
        <v>0.99996721820229495</v>
      </c>
      <c r="C1138">
        <v>1.16980154742486</v>
      </c>
      <c r="D1138">
        <v>1.1816295821939</v>
      </c>
      <c r="E1138">
        <v>1.6230806099611199</v>
      </c>
      <c r="F1138">
        <v>1.38281015406212</v>
      </c>
      <c r="G1138">
        <v>1.29365117392982</v>
      </c>
      <c r="H1138">
        <v>0.65754334910451995</v>
      </c>
      <c r="I1138">
        <v>0.33128391739086499</v>
      </c>
      <c r="J1138">
        <v>0.21367697972308999</v>
      </c>
      <c r="K1138">
        <v>0.18332199857221901</v>
      </c>
      <c r="L1138">
        <v>3867.6296601050199</v>
      </c>
      <c r="M1138">
        <v>63.025592352342898</v>
      </c>
      <c r="N1138">
        <v>61.933535888960002</v>
      </c>
      <c r="O1138">
        <v>61.304329132494502</v>
      </c>
      <c r="P1138">
        <v>-0.20064163145549599</v>
      </c>
      <c r="Q1138">
        <v>0.21935229547988799</v>
      </c>
      <c r="R1138">
        <v>0.71640742321814499</v>
      </c>
      <c r="S1138" t="s">
        <v>6964</v>
      </c>
      <c r="T1138" t="s">
        <v>11650</v>
      </c>
      <c r="U1138" t="s">
        <v>11650</v>
      </c>
      <c r="V1138" t="s">
        <v>11650</v>
      </c>
      <c r="W1138" t="s">
        <v>12763</v>
      </c>
      <c r="X1138">
        <v>4</v>
      </c>
      <c r="Y1138" t="s">
        <v>18517</v>
      </c>
      <c r="Z1138" t="s">
        <v>24200</v>
      </c>
      <c r="AA1138">
        <v>0.7766428435122068</v>
      </c>
      <c r="AB1138" t="str">
        <f>HYPERLINK("Melting_Curves/meltCurve_M0QYS1_RPL13A.pdf", "Melting_Curves/meltCurve_M0QYS1_RPL13A.pdf")</f>
        <v>Melting_Curves/meltCurve_M0QYS1_RPL13A.pdf</v>
      </c>
    </row>
    <row r="1139" spans="1:28" x14ac:dyDescent="0.25">
      <c r="A1139" t="s">
        <v>1143</v>
      </c>
      <c r="B1139">
        <v>0.99996721820229495</v>
      </c>
      <c r="C1139">
        <v>1.0085666531608699</v>
      </c>
      <c r="D1139">
        <v>0.91123302639072901</v>
      </c>
      <c r="E1139">
        <v>0.78343354359946904</v>
      </c>
      <c r="F1139">
        <v>0.660941398017869</v>
      </c>
      <c r="G1139">
        <v>0.45604237747673199</v>
      </c>
      <c r="H1139">
        <v>0.267119285864793</v>
      </c>
      <c r="I1139">
        <v>0.201163520976928</v>
      </c>
      <c r="J1139">
        <v>0.12150899441780701</v>
      </c>
      <c r="K1139">
        <v>0.137141493456272</v>
      </c>
      <c r="L1139">
        <v>681.399115351506</v>
      </c>
      <c r="M1139">
        <v>12.3011838137122</v>
      </c>
      <c r="N1139">
        <v>55.829673831581701</v>
      </c>
      <c r="O1139">
        <v>53.990107067354003</v>
      </c>
      <c r="P1139">
        <v>-5.4359592820983897E-2</v>
      </c>
      <c r="Q1139">
        <v>4.5868186270197002E-2</v>
      </c>
      <c r="R1139">
        <v>0.99705690603820096</v>
      </c>
      <c r="S1139" t="s">
        <v>6965</v>
      </c>
      <c r="T1139" t="s">
        <v>11650</v>
      </c>
      <c r="U1139" t="s">
        <v>11650</v>
      </c>
      <c r="V1139" t="s">
        <v>11650</v>
      </c>
      <c r="W1139" t="s">
        <v>12764</v>
      </c>
      <c r="X1139">
        <v>1</v>
      </c>
      <c r="Y1139" t="s">
        <v>18518</v>
      </c>
      <c r="Z1139" t="s">
        <v>24201</v>
      </c>
      <c r="AA1139">
        <v>0.55639170058926324</v>
      </c>
      <c r="AB1139" t="str">
        <f>HYPERLINK("Melting_Curves/meltCurve_M0QZ22_SAMD4B.pdf", "Melting_Curves/meltCurve_M0QZ22_SAMD4B.pdf")</f>
        <v>Melting_Curves/meltCurve_M0QZ22_SAMD4B.pdf</v>
      </c>
    </row>
    <row r="1140" spans="1:28" x14ac:dyDescent="0.25">
      <c r="A1140" t="s">
        <v>1144</v>
      </c>
      <c r="B1140">
        <v>0.99996721820229495</v>
      </c>
      <c r="C1140">
        <v>0.91901599909248599</v>
      </c>
      <c r="D1140">
        <v>0.87222390856927501</v>
      </c>
      <c r="E1140">
        <v>0.80619164149549405</v>
      </c>
      <c r="F1140">
        <v>0.943617370796213</v>
      </c>
      <c r="G1140">
        <v>0.76716578264562296</v>
      </c>
      <c r="H1140">
        <v>0.684633032190892</v>
      </c>
      <c r="I1140">
        <v>0.52645488057091305</v>
      </c>
      <c r="J1140">
        <v>0.49510850177059001</v>
      </c>
      <c r="K1140">
        <v>0.271005308772443</v>
      </c>
      <c r="L1140">
        <v>524.32031397119897</v>
      </c>
      <c r="M1140">
        <v>8.0521437941883907</v>
      </c>
      <c r="N1140">
        <v>65.115616127649702</v>
      </c>
      <c r="O1140">
        <v>61.468040294135498</v>
      </c>
      <c r="P1140">
        <v>-3.2785463746430703E-2</v>
      </c>
      <c r="Q1140">
        <v>0</v>
      </c>
      <c r="R1140">
        <v>0.90538467159942504</v>
      </c>
      <c r="S1140" t="s">
        <v>6966</v>
      </c>
      <c r="T1140" t="s">
        <v>11650</v>
      </c>
      <c r="U1140" t="s">
        <v>11650</v>
      </c>
      <c r="V1140" t="s">
        <v>11650</v>
      </c>
      <c r="W1140" t="s">
        <v>12765</v>
      </c>
      <c r="X1140">
        <v>19</v>
      </c>
      <c r="Y1140" t="s">
        <v>18519</v>
      </c>
      <c r="Z1140" t="s">
        <v>24202</v>
      </c>
      <c r="AA1140">
        <v>0.76069183245816518</v>
      </c>
      <c r="AB1140" t="str">
        <f>HYPERLINK("Melting_Curves/meltCurve_M0QZH0_RCN3.pdf", "Melting_Curves/meltCurve_M0QZH0_RCN3.pdf")</f>
        <v>Melting_Curves/meltCurve_M0QZH0_RCN3.pdf</v>
      </c>
    </row>
    <row r="1141" spans="1:28" x14ac:dyDescent="0.25">
      <c r="A1141" t="s">
        <v>1145</v>
      </c>
      <c r="B1141">
        <v>0.99996721820229495</v>
      </c>
      <c r="C1141">
        <v>1.1977404476589899</v>
      </c>
      <c r="D1141">
        <v>1.1739757671128599</v>
      </c>
      <c r="E1141">
        <v>0.98705268150900705</v>
      </c>
      <c r="F1141">
        <v>0.53415565487722205</v>
      </c>
      <c r="G1141">
        <v>0.320351273495596</v>
      </c>
      <c r="H1141">
        <v>0.21348023030407901</v>
      </c>
      <c r="I1141">
        <v>0.13265030461444399</v>
      </c>
      <c r="J1141">
        <v>9.7286736979786695E-2</v>
      </c>
      <c r="K1141">
        <v>9.9679371743269102E-2</v>
      </c>
      <c r="L1141">
        <v>1710.3504178170999</v>
      </c>
      <c r="M1141">
        <v>32.108856960005902</v>
      </c>
      <c r="N1141">
        <v>53.834224427893403</v>
      </c>
      <c r="O1141">
        <v>53.061890996993199</v>
      </c>
      <c r="P1141">
        <v>-0.12957771690122899</v>
      </c>
      <c r="Q1141">
        <v>0.14346292976271999</v>
      </c>
      <c r="R1141">
        <v>0.94978401626490705</v>
      </c>
      <c r="S1141" t="s">
        <v>6967</v>
      </c>
      <c r="T1141" t="s">
        <v>11650</v>
      </c>
      <c r="U1141" t="s">
        <v>11650</v>
      </c>
      <c r="V1141" t="s">
        <v>11650</v>
      </c>
      <c r="W1141" t="s">
        <v>12766</v>
      </c>
      <c r="X1141">
        <v>3</v>
      </c>
      <c r="Y1141" t="s">
        <v>18520</v>
      </c>
      <c r="Z1141" t="s">
        <v>24203</v>
      </c>
      <c r="AA1141">
        <v>0.5271384785636648</v>
      </c>
      <c r="AB1141" t="str">
        <f>HYPERLINK("Melting_Curves/meltCurve_M0QZL8_JOSD2.pdf", "Melting_Curves/meltCurve_M0QZL8_JOSD2.pdf")</f>
        <v>Melting_Curves/meltCurve_M0QZL8_JOSD2.pdf</v>
      </c>
    </row>
    <row r="1142" spans="1:28" x14ac:dyDescent="0.25">
      <c r="A1142" t="s">
        <v>1146</v>
      </c>
      <c r="B1142">
        <v>0.99996721820229495</v>
      </c>
      <c r="C1142">
        <v>0.82136698692605403</v>
      </c>
      <c r="D1142">
        <v>0.82493957351918001</v>
      </c>
      <c r="E1142">
        <v>0.93011237171218197</v>
      </c>
      <c r="F1142">
        <v>1.6902273455305401</v>
      </c>
      <c r="G1142">
        <v>2.6216870112240498</v>
      </c>
      <c r="H1142">
        <v>0.92592362139089401</v>
      </c>
      <c r="I1142">
        <v>0.19637443799090201</v>
      </c>
      <c r="J1142">
        <v>9.5623379387140606E-2</v>
      </c>
      <c r="K1142">
        <v>7.8946938840211603E-2</v>
      </c>
      <c r="L1142">
        <v>5884.0870735163498</v>
      </c>
      <c r="M1142">
        <v>93.9534495687261</v>
      </c>
      <c r="N1142">
        <v>62.755360532893498</v>
      </c>
      <c r="O1142">
        <v>62.599343410809603</v>
      </c>
      <c r="P1142">
        <v>-0.342574890799133</v>
      </c>
      <c r="Q1142">
        <v>8.6996532434745394E-2</v>
      </c>
      <c r="R1142">
        <v>0.414890279912212</v>
      </c>
      <c r="S1142" t="s">
        <v>6968</v>
      </c>
      <c r="T1142" t="s">
        <v>11650</v>
      </c>
      <c r="U1142" t="s">
        <v>11650</v>
      </c>
      <c r="V1142" t="s">
        <v>11650</v>
      </c>
      <c r="W1142" t="s">
        <v>12762</v>
      </c>
      <c r="X1142">
        <v>7</v>
      </c>
      <c r="Y1142" t="s">
        <v>18516</v>
      </c>
      <c r="Z1142" t="s">
        <v>24204</v>
      </c>
      <c r="AA1142">
        <v>0.77634519099690003</v>
      </c>
      <c r="AB1142" t="str">
        <f>HYPERLINK("Melting_Curves/meltCurve_M0R042_TUBB4A.pdf", "Melting_Curves/meltCurve_M0R042_TUBB4A.pdf")</f>
        <v>Melting_Curves/meltCurve_M0R042_TUBB4A.pdf</v>
      </c>
    </row>
    <row r="1143" spans="1:28" x14ac:dyDescent="0.25">
      <c r="A1143" t="s">
        <v>1147</v>
      </c>
      <c r="B1143">
        <v>0.99996721820229495</v>
      </c>
      <c r="C1143">
        <v>0.76481744692841203</v>
      </c>
      <c r="D1143">
        <v>0.51977072522541101</v>
      </c>
      <c r="E1143">
        <v>0.47353593847861097</v>
      </c>
      <c r="F1143">
        <v>0.43028877056943599</v>
      </c>
      <c r="G1143">
        <v>0.27207122473040302</v>
      </c>
      <c r="H1143">
        <v>0.16723903808939899</v>
      </c>
      <c r="I1143">
        <v>0.14963490039716801</v>
      </c>
      <c r="J1143">
        <v>0.10349248285217399</v>
      </c>
      <c r="K1143">
        <v>9.2246408808414795E-2</v>
      </c>
      <c r="L1143">
        <v>425.16617005490201</v>
      </c>
      <c r="M1143">
        <v>8.7129260485117292</v>
      </c>
      <c r="N1143">
        <v>49.243475179833197</v>
      </c>
      <c r="O1143">
        <v>46.431212126987703</v>
      </c>
      <c r="P1143">
        <v>-4.5169115921314597E-2</v>
      </c>
      <c r="Q1143">
        <v>3.7964486784505098E-2</v>
      </c>
      <c r="R1143">
        <v>0.95565650333127194</v>
      </c>
      <c r="S1143" t="s">
        <v>6969</v>
      </c>
      <c r="T1143" t="s">
        <v>11650</v>
      </c>
      <c r="U1143" t="s">
        <v>11650</v>
      </c>
      <c r="V1143" t="s">
        <v>11650</v>
      </c>
      <c r="W1143" t="s">
        <v>12767</v>
      </c>
      <c r="X1143">
        <v>6</v>
      </c>
      <c r="Y1143" t="s">
        <v>18521</v>
      </c>
      <c r="Z1143" t="s">
        <v>24205</v>
      </c>
      <c r="AA1143">
        <v>0.37815814242664553</v>
      </c>
      <c r="AB1143" t="str">
        <f>HYPERLINK("Melting_Curves/meltCurve_M0R0F0_RPS5.pdf", "Melting_Curves/meltCurve_M0R0F0_RPS5.pdf")</f>
        <v>Melting_Curves/meltCurve_M0R0F0_RPS5.pdf</v>
      </c>
    </row>
    <row r="1144" spans="1:28" x14ac:dyDescent="0.25">
      <c r="A1144" t="s">
        <v>1148</v>
      </c>
      <c r="B1144">
        <v>0.99996721820229495</v>
      </c>
      <c r="C1144">
        <v>1.00467294403796</v>
      </c>
      <c r="D1144">
        <v>1.06719462506306</v>
      </c>
      <c r="E1144">
        <v>0.937859111584744</v>
      </c>
      <c r="F1144">
        <v>0.74458545492849504</v>
      </c>
      <c r="G1144">
        <v>0.59812158203825605</v>
      </c>
      <c r="H1144">
        <v>0.274191575407079</v>
      </c>
      <c r="I1144">
        <v>0.12569039127208101</v>
      </c>
      <c r="J1144">
        <v>5.6813349223795398E-2</v>
      </c>
      <c r="K1144">
        <v>2.68211622586071E-2</v>
      </c>
      <c r="L1144">
        <v>1010.2215891528</v>
      </c>
      <c r="M1144">
        <v>17.552196157515699</v>
      </c>
      <c r="N1144">
        <v>57.555282128128397</v>
      </c>
      <c r="O1144">
        <v>56.823780975030999</v>
      </c>
      <c r="P1144">
        <v>-7.72262606323664E-2</v>
      </c>
      <c r="Q1144">
        <v>0</v>
      </c>
      <c r="R1144">
        <v>0.99016220600849902</v>
      </c>
      <c r="S1144" t="s">
        <v>6970</v>
      </c>
      <c r="T1144" t="s">
        <v>11650</v>
      </c>
      <c r="U1144" t="s">
        <v>11650</v>
      </c>
      <c r="V1144" t="s">
        <v>11650</v>
      </c>
      <c r="W1144" t="s">
        <v>12768</v>
      </c>
      <c r="X1144">
        <v>5</v>
      </c>
      <c r="Y1144" t="s">
        <v>18522</v>
      </c>
      <c r="Z1144" t="s">
        <v>24206</v>
      </c>
      <c r="AA1144">
        <v>0.598462620668194</v>
      </c>
      <c r="AB1144" t="str">
        <f>HYPERLINK("Melting_Curves/meltCurve_M0R0N4_AP2S1.pdf", "Melting_Curves/meltCurve_M0R0N4_AP2S1.pdf")</f>
        <v>Melting_Curves/meltCurve_M0R0N4_AP2S1.pdf</v>
      </c>
    </row>
    <row r="1145" spans="1:28" x14ac:dyDescent="0.25">
      <c r="A1145" t="s">
        <v>1149</v>
      </c>
      <c r="B1145">
        <v>0.99996721820229495</v>
      </c>
      <c r="C1145">
        <v>0.93448140952333303</v>
      </c>
      <c r="D1145">
        <v>0.91426009847358902</v>
      </c>
      <c r="E1145">
        <v>1.1654396846072801</v>
      </c>
      <c r="F1145">
        <v>0.85792681627575096</v>
      </c>
      <c r="G1145">
        <v>0.569800812885917</v>
      </c>
      <c r="H1145">
        <v>0.36833839875733398</v>
      </c>
      <c r="I1145">
        <v>0.211074119700115</v>
      </c>
      <c r="J1145">
        <v>0.14994054128183601</v>
      </c>
      <c r="K1145">
        <v>0.153459102097107</v>
      </c>
      <c r="L1145">
        <v>1349.20445239626</v>
      </c>
      <c r="M1145">
        <v>23.510318314473</v>
      </c>
      <c r="N1145">
        <v>58.231204161482303</v>
      </c>
      <c r="O1145">
        <v>56.977402425625002</v>
      </c>
      <c r="P1145">
        <v>-8.8271899198440501E-2</v>
      </c>
      <c r="Q1145">
        <v>0.14430476653928201</v>
      </c>
      <c r="R1145">
        <v>0.96033858862570398</v>
      </c>
      <c r="S1145" t="s">
        <v>6971</v>
      </c>
      <c r="T1145" t="s">
        <v>11650</v>
      </c>
      <c r="U1145" t="s">
        <v>11650</v>
      </c>
      <c r="V1145" t="s">
        <v>11650</v>
      </c>
      <c r="W1145" t="s">
        <v>12455</v>
      </c>
      <c r="X1145">
        <v>7</v>
      </c>
      <c r="Z1145" t="s">
        <v>24207</v>
      </c>
      <c r="AA1145">
        <v>0.64858783397876962</v>
      </c>
      <c r="AB1145" t="str">
        <f>HYPERLINK("Melting_Curves/meltCurve_M0R150_.pdf", "Melting_Curves/meltCurve_M0R150_.pdf")</f>
        <v>Melting_Curves/meltCurve_M0R150_.pdf</v>
      </c>
    </row>
    <row r="1146" spans="1:28" x14ac:dyDescent="0.25">
      <c r="A1146" t="s">
        <v>1150</v>
      </c>
      <c r="B1146">
        <v>0.99996721820229495</v>
      </c>
      <c r="C1146">
        <v>0.84521758158587401</v>
      </c>
      <c r="D1146">
        <v>0.867899597158863</v>
      </c>
      <c r="E1146">
        <v>0.71783665008914099</v>
      </c>
      <c r="F1146">
        <v>0.71217667769291204</v>
      </c>
      <c r="G1146">
        <v>0.44650083943826102</v>
      </c>
      <c r="H1146">
        <v>0.27893631715464201</v>
      </c>
      <c r="I1146">
        <v>0.21142366094544099</v>
      </c>
      <c r="J1146">
        <v>0.144955515889682</v>
      </c>
      <c r="K1146">
        <v>0.19338719422009101</v>
      </c>
      <c r="L1146">
        <v>506.72720949095799</v>
      </c>
      <c r="M1146">
        <v>9.0817116911961602</v>
      </c>
      <c r="N1146">
        <v>55.796443082586599</v>
      </c>
      <c r="O1146">
        <v>53.290621177878698</v>
      </c>
      <c r="P1146">
        <v>-4.2634542999727E-2</v>
      </c>
      <c r="Q1146">
        <v>0</v>
      </c>
      <c r="R1146">
        <v>0.972712755116103</v>
      </c>
      <c r="S1146" t="s">
        <v>6972</v>
      </c>
      <c r="T1146" t="s">
        <v>11650</v>
      </c>
      <c r="U1146" t="s">
        <v>11650</v>
      </c>
      <c r="V1146" t="s">
        <v>11650</v>
      </c>
      <c r="W1146" t="s">
        <v>12769</v>
      </c>
      <c r="X1146">
        <v>4</v>
      </c>
      <c r="Y1146" t="s">
        <v>18523</v>
      </c>
      <c r="Z1146" t="s">
        <v>24208</v>
      </c>
      <c r="AA1146">
        <v>0.54861346801587418</v>
      </c>
      <c r="AB1146" t="str">
        <f>HYPERLINK("Melting_Curves/meltCurve_M0R1G9_PSG5.pdf", "Melting_Curves/meltCurve_M0R1G9_PSG5.pdf")</f>
        <v>Melting_Curves/meltCurve_M0R1G9_PSG5.pdf</v>
      </c>
    </row>
    <row r="1147" spans="1:28" x14ac:dyDescent="0.25">
      <c r="A1147" t="s">
        <v>1151</v>
      </c>
      <c r="B1147">
        <v>0.99996721820229495</v>
      </c>
      <c r="C1147">
        <v>0.47055918550481401</v>
      </c>
      <c r="D1147">
        <v>0.50625336870169702</v>
      </c>
      <c r="E1147">
        <v>0.56991681039873698</v>
      </c>
      <c r="F1147">
        <v>0.71492206665255198</v>
      </c>
      <c r="G1147">
        <v>0.346309522710401</v>
      </c>
      <c r="H1147">
        <v>0.37929045898220598</v>
      </c>
      <c r="I1147">
        <v>0.33349754727148001</v>
      </c>
      <c r="J1147">
        <v>0.23753068194014301</v>
      </c>
      <c r="K1147">
        <v>0.50016151497227401</v>
      </c>
      <c r="L1147">
        <v>413.97504714921098</v>
      </c>
      <c r="M1147">
        <v>9.5824400907284506</v>
      </c>
      <c r="N1147">
        <v>50.059479544871401</v>
      </c>
      <c r="O1147">
        <v>41.445629834248102</v>
      </c>
      <c r="P1147">
        <v>-3.6697979721366902E-2</v>
      </c>
      <c r="Q1147">
        <v>0.36546405290371697</v>
      </c>
      <c r="R1147">
        <v>0.50861009702754001</v>
      </c>
      <c r="S1147" t="s">
        <v>6973</v>
      </c>
      <c r="T1147" t="s">
        <v>11650</v>
      </c>
      <c r="U1147" t="s">
        <v>11650</v>
      </c>
      <c r="V1147" t="s">
        <v>11650</v>
      </c>
      <c r="W1147" t="s">
        <v>12770</v>
      </c>
      <c r="X1147">
        <v>1</v>
      </c>
      <c r="Y1147" t="s">
        <v>18524</v>
      </c>
      <c r="Z1147" t="s">
        <v>24209</v>
      </c>
      <c r="AA1147">
        <v>0.48880285189248002</v>
      </c>
      <c r="AB1147" t="str">
        <f>HYPERLINK("Melting_Curves/meltCurve_M0R2A0_EMC10.pdf", "Melting_Curves/meltCurve_M0R2A0_EMC10.pdf")</f>
        <v>Melting_Curves/meltCurve_M0R2A0_EMC10.pdf</v>
      </c>
    </row>
    <row r="1148" spans="1:28" x14ac:dyDescent="0.25">
      <c r="A1148" t="s">
        <v>1152</v>
      </c>
      <c r="B1148">
        <v>0.99996721820229495</v>
      </c>
      <c r="C1148">
        <v>0.92914413867871004</v>
      </c>
      <c r="D1148">
        <v>0.83094094354637404</v>
      </c>
      <c r="E1148">
        <v>0.56770818692527603</v>
      </c>
      <c r="F1148">
        <v>0.58361663489337001</v>
      </c>
      <c r="G1148">
        <v>0.56773337948465097</v>
      </c>
      <c r="H1148">
        <v>0.41915205390451199</v>
      </c>
      <c r="I1148">
        <v>0.38865702706687999</v>
      </c>
      <c r="J1148">
        <v>0.38167967487999799</v>
      </c>
      <c r="K1148">
        <v>0.24236279834691099</v>
      </c>
      <c r="L1148">
        <v>445.60680782603703</v>
      </c>
      <c r="M1148">
        <v>8.5857282421711396</v>
      </c>
      <c r="N1148">
        <v>56.392056405522297</v>
      </c>
      <c r="O1148">
        <v>49.315382886136597</v>
      </c>
      <c r="P1148">
        <v>-3.2774230614524502E-2</v>
      </c>
      <c r="Q1148">
        <v>0.24764795265091899</v>
      </c>
      <c r="R1148">
        <v>0.94257597909714197</v>
      </c>
      <c r="S1148" t="s">
        <v>6974</v>
      </c>
      <c r="T1148" t="s">
        <v>11650</v>
      </c>
      <c r="U1148" t="s">
        <v>11650</v>
      </c>
      <c r="V1148" t="s">
        <v>11650</v>
      </c>
      <c r="W1148" t="s">
        <v>12771</v>
      </c>
      <c r="X1148">
        <v>9</v>
      </c>
      <c r="Y1148" t="s">
        <v>18525</v>
      </c>
      <c r="Z1148" t="s">
        <v>24210</v>
      </c>
      <c r="AA1148">
        <v>0.57978923493853085</v>
      </c>
      <c r="AB1148" t="str">
        <f>HYPERLINK("Melting_Curves/meltCurve_M0R300_MYO9B.pdf", "Melting_Curves/meltCurve_M0R300_MYO9B.pdf")</f>
        <v>Melting_Curves/meltCurve_M0R300_MYO9B.pdf</v>
      </c>
    </row>
    <row r="1149" spans="1:28" x14ac:dyDescent="0.25">
      <c r="A1149" t="s">
        <v>1153</v>
      </c>
      <c r="B1149">
        <v>0.99996721820229495</v>
      </c>
      <c r="C1149">
        <v>1.0414909013479301</v>
      </c>
      <c r="D1149">
        <v>1.02983518921686</v>
      </c>
      <c r="E1149">
        <v>0.85283384056697198</v>
      </c>
      <c r="F1149">
        <v>1.0332122854742001</v>
      </c>
      <c r="G1149">
        <v>0.75603667770545302</v>
      </c>
      <c r="H1149">
        <v>0.45116029119559298</v>
      </c>
      <c r="I1149">
        <v>0.21046148541533699</v>
      </c>
      <c r="J1149">
        <v>0.15501339630432201</v>
      </c>
      <c r="K1149">
        <v>5.5664004757182202E-2</v>
      </c>
      <c r="L1149">
        <v>1328.53002540274</v>
      </c>
      <c r="M1149">
        <v>22.101743123274101</v>
      </c>
      <c r="N1149">
        <v>60.291663374453499</v>
      </c>
      <c r="O1149">
        <v>59.624164684831101</v>
      </c>
      <c r="P1149">
        <v>-8.9683778495864203E-2</v>
      </c>
      <c r="Q1149">
        <v>3.2257123702286297E-2</v>
      </c>
      <c r="R1149">
        <v>0.97917960740249199</v>
      </c>
      <c r="S1149" t="s">
        <v>6975</v>
      </c>
      <c r="T1149" t="s">
        <v>11650</v>
      </c>
      <c r="U1149" t="s">
        <v>11650</v>
      </c>
      <c r="V1149" t="s">
        <v>11650</v>
      </c>
      <c r="W1149" t="s">
        <v>12772</v>
      </c>
      <c r="X1149">
        <v>5</v>
      </c>
      <c r="Y1149" t="s">
        <v>18526</v>
      </c>
      <c r="Z1149" t="s">
        <v>24211</v>
      </c>
      <c r="AA1149">
        <v>0.68862906412613856</v>
      </c>
      <c r="AB1149" t="str">
        <f>HYPERLINK("Melting_Curves/meltCurve_M0R333_DMPK.pdf", "Melting_Curves/meltCurve_M0R333_DMPK.pdf")</f>
        <v>Melting_Curves/meltCurve_M0R333_DMPK.pdf</v>
      </c>
    </row>
    <row r="1150" spans="1:28" x14ac:dyDescent="0.25">
      <c r="A1150" t="s">
        <v>1154</v>
      </c>
      <c r="B1150">
        <v>0.99996721820229495</v>
      </c>
      <c r="C1150">
        <v>1.0537719881569501</v>
      </c>
      <c r="D1150">
        <v>0.91809165962243899</v>
      </c>
      <c r="E1150">
        <v>0.61949126893195905</v>
      </c>
      <c r="F1150">
        <v>0.50407198442076695</v>
      </c>
      <c r="G1150">
        <v>0.35981872048097402</v>
      </c>
      <c r="H1150">
        <v>0.174815611704805</v>
      </c>
      <c r="I1150">
        <v>0.116289021148029</v>
      </c>
      <c r="J1150">
        <v>6.7985610777935093E-2</v>
      </c>
      <c r="K1150">
        <v>7.5036179596813898E-2</v>
      </c>
      <c r="L1150">
        <v>709.53388408339299</v>
      </c>
      <c r="M1150">
        <v>13.4254661016135</v>
      </c>
      <c r="N1150">
        <v>53.159453924121102</v>
      </c>
      <c r="O1150">
        <v>51.718606806153097</v>
      </c>
      <c r="P1150">
        <v>-6.24658533610742E-2</v>
      </c>
      <c r="Q1150">
        <v>3.7607038339765399E-2</v>
      </c>
      <c r="R1150">
        <v>0.98560711873402795</v>
      </c>
      <c r="S1150" t="s">
        <v>6976</v>
      </c>
      <c r="T1150" t="s">
        <v>11650</v>
      </c>
      <c r="U1150" t="s">
        <v>11650</v>
      </c>
      <c r="V1150" t="s">
        <v>11650</v>
      </c>
      <c r="W1150" t="s">
        <v>12773</v>
      </c>
      <c r="X1150">
        <v>3</v>
      </c>
      <c r="Y1150" t="s">
        <v>18527</v>
      </c>
      <c r="Z1150" t="s">
        <v>24212</v>
      </c>
      <c r="AA1150">
        <v>0.47402279021106292</v>
      </c>
      <c r="AB1150" t="str">
        <f>HYPERLINK("Melting_Curves/meltCurve_M0R366_FSD1.pdf", "Melting_Curves/meltCurve_M0R366_FSD1.pdf")</f>
        <v>Melting_Curves/meltCurve_M0R366_FSD1.pdf</v>
      </c>
    </row>
    <row r="1151" spans="1:28" x14ac:dyDescent="0.25">
      <c r="A1151" t="s">
        <v>1155</v>
      </c>
      <c r="B1151">
        <v>0.99996721820229495</v>
      </c>
      <c r="C1151">
        <v>1.0748279936509699</v>
      </c>
      <c r="D1151">
        <v>1.0418689478113501</v>
      </c>
      <c r="E1151">
        <v>1.0941796841264999</v>
      </c>
      <c r="F1151">
        <v>1.33207420410194</v>
      </c>
      <c r="G1151">
        <v>1.47181581190051</v>
      </c>
      <c r="H1151">
        <v>1.01664967176192</v>
      </c>
      <c r="I1151">
        <v>0.75869651885497502</v>
      </c>
      <c r="J1151">
        <v>0.51616185438360396</v>
      </c>
      <c r="K1151">
        <v>0.42991318138733797</v>
      </c>
      <c r="L1151">
        <v>3967.0907307267698</v>
      </c>
      <c r="M1151">
        <v>61.633947134960898</v>
      </c>
      <c r="N1151">
        <v>66.769787493885303</v>
      </c>
      <c r="O1151">
        <v>64.297713354241594</v>
      </c>
      <c r="P1151">
        <v>-0.132842131770779</v>
      </c>
      <c r="Q1151">
        <v>0.445666538013331</v>
      </c>
      <c r="R1151">
        <v>0.63358691243894505</v>
      </c>
      <c r="S1151" t="s">
        <v>6977</v>
      </c>
      <c r="T1151" t="s">
        <v>11650</v>
      </c>
      <c r="U1151" t="s">
        <v>11650</v>
      </c>
      <c r="V1151" t="s">
        <v>11650</v>
      </c>
      <c r="W1151" t="s">
        <v>12774</v>
      </c>
      <c r="X1151">
        <v>6</v>
      </c>
      <c r="Y1151" t="s">
        <v>18528</v>
      </c>
      <c r="Z1151" t="s">
        <v>24213</v>
      </c>
      <c r="AA1151">
        <v>0.8967527394256436</v>
      </c>
      <c r="AB1151" t="str">
        <f>HYPERLINK("Melting_Curves/meltCurve_M0R3D4_RABAC1.pdf", "Melting_Curves/meltCurve_M0R3D4_RABAC1.pdf")</f>
        <v>Melting_Curves/meltCurve_M0R3D4_RABAC1.pdf</v>
      </c>
    </row>
    <row r="1152" spans="1:28" x14ac:dyDescent="0.25">
      <c r="A1152" t="s">
        <v>1156</v>
      </c>
      <c r="B1152">
        <v>0.99996721820229495</v>
      </c>
      <c r="C1152">
        <v>0.92457002313972503</v>
      </c>
      <c r="D1152">
        <v>1.04049367343453</v>
      </c>
      <c r="E1152">
        <v>1.04759347184333</v>
      </c>
      <c r="F1152">
        <v>0.73528974259558899</v>
      </c>
      <c r="G1152">
        <v>0.56277577033695303</v>
      </c>
      <c r="H1152">
        <v>0.26054984569262402</v>
      </c>
      <c r="I1152">
        <v>0.14297974288930601</v>
      </c>
      <c r="J1152">
        <v>8.0520349986734505E-2</v>
      </c>
      <c r="K1152">
        <v>7.1933936694476397E-2</v>
      </c>
      <c r="L1152">
        <v>1089.36987684223</v>
      </c>
      <c r="M1152">
        <v>19.049542816053702</v>
      </c>
      <c r="N1152">
        <v>57.405430851162599</v>
      </c>
      <c r="O1152">
        <v>56.567132318102601</v>
      </c>
      <c r="P1152">
        <v>-8.1238784541987102E-2</v>
      </c>
      <c r="Q1152">
        <v>3.5092039829148797E-2</v>
      </c>
      <c r="R1152">
        <v>0.98175075818582402</v>
      </c>
      <c r="S1152" t="s">
        <v>6978</v>
      </c>
      <c r="T1152" t="s">
        <v>11650</v>
      </c>
      <c r="U1152" t="s">
        <v>11650</v>
      </c>
      <c r="V1152" t="s">
        <v>11650</v>
      </c>
      <c r="W1152" t="s">
        <v>12775</v>
      </c>
      <c r="X1152">
        <v>16</v>
      </c>
      <c r="Y1152" t="s">
        <v>18529</v>
      </c>
      <c r="Z1152" t="s">
        <v>24214</v>
      </c>
      <c r="AA1152">
        <v>0.60017207947714468</v>
      </c>
      <c r="AB1152" t="str">
        <f>HYPERLINK("Melting_Curves/meltCurve_O00116_AGPS.pdf", "Melting_Curves/meltCurve_O00116_AGPS.pdf")</f>
        <v>Melting_Curves/meltCurve_O00116_AGPS.pdf</v>
      </c>
    </row>
    <row r="1153" spans="1:28" x14ac:dyDescent="0.25">
      <c r="A1153" t="s">
        <v>1157</v>
      </c>
      <c r="B1153">
        <v>0.99996721820229495</v>
      </c>
      <c r="C1153">
        <v>0.89496313898672397</v>
      </c>
      <c r="D1153">
        <v>0.84281759661134803</v>
      </c>
      <c r="E1153">
        <v>0.82122893889960802</v>
      </c>
      <c r="F1153">
        <v>1.06393692272637</v>
      </c>
      <c r="G1153">
        <v>0.86017396244841504</v>
      </c>
      <c r="H1153">
        <v>0.64836220339219697</v>
      </c>
      <c r="I1153">
        <v>0.67005887488223603</v>
      </c>
      <c r="J1153">
        <v>0.59035437787386202</v>
      </c>
      <c r="K1153">
        <v>0.449766717637402</v>
      </c>
      <c r="L1153">
        <v>473.31837958930998</v>
      </c>
      <c r="M1153">
        <v>6.8104501021879296</v>
      </c>
      <c r="N1153">
        <v>69.498844773228001</v>
      </c>
      <c r="O1153">
        <v>64.245437494752593</v>
      </c>
      <c r="P1153">
        <v>-2.65560107603291E-2</v>
      </c>
      <c r="Q1153">
        <v>0</v>
      </c>
      <c r="R1153">
        <v>0.76673127570955502</v>
      </c>
      <c r="S1153" t="s">
        <v>6979</v>
      </c>
      <c r="T1153" t="s">
        <v>11650</v>
      </c>
      <c r="U1153" t="s">
        <v>11650</v>
      </c>
      <c r="V1153" t="s">
        <v>11650</v>
      </c>
      <c r="W1153" t="s">
        <v>12776</v>
      </c>
      <c r="X1153">
        <v>1</v>
      </c>
      <c r="Y1153" t="s">
        <v>18530</v>
      </c>
      <c r="Z1153" t="s">
        <v>24215</v>
      </c>
      <c r="AA1153">
        <v>0.81329766503388923</v>
      </c>
      <c r="AB1153" t="str">
        <f>HYPERLINK("Melting_Curves/meltCurve_O00139_2_KIF2A.pdf", "Melting_Curves/meltCurve_O00139_2_KIF2A.pdf")</f>
        <v>Melting_Curves/meltCurve_O00139_2_KIF2A.pdf</v>
      </c>
    </row>
    <row r="1154" spans="1:28" x14ac:dyDescent="0.25">
      <c r="A1154" t="s">
        <v>1158</v>
      </c>
      <c r="B1154">
        <v>0.99996721820229495</v>
      </c>
      <c r="C1154">
        <v>0.85304258069519301</v>
      </c>
      <c r="D1154">
        <v>0.795705999670695</v>
      </c>
      <c r="E1154">
        <v>0.74074553419453804</v>
      </c>
      <c r="F1154">
        <v>1.0687974181633599</v>
      </c>
      <c r="G1154">
        <v>0.87444916596904498</v>
      </c>
      <c r="H1154">
        <v>0.59671075599863599</v>
      </c>
      <c r="I1154">
        <v>0.40797490251087898</v>
      </c>
      <c r="J1154">
        <v>0.248403741036196</v>
      </c>
      <c r="K1154">
        <v>0.21941624461907699</v>
      </c>
      <c r="L1154">
        <v>1408.5242442286701</v>
      </c>
      <c r="M1154">
        <v>22.978351025056</v>
      </c>
      <c r="N1154">
        <v>62.375978533621399</v>
      </c>
      <c r="O1154">
        <v>60.839287030941399</v>
      </c>
      <c r="P1154">
        <v>-7.8949432686195004E-2</v>
      </c>
      <c r="Q1154">
        <v>0.16388483029444201</v>
      </c>
      <c r="R1154">
        <v>0.83241647278316799</v>
      </c>
      <c r="S1154" t="s">
        <v>6980</v>
      </c>
      <c r="T1154" t="s">
        <v>11650</v>
      </c>
      <c r="U1154" t="s">
        <v>11650</v>
      </c>
      <c r="V1154" t="s">
        <v>11650</v>
      </c>
      <c r="W1154" t="s">
        <v>12777</v>
      </c>
      <c r="X1154">
        <v>15</v>
      </c>
      <c r="Y1154" t="s">
        <v>18531</v>
      </c>
      <c r="Z1154" t="s">
        <v>24216</v>
      </c>
      <c r="AA1154">
        <v>0.76234175047954555</v>
      </c>
      <c r="AB1154" t="str">
        <f>HYPERLINK("Melting_Curves/meltCurve_O00148_DDX39A.pdf", "Melting_Curves/meltCurve_O00148_DDX39A.pdf")</f>
        <v>Melting_Curves/meltCurve_O00148_DDX39A.pdf</v>
      </c>
    </row>
    <row r="1155" spans="1:28" x14ac:dyDescent="0.25">
      <c r="A1155" t="s">
        <v>1159</v>
      </c>
      <c r="B1155">
        <v>0.99996721820229495</v>
      </c>
      <c r="C1155">
        <v>1.01836587276026</v>
      </c>
      <c r="D1155">
        <v>0.97421276998498296</v>
      </c>
      <c r="E1155">
        <v>1.0065824750304699</v>
      </c>
      <c r="F1155">
        <v>1.11901390799631</v>
      </c>
      <c r="G1155">
        <v>1.173989454619</v>
      </c>
      <c r="H1155">
        <v>0.82330791083953003</v>
      </c>
      <c r="I1155">
        <v>1.0316243168546</v>
      </c>
      <c r="J1155">
        <v>0.97825744666820902</v>
      </c>
      <c r="K1155">
        <v>0.61740900857418501</v>
      </c>
      <c r="S1155" t="s">
        <v>6981</v>
      </c>
      <c r="T1155" t="s">
        <v>11650</v>
      </c>
      <c r="U1155" t="s">
        <v>11651</v>
      </c>
      <c r="V1155" t="s">
        <v>11650</v>
      </c>
      <c r="W1155" t="s">
        <v>12778</v>
      </c>
      <c r="X1155">
        <v>24</v>
      </c>
      <c r="Y1155" t="s">
        <v>18532</v>
      </c>
      <c r="Z1155" t="s">
        <v>24217</v>
      </c>
      <c r="AB1155" t="str">
        <f>HYPERLINK("Melting_Curves/meltCurve_O00151_PDLIM1.pdf", "Melting_Curves/meltCurve_O00151_PDLIM1.pdf")</f>
        <v>Melting_Curves/meltCurve_O00151_PDLIM1.pdf</v>
      </c>
    </row>
    <row r="1156" spans="1:28" x14ac:dyDescent="0.25">
      <c r="A1156" t="s">
        <v>1160</v>
      </c>
      <c r="B1156">
        <v>0.99996721820229495</v>
      </c>
      <c r="C1156">
        <v>1.06182543870159</v>
      </c>
      <c r="D1156">
        <v>1.0499474575508301</v>
      </c>
      <c r="E1156">
        <v>1.13351063800353</v>
      </c>
      <c r="F1156">
        <v>1.3384311100594899</v>
      </c>
      <c r="G1156">
        <v>1.4363234440475801</v>
      </c>
      <c r="H1156">
        <v>0.870229140590704</v>
      </c>
      <c r="I1156">
        <v>0.45756722428070801</v>
      </c>
      <c r="J1156">
        <v>0.17577164844055801</v>
      </c>
      <c r="K1156">
        <v>0.106135760083978</v>
      </c>
      <c r="L1156">
        <v>3274.8065688056899</v>
      </c>
      <c r="M1156">
        <v>51.636515844583101</v>
      </c>
      <c r="N1156">
        <v>63.730298353769903</v>
      </c>
      <c r="O1156">
        <v>63.3254643843024</v>
      </c>
      <c r="P1156">
        <v>-0.181218907311988</v>
      </c>
      <c r="Q1156">
        <v>0.111035170580833</v>
      </c>
      <c r="R1156">
        <v>0.82779125343420501</v>
      </c>
      <c r="S1156" t="s">
        <v>6982</v>
      </c>
      <c r="T1156" t="s">
        <v>11650</v>
      </c>
      <c r="U1156" t="s">
        <v>11650</v>
      </c>
      <c r="V1156" t="s">
        <v>11650</v>
      </c>
      <c r="W1156" t="s">
        <v>12779</v>
      </c>
      <c r="X1156">
        <v>30</v>
      </c>
      <c r="Y1156" t="s">
        <v>18479</v>
      </c>
      <c r="Z1156" t="s">
        <v>24218</v>
      </c>
      <c r="AA1156">
        <v>0.80700174543708314</v>
      </c>
      <c r="AB1156" t="str">
        <f>HYPERLINK("Melting_Curves/meltCurve_O00154_4_ACOT7.pdf", "Melting_Curves/meltCurve_O00154_4_ACOT7.pdf")</f>
        <v>Melting_Curves/meltCurve_O00154_4_ACOT7.pdf</v>
      </c>
    </row>
    <row r="1157" spans="1:28" x14ac:dyDescent="0.25">
      <c r="A1157" t="s">
        <v>1161</v>
      </c>
      <c r="B1157">
        <v>0.99996721820229495</v>
      </c>
      <c r="C1157">
        <v>0.76011483899959797</v>
      </c>
      <c r="D1157">
        <v>0.6434334490218</v>
      </c>
      <c r="E1157">
        <v>0.483116363128334</v>
      </c>
      <c r="F1157">
        <v>0.20778982832569501</v>
      </c>
      <c r="G1157">
        <v>0.123004639190282</v>
      </c>
      <c r="H1157">
        <v>6.7841433772953305E-2</v>
      </c>
      <c r="I1157">
        <v>6.54641881566317E-2</v>
      </c>
      <c r="J1157">
        <v>4.4923816712099003E-2</v>
      </c>
      <c r="K1157">
        <v>4.9873448158275498E-2</v>
      </c>
      <c r="L1157">
        <v>602.03556600684601</v>
      </c>
      <c r="M1157">
        <v>12.4680756874391</v>
      </c>
      <c r="N1157">
        <v>48.386560000179998</v>
      </c>
      <c r="O1157">
        <v>47.094479706931502</v>
      </c>
      <c r="P1157">
        <v>-6.5354957280381903E-2</v>
      </c>
      <c r="Q1157">
        <v>1.2768742839776401E-2</v>
      </c>
      <c r="R1157">
        <v>0.98237228290215495</v>
      </c>
      <c r="S1157" t="s">
        <v>6983</v>
      </c>
      <c r="T1157" t="s">
        <v>11650</v>
      </c>
      <c r="U1157" t="s">
        <v>11650</v>
      </c>
      <c r="V1157" t="s">
        <v>11650</v>
      </c>
      <c r="W1157" t="s">
        <v>12780</v>
      </c>
      <c r="X1157">
        <v>51</v>
      </c>
      <c r="Y1157" t="s">
        <v>18533</v>
      </c>
      <c r="Z1157" t="s">
        <v>24219</v>
      </c>
      <c r="AA1157">
        <v>0.32089347849217192</v>
      </c>
      <c r="AB1157" t="str">
        <f>HYPERLINK("Melting_Curves/meltCurve_O00159_3_MYO1C.pdf", "Melting_Curves/meltCurve_O00159_3_MYO1C.pdf")</f>
        <v>Melting_Curves/meltCurve_O00159_3_MYO1C.pdf</v>
      </c>
    </row>
    <row r="1158" spans="1:28" x14ac:dyDescent="0.25">
      <c r="A1158" t="s">
        <v>1162</v>
      </c>
      <c r="B1158">
        <v>0.99996721820229495</v>
      </c>
      <c r="C1158">
        <v>0.93207220501370402</v>
      </c>
      <c r="D1158">
        <v>0.94903999906691705</v>
      </c>
      <c r="E1158">
        <v>1.01635858032329</v>
      </c>
      <c r="F1158">
        <v>1.37785376408959</v>
      </c>
      <c r="G1158">
        <v>1.5414855159232099</v>
      </c>
      <c r="H1158">
        <v>1.2406525413940199</v>
      </c>
      <c r="I1158">
        <v>0.97322142569658698</v>
      </c>
      <c r="J1158">
        <v>0.83314745571160198</v>
      </c>
      <c r="K1158">
        <v>0.74102497255657795</v>
      </c>
      <c r="L1158">
        <v>4946.2021937107002</v>
      </c>
      <c r="M1158">
        <v>74.383932601411104</v>
      </c>
      <c r="O1158">
        <v>66.447558283752997</v>
      </c>
      <c r="P1158">
        <v>-7.4048155728363804E-2</v>
      </c>
      <c r="Q1158">
        <v>0.73540961806679195</v>
      </c>
      <c r="R1158">
        <v>0.104769835324606</v>
      </c>
      <c r="S1158" t="s">
        <v>6984</v>
      </c>
      <c r="T1158" t="s">
        <v>11650</v>
      </c>
      <c r="U1158" t="s">
        <v>11650</v>
      </c>
      <c r="V1158" t="s">
        <v>11650</v>
      </c>
      <c r="W1158" t="s">
        <v>12781</v>
      </c>
      <c r="X1158">
        <v>24</v>
      </c>
      <c r="Y1158" t="s">
        <v>18534</v>
      </c>
      <c r="Z1158" t="s">
        <v>24220</v>
      </c>
      <c r="AA1158">
        <v>0.9692270493392976</v>
      </c>
      <c r="AB1158" t="str">
        <f>HYPERLINK("Melting_Curves/meltCurve_O00161_SNAP23.pdf", "Melting_Curves/meltCurve_O00161_SNAP23.pdf")</f>
        <v>Melting_Curves/meltCurve_O00161_SNAP23.pdf</v>
      </c>
    </row>
    <row r="1159" spans="1:28" x14ac:dyDescent="0.25">
      <c r="A1159" t="s">
        <v>1163</v>
      </c>
      <c r="B1159">
        <v>0.99996721820229495</v>
      </c>
      <c r="C1159">
        <v>0.98421818652898396</v>
      </c>
      <c r="D1159">
        <v>0.92205375462422101</v>
      </c>
      <c r="E1159">
        <v>0.72163679684006898</v>
      </c>
      <c r="F1159">
        <v>0.41865692149844802</v>
      </c>
      <c r="G1159">
        <v>0.28880239449831102</v>
      </c>
      <c r="H1159">
        <v>0.18365481048563201</v>
      </c>
      <c r="I1159">
        <v>0.13233199765637099</v>
      </c>
      <c r="J1159">
        <v>8.8480575067197906E-2</v>
      </c>
      <c r="K1159">
        <v>7.6666574633960094E-2</v>
      </c>
      <c r="L1159">
        <v>889.68248561560597</v>
      </c>
      <c r="M1159">
        <v>17.097956308856499</v>
      </c>
      <c r="N1159">
        <v>52.625967875494297</v>
      </c>
      <c r="O1159">
        <v>51.338296557727404</v>
      </c>
      <c r="P1159">
        <v>-7.5986856042325704E-2</v>
      </c>
      <c r="Q1159">
        <v>8.7423296435817893E-2</v>
      </c>
      <c r="R1159">
        <v>0.99508917438405398</v>
      </c>
      <c r="S1159" t="s">
        <v>6985</v>
      </c>
      <c r="T1159" t="s">
        <v>11650</v>
      </c>
      <c r="U1159" t="s">
        <v>11650</v>
      </c>
      <c r="V1159" t="s">
        <v>11650</v>
      </c>
      <c r="W1159" t="s">
        <v>12782</v>
      </c>
      <c r="X1159">
        <v>14</v>
      </c>
      <c r="Y1159" t="s">
        <v>18535</v>
      </c>
      <c r="Z1159" t="s">
        <v>24221</v>
      </c>
      <c r="AA1159">
        <v>0.47004868529895999</v>
      </c>
      <c r="AB1159" t="str">
        <f>HYPERLINK("Melting_Curves/meltCurve_O00170_AIP.pdf", "Melting_Curves/meltCurve_O00170_AIP.pdf")</f>
        <v>Melting_Curves/meltCurve_O00170_AIP.pdf</v>
      </c>
    </row>
    <row r="1160" spans="1:28" x14ac:dyDescent="0.25">
      <c r="A1160" t="s">
        <v>1164</v>
      </c>
      <c r="B1160">
        <v>0.99996721820229495</v>
      </c>
      <c r="C1160">
        <v>1.03371349716213</v>
      </c>
      <c r="D1160">
        <v>0.84962465292063505</v>
      </c>
      <c r="E1160">
        <v>0.737475389463491</v>
      </c>
      <c r="F1160">
        <v>0.46170212775714697</v>
      </c>
      <c r="G1160">
        <v>0.29043829749647998</v>
      </c>
      <c r="H1160">
        <v>0.15739243790232099</v>
      </c>
      <c r="I1160">
        <v>9.6515263133933604E-2</v>
      </c>
      <c r="J1160">
        <v>7.7330517192091594E-2</v>
      </c>
      <c r="K1160">
        <v>5.7286967950399302E-2</v>
      </c>
      <c r="L1160">
        <v>786.81041422322005</v>
      </c>
      <c r="M1160">
        <v>14.9407764064066</v>
      </c>
      <c r="N1160">
        <v>52.951115743666598</v>
      </c>
      <c r="O1160">
        <v>51.745547362354102</v>
      </c>
      <c r="P1160">
        <v>-6.9363125922757105E-2</v>
      </c>
      <c r="Q1160">
        <v>3.9175858448706802E-2</v>
      </c>
      <c r="R1160">
        <v>0.99297414440694198</v>
      </c>
      <c r="S1160" t="s">
        <v>6986</v>
      </c>
      <c r="T1160" t="s">
        <v>11650</v>
      </c>
      <c r="U1160" t="s">
        <v>11650</v>
      </c>
      <c r="V1160" t="s">
        <v>11650</v>
      </c>
      <c r="W1160" t="s">
        <v>12783</v>
      </c>
      <c r="X1160">
        <v>4</v>
      </c>
      <c r="Y1160" t="s">
        <v>18536</v>
      </c>
      <c r="Z1160" t="s">
        <v>24222</v>
      </c>
      <c r="AA1160">
        <v>0.46578758915184609</v>
      </c>
      <c r="AB1160" t="str">
        <f>HYPERLINK("Melting_Curves/meltCurve_O00178_GTPBP1.pdf", "Melting_Curves/meltCurve_O00178_GTPBP1.pdf")</f>
        <v>Melting_Curves/meltCurve_O00178_GTPBP1.pdf</v>
      </c>
    </row>
    <row r="1161" spans="1:28" x14ac:dyDescent="0.25">
      <c r="A1161" t="s">
        <v>1165</v>
      </c>
      <c r="B1161">
        <v>0.99996721820229495</v>
      </c>
      <c r="C1161">
        <v>0.75943615065318004</v>
      </c>
      <c r="D1161">
        <v>0.84897047182405505</v>
      </c>
      <c r="E1161">
        <v>0.39253248851816003</v>
      </c>
      <c r="F1161">
        <v>0.26901941667291002</v>
      </c>
      <c r="G1161">
        <v>0.22602406082253301</v>
      </c>
      <c r="H1161">
        <v>0.16028350857923301</v>
      </c>
      <c r="I1161">
        <v>0.108099021056012</v>
      </c>
      <c r="J1161">
        <v>8.7458624594248094E-2</v>
      </c>
      <c r="K1161">
        <v>7.0798423723436102E-2</v>
      </c>
      <c r="L1161">
        <v>709.79901633532302</v>
      </c>
      <c r="M1161">
        <v>14.589742084652199</v>
      </c>
      <c r="N1161">
        <v>49.2675583034383</v>
      </c>
      <c r="O1161">
        <v>47.763977592568601</v>
      </c>
      <c r="P1161">
        <v>-6.9995448366331495E-2</v>
      </c>
      <c r="Q1161">
        <v>8.3497485564167903E-2</v>
      </c>
      <c r="R1161">
        <v>0.96194887676962504</v>
      </c>
      <c r="S1161" t="s">
        <v>6987</v>
      </c>
      <c r="T1161" t="s">
        <v>11650</v>
      </c>
      <c r="U1161" t="s">
        <v>11650</v>
      </c>
      <c r="V1161" t="s">
        <v>11650</v>
      </c>
      <c r="W1161" t="s">
        <v>12784</v>
      </c>
      <c r="X1161">
        <v>20</v>
      </c>
      <c r="Y1161" t="s">
        <v>18537</v>
      </c>
      <c r="Z1161" t="s">
        <v>24223</v>
      </c>
      <c r="AA1161">
        <v>0.37194434982735319</v>
      </c>
      <c r="AB1161" t="str">
        <f>HYPERLINK("Melting_Curves/meltCurve_O00186_STXBP3.pdf", "Melting_Curves/meltCurve_O00186_STXBP3.pdf")</f>
        <v>Melting_Curves/meltCurve_O00186_STXBP3.pdf</v>
      </c>
    </row>
    <row r="1162" spans="1:28" x14ac:dyDescent="0.25">
      <c r="A1162" t="s">
        <v>1166</v>
      </c>
      <c r="B1162">
        <v>0.99996721820229495</v>
      </c>
      <c r="C1162">
        <v>1.04236479060248</v>
      </c>
      <c r="D1162">
        <v>1.08807366169195</v>
      </c>
      <c r="E1162">
        <v>1.1717566799753101</v>
      </c>
      <c r="F1162">
        <v>0.71596935914356097</v>
      </c>
      <c r="G1162">
        <v>0.55563161455559795</v>
      </c>
      <c r="H1162">
        <v>0.295192996589073</v>
      </c>
      <c r="I1162">
        <v>0.18836984778016899</v>
      </c>
      <c r="J1162">
        <v>0.130796857916888</v>
      </c>
      <c r="K1162">
        <v>9.7438591058616103E-2</v>
      </c>
      <c r="L1162">
        <v>1213.80758216598</v>
      </c>
      <c r="M1162">
        <v>21.338363841002401</v>
      </c>
      <c r="N1162">
        <v>57.492876953423199</v>
      </c>
      <c r="O1162">
        <v>56.391292551422303</v>
      </c>
      <c r="P1162">
        <v>-8.5031865534265103E-2</v>
      </c>
      <c r="Q1162">
        <v>0.101161448147252</v>
      </c>
      <c r="R1162">
        <v>0.954621185040326</v>
      </c>
      <c r="S1162" t="s">
        <v>6988</v>
      </c>
      <c r="T1162" t="s">
        <v>11650</v>
      </c>
      <c r="U1162" t="s">
        <v>11650</v>
      </c>
      <c r="V1162" t="s">
        <v>11650</v>
      </c>
      <c r="W1162" t="s">
        <v>12785</v>
      </c>
      <c r="X1162">
        <v>14</v>
      </c>
      <c r="Y1162" t="s">
        <v>18538</v>
      </c>
      <c r="Z1162" t="s">
        <v>24224</v>
      </c>
      <c r="AA1162">
        <v>0.61723144234394145</v>
      </c>
      <c r="AB1162" t="str">
        <f>HYPERLINK("Melting_Curves/meltCurve_O00203_AP3B1.pdf", "Melting_Curves/meltCurve_O00203_AP3B1.pdf")</f>
        <v>Melting_Curves/meltCurve_O00203_AP3B1.pdf</v>
      </c>
    </row>
    <row r="1163" spans="1:28" x14ac:dyDescent="0.25">
      <c r="A1163" t="s">
        <v>1167</v>
      </c>
      <c r="B1163">
        <v>0.99996721820229495</v>
      </c>
      <c r="C1163">
        <v>0.95612350091207399</v>
      </c>
      <c r="D1163">
        <v>0.87476865780646695</v>
      </c>
      <c r="E1163">
        <v>0.73706516297077596</v>
      </c>
      <c r="F1163">
        <v>0.78522138484807003</v>
      </c>
      <c r="G1163">
        <v>0.67336527541958202</v>
      </c>
      <c r="H1163">
        <v>0.58064064219816003</v>
      </c>
      <c r="I1163">
        <v>0.55669703408065996</v>
      </c>
      <c r="J1163">
        <v>0.55180244427733205</v>
      </c>
      <c r="K1163">
        <v>0.30631434738192598</v>
      </c>
      <c r="L1163">
        <v>328.01711061070301</v>
      </c>
      <c r="M1163">
        <v>5.0433204654870698</v>
      </c>
      <c r="N1163">
        <v>65.039927727088298</v>
      </c>
      <c r="O1163">
        <v>56.878959408723297</v>
      </c>
      <c r="P1163">
        <v>-2.22987859387756E-2</v>
      </c>
      <c r="Q1163">
        <v>0</v>
      </c>
      <c r="R1163">
        <v>0.92540067749183597</v>
      </c>
      <c r="S1163" t="s">
        <v>6989</v>
      </c>
      <c r="T1163" t="s">
        <v>11650</v>
      </c>
      <c r="U1163" t="s">
        <v>11650</v>
      </c>
      <c r="V1163" t="s">
        <v>11650</v>
      </c>
      <c r="W1163" t="s">
        <v>12786</v>
      </c>
      <c r="X1163">
        <v>4</v>
      </c>
      <c r="Y1163" t="s">
        <v>18539</v>
      </c>
      <c r="Z1163" t="s">
        <v>24225</v>
      </c>
      <c r="AA1163">
        <v>0.70558508645711271</v>
      </c>
      <c r="AB1163" t="str">
        <f>HYPERLINK("Melting_Curves/meltCurve_O00213_2_APBB1.pdf", "Melting_Curves/meltCurve_O00213_2_APBB1.pdf")</f>
        <v>Melting_Curves/meltCurve_O00213_2_APBB1.pdf</v>
      </c>
    </row>
    <row r="1164" spans="1:28" x14ac:dyDescent="0.25">
      <c r="A1164" t="s">
        <v>1168</v>
      </c>
      <c r="B1164">
        <v>0.99996721820229495</v>
      </c>
      <c r="C1164">
        <v>0.99759875799458297</v>
      </c>
      <c r="D1164">
        <v>0.90200481779707098</v>
      </c>
      <c r="E1164">
        <v>0.88060867272303101</v>
      </c>
      <c r="F1164">
        <v>1.01601669491471</v>
      </c>
      <c r="G1164">
        <v>0.89809832629355502</v>
      </c>
      <c r="H1164">
        <v>0.62086217749314898</v>
      </c>
      <c r="I1164">
        <v>0.48712415187841202</v>
      </c>
      <c r="J1164">
        <v>0.38465637516346102</v>
      </c>
      <c r="K1164">
        <v>0.23899152330721199</v>
      </c>
      <c r="L1164">
        <v>1085.66662687243</v>
      </c>
      <c r="M1164">
        <v>17.384337027298901</v>
      </c>
      <c r="N1164">
        <v>63.7353343928824</v>
      </c>
      <c r="O1164">
        <v>61.642058340225603</v>
      </c>
      <c r="P1164">
        <v>-6.0089324183070697E-2</v>
      </c>
      <c r="Q1164">
        <v>0.147779982278825</v>
      </c>
      <c r="R1164">
        <v>0.96148159037547598</v>
      </c>
      <c r="S1164" t="s">
        <v>6990</v>
      </c>
      <c r="T1164" t="s">
        <v>11650</v>
      </c>
      <c r="U1164" t="s">
        <v>11650</v>
      </c>
      <c r="V1164" t="s">
        <v>11650</v>
      </c>
      <c r="W1164" t="s">
        <v>12787</v>
      </c>
      <c r="X1164">
        <v>2</v>
      </c>
      <c r="Y1164" t="s">
        <v>18540</v>
      </c>
      <c r="Z1164" t="s">
        <v>24226</v>
      </c>
      <c r="AA1164">
        <v>0.78444277353583547</v>
      </c>
      <c r="AB1164" t="str">
        <f>HYPERLINK("Melting_Curves/meltCurve_O00220_TNFRSF10A.pdf", "Melting_Curves/meltCurve_O00220_TNFRSF10A.pdf")</f>
        <v>Melting_Curves/meltCurve_O00220_TNFRSF10A.pdf</v>
      </c>
    </row>
    <row r="1165" spans="1:28" x14ac:dyDescent="0.25">
      <c r="A1165" t="s">
        <v>1169</v>
      </c>
      <c r="B1165">
        <v>0.99996721820229495</v>
      </c>
      <c r="C1165">
        <v>1.0153709877195201</v>
      </c>
      <c r="D1165">
        <v>1.03146893044836</v>
      </c>
      <c r="E1165">
        <v>1.0331244169099401</v>
      </c>
      <c r="F1165">
        <v>0.59823515885446898</v>
      </c>
      <c r="G1165">
        <v>0.48832533533766898</v>
      </c>
      <c r="H1165">
        <v>0.32366132903806999</v>
      </c>
      <c r="I1165">
        <v>0.23128660992965899</v>
      </c>
      <c r="J1165">
        <v>0.15938659868909899</v>
      </c>
      <c r="K1165">
        <v>0.14980958732989</v>
      </c>
      <c r="L1165">
        <v>1033.6417384333499</v>
      </c>
      <c r="M1165">
        <v>18.7349650715453</v>
      </c>
      <c r="N1165">
        <v>56.3090193218435</v>
      </c>
      <c r="O1165">
        <v>54.5547304684385</v>
      </c>
      <c r="P1165">
        <v>-7.2333960534932906E-2</v>
      </c>
      <c r="Q1165">
        <v>0.15751226708247301</v>
      </c>
      <c r="R1165">
        <v>0.96597671580209499</v>
      </c>
      <c r="S1165" t="s">
        <v>6991</v>
      </c>
      <c r="T1165" t="s">
        <v>11650</v>
      </c>
      <c r="U1165" t="s">
        <v>11650</v>
      </c>
      <c r="V1165" t="s">
        <v>11650</v>
      </c>
      <c r="W1165" t="s">
        <v>12788</v>
      </c>
      <c r="X1165">
        <v>4</v>
      </c>
      <c r="Y1165" t="s">
        <v>18541</v>
      </c>
      <c r="Z1165" t="s">
        <v>24227</v>
      </c>
      <c r="AA1165">
        <v>0.59583903416489092</v>
      </c>
      <c r="AB1165" t="str">
        <f>HYPERLINK("Melting_Curves/meltCurve_O00221_NFKBIE.pdf", "Melting_Curves/meltCurve_O00221_NFKBIE.pdf")</f>
        <v>Melting_Curves/meltCurve_O00221_NFKBIE.pdf</v>
      </c>
    </row>
    <row r="1166" spans="1:28" x14ac:dyDescent="0.25">
      <c r="A1166" t="s">
        <v>1170</v>
      </c>
      <c r="B1166">
        <v>0.99996721820229495</v>
      </c>
      <c r="C1166">
        <v>1.04769506786539</v>
      </c>
      <c r="D1166">
        <v>1.2767408876148201</v>
      </c>
      <c r="E1166">
        <v>2.0286894187039999</v>
      </c>
      <c r="F1166">
        <v>1.4005145927154901</v>
      </c>
      <c r="G1166">
        <v>1.27746813388275</v>
      </c>
      <c r="H1166">
        <v>0.46246753271855401</v>
      </c>
      <c r="I1166">
        <v>0.28516927027334599</v>
      </c>
      <c r="J1166">
        <v>0.193994735745496</v>
      </c>
      <c r="K1166">
        <v>0.20187353067809</v>
      </c>
      <c r="L1166">
        <v>9472.6176336052795</v>
      </c>
      <c r="M1166">
        <v>156.11296606206199</v>
      </c>
      <c r="N1166">
        <v>60.913948523928802</v>
      </c>
      <c r="O1166">
        <v>60.668011157745802</v>
      </c>
      <c r="P1166">
        <v>-0.49734135048218198</v>
      </c>
      <c r="Q1166">
        <v>0.22690058001963201</v>
      </c>
      <c r="R1166">
        <v>0.59339919561159704</v>
      </c>
      <c r="S1166" t="s">
        <v>6992</v>
      </c>
      <c r="T1166" t="s">
        <v>11650</v>
      </c>
      <c r="U1166" t="s">
        <v>11650</v>
      </c>
      <c r="V1166" t="s">
        <v>11650</v>
      </c>
      <c r="W1166" t="s">
        <v>12789</v>
      </c>
      <c r="X1166">
        <v>4</v>
      </c>
      <c r="Y1166" t="s">
        <v>18542</v>
      </c>
      <c r="Z1166" t="s">
        <v>24228</v>
      </c>
      <c r="AA1166">
        <v>0.75998262701445729</v>
      </c>
      <c r="AB1166" t="str">
        <f>HYPERLINK("Melting_Curves/meltCurve_O00231_PSMD11.pdf", "Melting_Curves/meltCurve_O00231_PSMD11.pdf")</f>
        <v>Melting_Curves/meltCurve_O00231_PSMD11.pdf</v>
      </c>
    </row>
    <row r="1167" spans="1:28" x14ac:dyDescent="0.25">
      <c r="A1167" t="s">
        <v>1171</v>
      </c>
      <c r="B1167">
        <v>0.99996721820229495</v>
      </c>
      <c r="C1167">
        <v>1.0989811134802401</v>
      </c>
      <c r="D1167">
        <v>1.11831697054474</v>
      </c>
      <c r="E1167">
        <v>1.22828909136051</v>
      </c>
      <c r="F1167">
        <v>1.1189025482439099</v>
      </c>
      <c r="G1167">
        <v>0.82360505348962698</v>
      </c>
      <c r="H1167">
        <v>0.34226557302162403</v>
      </c>
      <c r="I1167">
        <v>0.26183281601364899</v>
      </c>
      <c r="J1167">
        <v>0.22565845417900501</v>
      </c>
      <c r="K1167">
        <v>0.134259211938944</v>
      </c>
      <c r="L1167">
        <v>2454.8260835975598</v>
      </c>
      <c r="M1167">
        <v>41.696767957563203</v>
      </c>
      <c r="N1167">
        <v>59.574436387386697</v>
      </c>
      <c r="O1167">
        <v>58.738367523313798</v>
      </c>
      <c r="P1167">
        <v>-0.14305520197498101</v>
      </c>
      <c r="Q1167">
        <v>0.19391223475922401</v>
      </c>
      <c r="R1167">
        <v>0.94365035966325805</v>
      </c>
      <c r="S1167" t="s">
        <v>6993</v>
      </c>
      <c r="T1167" t="s">
        <v>11650</v>
      </c>
      <c r="U1167" t="s">
        <v>11650</v>
      </c>
      <c r="V1167" t="s">
        <v>11650</v>
      </c>
      <c r="W1167" t="s">
        <v>12790</v>
      </c>
      <c r="X1167">
        <v>9</v>
      </c>
      <c r="Y1167" t="s">
        <v>18543</v>
      </c>
      <c r="Z1167" t="s">
        <v>24229</v>
      </c>
      <c r="AA1167">
        <v>0.70397215098360055</v>
      </c>
      <c r="AB1167" t="str">
        <f>HYPERLINK("Melting_Curves/meltCurve_O00232_PSMD12.pdf", "Melting_Curves/meltCurve_O00232_PSMD12.pdf")</f>
        <v>Melting_Curves/meltCurve_O00232_PSMD12.pdf</v>
      </c>
    </row>
    <row r="1168" spans="1:28" x14ac:dyDescent="0.25">
      <c r="A1168" t="s">
        <v>1172</v>
      </c>
      <c r="B1168">
        <v>0.99996721820229495</v>
      </c>
      <c r="C1168">
        <v>1.02588977730165</v>
      </c>
      <c r="D1168">
        <v>1.0798042194919399</v>
      </c>
      <c r="E1168">
        <v>1.11785224469183</v>
      </c>
      <c r="F1168">
        <v>1.1111011027677899</v>
      </c>
      <c r="G1168">
        <v>1.4212271110094501</v>
      </c>
      <c r="H1168">
        <v>1.16046072505598</v>
      </c>
      <c r="I1168">
        <v>0.77340845411816395</v>
      </c>
      <c r="J1168">
        <v>0.65162177348509098</v>
      </c>
      <c r="K1168">
        <v>0.50601176502450695</v>
      </c>
      <c r="L1168">
        <v>15000</v>
      </c>
      <c r="M1168">
        <v>234.52706291790199</v>
      </c>
      <c r="O1168">
        <v>63.953852766536102</v>
      </c>
      <c r="P1168">
        <v>-0.38614145451001097</v>
      </c>
      <c r="Q1168">
        <v>0.57880794775352395</v>
      </c>
      <c r="R1168">
        <v>0.62041909212114699</v>
      </c>
      <c r="S1168" t="s">
        <v>6994</v>
      </c>
      <c r="T1168" t="s">
        <v>11650</v>
      </c>
      <c r="U1168" t="s">
        <v>11650</v>
      </c>
      <c r="V1168" t="s">
        <v>11650</v>
      </c>
      <c r="W1168" t="s">
        <v>12791</v>
      </c>
      <c r="X1168">
        <v>10</v>
      </c>
      <c r="Y1168" t="s">
        <v>18544</v>
      </c>
      <c r="Z1168" t="s">
        <v>24230</v>
      </c>
      <c r="AA1168">
        <v>0.91523271403873996</v>
      </c>
      <c r="AB1168" t="str">
        <f>HYPERLINK("Melting_Curves/meltCurve_O00244_ATOX1.pdf", "Melting_Curves/meltCurve_O00244_ATOX1.pdf")</f>
        <v>Melting_Curves/meltCurve_O00244_ATOX1.pdf</v>
      </c>
    </row>
    <row r="1169" spans="1:28" x14ac:dyDescent="0.25">
      <c r="A1169" t="s">
        <v>1173</v>
      </c>
      <c r="B1169">
        <v>0.99996721820229495</v>
      </c>
      <c r="C1169">
        <v>0.81462522504863499</v>
      </c>
      <c r="D1169">
        <v>0.95276516805104805</v>
      </c>
      <c r="E1169">
        <v>0.98395585458581902</v>
      </c>
      <c r="F1169">
        <v>1.06584143511367</v>
      </c>
      <c r="G1169">
        <v>1.1242369566743</v>
      </c>
      <c r="H1169">
        <v>0.90886058971997696</v>
      </c>
      <c r="I1169">
        <v>0.79644302141442103</v>
      </c>
      <c r="J1169">
        <v>0.66298866898947395</v>
      </c>
      <c r="K1169">
        <v>0.53857313303423404</v>
      </c>
      <c r="L1169">
        <v>1937.5731391192801</v>
      </c>
      <c r="M1169">
        <v>29.809446853089199</v>
      </c>
      <c r="O1169">
        <v>64.708216430072497</v>
      </c>
      <c r="P1169">
        <v>-5.8077877521103903E-2</v>
      </c>
      <c r="Q1169">
        <v>0.49571815139742298</v>
      </c>
      <c r="R1169">
        <v>0.79990287353981104</v>
      </c>
      <c r="S1169" t="s">
        <v>6995</v>
      </c>
      <c r="T1169" t="s">
        <v>11650</v>
      </c>
      <c r="U1169" t="s">
        <v>11650</v>
      </c>
      <c r="V1169" t="s">
        <v>11650</v>
      </c>
      <c r="W1169" t="s">
        <v>12792</v>
      </c>
      <c r="X1169">
        <v>16</v>
      </c>
      <c r="Y1169" t="s">
        <v>18545</v>
      </c>
      <c r="Z1169" t="s">
        <v>24231</v>
      </c>
      <c r="AA1169">
        <v>0.91486532301721601</v>
      </c>
      <c r="AB1169" t="str">
        <f>HYPERLINK("Melting_Curves/meltCurve_O00264_PGRMC1.pdf", "Melting_Curves/meltCurve_O00264_PGRMC1.pdf")</f>
        <v>Melting_Curves/meltCurve_O00264_PGRMC1.pdf</v>
      </c>
    </row>
    <row r="1170" spans="1:28" x14ac:dyDescent="0.25">
      <c r="A1170" t="s">
        <v>1174</v>
      </c>
      <c r="B1170">
        <v>0.99996721820229495</v>
      </c>
      <c r="C1170">
        <v>0.91412221913018099</v>
      </c>
      <c r="D1170">
        <v>0.90367588568156099</v>
      </c>
      <c r="E1170">
        <v>0.89244131330048204</v>
      </c>
      <c r="F1170">
        <v>0.462086251178709</v>
      </c>
      <c r="G1170">
        <v>0.42059708437377502</v>
      </c>
      <c r="H1170">
        <v>0.29660256995101097</v>
      </c>
      <c r="I1170">
        <v>0.22275932469214299</v>
      </c>
      <c r="J1170">
        <v>0.15403247775502901</v>
      </c>
      <c r="K1170">
        <v>0.14334576685519301</v>
      </c>
      <c r="L1170">
        <v>751.149149308554</v>
      </c>
      <c r="M1170">
        <v>14.029107391381601</v>
      </c>
      <c r="N1170">
        <v>54.690807629468999</v>
      </c>
      <c r="O1170">
        <v>52.489501044834803</v>
      </c>
      <c r="P1170">
        <v>-5.8300237290664997E-2</v>
      </c>
      <c r="Q1170">
        <v>0.12759987905407399</v>
      </c>
      <c r="R1170">
        <v>0.96226161680560196</v>
      </c>
      <c r="S1170" t="s">
        <v>6996</v>
      </c>
      <c r="T1170" t="s">
        <v>11650</v>
      </c>
      <c r="U1170" t="s">
        <v>11650</v>
      </c>
      <c r="V1170" t="s">
        <v>11650</v>
      </c>
      <c r="W1170" t="s">
        <v>12793</v>
      </c>
      <c r="X1170">
        <v>18</v>
      </c>
      <c r="Y1170" t="s">
        <v>18546</v>
      </c>
      <c r="Z1170" t="s">
        <v>24232</v>
      </c>
      <c r="AA1170">
        <v>0.54134974879394782</v>
      </c>
      <c r="AB1170" t="str">
        <f>HYPERLINK("Melting_Curves/meltCurve_O00267_2_SUPT5H.pdf", "Melting_Curves/meltCurve_O00267_2_SUPT5H.pdf")</f>
        <v>Melting_Curves/meltCurve_O00267_2_SUPT5H.pdf</v>
      </c>
    </row>
    <row r="1171" spans="1:28" x14ac:dyDescent="0.25">
      <c r="A1171" t="s">
        <v>1175</v>
      </c>
      <c r="B1171">
        <v>0.99996721820229495</v>
      </c>
      <c r="C1171">
        <v>0.977557109425647</v>
      </c>
      <c r="D1171">
        <v>0.85655764874644702</v>
      </c>
      <c r="E1171">
        <v>0.89353431903334402</v>
      </c>
      <c r="F1171">
        <v>1.1414580355031301</v>
      </c>
      <c r="G1171">
        <v>1.13379716703141</v>
      </c>
      <c r="H1171">
        <v>0.74593305079904004</v>
      </c>
      <c r="I1171">
        <v>0.74915679388378897</v>
      </c>
      <c r="J1171">
        <v>0.65182435616339995</v>
      </c>
      <c r="K1171">
        <v>0.47512174378981897</v>
      </c>
      <c r="L1171">
        <v>1469.6672418036101</v>
      </c>
      <c r="M1171">
        <v>22.926883741994999</v>
      </c>
      <c r="O1171">
        <v>63.620672726137201</v>
      </c>
      <c r="P1171">
        <v>-5.0130105751146903E-2</v>
      </c>
      <c r="Q1171">
        <v>0.44357907282624498</v>
      </c>
      <c r="R1171">
        <v>0.75182812253637599</v>
      </c>
      <c r="S1171" t="s">
        <v>6997</v>
      </c>
      <c r="T1171" t="s">
        <v>11650</v>
      </c>
      <c r="U1171" t="s">
        <v>11650</v>
      </c>
      <c r="V1171" t="s">
        <v>11650</v>
      </c>
      <c r="W1171" t="s">
        <v>12794</v>
      </c>
      <c r="X1171">
        <v>20</v>
      </c>
      <c r="Y1171" t="s">
        <v>18547</v>
      </c>
      <c r="Z1171" t="s">
        <v>24233</v>
      </c>
      <c r="AA1171">
        <v>0.88892041885250472</v>
      </c>
      <c r="AB1171" t="str">
        <f>HYPERLINK("Melting_Curves/meltCurve_O00273_DFFA.pdf", "Melting_Curves/meltCurve_O00273_DFFA.pdf")</f>
        <v>Melting_Curves/meltCurve_O00273_DFFA.pdf</v>
      </c>
    </row>
    <row r="1172" spans="1:28" x14ac:dyDescent="0.25">
      <c r="A1172" t="s">
        <v>1176</v>
      </c>
      <c r="B1172">
        <v>0.99996721820229495</v>
      </c>
      <c r="C1172">
        <v>1.0197451400536699</v>
      </c>
      <c r="D1172">
        <v>1.1016122385048199</v>
      </c>
      <c r="E1172">
        <v>1.02060052221706</v>
      </c>
      <c r="F1172">
        <v>1.2273224135860401</v>
      </c>
      <c r="G1172">
        <v>1.4139293591762201</v>
      </c>
      <c r="H1172">
        <v>0.89156925977115697</v>
      </c>
      <c r="I1172">
        <v>0.76941779613464201</v>
      </c>
      <c r="J1172">
        <v>0.72613318639191105</v>
      </c>
      <c r="K1172">
        <v>0.48586724634782402</v>
      </c>
      <c r="L1172">
        <v>1806.32385544256</v>
      </c>
      <c r="M1172">
        <v>27.215761357326301</v>
      </c>
      <c r="O1172">
        <v>66.015277480875</v>
      </c>
      <c r="P1172">
        <v>-6.2626983854650306E-2</v>
      </c>
      <c r="Q1172">
        <v>0.39236709430741701</v>
      </c>
      <c r="R1172">
        <v>0.59544011752939296</v>
      </c>
      <c r="S1172" t="s">
        <v>6998</v>
      </c>
      <c r="T1172" t="s">
        <v>11650</v>
      </c>
      <c r="U1172" t="s">
        <v>11650</v>
      </c>
      <c r="V1172" t="s">
        <v>11650</v>
      </c>
      <c r="W1172" t="s">
        <v>12795</v>
      </c>
      <c r="X1172">
        <v>16</v>
      </c>
      <c r="Y1172" t="s">
        <v>18547</v>
      </c>
      <c r="Z1172" t="s">
        <v>24234</v>
      </c>
      <c r="AA1172">
        <v>0.91946207806274072</v>
      </c>
      <c r="AB1172" t="str">
        <f>HYPERLINK("Melting_Curves/meltCurve_O00273_2_DFFA.pdf", "Melting_Curves/meltCurve_O00273_2_DFFA.pdf")</f>
        <v>Melting_Curves/meltCurve_O00273_2_DFFA.pdf</v>
      </c>
    </row>
    <row r="1173" spans="1:28" x14ac:dyDescent="0.25">
      <c r="A1173" t="s">
        <v>1177</v>
      </c>
      <c r="B1173">
        <v>0.99996721820229495</v>
      </c>
      <c r="C1173">
        <v>1.0565207308508699</v>
      </c>
      <c r="D1173">
        <v>1.05324773418157</v>
      </c>
      <c r="E1173">
        <v>1.5208457782032501</v>
      </c>
      <c r="F1173">
        <v>0.76868138887742299</v>
      </c>
      <c r="G1173">
        <v>0.650407345659473</v>
      </c>
      <c r="H1173">
        <v>0.43661158179640702</v>
      </c>
      <c r="I1173">
        <v>0.34978592817669302</v>
      </c>
      <c r="J1173">
        <v>0.29872702300751203</v>
      </c>
      <c r="K1173">
        <v>0.24363178568713101</v>
      </c>
      <c r="L1173">
        <v>1535.7917376436001</v>
      </c>
      <c r="M1173">
        <v>26.851649400540101</v>
      </c>
      <c r="N1173">
        <v>59.055114769192699</v>
      </c>
      <c r="O1173">
        <v>56.881027011100997</v>
      </c>
      <c r="P1173">
        <v>-8.4342159811443801E-2</v>
      </c>
      <c r="Q1173">
        <v>0.28534440699927699</v>
      </c>
      <c r="R1173">
        <v>0.79525326823156595</v>
      </c>
      <c r="S1173" t="s">
        <v>6999</v>
      </c>
      <c r="T1173" t="s">
        <v>11650</v>
      </c>
      <c r="U1173" t="s">
        <v>11650</v>
      </c>
      <c r="V1173" t="s">
        <v>11650</v>
      </c>
      <c r="W1173" t="s">
        <v>12796</v>
      </c>
      <c r="X1173">
        <v>18</v>
      </c>
      <c r="Y1173" t="s">
        <v>18548</v>
      </c>
      <c r="Z1173" t="s">
        <v>24235</v>
      </c>
      <c r="AA1173">
        <v>0.70069654986995356</v>
      </c>
      <c r="AB1173" t="str">
        <f>HYPERLINK("Melting_Curves/meltCurve_O00291_HIP1.pdf", "Melting_Curves/meltCurve_O00291_HIP1.pdf")</f>
        <v>Melting_Curves/meltCurve_O00291_HIP1.pdf</v>
      </c>
    </row>
    <row r="1174" spans="1:28" x14ac:dyDescent="0.25">
      <c r="A1174" t="s">
        <v>1178</v>
      </c>
      <c r="B1174">
        <v>0.99996721820229495</v>
      </c>
      <c r="C1174">
        <v>1.0254953255238399</v>
      </c>
      <c r="D1174">
        <v>0.94157504230551903</v>
      </c>
      <c r="E1174">
        <v>0.77624354303032805</v>
      </c>
      <c r="F1174">
        <v>0.461849034521365</v>
      </c>
      <c r="G1174">
        <v>0.20355237252012801</v>
      </c>
      <c r="H1174">
        <v>0.10798196627589</v>
      </c>
      <c r="I1174">
        <v>6.9924246452557404E-2</v>
      </c>
      <c r="J1174">
        <v>4.8844027114278502E-2</v>
      </c>
      <c r="K1174">
        <v>3.7759794128778799E-2</v>
      </c>
      <c r="L1174">
        <v>1125.2450787052001</v>
      </c>
      <c r="M1174">
        <v>21.414757002929999</v>
      </c>
      <c r="N1174">
        <v>52.782106527242298</v>
      </c>
      <c r="O1174">
        <v>52.093570362598399</v>
      </c>
      <c r="P1174">
        <v>-9.8066136477170301E-2</v>
      </c>
      <c r="Q1174">
        <v>4.5800821250655099E-2</v>
      </c>
      <c r="R1174">
        <v>0.99852784885930901</v>
      </c>
      <c r="S1174" t="s">
        <v>7000</v>
      </c>
      <c r="T1174" t="s">
        <v>11650</v>
      </c>
      <c r="U1174" t="s">
        <v>11650</v>
      </c>
      <c r="V1174" t="s">
        <v>11650</v>
      </c>
      <c r="W1174" t="s">
        <v>12797</v>
      </c>
      <c r="X1174">
        <v>23</v>
      </c>
      <c r="Y1174" t="s">
        <v>18549</v>
      </c>
      <c r="Z1174" t="s">
        <v>24236</v>
      </c>
      <c r="AA1174">
        <v>0.45648890763112121</v>
      </c>
      <c r="AB1174" t="str">
        <f>HYPERLINK("Melting_Curves/meltCurve_O00299_CLIC1.pdf", "Melting_Curves/meltCurve_O00299_CLIC1.pdf")</f>
        <v>Melting_Curves/meltCurve_O00299_CLIC1.pdf</v>
      </c>
    </row>
    <row r="1175" spans="1:28" x14ac:dyDescent="0.25">
      <c r="A1175" t="s">
        <v>1179</v>
      </c>
      <c r="B1175">
        <v>0.99996721820229495</v>
      </c>
      <c r="C1175">
        <v>0.91559063712799305</v>
      </c>
      <c r="D1175">
        <v>0.90881774037871199</v>
      </c>
      <c r="E1175">
        <v>1.09603973826277</v>
      </c>
      <c r="F1175">
        <v>1.2808349196134801</v>
      </c>
      <c r="G1175">
        <v>1.2092716929512599</v>
      </c>
      <c r="H1175">
        <v>0.83785024509267403</v>
      </c>
      <c r="I1175">
        <v>0.51546776820526397</v>
      </c>
      <c r="J1175">
        <v>0.36452334219275501</v>
      </c>
      <c r="K1175">
        <v>0.36043808106318198</v>
      </c>
      <c r="L1175">
        <v>3281.1304468917501</v>
      </c>
      <c r="M1175">
        <v>52.512774124712202</v>
      </c>
      <c r="N1175">
        <v>64.004629718743601</v>
      </c>
      <c r="O1175">
        <v>62.392127500921703</v>
      </c>
      <c r="P1175">
        <v>-0.13538530653091199</v>
      </c>
      <c r="Q1175">
        <v>0.356578015877689</v>
      </c>
      <c r="R1175">
        <v>0.84903364109599</v>
      </c>
      <c r="S1175" t="s">
        <v>7001</v>
      </c>
      <c r="T1175" t="s">
        <v>11650</v>
      </c>
      <c r="U1175" t="s">
        <v>11650</v>
      </c>
      <c r="V1175" t="s">
        <v>11650</v>
      </c>
      <c r="W1175" t="s">
        <v>12798</v>
      </c>
      <c r="X1175">
        <v>6</v>
      </c>
      <c r="Y1175" t="s">
        <v>18550</v>
      </c>
      <c r="Z1175" t="s">
        <v>24237</v>
      </c>
      <c r="AA1175">
        <v>0.84025760898555302</v>
      </c>
      <c r="AB1175" t="str">
        <f>HYPERLINK("Melting_Curves/meltCurve_O00300_TNFRSF11B.pdf", "Melting_Curves/meltCurve_O00300_TNFRSF11B.pdf")</f>
        <v>Melting_Curves/meltCurve_O00300_TNFRSF11B.pdf</v>
      </c>
    </row>
    <row r="1176" spans="1:28" x14ac:dyDescent="0.25">
      <c r="A1176" t="s">
        <v>1180</v>
      </c>
      <c r="B1176">
        <v>0.99996721820229495</v>
      </c>
      <c r="C1176">
        <v>0.88449732941109904</v>
      </c>
      <c r="D1176">
        <v>0.94524332932590904</v>
      </c>
      <c r="E1176">
        <v>1.03712733819048</v>
      </c>
      <c r="F1176">
        <v>1.7068631550102</v>
      </c>
      <c r="G1176">
        <v>2.24754677361324</v>
      </c>
      <c r="H1176">
        <v>0.85414637623843503</v>
      </c>
      <c r="I1176">
        <v>0.119440897706504</v>
      </c>
      <c r="J1176">
        <v>7.8053820935843704E-2</v>
      </c>
      <c r="K1176">
        <v>3.8500004374902398E-2</v>
      </c>
      <c r="L1176">
        <v>5929.7729776349097</v>
      </c>
      <c r="M1176">
        <v>95.477606812727103</v>
      </c>
      <c r="N1176">
        <v>62.190517793993898</v>
      </c>
      <c r="O1176">
        <v>62.079195052858303</v>
      </c>
      <c r="P1176">
        <v>-0.361214453812151</v>
      </c>
      <c r="Q1176">
        <v>6.0558731871151898E-2</v>
      </c>
      <c r="R1176">
        <v>0.54156957749645296</v>
      </c>
      <c r="S1176" t="s">
        <v>7002</v>
      </c>
      <c r="T1176" t="s">
        <v>11650</v>
      </c>
      <c r="U1176" t="s">
        <v>11650</v>
      </c>
      <c r="V1176" t="s">
        <v>11650</v>
      </c>
      <c r="W1176" t="s">
        <v>12799</v>
      </c>
      <c r="X1176">
        <v>2</v>
      </c>
      <c r="Y1176" t="s">
        <v>18551</v>
      </c>
      <c r="Z1176" t="s">
        <v>24238</v>
      </c>
      <c r="AA1176">
        <v>0.75351743020607576</v>
      </c>
      <c r="AB1176" t="str">
        <f>HYPERLINK("Melting_Curves/meltCurve_O00308_2_WWP2.pdf", "Melting_Curves/meltCurve_O00308_2_WWP2.pdf")</f>
        <v>Melting_Curves/meltCurve_O00308_2_WWP2.pdf</v>
      </c>
    </row>
    <row r="1177" spans="1:28" x14ac:dyDescent="0.25">
      <c r="A1177" t="s">
        <v>1181</v>
      </c>
      <c r="B1177">
        <v>0.99996721820229495</v>
      </c>
      <c r="C1177">
        <v>0.976037678304019</v>
      </c>
      <c r="D1177">
        <v>0.94845121738709803</v>
      </c>
      <c r="E1177">
        <v>1.1173554026441299</v>
      </c>
      <c r="F1177">
        <v>1.3907178334530399</v>
      </c>
      <c r="G1177">
        <v>1.3135911908573901</v>
      </c>
      <c r="H1177">
        <v>0.71441517195158699</v>
      </c>
      <c r="I1177">
        <v>0.39537377175073102</v>
      </c>
      <c r="J1177">
        <v>0.203400289353698</v>
      </c>
      <c r="K1177">
        <v>0.12743167952479401</v>
      </c>
      <c r="L1177">
        <v>2797.6048701005402</v>
      </c>
      <c r="M1177">
        <v>44.842173276114103</v>
      </c>
      <c r="N1177">
        <v>62.894609479306901</v>
      </c>
      <c r="O1177">
        <v>62.264119362860001</v>
      </c>
      <c r="P1177">
        <v>-0.15274826922219301</v>
      </c>
      <c r="Q1177">
        <v>0.15162693212131301</v>
      </c>
      <c r="R1177">
        <v>0.84169875074167599</v>
      </c>
      <c r="S1177" t="s">
        <v>7003</v>
      </c>
      <c r="T1177" t="s">
        <v>11650</v>
      </c>
      <c r="U1177" t="s">
        <v>11650</v>
      </c>
      <c r="V1177" t="s">
        <v>11650</v>
      </c>
      <c r="W1177" t="s">
        <v>12800</v>
      </c>
      <c r="X1177">
        <v>14</v>
      </c>
      <c r="Y1177" t="s">
        <v>18552</v>
      </c>
      <c r="Z1177" t="s">
        <v>24239</v>
      </c>
      <c r="AA1177">
        <v>0.78724401444433623</v>
      </c>
      <c r="AB1177" t="str">
        <f>HYPERLINK("Melting_Curves/meltCurve_O00330_PDHX.pdf", "Melting_Curves/meltCurve_O00330_PDHX.pdf")</f>
        <v>Melting_Curves/meltCurve_O00330_PDHX.pdf</v>
      </c>
    </row>
    <row r="1178" spans="1:28" x14ac:dyDescent="0.25">
      <c r="A1178" t="s">
        <v>1182</v>
      </c>
      <c r="B1178">
        <v>0.99996721820229495</v>
      </c>
      <c r="C1178">
        <v>0.96191132508399901</v>
      </c>
      <c r="D1178">
        <v>1.0069014569994399</v>
      </c>
      <c r="E1178">
        <v>1.0352006625626899</v>
      </c>
      <c r="F1178">
        <v>1.34862060853563</v>
      </c>
      <c r="G1178">
        <v>1.2761966590439</v>
      </c>
      <c r="H1178">
        <v>0.84509704349125403</v>
      </c>
      <c r="I1178">
        <v>0.58226900680169702</v>
      </c>
      <c r="J1178">
        <v>0.43981806628557701</v>
      </c>
      <c r="K1178">
        <v>0.31310771087778999</v>
      </c>
      <c r="L1178">
        <v>2670.2081857223902</v>
      </c>
      <c r="M1178">
        <v>42.254481386485303</v>
      </c>
      <c r="N1178">
        <v>64.942502261138102</v>
      </c>
      <c r="O1178">
        <v>63.052442247013303</v>
      </c>
      <c r="P1178">
        <v>-0.110613529229502</v>
      </c>
      <c r="Q1178">
        <v>0.33976787081162202</v>
      </c>
      <c r="R1178">
        <v>0.79943528059049196</v>
      </c>
      <c r="S1178" t="s">
        <v>7004</v>
      </c>
      <c r="T1178" t="s">
        <v>11650</v>
      </c>
      <c r="U1178" t="s">
        <v>11650</v>
      </c>
      <c r="V1178" t="s">
        <v>11650</v>
      </c>
      <c r="W1178" t="s">
        <v>12801</v>
      </c>
      <c r="X1178">
        <v>8</v>
      </c>
      <c r="Y1178" t="s">
        <v>18553</v>
      </c>
      <c r="Z1178" t="s">
        <v>24240</v>
      </c>
      <c r="AA1178">
        <v>0.85209107328733424</v>
      </c>
      <c r="AB1178" t="str">
        <f>HYPERLINK("Melting_Curves/meltCurve_O00391_QSOX1.pdf", "Melting_Curves/meltCurve_O00391_QSOX1.pdf")</f>
        <v>Melting_Curves/meltCurve_O00391_QSOX1.pdf</v>
      </c>
    </row>
    <row r="1179" spans="1:28" x14ac:dyDescent="0.25">
      <c r="A1179" t="s">
        <v>1183</v>
      </c>
      <c r="B1179">
        <v>0.99996721820229495</v>
      </c>
      <c r="C1179">
        <v>1.0037370637840599</v>
      </c>
      <c r="D1179">
        <v>0.99838430104534304</v>
      </c>
      <c r="E1179">
        <v>1.0805099484803</v>
      </c>
      <c r="F1179">
        <v>1.49514604478561</v>
      </c>
      <c r="G1179">
        <v>1.71481221485613</v>
      </c>
      <c r="H1179">
        <v>1.3389539250972</v>
      </c>
      <c r="I1179">
        <v>1.1093668297769399</v>
      </c>
      <c r="J1179">
        <v>0.34287454840734599</v>
      </c>
      <c r="K1179">
        <v>0.17542350226286099</v>
      </c>
      <c r="L1179">
        <v>15000</v>
      </c>
      <c r="M1179">
        <v>225.24686761775601</v>
      </c>
      <c r="N1179">
        <v>66.721535531690407</v>
      </c>
      <c r="O1179">
        <v>66.588351377421205</v>
      </c>
      <c r="P1179">
        <v>-0.69737044279913096</v>
      </c>
      <c r="Q1179">
        <v>0.17536259700566401</v>
      </c>
      <c r="R1179">
        <v>0.55402572785544302</v>
      </c>
      <c r="S1179" t="s">
        <v>7005</v>
      </c>
      <c r="T1179" t="s">
        <v>11650</v>
      </c>
      <c r="U1179" t="s">
        <v>11650</v>
      </c>
      <c r="V1179" t="s">
        <v>11650</v>
      </c>
      <c r="W1179" t="s">
        <v>12802</v>
      </c>
      <c r="X1179">
        <v>5</v>
      </c>
      <c r="Y1179" t="s">
        <v>18554</v>
      </c>
      <c r="Z1179" t="s">
        <v>24241</v>
      </c>
      <c r="AA1179">
        <v>0.90648376640471073</v>
      </c>
      <c r="AB1179" t="str">
        <f>HYPERLINK("Melting_Curves/meltCurve_O00399_DCTN6.pdf", "Melting_Curves/meltCurve_O00399_DCTN6.pdf")</f>
        <v>Melting_Curves/meltCurve_O00399_DCTN6.pdf</v>
      </c>
    </row>
    <row r="1180" spans="1:28" x14ac:dyDescent="0.25">
      <c r="A1180" t="s">
        <v>1184</v>
      </c>
      <c r="B1180">
        <v>0.99996721820229495</v>
      </c>
      <c r="C1180">
        <v>0.73585394455880304</v>
      </c>
      <c r="D1180">
        <v>1.04744505137916</v>
      </c>
      <c r="E1180">
        <v>1.0814890333760301</v>
      </c>
      <c r="F1180">
        <v>1.3613646586705499</v>
      </c>
      <c r="G1180">
        <v>1.2334076406177199</v>
      </c>
      <c r="H1180">
        <v>0.78120243064307204</v>
      </c>
      <c r="I1180">
        <v>0.261959580154215</v>
      </c>
      <c r="J1180">
        <v>0.162116888057631</v>
      </c>
      <c r="K1180">
        <v>0.145913658956668</v>
      </c>
      <c r="L1180">
        <v>4099.8723531880896</v>
      </c>
      <c r="M1180">
        <v>66.100035405176996</v>
      </c>
      <c r="N1180">
        <v>62.373771569701603</v>
      </c>
      <c r="O1180">
        <v>61.968569788493198</v>
      </c>
      <c r="P1180">
        <v>-0.22549489004725601</v>
      </c>
      <c r="Q1180">
        <v>0.15439731110023999</v>
      </c>
      <c r="R1180">
        <v>0.85337434869300599</v>
      </c>
      <c r="S1180" t="s">
        <v>7006</v>
      </c>
      <c r="T1180" t="s">
        <v>11650</v>
      </c>
      <c r="U1180" t="s">
        <v>11650</v>
      </c>
      <c r="V1180" t="s">
        <v>11650</v>
      </c>
      <c r="W1180" t="s">
        <v>12803</v>
      </c>
      <c r="X1180">
        <v>7</v>
      </c>
      <c r="Y1180" t="s">
        <v>18555</v>
      </c>
      <c r="Z1180" t="s">
        <v>24242</v>
      </c>
      <c r="AA1180">
        <v>0.77652002428750544</v>
      </c>
      <c r="AB1180" t="str">
        <f>HYPERLINK("Melting_Curves/meltCurve_O00400_SLC33A1.pdf", "Melting_Curves/meltCurve_O00400_SLC33A1.pdf")</f>
        <v>Melting_Curves/meltCurve_O00400_SLC33A1.pdf</v>
      </c>
    </row>
    <row r="1181" spans="1:28" x14ac:dyDescent="0.25">
      <c r="A1181" t="s">
        <v>1185</v>
      </c>
      <c r="B1181">
        <v>0.99996721820229495</v>
      </c>
      <c r="C1181">
        <v>1.03857135252196</v>
      </c>
      <c r="D1181">
        <v>1.0096741001799601</v>
      </c>
      <c r="E1181">
        <v>1.0257548201387401</v>
      </c>
      <c r="F1181">
        <v>0.49677764052094098</v>
      </c>
      <c r="G1181">
        <v>0.30649325902478203</v>
      </c>
      <c r="H1181">
        <v>0.16129823659211001</v>
      </c>
      <c r="I1181">
        <v>0.116189323049443</v>
      </c>
      <c r="J1181">
        <v>9.3896677337900497E-2</v>
      </c>
      <c r="K1181">
        <v>7.1712931845598099E-2</v>
      </c>
      <c r="S1181" t="s">
        <v>7007</v>
      </c>
      <c r="T1181" t="s">
        <v>11650</v>
      </c>
      <c r="U1181" t="s">
        <v>11651</v>
      </c>
      <c r="V1181" t="s">
        <v>11650</v>
      </c>
      <c r="W1181" t="s">
        <v>12804</v>
      </c>
      <c r="X1181">
        <v>16</v>
      </c>
      <c r="Y1181" t="s">
        <v>18556</v>
      </c>
      <c r="Z1181" t="s">
        <v>24243</v>
      </c>
      <c r="AB1181" t="str">
        <f>HYPERLINK("Melting_Curves/meltCurve_O00401_WASL.pdf", "Melting_Curves/meltCurve_O00401_WASL.pdf")</f>
        <v>Melting_Curves/meltCurve_O00401_WASL.pdf</v>
      </c>
    </row>
    <row r="1182" spans="1:28" x14ac:dyDescent="0.25">
      <c r="A1182" t="s">
        <v>1186</v>
      </c>
      <c r="B1182">
        <v>0.99996721820229495</v>
      </c>
      <c r="C1182">
        <v>1.0551210957687001</v>
      </c>
      <c r="D1182">
        <v>1.15664141319834</v>
      </c>
      <c r="E1182">
        <v>1.61831185428709</v>
      </c>
      <c r="F1182">
        <v>1.60505185214821</v>
      </c>
      <c r="G1182">
        <v>1.16697550265605</v>
      </c>
      <c r="H1182">
        <v>0.17563392483981699</v>
      </c>
      <c r="I1182">
        <v>0.12457234242974501</v>
      </c>
      <c r="J1182">
        <v>0.107312607931819</v>
      </c>
      <c r="K1182">
        <v>9.2264326647589601E-2</v>
      </c>
      <c r="L1182">
        <v>15000</v>
      </c>
      <c r="M1182">
        <v>248.40285409561699</v>
      </c>
      <c r="N1182">
        <v>60.445025132916001</v>
      </c>
      <c r="O1182">
        <v>60.381865508123497</v>
      </c>
      <c r="P1182">
        <v>-0.91734133524362205</v>
      </c>
      <c r="Q1182">
        <v>0.108049201344402</v>
      </c>
      <c r="R1182">
        <v>0.77085819533889899</v>
      </c>
      <c r="S1182" t="s">
        <v>7008</v>
      </c>
      <c r="T1182" t="s">
        <v>11650</v>
      </c>
      <c r="U1182" t="s">
        <v>11650</v>
      </c>
      <c r="V1182" t="s">
        <v>11650</v>
      </c>
      <c r="W1182" t="s">
        <v>12805</v>
      </c>
      <c r="X1182">
        <v>42</v>
      </c>
      <c r="Y1182" t="s">
        <v>18557</v>
      </c>
      <c r="Z1182" t="s">
        <v>24244</v>
      </c>
      <c r="AA1182">
        <v>0.7142486931116776</v>
      </c>
      <c r="AB1182" t="str">
        <f>HYPERLINK("Melting_Curves/meltCurve_O00410_IPO5.pdf", "Melting_Curves/meltCurve_O00410_IPO5.pdf")</f>
        <v>Melting_Curves/meltCurve_O00410_IPO5.pdf</v>
      </c>
    </row>
    <row r="1183" spans="1:28" x14ac:dyDescent="0.25">
      <c r="A1183" t="s">
        <v>1187</v>
      </c>
      <c r="B1183">
        <v>0.99996721820229495</v>
      </c>
      <c r="C1183">
        <v>0.97621252951089899</v>
      </c>
      <c r="D1183">
        <v>0.65948077093026802</v>
      </c>
      <c r="E1183">
        <v>0.33252940117271501</v>
      </c>
      <c r="F1183">
        <v>0.37140275685420898</v>
      </c>
      <c r="G1183">
        <v>0.34588284496067601</v>
      </c>
      <c r="H1183">
        <v>0.244181406345056</v>
      </c>
      <c r="I1183">
        <v>0.183597639370157</v>
      </c>
      <c r="J1183">
        <v>0.132383778366961</v>
      </c>
      <c r="K1183">
        <v>0.118349022499145</v>
      </c>
      <c r="L1183">
        <v>896.90924417399503</v>
      </c>
      <c r="M1183">
        <v>19.001794921264299</v>
      </c>
      <c r="N1183">
        <v>48.486451267285197</v>
      </c>
      <c r="O1183">
        <v>46.687837432186299</v>
      </c>
      <c r="P1183">
        <v>-8.1622319945643201E-2</v>
      </c>
      <c r="Q1183">
        <v>0.19784046183818499</v>
      </c>
      <c r="R1183">
        <v>0.95126715070005896</v>
      </c>
      <c r="S1183" t="s">
        <v>7009</v>
      </c>
      <c r="T1183" t="s">
        <v>11650</v>
      </c>
      <c r="U1183" t="s">
        <v>11650</v>
      </c>
      <c r="V1183" t="s">
        <v>11650</v>
      </c>
      <c r="W1183" t="s">
        <v>12806</v>
      </c>
      <c r="X1183">
        <v>5</v>
      </c>
      <c r="Y1183" t="s">
        <v>18558</v>
      </c>
      <c r="Z1183" t="s">
        <v>24245</v>
      </c>
      <c r="AA1183">
        <v>0.40342781175673198</v>
      </c>
      <c r="AB1183" t="str">
        <f>HYPERLINK("Melting_Curves/meltCurve_O00418_EEF2K.pdf", "Melting_Curves/meltCurve_O00418_EEF2K.pdf")</f>
        <v>Melting_Curves/meltCurve_O00418_EEF2K.pdf</v>
      </c>
    </row>
    <row r="1184" spans="1:28" x14ac:dyDescent="0.25">
      <c r="A1184" t="s">
        <v>1188</v>
      </c>
      <c r="B1184">
        <v>0.99996721820229495</v>
      </c>
      <c r="C1184">
        <v>1.0194535404420799</v>
      </c>
      <c r="D1184">
        <v>1.1032771174791001</v>
      </c>
      <c r="E1184">
        <v>0.98063800728580197</v>
      </c>
      <c r="F1184">
        <v>0.23007337108219</v>
      </c>
      <c r="G1184">
        <v>0.20584070947092301</v>
      </c>
      <c r="H1184">
        <v>0.11424675721923799</v>
      </c>
      <c r="I1184">
        <v>0.104313564417837</v>
      </c>
      <c r="J1184">
        <v>5.7435836196379098E-2</v>
      </c>
      <c r="K1184">
        <v>5.2870553617419998E-2</v>
      </c>
      <c r="L1184">
        <v>4927.3487315546899</v>
      </c>
      <c r="M1184">
        <v>94.797033976186299</v>
      </c>
      <c r="N1184">
        <v>52.110001403173499</v>
      </c>
      <c r="O1184">
        <v>51.9547598266414</v>
      </c>
      <c r="P1184">
        <v>-0.40742207343930198</v>
      </c>
      <c r="Q1184">
        <v>0.106827980795282</v>
      </c>
      <c r="R1184">
        <v>0.98671382959410003</v>
      </c>
      <c r="S1184" t="s">
        <v>7010</v>
      </c>
      <c r="T1184" t="s">
        <v>11650</v>
      </c>
      <c r="U1184" t="s">
        <v>11650</v>
      </c>
      <c r="V1184" t="s">
        <v>11650</v>
      </c>
      <c r="W1184" t="s">
        <v>12807</v>
      </c>
      <c r="X1184">
        <v>34</v>
      </c>
      <c r="Y1184" t="s">
        <v>18559</v>
      </c>
      <c r="Z1184" t="s">
        <v>24246</v>
      </c>
      <c r="AA1184">
        <v>0.46400558592713897</v>
      </c>
      <c r="AB1184" t="str">
        <f>HYPERLINK("Melting_Curves/meltCurve_O00429_DNM1L.pdf", "Melting_Curves/meltCurve_O00429_DNM1L.pdf")</f>
        <v>Melting_Curves/meltCurve_O00429_DNM1L.pdf</v>
      </c>
    </row>
    <row r="1185" spans="1:28" x14ac:dyDescent="0.25">
      <c r="A1185" t="s">
        <v>1189</v>
      </c>
      <c r="B1185">
        <v>0.99996721820229495</v>
      </c>
      <c r="C1185">
        <v>1.1677888962543801</v>
      </c>
      <c r="D1185">
        <v>1.2641859769284001</v>
      </c>
      <c r="E1185">
        <v>1.22719710982643</v>
      </c>
      <c r="F1185">
        <v>0.36973326367013298</v>
      </c>
      <c r="G1185">
        <v>0.51040684352519305</v>
      </c>
      <c r="H1185">
        <v>0.28836846862835203</v>
      </c>
      <c r="I1185">
        <v>0.25904761829751499</v>
      </c>
      <c r="J1185">
        <v>0.227388721890561</v>
      </c>
      <c r="K1185">
        <v>0.128441012761942</v>
      </c>
      <c r="L1185">
        <v>13145.053656284201</v>
      </c>
      <c r="M1185">
        <v>250</v>
      </c>
      <c r="N1185">
        <v>52.756097595876803</v>
      </c>
      <c r="O1185">
        <v>52.576850606830298</v>
      </c>
      <c r="P1185">
        <v>-0.85264516064613605</v>
      </c>
      <c r="Q1185">
        <v>0.282729655586754</v>
      </c>
      <c r="R1185">
        <v>0.88159646997293395</v>
      </c>
      <c r="S1185" t="s">
        <v>7011</v>
      </c>
      <c r="T1185" t="s">
        <v>11650</v>
      </c>
      <c r="U1185" t="s">
        <v>11650</v>
      </c>
      <c r="V1185" t="s">
        <v>11650</v>
      </c>
      <c r="W1185" t="s">
        <v>12808</v>
      </c>
      <c r="X1185">
        <v>33</v>
      </c>
      <c r="Y1185" t="s">
        <v>18559</v>
      </c>
      <c r="Z1185" t="s">
        <v>24247</v>
      </c>
      <c r="AA1185">
        <v>0.58357633936989195</v>
      </c>
      <c r="AB1185" t="str">
        <f>HYPERLINK("Melting_Curves/meltCurve_O00429_4_DNM1L.pdf", "Melting_Curves/meltCurve_O00429_4_DNM1L.pdf")</f>
        <v>Melting_Curves/meltCurve_O00429_4_DNM1L.pdf</v>
      </c>
    </row>
    <row r="1186" spans="1:28" x14ac:dyDescent="0.25">
      <c r="A1186" t="s">
        <v>1190</v>
      </c>
      <c r="B1186">
        <v>0.99996721820229495</v>
      </c>
      <c r="C1186">
        <v>0.91086400574078696</v>
      </c>
      <c r="D1186">
        <v>0.79345350749377097</v>
      </c>
      <c r="E1186">
        <v>0.72474497572181296</v>
      </c>
      <c r="F1186">
        <v>0.67994278217177695</v>
      </c>
      <c r="G1186">
        <v>0.54228259060644401</v>
      </c>
      <c r="H1186">
        <v>0.235103497343983</v>
      </c>
      <c r="I1186">
        <v>7.5020340086262904E-2</v>
      </c>
      <c r="J1186">
        <v>5.5327886052857003E-2</v>
      </c>
      <c r="K1186">
        <v>4.3802579041075998E-2</v>
      </c>
      <c r="L1186">
        <v>645.86164034825299</v>
      </c>
      <c r="M1186">
        <v>11.682557532916899</v>
      </c>
      <c r="N1186">
        <v>55.284267892618303</v>
      </c>
      <c r="O1186">
        <v>53.738947137175501</v>
      </c>
      <c r="P1186">
        <v>-5.4363187498424601E-2</v>
      </c>
      <c r="Q1186">
        <v>0</v>
      </c>
      <c r="R1186">
        <v>0.95665371501150598</v>
      </c>
      <c r="S1186" t="s">
        <v>7012</v>
      </c>
      <c r="T1186" t="s">
        <v>11650</v>
      </c>
      <c r="U1186" t="s">
        <v>11650</v>
      </c>
      <c r="V1186" t="s">
        <v>11650</v>
      </c>
      <c r="W1186" t="s">
        <v>12809</v>
      </c>
      <c r="X1186">
        <v>10</v>
      </c>
      <c r="Y1186" t="s">
        <v>18560</v>
      </c>
      <c r="Z1186" t="s">
        <v>24248</v>
      </c>
      <c r="AA1186">
        <v>0.53245970881826499</v>
      </c>
      <c r="AB1186" t="str">
        <f>HYPERLINK("Melting_Curves/meltCurve_O00442_RTCA.pdf", "Melting_Curves/meltCurve_O00442_RTCA.pdf")</f>
        <v>Melting_Curves/meltCurve_O00442_RTCA.pdf</v>
      </c>
    </row>
    <row r="1187" spans="1:28" x14ac:dyDescent="0.25">
      <c r="A1187" t="s">
        <v>1191</v>
      </c>
      <c r="B1187">
        <v>0.99996721820229495</v>
      </c>
      <c r="C1187">
        <v>0.91067053369220696</v>
      </c>
      <c r="D1187">
        <v>0.74028392152113998</v>
      </c>
      <c r="E1187">
        <v>0.55811084149808099</v>
      </c>
      <c r="F1187">
        <v>0.38836603369510497</v>
      </c>
      <c r="G1187">
        <v>0.385382730038627</v>
      </c>
      <c r="H1187">
        <v>0.27137200325279598</v>
      </c>
      <c r="I1187">
        <v>0.28447468667287201</v>
      </c>
      <c r="J1187">
        <v>0.19998213349075</v>
      </c>
      <c r="K1187">
        <v>0.222288204715541</v>
      </c>
      <c r="L1187">
        <v>650.33518030238997</v>
      </c>
      <c r="M1187">
        <v>13.31077045204</v>
      </c>
      <c r="N1187">
        <v>51.112387258077199</v>
      </c>
      <c r="O1187">
        <v>47.794565483188201</v>
      </c>
      <c r="P1187">
        <v>-5.4173986537149499E-2</v>
      </c>
      <c r="Q1187">
        <v>0.22204195401266699</v>
      </c>
      <c r="R1187">
        <v>0.98638626528628004</v>
      </c>
      <c r="S1187" t="s">
        <v>7013</v>
      </c>
      <c r="T1187" t="s">
        <v>11650</v>
      </c>
      <c r="U1187" t="s">
        <v>11650</v>
      </c>
      <c r="V1187" t="s">
        <v>11650</v>
      </c>
      <c r="W1187" t="s">
        <v>12810</v>
      </c>
      <c r="X1187">
        <v>2</v>
      </c>
      <c r="Y1187" t="s">
        <v>18561</v>
      </c>
      <c r="Z1187" t="s">
        <v>24249</v>
      </c>
      <c r="AA1187">
        <v>0.47580964230014833</v>
      </c>
      <c r="AB1187" t="str">
        <f>HYPERLINK("Melting_Curves/meltCurve_O00443_PIK3C2A.pdf", "Melting_Curves/meltCurve_O00443_PIK3C2A.pdf")</f>
        <v>Melting_Curves/meltCurve_O00443_PIK3C2A.pdf</v>
      </c>
    </row>
    <row r="1188" spans="1:28" x14ac:dyDescent="0.25">
      <c r="A1188" t="s">
        <v>1192</v>
      </c>
      <c r="B1188">
        <v>0.99996721820229495</v>
      </c>
      <c r="C1188">
        <v>0.84734058361676501</v>
      </c>
      <c r="D1188">
        <v>0.81817461013497506</v>
      </c>
      <c r="E1188">
        <v>0.65791604884570998</v>
      </c>
      <c r="F1188">
        <v>0.52345400760849603</v>
      </c>
      <c r="G1188">
        <v>0.27723005013445301</v>
      </c>
      <c r="H1188">
        <v>0.13082940066270399</v>
      </c>
      <c r="I1188">
        <v>9.5830320082002707E-2</v>
      </c>
      <c r="J1188">
        <v>7.4952962949935406E-2</v>
      </c>
      <c r="K1188">
        <v>5.1774810969337899E-2</v>
      </c>
      <c r="L1188">
        <v>603.85502792550903</v>
      </c>
      <c r="M1188">
        <v>11.4992174082579</v>
      </c>
      <c r="N1188">
        <v>52.512701280911998</v>
      </c>
      <c r="O1188">
        <v>50.999887204974897</v>
      </c>
      <c r="P1188">
        <v>-5.6384836632836298E-2</v>
      </c>
      <c r="Q1188">
        <v>0</v>
      </c>
      <c r="R1188">
        <v>0.98974031350915204</v>
      </c>
      <c r="S1188" t="s">
        <v>7014</v>
      </c>
      <c r="T1188" t="s">
        <v>11650</v>
      </c>
      <c r="U1188" t="s">
        <v>11650</v>
      </c>
      <c r="V1188" t="s">
        <v>11650</v>
      </c>
      <c r="W1188" t="s">
        <v>12811</v>
      </c>
      <c r="X1188">
        <v>8</v>
      </c>
      <c r="Y1188" t="s">
        <v>18562</v>
      </c>
      <c r="Z1188" t="s">
        <v>24250</v>
      </c>
      <c r="AA1188">
        <v>0.44814013744242082</v>
      </c>
      <c r="AB1188" t="str">
        <f>HYPERLINK("Melting_Curves/meltCurve_O00459_PIK3R2.pdf", "Melting_Curves/meltCurve_O00459_PIK3R2.pdf")</f>
        <v>Melting_Curves/meltCurve_O00459_PIK3R2.pdf</v>
      </c>
    </row>
    <row r="1189" spans="1:28" x14ac:dyDescent="0.25">
      <c r="A1189" t="s">
        <v>1193</v>
      </c>
      <c r="B1189">
        <v>0.99996721820229495</v>
      </c>
      <c r="C1189">
        <v>0.80711818095955901</v>
      </c>
      <c r="D1189">
        <v>0.95522735253586</v>
      </c>
      <c r="E1189">
        <v>1.1699534827640301</v>
      </c>
      <c r="F1189">
        <v>0.95298057566976901</v>
      </c>
      <c r="G1189">
        <v>0.94852957666750104</v>
      </c>
      <c r="H1189">
        <v>0.81312926003433195</v>
      </c>
      <c r="I1189">
        <v>0.66487663954590104</v>
      </c>
      <c r="J1189">
        <v>0.480945680569905</v>
      </c>
      <c r="K1189">
        <v>0.62745122502299</v>
      </c>
      <c r="L1189">
        <v>2187.88279626554</v>
      </c>
      <c r="M1189">
        <v>35.579749401808101</v>
      </c>
      <c r="O1189">
        <v>61.299077003994498</v>
      </c>
      <c r="P1189">
        <v>-6.5044281067000803E-2</v>
      </c>
      <c r="Q1189">
        <v>0.55175162401100997</v>
      </c>
      <c r="R1189">
        <v>0.77527158482112701</v>
      </c>
      <c r="S1189" t="s">
        <v>7015</v>
      </c>
      <c r="T1189" t="s">
        <v>11650</v>
      </c>
      <c r="U1189" t="s">
        <v>11650</v>
      </c>
      <c r="V1189" t="s">
        <v>11650</v>
      </c>
      <c r="W1189" t="s">
        <v>12812</v>
      </c>
      <c r="X1189">
        <v>26</v>
      </c>
      <c r="Y1189" t="s">
        <v>18563</v>
      </c>
      <c r="Z1189" t="s">
        <v>24251</v>
      </c>
      <c r="AA1189">
        <v>0.87482500753516679</v>
      </c>
      <c r="AB1189" t="str">
        <f>HYPERLINK("Melting_Curves/meltCurve_O00461_GOLIM4.pdf", "Melting_Curves/meltCurve_O00461_GOLIM4.pdf")</f>
        <v>Melting_Curves/meltCurve_O00461_GOLIM4.pdf</v>
      </c>
    </row>
    <row r="1190" spans="1:28" x14ac:dyDescent="0.25">
      <c r="A1190" t="s">
        <v>1194</v>
      </c>
      <c r="B1190">
        <v>0.99996721820229495</v>
      </c>
      <c r="C1190">
        <v>1.0363324559754501</v>
      </c>
      <c r="D1190">
        <v>1.0925811707706801</v>
      </c>
      <c r="E1190">
        <v>1.1869516284914401</v>
      </c>
      <c r="F1190">
        <v>1.4602633410213599</v>
      </c>
      <c r="G1190">
        <v>1.7204388968250699</v>
      </c>
      <c r="H1190">
        <v>0.84592242224362002</v>
      </c>
      <c r="I1190">
        <v>0.20969793743218301</v>
      </c>
      <c r="J1190">
        <v>0.110872279648444</v>
      </c>
      <c r="K1190">
        <v>8.7575768361543793E-2</v>
      </c>
      <c r="L1190">
        <v>4826.6919106897603</v>
      </c>
      <c r="M1190">
        <v>77.470634760018797</v>
      </c>
      <c r="N1190">
        <v>62.483350471058401</v>
      </c>
      <c r="O1190">
        <v>62.262024973170497</v>
      </c>
      <c r="P1190">
        <v>-0.279979936162778</v>
      </c>
      <c r="Q1190">
        <v>9.9936885582207896E-2</v>
      </c>
      <c r="R1190">
        <v>0.73122309883169501</v>
      </c>
      <c r="S1190" t="s">
        <v>7016</v>
      </c>
      <c r="T1190" t="s">
        <v>11650</v>
      </c>
      <c r="U1190" t="s">
        <v>11650</v>
      </c>
      <c r="V1190" t="s">
        <v>11650</v>
      </c>
      <c r="W1190" t="s">
        <v>12813</v>
      </c>
      <c r="X1190">
        <v>14</v>
      </c>
      <c r="Y1190" t="s">
        <v>18564</v>
      </c>
      <c r="Z1190" t="s">
        <v>24252</v>
      </c>
      <c r="AA1190">
        <v>0.77010962557079699</v>
      </c>
      <c r="AB1190" t="str">
        <f>HYPERLINK("Melting_Curves/meltCurve_O00462_MANBA.pdf", "Melting_Curves/meltCurve_O00462_MANBA.pdf")</f>
        <v>Melting_Curves/meltCurve_O00462_MANBA.pdf</v>
      </c>
    </row>
    <row r="1191" spans="1:28" x14ac:dyDescent="0.25">
      <c r="A1191" t="s">
        <v>1195</v>
      </c>
      <c r="B1191">
        <v>0.99996721820229495</v>
      </c>
      <c r="C1191">
        <v>1.1044029059801801</v>
      </c>
      <c r="D1191">
        <v>1.09332085024141</v>
      </c>
      <c r="E1191">
        <v>1.04060030930064</v>
      </c>
      <c r="F1191">
        <v>1.1513964075768599</v>
      </c>
      <c r="G1191">
        <v>0.84731310799170401</v>
      </c>
      <c r="H1191">
        <v>0.40264013741229399</v>
      </c>
      <c r="I1191">
        <v>0.23997424151567001</v>
      </c>
      <c r="J1191">
        <v>0.158339319828421</v>
      </c>
      <c r="K1191">
        <v>4.87706046789462E-2</v>
      </c>
      <c r="L1191">
        <v>1964.0952434647199</v>
      </c>
      <c r="M1191">
        <v>32.758671073584999</v>
      </c>
      <c r="N1191">
        <v>60.353042589785098</v>
      </c>
      <c r="O1191">
        <v>59.734401334968801</v>
      </c>
      <c r="P1191">
        <v>-0.12382714642589999</v>
      </c>
      <c r="Q1191">
        <v>9.6824685228569699E-2</v>
      </c>
      <c r="R1191">
        <v>0.96896630137439699</v>
      </c>
      <c r="S1191" t="s">
        <v>7017</v>
      </c>
      <c r="T1191" t="s">
        <v>11650</v>
      </c>
      <c r="U1191" t="s">
        <v>11650</v>
      </c>
      <c r="V1191" t="s">
        <v>11650</v>
      </c>
      <c r="W1191" t="s">
        <v>12814</v>
      </c>
      <c r="X1191">
        <v>2</v>
      </c>
      <c r="Y1191" t="s">
        <v>18565</v>
      </c>
      <c r="Z1191" t="s">
        <v>24253</v>
      </c>
      <c r="AA1191">
        <v>0.70250444241880305</v>
      </c>
      <c r="AB1191" t="str">
        <f>HYPERLINK("Melting_Curves/meltCurve_O00468_6_AGRN.pdf", "Melting_Curves/meltCurve_O00468_6_AGRN.pdf")</f>
        <v>Melting_Curves/meltCurve_O00468_6_AGRN.pdf</v>
      </c>
    </row>
    <row r="1192" spans="1:28" x14ac:dyDescent="0.25">
      <c r="A1192" t="s">
        <v>1196</v>
      </c>
      <c r="B1192">
        <v>0.99996721820229495</v>
      </c>
      <c r="C1192">
        <v>0.986338847116351</v>
      </c>
      <c r="D1192">
        <v>1.01978451181412</v>
      </c>
      <c r="E1192">
        <v>0.93995106367933601</v>
      </c>
      <c r="F1192">
        <v>0.53655285708476097</v>
      </c>
      <c r="G1192">
        <v>0.458616620304651</v>
      </c>
      <c r="H1192">
        <v>0.27737134183880902</v>
      </c>
      <c r="I1192">
        <v>0.150166980022202</v>
      </c>
      <c r="J1192">
        <v>9.3250263526936605E-2</v>
      </c>
      <c r="K1192">
        <v>9.3803799732890006E-2</v>
      </c>
      <c r="L1192">
        <v>872.08178799157201</v>
      </c>
      <c r="M1192">
        <v>15.8392256239649</v>
      </c>
      <c r="N1192">
        <v>55.568995962130998</v>
      </c>
      <c r="O1192">
        <v>54.2031547965165</v>
      </c>
      <c r="P1192">
        <v>-6.8112695670628706E-2</v>
      </c>
      <c r="Q1192">
        <v>6.7726702615042905E-2</v>
      </c>
      <c r="R1192">
        <v>0.97436332651717505</v>
      </c>
      <c r="S1192" t="s">
        <v>7018</v>
      </c>
      <c r="T1192" t="s">
        <v>11650</v>
      </c>
      <c r="U1192" t="s">
        <v>11650</v>
      </c>
      <c r="V1192" t="s">
        <v>11650</v>
      </c>
      <c r="W1192" t="s">
        <v>12815</v>
      </c>
      <c r="X1192">
        <v>24</v>
      </c>
      <c r="Y1192" t="s">
        <v>18566</v>
      </c>
      <c r="Z1192" t="s">
        <v>24254</v>
      </c>
      <c r="AA1192">
        <v>0.55254111037537834</v>
      </c>
      <c r="AB1192" t="str">
        <f>HYPERLINK("Melting_Curves/meltCurve_O00469_2_PLOD2.pdf", "Melting_Curves/meltCurve_O00469_2_PLOD2.pdf")</f>
        <v>Melting_Curves/meltCurve_O00469_2_PLOD2.pdf</v>
      </c>
    </row>
    <row r="1193" spans="1:28" x14ac:dyDescent="0.25">
      <c r="A1193" t="s">
        <v>1197</v>
      </c>
      <c r="B1193">
        <v>0.99996721820229495</v>
      </c>
      <c r="C1193">
        <v>1.03653200121906</v>
      </c>
      <c r="D1193">
        <v>1.06182185688993</v>
      </c>
      <c r="E1193">
        <v>0.97833610666859006</v>
      </c>
      <c r="F1193">
        <v>0.54916924189243699</v>
      </c>
      <c r="G1193">
        <v>0.48674758128618401</v>
      </c>
      <c r="H1193">
        <v>0.27886936756663699</v>
      </c>
      <c r="I1193">
        <v>0.162092119495167</v>
      </c>
      <c r="J1193">
        <v>0.106658127970658</v>
      </c>
      <c r="K1193">
        <v>8.8027011042350806E-2</v>
      </c>
      <c r="L1193">
        <v>923.43796267697405</v>
      </c>
      <c r="M1193">
        <v>16.6715779990102</v>
      </c>
      <c r="N1193">
        <v>55.945083271856198</v>
      </c>
      <c r="O1193">
        <v>54.611417037533101</v>
      </c>
      <c r="P1193">
        <v>-7.0505672889038903E-2</v>
      </c>
      <c r="Q1193">
        <v>7.62343466756778E-2</v>
      </c>
      <c r="R1193">
        <v>0.96606882606979005</v>
      </c>
      <c r="S1193" t="s">
        <v>7019</v>
      </c>
      <c r="T1193" t="s">
        <v>11650</v>
      </c>
      <c r="U1193" t="s">
        <v>11650</v>
      </c>
      <c r="V1193" t="s">
        <v>11650</v>
      </c>
      <c r="W1193" t="s">
        <v>12816</v>
      </c>
      <c r="X1193">
        <v>13</v>
      </c>
      <c r="Y1193" t="s">
        <v>18567</v>
      </c>
      <c r="Z1193" t="s">
        <v>24255</v>
      </c>
      <c r="AA1193">
        <v>0.56556176084136756</v>
      </c>
      <c r="AB1193" t="str">
        <f>HYPERLINK("Melting_Curves/meltCurve_O00471_EXOC5.pdf", "Melting_Curves/meltCurve_O00471_EXOC5.pdf")</f>
        <v>Melting_Curves/meltCurve_O00471_EXOC5.pdf</v>
      </c>
    </row>
    <row r="1194" spans="1:28" x14ac:dyDescent="0.25">
      <c r="A1194" t="s">
        <v>1198</v>
      </c>
      <c r="B1194">
        <v>0.99996721820229495</v>
      </c>
      <c r="C1194">
        <v>0.99265576740238504</v>
      </c>
      <c r="D1194">
        <v>0.97248143469147597</v>
      </c>
      <c r="E1194">
        <v>1.0614112645790099</v>
      </c>
      <c r="F1194">
        <v>1.6597973015415499</v>
      </c>
      <c r="G1194">
        <v>2.1815597173533301</v>
      </c>
      <c r="H1194">
        <v>1.62358834434456</v>
      </c>
      <c r="I1194">
        <v>0.96983282684398198</v>
      </c>
      <c r="J1194">
        <v>0.84447324821602998</v>
      </c>
      <c r="K1194">
        <v>0.91523975179887196</v>
      </c>
      <c r="L1194">
        <v>2073.7111255995001</v>
      </c>
      <c r="M1194">
        <v>27.568105437402298</v>
      </c>
      <c r="Q1194">
        <v>1.1897188571245701E-6</v>
      </c>
      <c r="R1194">
        <v>-0.27199176882058101</v>
      </c>
      <c r="S1194" t="s">
        <v>7020</v>
      </c>
      <c r="T1194" t="s">
        <v>11650</v>
      </c>
      <c r="U1194" t="s">
        <v>11650</v>
      </c>
      <c r="V1194" t="s">
        <v>11650</v>
      </c>
      <c r="W1194" t="s">
        <v>12817</v>
      </c>
      <c r="X1194">
        <v>3</v>
      </c>
      <c r="Y1194" t="s">
        <v>18568</v>
      </c>
      <c r="Z1194" t="s">
        <v>24256</v>
      </c>
      <c r="AA1194">
        <v>0.99111842521661919</v>
      </c>
      <c r="AB1194" t="str">
        <f>HYPERLINK("Melting_Curves/meltCurve_O00479_HMGN4.pdf", "Melting_Curves/meltCurve_O00479_HMGN4.pdf")</f>
        <v>Melting_Curves/meltCurve_O00479_HMGN4.pdf</v>
      </c>
    </row>
    <row r="1195" spans="1:28" x14ac:dyDescent="0.25">
      <c r="A1195" t="s">
        <v>1199</v>
      </c>
      <c r="B1195">
        <v>0.99996721820229495</v>
      </c>
      <c r="C1195">
        <v>0.85618335008937996</v>
      </c>
      <c r="D1195">
        <v>0.93353618705592301</v>
      </c>
      <c r="E1195">
        <v>0.99707965992882297</v>
      </c>
      <c r="F1195">
        <v>1.0329189590713801</v>
      </c>
      <c r="G1195">
        <v>1.0704240458285601</v>
      </c>
      <c r="H1195">
        <v>0.74154019590559195</v>
      </c>
      <c r="I1195">
        <v>0.54704981156519905</v>
      </c>
      <c r="J1195">
        <v>0.41008763940620901</v>
      </c>
      <c r="K1195">
        <v>0.30538818228911302</v>
      </c>
      <c r="L1195">
        <v>2034.5677637803201</v>
      </c>
      <c r="M1195">
        <v>32.5640181364274</v>
      </c>
      <c r="N1195">
        <v>64.429068572965903</v>
      </c>
      <c r="O1195">
        <v>62.244793336940802</v>
      </c>
      <c r="P1195">
        <v>-8.98019182182722E-2</v>
      </c>
      <c r="Q1195">
        <v>0.31339223972334201</v>
      </c>
      <c r="R1195">
        <v>0.94208273837356604</v>
      </c>
      <c r="S1195" t="s">
        <v>7021</v>
      </c>
      <c r="T1195" t="s">
        <v>11650</v>
      </c>
      <c r="U1195" t="s">
        <v>11650</v>
      </c>
      <c r="V1195" t="s">
        <v>11650</v>
      </c>
      <c r="W1195" t="s">
        <v>12818</v>
      </c>
      <c r="X1195">
        <v>9</v>
      </c>
      <c r="Y1195" t="s">
        <v>18569</v>
      </c>
      <c r="Z1195" t="s">
        <v>24257</v>
      </c>
      <c r="AA1195">
        <v>0.83059426432696715</v>
      </c>
      <c r="AB1195" t="str">
        <f>HYPERLINK("Melting_Curves/meltCurve_O00483_NDUFA4.pdf", "Melting_Curves/meltCurve_O00483_NDUFA4.pdf")</f>
        <v>Melting_Curves/meltCurve_O00483_NDUFA4.pdf</v>
      </c>
    </row>
    <row r="1196" spans="1:28" x14ac:dyDescent="0.25">
      <c r="A1196" t="s">
        <v>1200</v>
      </c>
      <c r="B1196">
        <v>0.99996721820229495</v>
      </c>
      <c r="C1196">
        <v>1.1766477941522799</v>
      </c>
      <c r="D1196">
        <v>1.4069679024702999</v>
      </c>
      <c r="E1196">
        <v>2.4231700929828399</v>
      </c>
      <c r="F1196">
        <v>1.5608818501637101</v>
      </c>
      <c r="G1196">
        <v>1.66629318219672</v>
      </c>
      <c r="H1196">
        <v>0.46607493497184799</v>
      </c>
      <c r="I1196">
        <v>0.319541963658515</v>
      </c>
      <c r="J1196">
        <v>0.18746117886593</v>
      </c>
      <c r="K1196">
        <v>0.14002714122391999</v>
      </c>
      <c r="L1196">
        <v>9893.4054713949809</v>
      </c>
      <c r="M1196">
        <v>162.94265027613901</v>
      </c>
      <c r="N1196">
        <v>60.928039675055601</v>
      </c>
      <c r="O1196">
        <v>60.707949647386897</v>
      </c>
      <c r="P1196">
        <v>-0.52636054869915705</v>
      </c>
      <c r="Q1196">
        <v>0.21557006664992601</v>
      </c>
      <c r="R1196">
        <v>0.41405086652414103</v>
      </c>
      <c r="S1196" t="s">
        <v>7022</v>
      </c>
      <c r="T1196" t="s">
        <v>11650</v>
      </c>
      <c r="U1196" t="s">
        <v>11650</v>
      </c>
      <c r="V1196" t="s">
        <v>11650</v>
      </c>
      <c r="W1196" t="s">
        <v>12819</v>
      </c>
      <c r="X1196">
        <v>2</v>
      </c>
      <c r="Y1196" t="s">
        <v>18570</v>
      </c>
      <c r="Z1196" t="s">
        <v>24258</v>
      </c>
      <c r="AA1196">
        <v>0.75747071517456532</v>
      </c>
      <c r="AB1196" t="str">
        <f>HYPERLINK("Melting_Curves/meltCurve_O00487_PSMD14.pdf", "Melting_Curves/meltCurve_O00487_PSMD14.pdf")</f>
        <v>Melting_Curves/meltCurve_O00487_PSMD14.pdf</v>
      </c>
    </row>
    <row r="1197" spans="1:28" x14ac:dyDescent="0.25">
      <c r="A1197" t="s">
        <v>1201</v>
      </c>
      <c r="B1197">
        <v>0.99996721820229495</v>
      </c>
      <c r="C1197">
        <v>0.88284667390071003</v>
      </c>
      <c r="D1197">
        <v>0.90848894562044802</v>
      </c>
      <c r="E1197">
        <v>0.96564253998052096</v>
      </c>
      <c r="F1197">
        <v>1.0655269093076001</v>
      </c>
      <c r="G1197">
        <v>1.0701039275782001</v>
      </c>
      <c r="H1197">
        <v>0.81437583029854799</v>
      </c>
      <c r="I1197">
        <v>0.65569093219025198</v>
      </c>
      <c r="J1197">
        <v>0.451667244481951</v>
      </c>
      <c r="K1197">
        <v>0.38766642341999302</v>
      </c>
      <c r="L1197">
        <v>2001.0977343843199</v>
      </c>
      <c r="M1197">
        <v>31.557627053985499</v>
      </c>
      <c r="N1197">
        <v>66.040757744827303</v>
      </c>
      <c r="O1197">
        <v>63.157906518232103</v>
      </c>
      <c r="P1197">
        <v>-8.0233604998576305E-2</v>
      </c>
      <c r="Q1197">
        <v>0.35770081705976797</v>
      </c>
      <c r="R1197">
        <v>0.92962283177192595</v>
      </c>
      <c r="S1197" t="s">
        <v>7023</v>
      </c>
      <c r="T1197" t="s">
        <v>11650</v>
      </c>
      <c r="U1197" t="s">
        <v>11650</v>
      </c>
      <c r="V1197" t="s">
        <v>11650</v>
      </c>
      <c r="W1197" t="s">
        <v>12820</v>
      </c>
      <c r="X1197">
        <v>2</v>
      </c>
      <c r="Y1197" t="s">
        <v>18571</v>
      </c>
      <c r="Z1197" t="s">
        <v>24259</v>
      </c>
      <c r="AA1197">
        <v>0.8606465875505056</v>
      </c>
      <c r="AB1197" t="str">
        <f>HYPERLINK("Melting_Curves/meltCurve_O00488_ZNF593.pdf", "Melting_Curves/meltCurve_O00488_ZNF593.pdf")</f>
        <v>Melting_Curves/meltCurve_O00488_ZNF593.pdf</v>
      </c>
    </row>
    <row r="1198" spans="1:28" x14ac:dyDescent="0.25">
      <c r="A1198" t="s">
        <v>1202</v>
      </c>
      <c r="B1198">
        <v>0.99996721820229495</v>
      </c>
      <c r="C1198">
        <v>1.0495853132878801</v>
      </c>
      <c r="D1198">
        <v>1.0097293106396401</v>
      </c>
      <c r="E1198">
        <v>0.951653656010786</v>
      </c>
      <c r="F1198">
        <v>0.85031364661227604</v>
      </c>
      <c r="G1198">
        <v>0.59460078701163899</v>
      </c>
      <c r="H1198">
        <v>0.38912191509613903</v>
      </c>
      <c r="I1198">
        <v>0.29536646379114501</v>
      </c>
      <c r="J1198">
        <v>0.28621916148031201</v>
      </c>
      <c r="K1198">
        <v>0.30127825473951197</v>
      </c>
      <c r="L1198">
        <v>1255.94001369994</v>
      </c>
      <c r="M1198">
        <v>22.299280537837902</v>
      </c>
      <c r="N1198">
        <v>58.374872766616498</v>
      </c>
      <c r="O1198">
        <v>55.874915212970699</v>
      </c>
      <c r="P1198">
        <v>-7.2660395480330195E-2</v>
      </c>
      <c r="Q1198">
        <v>0.27175986750668002</v>
      </c>
      <c r="R1198">
        <v>0.99606228854461898</v>
      </c>
      <c r="S1198" t="s">
        <v>7024</v>
      </c>
      <c r="T1198" t="s">
        <v>11650</v>
      </c>
      <c r="U1198" t="s">
        <v>11650</v>
      </c>
      <c r="V1198" t="s">
        <v>11650</v>
      </c>
      <c r="W1198" t="s">
        <v>12821</v>
      </c>
      <c r="X1198">
        <v>17</v>
      </c>
      <c r="Y1198" t="s">
        <v>18572</v>
      </c>
      <c r="Z1198" t="s">
        <v>24260</v>
      </c>
      <c r="AA1198">
        <v>0.67591855091813613</v>
      </c>
      <c r="AB1198" t="str">
        <f>HYPERLINK("Melting_Curves/meltCurve_O00499_6_BIN1.pdf", "Melting_Curves/meltCurve_O00499_6_BIN1.pdf")</f>
        <v>Melting_Curves/meltCurve_O00499_6_BIN1.pdf</v>
      </c>
    </row>
    <row r="1199" spans="1:28" x14ac:dyDescent="0.25">
      <c r="A1199" t="s">
        <v>1203</v>
      </c>
      <c r="B1199">
        <v>0.99996721820229495</v>
      </c>
      <c r="C1199">
        <v>1.0802217178042099</v>
      </c>
      <c r="D1199">
        <v>1.1078702922345001</v>
      </c>
      <c r="E1199">
        <v>1.2067106473657201</v>
      </c>
      <c r="F1199">
        <v>0.48174246482600003</v>
      </c>
      <c r="G1199">
        <v>0.20291696108110799</v>
      </c>
      <c r="H1199">
        <v>0.111523461774483</v>
      </c>
      <c r="I1199">
        <v>8.0324902709962495E-2</v>
      </c>
      <c r="J1199">
        <v>4.09454292948042E-2</v>
      </c>
      <c r="K1199">
        <v>4.9096466078548499E-2</v>
      </c>
      <c r="L1199">
        <v>13234.2168078576</v>
      </c>
      <c r="M1199">
        <v>250</v>
      </c>
      <c r="N1199">
        <v>52.982549679234801</v>
      </c>
      <c r="O1199">
        <v>52.933480118553597</v>
      </c>
      <c r="P1199">
        <v>-1.0662422382474499</v>
      </c>
      <c r="Q1199">
        <v>9.6961412393192906E-2</v>
      </c>
      <c r="R1199">
        <v>0.96569604704572498</v>
      </c>
      <c r="S1199" t="s">
        <v>7025</v>
      </c>
      <c r="T1199" t="s">
        <v>11650</v>
      </c>
      <c r="U1199" t="s">
        <v>11650</v>
      </c>
      <c r="V1199" t="s">
        <v>11650</v>
      </c>
      <c r="W1199" t="s">
        <v>12822</v>
      </c>
      <c r="X1199">
        <v>13</v>
      </c>
      <c r="Y1199" t="s">
        <v>18573</v>
      </c>
      <c r="Z1199" t="s">
        <v>24261</v>
      </c>
      <c r="AA1199">
        <v>0.48646165148613801</v>
      </c>
      <c r="AB1199" t="str">
        <f>HYPERLINK("Melting_Curves/meltCurve_O00505_KPNA3.pdf", "Melting_Curves/meltCurve_O00505_KPNA3.pdf")</f>
        <v>Melting_Curves/meltCurve_O00505_KPNA3.pdf</v>
      </c>
    </row>
    <row r="1200" spans="1:28" x14ac:dyDescent="0.25">
      <c r="A1200" t="s">
        <v>1204</v>
      </c>
      <c r="B1200">
        <v>0.99996721820229495</v>
      </c>
      <c r="C1200">
        <v>1.013304213796</v>
      </c>
      <c r="D1200">
        <v>0.82071321028316802</v>
      </c>
      <c r="E1200">
        <v>0.66707700757078303</v>
      </c>
      <c r="F1200">
        <v>0.24624214107308401</v>
      </c>
      <c r="G1200">
        <v>0.157567690857808</v>
      </c>
      <c r="H1200">
        <v>6.8994207598949295E-2</v>
      </c>
      <c r="I1200">
        <v>2.22739160907818E-2</v>
      </c>
      <c r="J1200">
        <v>2.1123688491372999E-2</v>
      </c>
      <c r="K1200">
        <v>2.1624805364708101E-2</v>
      </c>
      <c r="L1200">
        <v>1011.22496412602</v>
      </c>
      <c r="M1200">
        <v>19.888332444531802</v>
      </c>
      <c r="N1200">
        <v>50.944108355049003</v>
      </c>
      <c r="O1200">
        <v>50.339469504264301</v>
      </c>
      <c r="P1200">
        <v>-9.6902527702730903E-2</v>
      </c>
      <c r="Q1200">
        <v>1.89507130314008E-2</v>
      </c>
      <c r="R1200">
        <v>0.98772851129753403</v>
      </c>
      <c r="S1200" t="s">
        <v>7026</v>
      </c>
      <c r="T1200" t="s">
        <v>11650</v>
      </c>
      <c r="U1200" t="s">
        <v>11650</v>
      </c>
      <c r="V1200" t="s">
        <v>11650</v>
      </c>
      <c r="W1200" t="s">
        <v>12823</v>
      </c>
      <c r="X1200">
        <v>9</v>
      </c>
      <c r="Y1200" t="s">
        <v>18574</v>
      </c>
      <c r="Z1200" t="s">
        <v>24262</v>
      </c>
      <c r="AA1200">
        <v>0.3873724794371774</v>
      </c>
      <c r="AB1200" t="str">
        <f>HYPERLINK("Melting_Curves/meltCurve_O00506_STK25.pdf", "Melting_Curves/meltCurve_O00506_STK25.pdf")</f>
        <v>Melting_Curves/meltCurve_O00506_STK25.pdf</v>
      </c>
    </row>
    <row r="1201" spans="1:28" x14ac:dyDescent="0.25">
      <c r="A1201" t="s">
        <v>1205</v>
      </c>
      <c r="B1201">
        <v>0.99996721820229495</v>
      </c>
      <c r="C1201">
        <v>1.1086402386493099</v>
      </c>
      <c r="D1201">
        <v>0.96938059398196397</v>
      </c>
      <c r="E1201">
        <v>1.0315279270312301</v>
      </c>
      <c r="F1201">
        <v>1.48570274218471</v>
      </c>
      <c r="G1201">
        <v>1.42454528413349</v>
      </c>
      <c r="H1201">
        <v>0.8762167202476</v>
      </c>
      <c r="I1201">
        <v>0.86244483279574502</v>
      </c>
      <c r="J1201">
        <v>0.83025941040970197</v>
      </c>
      <c r="K1201">
        <v>0.57710378302743603</v>
      </c>
      <c r="L1201">
        <v>1612.8522867060899</v>
      </c>
      <c r="M1201">
        <v>22.859928832863801</v>
      </c>
      <c r="Q1201">
        <v>8.7086790172209105E-2</v>
      </c>
      <c r="R1201">
        <v>0.32970578967379599</v>
      </c>
      <c r="S1201" t="s">
        <v>7027</v>
      </c>
      <c r="T1201" t="s">
        <v>11650</v>
      </c>
      <c r="U1201" t="s">
        <v>11650</v>
      </c>
      <c r="V1201" t="s">
        <v>11650</v>
      </c>
      <c r="W1201" t="s">
        <v>12824</v>
      </c>
      <c r="X1201">
        <v>1</v>
      </c>
      <c r="Y1201" t="s">
        <v>18575</v>
      </c>
      <c r="Z1201" t="s">
        <v>24263</v>
      </c>
      <c r="AA1201">
        <v>0.94887830008902507</v>
      </c>
      <c r="AB1201" t="str">
        <f>HYPERLINK("Melting_Curves/meltCurve_O00512_BCL9.pdf", "Melting_Curves/meltCurve_O00512_BCL9.pdf")</f>
        <v>Melting_Curves/meltCurve_O00512_BCL9.pdf</v>
      </c>
    </row>
    <row r="1202" spans="1:28" x14ac:dyDescent="0.25">
      <c r="A1202" t="s">
        <v>1206</v>
      </c>
      <c r="B1202">
        <v>0.99996721820229495</v>
      </c>
      <c r="C1202">
        <v>0.90652053087400297</v>
      </c>
      <c r="D1202">
        <v>0.85864909001586698</v>
      </c>
      <c r="E1202">
        <v>0.98616051021511097</v>
      </c>
      <c r="F1202">
        <v>0.58309550364110496</v>
      </c>
      <c r="G1202">
        <v>0.38515332918779699</v>
      </c>
      <c r="H1202">
        <v>0.20803530677797999</v>
      </c>
      <c r="I1202">
        <v>0.15520097018574999</v>
      </c>
      <c r="J1202">
        <v>9.3092627568598901E-2</v>
      </c>
      <c r="K1202">
        <v>6.3928653764616095E-2</v>
      </c>
      <c r="L1202">
        <v>940.02219405603705</v>
      </c>
      <c r="M1202">
        <v>17.159850984468498</v>
      </c>
      <c r="N1202">
        <v>55.1880117939128</v>
      </c>
      <c r="O1202">
        <v>54.052597984943198</v>
      </c>
      <c r="P1202">
        <v>-7.4646271024726499E-2</v>
      </c>
      <c r="Q1202">
        <v>5.9529213694049503E-2</v>
      </c>
      <c r="R1202">
        <v>0.96661926135700105</v>
      </c>
      <c r="S1202" t="s">
        <v>7028</v>
      </c>
      <c r="T1202" t="s">
        <v>11650</v>
      </c>
      <c r="U1202" t="s">
        <v>11650</v>
      </c>
      <c r="V1202" t="s">
        <v>11650</v>
      </c>
      <c r="W1202" t="s">
        <v>12825</v>
      </c>
      <c r="X1202">
        <v>11</v>
      </c>
      <c r="Y1202" t="s">
        <v>18576</v>
      </c>
      <c r="Z1202" t="s">
        <v>24264</v>
      </c>
      <c r="AA1202">
        <v>0.53852667918096064</v>
      </c>
      <c r="AB1202" t="str">
        <f>HYPERLINK("Melting_Curves/meltCurve_O00534_VWA5A.pdf", "Melting_Curves/meltCurve_O00534_VWA5A.pdf")</f>
        <v>Melting_Curves/meltCurve_O00534_VWA5A.pdf</v>
      </c>
    </row>
    <row r="1203" spans="1:28" x14ac:dyDescent="0.25">
      <c r="A1203" t="s">
        <v>1207</v>
      </c>
      <c r="B1203">
        <v>0.99996721820229495</v>
      </c>
      <c r="C1203">
        <v>1.3672485839725199</v>
      </c>
      <c r="D1203">
        <v>1.15892917045552</v>
      </c>
      <c r="E1203">
        <v>0.99043248708393805</v>
      </c>
      <c r="F1203">
        <v>0.51168011744458897</v>
      </c>
      <c r="G1203">
        <v>0.37150532453981699</v>
      </c>
      <c r="H1203">
        <v>0.18528699075874</v>
      </c>
      <c r="I1203">
        <v>0.12915022555906999</v>
      </c>
      <c r="J1203">
        <v>7.4568670594044206E-2</v>
      </c>
      <c r="K1203">
        <v>0.105889899115859</v>
      </c>
      <c r="L1203">
        <v>1450.9768170300599</v>
      </c>
      <c r="M1203">
        <v>27.0798643568973</v>
      </c>
      <c r="N1203">
        <v>54.154923800645498</v>
      </c>
      <c r="O1203">
        <v>53.291776394552798</v>
      </c>
      <c r="P1203">
        <v>-0.111200156756754</v>
      </c>
      <c r="Q1203">
        <v>0.124664255223501</v>
      </c>
      <c r="R1203">
        <v>0.90747582598226995</v>
      </c>
      <c r="S1203" t="s">
        <v>7029</v>
      </c>
      <c r="T1203" t="s">
        <v>11650</v>
      </c>
      <c r="U1203" t="s">
        <v>11650</v>
      </c>
      <c r="V1203" t="s">
        <v>11650</v>
      </c>
      <c r="W1203" t="s">
        <v>12826</v>
      </c>
      <c r="X1203">
        <v>9</v>
      </c>
      <c r="Y1203" t="s">
        <v>18577</v>
      </c>
      <c r="Z1203" t="s">
        <v>24265</v>
      </c>
      <c r="AA1203">
        <v>0.52790406757372754</v>
      </c>
      <c r="AB1203" t="str">
        <f>HYPERLINK("Melting_Curves/meltCurve_O00560_SDCBP.pdf", "Melting_Curves/meltCurve_O00560_SDCBP.pdf")</f>
        <v>Melting_Curves/meltCurve_O00560_SDCBP.pdf</v>
      </c>
    </row>
    <row r="1204" spans="1:28" x14ac:dyDescent="0.25">
      <c r="A1204" t="s">
        <v>1208</v>
      </c>
      <c r="B1204">
        <v>0.99996721820229495</v>
      </c>
      <c r="C1204">
        <v>0.77710178683915598</v>
      </c>
      <c r="D1204">
        <v>0.85934557579196202</v>
      </c>
      <c r="E1204">
        <v>0.85339117090210104</v>
      </c>
      <c r="F1204">
        <v>0.78669945302787503</v>
      </c>
      <c r="G1204">
        <v>0.58908375671760205</v>
      </c>
      <c r="H1204">
        <v>0.50997232623490396</v>
      </c>
      <c r="I1204">
        <v>0.62665237475535995</v>
      </c>
      <c r="J1204">
        <v>0.337940440743073</v>
      </c>
      <c r="K1204">
        <v>0.24878652550007299</v>
      </c>
      <c r="L1204">
        <v>366.50517921699702</v>
      </c>
      <c r="M1204">
        <v>5.89744277117798</v>
      </c>
      <c r="N1204">
        <v>62.146457983509301</v>
      </c>
      <c r="O1204">
        <v>56.123938933346302</v>
      </c>
      <c r="P1204">
        <v>-2.6360180829265299E-2</v>
      </c>
      <c r="Q1204">
        <v>0</v>
      </c>
      <c r="R1204">
        <v>0.85912496305808195</v>
      </c>
      <c r="S1204" t="s">
        <v>7030</v>
      </c>
      <c r="T1204" t="s">
        <v>11650</v>
      </c>
      <c r="U1204" t="s">
        <v>11650</v>
      </c>
      <c r="V1204" t="s">
        <v>11650</v>
      </c>
      <c r="W1204" t="s">
        <v>12827</v>
      </c>
      <c r="X1204">
        <v>1</v>
      </c>
      <c r="Y1204" t="s">
        <v>18578</v>
      </c>
      <c r="Z1204" t="s">
        <v>24266</v>
      </c>
      <c r="AA1204">
        <v>0.67300662145465207</v>
      </c>
      <c r="AB1204" t="str">
        <f>HYPERLINK("Melting_Curves/meltCurve_O00567_NOP56.pdf", "Melting_Curves/meltCurve_O00567_NOP56.pdf")</f>
        <v>Melting_Curves/meltCurve_O00567_NOP56.pdf</v>
      </c>
    </row>
    <row r="1205" spans="1:28" x14ac:dyDescent="0.25">
      <c r="A1205" t="s">
        <v>1209</v>
      </c>
      <c r="B1205">
        <v>0.99996721820229495</v>
      </c>
      <c r="C1205">
        <v>0.89966884143761905</v>
      </c>
      <c r="D1205">
        <v>0.53455685442735301</v>
      </c>
      <c r="E1205">
        <v>0.386914796096612</v>
      </c>
      <c r="F1205">
        <v>0.39919532351018799</v>
      </c>
      <c r="G1205">
        <v>0.40524096442149898</v>
      </c>
      <c r="H1205">
        <v>0.29449325240746499</v>
      </c>
      <c r="I1205">
        <v>0.27908317208683198</v>
      </c>
      <c r="J1205">
        <v>0.22302961049143299</v>
      </c>
      <c r="K1205">
        <v>0.14166263084769301</v>
      </c>
      <c r="L1205">
        <v>927.32296634792897</v>
      </c>
      <c r="M1205">
        <v>20.3214957725232</v>
      </c>
      <c r="N1205">
        <v>47.5070946886161</v>
      </c>
      <c r="O1205">
        <v>45.197619603300502</v>
      </c>
      <c r="P1205">
        <v>-8.1411378024697306E-2</v>
      </c>
      <c r="Q1205">
        <v>0.27574468050124501</v>
      </c>
      <c r="R1205">
        <v>0.92782722303535003</v>
      </c>
      <c r="S1205" t="s">
        <v>7031</v>
      </c>
      <c r="T1205" t="s">
        <v>11650</v>
      </c>
      <c r="U1205" t="s">
        <v>11650</v>
      </c>
      <c r="V1205" t="s">
        <v>11650</v>
      </c>
      <c r="W1205" t="s">
        <v>12828</v>
      </c>
      <c r="X1205">
        <v>19</v>
      </c>
      <c r="Y1205" t="s">
        <v>18579</v>
      </c>
      <c r="Z1205" t="s">
        <v>24267</v>
      </c>
      <c r="AA1205">
        <v>0.42282881059961819</v>
      </c>
      <c r="AB1205" t="str">
        <f>HYPERLINK("Melting_Curves/meltCurve_O00571_DDX3X.pdf", "Melting_Curves/meltCurve_O00571_DDX3X.pdf")</f>
        <v>Melting_Curves/meltCurve_O00571_DDX3X.pdf</v>
      </c>
    </row>
    <row r="1206" spans="1:28" x14ac:dyDescent="0.25">
      <c r="A1206" t="s">
        <v>1210</v>
      </c>
      <c r="B1206">
        <v>0.99996721820229495</v>
      </c>
      <c r="C1206">
        <v>1.0163714183963899</v>
      </c>
      <c r="D1206">
        <v>0.96671996310198005</v>
      </c>
      <c r="E1206">
        <v>1.0136649871914001</v>
      </c>
      <c r="F1206">
        <v>1.3376829765881499</v>
      </c>
      <c r="G1206">
        <v>1.32638111636353</v>
      </c>
      <c r="H1206">
        <v>0.943083813618667</v>
      </c>
      <c r="I1206">
        <v>0.98526824766101495</v>
      </c>
      <c r="J1206">
        <v>0.94374121869836602</v>
      </c>
      <c r="K1206">
        <v>0.59924680117822804</v>
      </c>
      <c r="L1206">
        <v>3703.2237484850002</v>
      </c>
      <c r="M1206">
        <v>52.499458698225197</v>
      </c>
      <c r="Q1206">
        <v>0</v>
      </c>
      <c r="R1206">
        <v>0.41837343378344199</v>
      </c>
      <c r="S1206" t="s">
        <v>7032</v>
      </c>
      <c r="T1206" t="s">
        <v>11650</v>
      </c>
      <c r="U1206" t="s">
        <v>11650</v>
      </c>
      <c r="V1206" t="s">
        <v>11650</v>
      </c>
      <c r="W1206" t="s">
        <v>12829</v>
      </c>
      <c r="X1206">
        <v>13</v>
      </c>
      <c r="Y1206" t="s">
        <v>18580</v>
      </c>
      <c r="Z1206" t="s">
        <v>24268</v>
      </c>
      <c r="AA1206">
        <v>0.97835284408432488</v>
      </c>
      <c r="AB1206" t="str">
        <f>HYPERLINK("Melting_Curves/meltCurve_O00622_CYR61.pdf", "Melting_Curves/meltCurve_O00622_CYR61.pdf")</f>
        <v>Melting_Curves/meltCurve_O00622_CYR61.pdf</v>
      </c>
    </row>
    <row r="1207" spans="1:28" x14ac:dyDescent="0.25">
      <c r="A1207" t="s">
        <v>1211</v>
      </c>
      <c r="B1207">
        <v>0.99996721820229495</v>
      </c>
      <c r="C1207">
        <v>0.99874221546957498</v>
      </c>
      <c r="D1207">
        <v>0.808407489414947</v>
      </c>
      <c r="E1207">
        <v>0.51736170971560003</v>
      </c>
      <c r="F1207">
        <v>0.48919945151931299</v>
      </c>
      <c r="G1207">
        <v>0.413988389551735</v>
      </c>
      <c r="H1207">
        <v>0.24086857042273099</v>
      </c>
      <c r="I1207">
        <v>0.147351928517545</v>
      </c>
      <c r="J1207">
        <v>0.121999656311196</v>
      </c>
      <c r="K1207">
        <v>8.1960702217187806E-2</v>
      </c>
      <c r="L1207">
        <v>530.13202805992603</v>
      </c>
      <c r="M1207">
        <v>10.1232948856502</v>
      </c>
      <c r="N1207">
        <v>52.735119825041799</v>
      </c>
      <c r="O1207">
        <v>50.447295868158101</v>
      </c>
      <c r="P1207">
        <v>-4.8481137661785398E-2</v>
      </c>
      <c r="Q1207">
        <v>3.4066508533051799E-2</v>
      </c>
      <c r="R1207">
        <v>0.97151934971588505</v>
      </c>
      <c r="S1207" t="s">
        <v>7033</v>
      </c>
      <c r="T1207" t="s">
        <v>11650</v>
      </c>
      <c r="U1207" t="s">
        <v>11650</v>
      </c>
      <c r="V1207" t="s">
        <v>11650</v>
      </c>
      <c r="W1207" t="s">
        <v>12830</v>
      </c>
      <c r="X1207">
        <v>7</v>
      </c>
      <c r="Y1207" t="s">
        <v>18581</v>
      </c>
      <c r="Z1207" t="s">
        <v>24269</v>
      </c>
      <c r="AA1207">
        <v>0.46719194539578729</v>
      </c>
      <c r="AB1207" t="str">
        <f>HYPERLINK("Melting_Curves/meltCurve_O00625_PIR.pdf", "Melting_Curves/meltCurve_O00625_PIR.pdf")</f>
        <v>Melting_Curves/meltCurve_O00625_PIR.pdf</v>
      </c>
    </row>
    <row r="1208" spans="1:28" x14ac:dyDescent="0.25">
      <c r="A1208" t="s">
        <v>1212</v>
      </c>
      <c r="B1208">
        <v>0.99996721820229495</v>
      </c>
      <c r="C1208">
        <v>0.93293788684748102</v>
      </c>
      <c r="D1208">
        <v>0.93575037953044005</v>
      </c>
      <c r="E1208">
        <v>1.03616446414229</v>
      </c>
      <c r="F1208">
        <v>1.2061195317300599</v>
      </c>
      <c r="G1208">
        <v>0.756639396470565</v>
      </c>
      <c r="H1208">
        <v>0.364090288694711</v>
      </c>
      <c r="I1208">
        <v>0.28406746894865198</v>
      </c>
      <c r="J1208">
        <v>0.21534593211224801</v>
      </c>
      <c r="K1208">
        <v>0.17634930959058501</v>
      </c>
      <c r="L1208">
        <v>2294.1394947785998</v>
      </c>
      <c r="M1208">
        <v>39.2177170913914</v>
      </c>
      <c r="N1208">
        <v>59.356916905747802</v>
      </c>
      <c r="O1208">
        <v>58.346051525737799</v>
      </c>
      <c r="P1208">
        <v>-0.13163950701764299</v>
      </c>
      <c r="Q1208">
        <v>0.216616538989515</v>
      </c>
      <c r="R1208">
        <v>0.95370008604173595</v>
      </c>
      <c r="S1208" t="s">
        <v>7034</v>
      </c>
      <c r="T1208" t="s">
        <v>11650</v>
      </c>
      <c r="U1208" t="s">
        <v>11650</v>
      </c>
      <c r="V1208" t="s">
        <v>11650</v>
      </c>
      <c r="W1208" t="s">
        <v>12831</v>
      </c>
      <c r="X1208">
        <v>13</v>
      </c>
      <c r="Y1208" t="s">
        <v>18582</v>
      </c>
      <c r="Z1208" t="s">
        <v>24270</v>
      </c>
      <c r="AA1208">
        <v>0.70284127959373166</v>
      </c>
      <c r="AB1208" t="str">
        <f>HYPERLINK("Melting_Curves/meltCurve_O00629_KPNA4.pdf", "Melting_Curves/meltCurve_O00629_KPNA4.pdf")</f>
        <v>Melting_Curves/meltCurve_O00629_KPNA4.pdf</v>
      </c>
    </row>
    <row r="1209" spans="1:28" x14ac:dyDescent="0.25">
      <c r="A1209" t="s">
        <v>1213</v>
      </c>
      <c r="B1209">
        <v>0.99996721820229495</v>
      </c>
      <c r="C1209">
        <v>0.77556760997456897</v>
      </c>
      <c r="D1209">
        <v>0.474144937369544</v>
      </c>
      <c r="E1209">
        <v>0.34443558447904998</v>
      </c>
      <c r="F1209">
        <v>0.29652326455600098</v>
      </c>
      <c r="G1209">
        <v>0.23268071464092699</v>
      </c>
      <c r="H1209">
        <v>0.161506468450517</v>
      </c>
      <c r="I1209">
        <v>0.13798939775749</v>
      </c>
      <c r="J1209">
        <v>9.0114350807863605E-2</v>
      </c>
      <c r="K1209">
        <v>6.6429595545174802E-2</v>
      </c>
      <c r="L1209">
        <v>643.03752650300498</v>
      </c>
      <c r="M1209">
        <v>13.964237584484099</v>
      </c>
      <c r="N1209">
        <v>46.951535504797597</v>
      </c>
      <c r="O1209">
        <v>45.135352043390803</v>
      </c>
      <c r="P1209">
        <v>-6.8250015360891994E-2</v>
      </c>
      <c r="Q1209">
        <v>0.11772412438303299</v>
      </c>
      <c r="R1209">
        <v>0.96664671216224396</v>
      </c>
      <c r="S1209" t="s">
        <v>7035</v>
      </c>
      <c r="T1209" t="s">
        <v>11650</v>
      </c>
      <c r="U1209" t="s">
        <v>11650</v>
      </c>
      <c r="V1209" t="s">
        <v>11650</v>
      </c>
      <c r="W1209" t="s">
        <v>12832</v>
      </c>
      <c r="X1209">
        <v>4</v>
      </c>
      <c r="Y1209" t="s">
        <v>18583</v>
      </c>
      <c r="Z1209" t="s">
        <v>24271</v>
      </c>
      <c r="AA1209">
        <v>0.32537219954021862</v>
      </c>
      <c r="AB1209" t="str">
        <f>HYPERLINK("Melting_Curves/meltCurve_O00635_TRIM38.pdf", "Melting_Curves/meltCurve_O00635_TRIM38.pdf")</f>
        <v>Melting_Curves/meltCurve_O00635_TRIM38.pdf</v>
      </c>
    </row>
    <row r="1210" spans="1:28" x14ac:dyDescent="0.25">
      <c r="A1210" t="s">
        <v>1214</v>
      </c>
      <c r="B1210">
        <v>0.99996721820229495</v>
      </c>
      <c r="C1210">
        <v>1.0093348654682801</v>
      </c>
      <c r="D1210">
        <v>1.0501033784420399</v>
      </c>
      <c r="E1210">
        <v>1.19018019293691</v>
      </c>
      <c r="F1210">
        <v>1.72696378664427</v>
      </c>
      <c r="G1210">
        <v>2.0076091301360899</v>
      </c>
      <c r="H1210">
        <v>1.4982223549135101</v>
      </c>
      <c r="I1210">
        <v>0.95259882701259002</v>
      </c>
      <c r="J1210">
        <v>0.62406163059572695</v>
      </c>
      <c r="K1210">
        <v>0.38959205196139801</v>
      </c>
      <c r="L1210">
        <v>5147.48817530834</v>
      </c>
      <c r="M1210">
        <v>77.255436937313704</v>
      </c>
      <c r="N1210">
        <v>67.850851458433894</v>
      </c>
      <c r="O1210">
        <v>66.584880823474606</v>
      </c>
      <c r="P1210">
        <v>-0.18113205487657599</v>
      </c>
      <c r="Q1210">
        <v>0.37554426745937702</v>
      </c>
      <c r="R1210">
        <v>0.14286724419055699</v>
      </c>
      <c r="S1210" t="s">
        <v>7036</v>
      </c>
      <c r="T1210" t="s">
        <v>11650</v>
      </c>
      <c r="U1210" t="s">
        <v>11650</v>
      </c>
      <c r="V1210" t="s">
        <v>11650</v>
      </c>
      <c r="W1210" t="s">
        <v>12833</v>
      </c>
      <c r="X1210">
        <v>14</v>
      </c>
      <c r="Y1210" t="s">
        <v>18584</v>
      </c>
      <c r="Z1210" t="s">
        <v>24272</v>
      </c>
      <c r="AA1210">
        <v>0.93011980992215704</v>
      </c>
      <c r="AB1210" t="str">
        <f>HYPERLINK("Melting_Curves/meltCurve_O00743_PPP6C.pdf", "Melting_Curves/meltCurve_O00743_PPP6C.pdf")</f>
        <v>Melting_Curves/meltCurve_O00743_PPP6C.pdf</v>
      </c>
    </row>
    <row r="1211" spans="1:28" x14ac:dyDescent="0.25">
      <c r="A1211" t="s">
        <v>1215</v>
      </c>
      <c r="B1211">
        <v>0.99996721820229495</v>
      </c>
      <c r="C1211">
        <v>0.99943602300755097</v>
      </c>
      <c r="D1211">
        <v>0.96882574543943401</v>
      </c>
      <c r="E1211">
        <v>0.94116767101003995</v>
      </c>
      <c r="F1211">
        <v>1.0274268122414401</v>
      </c>
      <c r="G1211">
        <v>1.03983525502871</v>
      </c>
      <c r="H1211">
        <v>0.74422473490157903</v>
      </c>
      <c r="I1211">
        <v>0.53314739857244997</v>
      </c>
      <c r="J1211">
        <v>0.26043704077175001</v>
      </c>
      <c r="K1211">
        <v>0.17199833119827099</v>
      </c>
      <c r="L1211">
        <v>1828.38688134364</v>
      </c>
      <c r="M1211">
        <v>28.8094308641864</v>
      </c>
      <c r="N1211">
        <v>64.039056770577702</v>
      </c>
      <c r="O1211">
        <v>63.161446664127098</v>
      </c>
      <c r="P1211">
        <v>-0.10105247036443001</v>
      </c>
      <c r="Q1211">
        <v>0.11382194301784899</v>
      </c>
      <c r="R1211">
        <v>0.98624016428392003</v>
      </c>
      <c r="S1211" t="s">
        <v>7037</v>
      </c>
      <c r="T1211" t="s">
        <v>11650</v>
      </c>
      <c r="U1211" t="s">
        <v>11650</v>
      </c>
      <c r="V1211" t="s">
        <v>11650</v>
      </c>
      <c r="W1211" t="s">
        <v>12834</v>
      </c>
      <c r="X1211">
        <v>17</v>
      </c>
      <c r="Y1211" t="s">
        <v>18585</v>
      </c>
      <c r="Z1211" t="s">
        <v>24273</v>
      </c>
      <c r="AA1211">
        <v>0.80885489921910747</v>
      </c>
      <c r="AB1211" t="str">
        <f>HYPERLINK("Melting_Curves/meltCurve_O00748_CES2.pdf", "Melting_Curves/meltCurve_O00748_CES2.pdf")</f>
        <v>Melting_Curves/meltCurve_O00748_CES2.pdf</v>
      </c>
    </row>
    <row r="1212" spans="1:28" x14ac:dyDescent="0.25">
      <c r="A1212" t="s">
        <v>1216</v>
      </c>
      <c r="B1212">
        <v>0.99996721820229495</v>
      </c>
      <c r="C1212">
        <v>0.96145143620497497</v>
      </c>
      <c r="D1212">
        <v>1.0404412004328401</v>
      </c>
      <c r="E1212">
        <v>1.27703310520577</v>
      </c>
      <c r="F1212">
        <v>1.6974533485615799</v>
      </c>
      <c r="G1212">
        <v>2.0754355701487501</v>
      </c>
      <c r="H1212">
        <v>1.46740824065269</v>
      </c>
      <c r="I1212">
        <v>1.13682067405332</v>
      </c>
      <c r="J1212">
        <v>0.480740118925789</v>
      </c>
      <c r="K1212">
        <v>1.30952897863275</v>
      </c>
      <c r="L1212">
        <v>12440.4513873101</v>
      </c>
      <c r="M1212">
        <v>250</v>
      </c>
      <c r="O1212">
        <v>49.758621145979703</v>
      </c>
      <c r="P1212">
        <v>0.45372929329224998</v>
      </c>
      <c r="Q1212">
        <v>1.36123110353939</v>
      </c>
      <c r="R1212">
        <v>0.15126547277482599</v>
      </c>
      <c r="S1212" t="s">
        <v>7038</v>
      </c>
      <c r="T1212" t="s">
        <v>11650</v>
      </c>
      <c r="U1212" t="s">
        <v>11650</v>
      </c>
      <c r="V1212" t="s">
        <v>11650</v>
      </c>
      <c r="W1212" t="s">
        <v>12835</v>
      </c>
      <c r="X1212">
        <v>26</v>
      </c>
      <c r="Y1212" t="s">
        <v>18586</v>
      </c>
      <c r="Z1212" t="s">
        <v>24274</v>
      </c>
      <c r="AA1212">
        <v>1.2436572970927411</v>
      </c>
      <c r="AB1212" t="str">
        <f>HYPERLINK("Melting_Curves/meltCurve_O00754_2_MAN2B1.pdf", "Melting_Curves/meltCurve_O00754_2_MAN2B1.pdf")</f>
        <v>Melting_Curves/meltCurve_O00754_2_MAN2B1.pdf</v>
      </c>
    </row>
    <row r="1213" spans="1:28" x14ac:dyDescent="0.25">
      <c r="A1213" t="s">
        <v>1217</v>
      </c>
      <c r="B1213">
        <v>0.99996721820229495</v>
      </c>
      <c r="C1213">
        <v>0.99344610421217505</v>
      </c>
      <c r="D1213">
        <v>0.98122394061161</v>
      </c>
      <c r="E1213">
        <v>0.99456439865095103</v>
      </c>
      <c r="F1213">
        <v>0.93633128242616204</v>
      </c>
      <c r="G1213">
        <v>0.67282508342460501</v>
      </c>
      <c r="H1213">
        <v>0.34017694263106801</v>
      </c>
      <c r="I1213">
        <v>0.18187133782468901</v>
      </c>
      <c r="J1213">
        <v>0.12276412728312899</v>
      </c>
      <c r="K1213">
        <v>0.118874186654867</v>
      </c>
      <c r="L1213">
        <v>1436.2543711176299</v>
      </c>
      <c r="M1213">
        <v>24.593828538669399</v>
      </c>
      <c r="N1213">
        <v>58.901561284756298</v>
      </c>
      <c r="O1213">
        <v>58.016977530844997</v>
      </c>
      <c r="P1213">
        <v>-9.59478124990394E-2</v>
      </c>
      <c r="Q1213">
        <v>9.46473114834082E-2</v>
      </c>
      <c r="R1213">
        <v>0.99942084380899199</v>
      </c>
      <c r="S1213" t="s">
        <v>7039</v>
      </c>
      <c r="T1213" t="s">
        <v>11650</v>
      </c>
      <c r="U1213" t="s">
        <v>11650</v>
      </c>
      <c r="V1213" t="s">
        <v>11650</v>
      </c>
      <c r="W1213" t="s">
        <v>12836</v>
      </c>
      <c r="X1213">
        <v>12</v>
      </c>
      <c r="Y1213" t="s">
        <v>18587</v>
      </c>
      <c r="Z1213" t="s">
        <v>24275</v>
      </c>
      <c r="AA1213">
        <v>0.65778274783118351</v>
      </c>
      <c r="AB1213" t="str">
        <f>HYPERLINK("Melting_Curves/meltCurve_O00764_PDXK.pdf", "Melting_Curves/meltCurve_O00764_PDXK.pdf")</f>
        <v>Melting_Curves/meltCurve_O00764_PDXK.pdf</v>
      </c>
    </row>
    <row r="1214" spans="1:28" x14ac:dyDescent="0.25">
      <c r="A1214" t="s">
        <v>1218</v>
      </c>
      <c r="B1214">
        <v>0.99996721820229495</v>
      </c>
      <c r="C1214">
        <v>1.0973520676636499</v>
      </c>
      <c r="D1214">
        <v>1.13488117043961</v>
      </c>
      <c r="E1214">
        <v>1.1184347495103899</v>
      </c>
      <c r="F1214">
        <v>1.54095909314183</v>
      </c>
      <c r="G1214">
        <v>1.50118867553652</v>
      </c>
      <c r="H1214">
        <v>0.91309222599873896</v>
      </c>
      <c r="I1214">
        <v>0.354352481382954</v>
      </c>
      <c r="J1214">
        <v>0.214059745012633</v>
      </c>
      <c r="K1214">
        <v>0.24724228999335299</v>
      </c>
      <c r="L1214">
        <v>4978.2698906248697</v>
      </c>
      <c r="M1214">
        <v>79.466876373002094</v>
      </c>
      <c r="N1214">
        <v>63.134720755669399</v>
      </c>
      <c r="O1214">
        <v>62.606201930580603</v>
      </c>
      <c r="P1214">
        <v>-0.24441543683731201</v>
      </c>
      <c r="Q1214">
        <v>0.229771059573977</v>
      </c>
      <c r="R1214">
        <v>0.72293737221666099</v>
      </c>
      <c r="S1214" t="s">
        <v>7040</v>
      </c>
      <c r="T1214" t="s">
        <v>11650</v>
      </c>
      <c r="U1214" t="s">
        <v>11650</v>
      </c>
      <c r="V1214" t="s">
        <v>11650</v>
      </c>
      <c r="W1214" t="s">
        <v>12837</v>
      </c>
      <c r="X1214">
        <v>1</v>
      </c>
      <c r="Y1214" t="s">
        <v>18588</v>
      </c>
      <c r="Z1214" t="s">
        <v>24276</v>
      </c>
      <c r="AA1214">
        <v>0.81202091584145253</v>
      </c>
      <c r="AB1214" t="str">
        <f>HYPERLINK("Melting_Curves/meltCurve_O14495_PPAP2B.pdf", "Melting_Curves/meltCurve_O14495_PPAP2B.pdf")</f>
        <v>Melting_Curves/meltCurve_O14495_PPAP2B.pdf</v>
      </c>
    </row>
    <row r="1215" spans="1:28" x14ac:dyDescent="0.25">
      <c r="A1215" t="s">
        <v>1219</v>
      </c>
      <c r="B1215">
        <v>0.99996721820229495</v>
      </c>
      <c r="C1215">
        <v>1.09184032303422</v>
      </c>
      <c r="D1215">
        <v>1.05831119166182</v>
      </c>
      <c r="E1215">
        <v>0.84210661144145205</v>
      </c>
      <c r="F1215">
        <v>0.96402159987839398</v>
      </c>
      <c r="G1215">
        <v>1.26067553730425</v>
      </c>
      <c r="H1215">
        <v>0.94494522957194105</v>
      </c>
      <c r="I1215">
        <v>1.0094926897622301</v>
      </c>
      <c r="J1215">
        <v>0.722799784106125</v>
      </c>
      <c r="K1215">
        <v>0.47267737975732899</v>
      </c>
      <c r="L1215">
        <v>15000</v>
      </c>
      <c r="M1215">
        <v>223.98324694302599</v>
      </c>
      <c r="N1215">
        <v>67.849494245680802</v>
      </c>
      <c r="O1215">
        <v>66.963942227008999</v>
      </c>
      <c r="P1215">
        <v>-0.44097888351737602</v>
      </c>
      <c r="Q1215">
        <v>0.47264466064381999</v>
      </c>
      <c r="R1215">
        <v>0.74258227516651698</v>
      </c>
      <c r="S1215" t="s">
        <v>7041</v>
      </c>
      <c r="T1215" t="s">
        <v>11650</v>
      </c>
      <c r="U1215" t="s">
        <v>11650</v>
      </c>
      <c r="V1215" t="s">
        <v>11650</v>
      </c>
      <c r="W1215" t="s">
        <v>12838</v>
      </c>
      <c r="X1215">
        <v>5</v>
      </c>
      <c r="Y1215" t="s">
        <v>18589</v>
      </c>
      <c r="Z1215" t="s">
        <v>24277</v>
      </c>
      <c r="AA1215">
        <v>0.94680156994293596</v>
      </c>
      <c r="AB1215" t="str">
        <f>HYPERLINK("Melting_Curves/meltCurve_O14497_ARID1A.pdf", "Melting_Curves/meltCurve_O14497_ARID1A.pdf")</f>
        <v>Melting_Curves/meltCurve_O14497_ARID1A.pdf</v>
      </c>
    </row>
    <row r="1216" spans="1:28" x14ac:dyDescent="0.25">
      <c r="A1216" t="s">
        <v>1220</v>
      </c>
      <c r="B1216">
        <v>0.99996721820229495</v>
      </c>
      <c r="C1216">
        <v>0.96606034565701904</v>
      </c>
      <c r="D1216">
        <v>0.91365811685887</v>
      </c>
      <c r="E1216">
        <v>0.89240059307650099</v>
      </c>
      <c r="F1216">
        <v>1.0044973154558501</v>
      </c>
      <c r="G1216">
        <v>0.72492000767478004</v>
      </c>
      <c r="H1216">
        <v>0.433337018869906</v>
      </c>
      <c r="I1216">
        <v>0.35792623446208699</v>
      </c>
      <c r="J1216">
        <v>0.23643334395391399</v>
      </c>
      <c r="K1216">
        <v>0.234760670117975</v>
      </c>
      <c r="L1216">
        <v>1341.95169278306</v>
      </c>
      <c r="M1216">
        <v>22.855331659733299</v>
      </c>
      <c r="N1216">
        <v>60.201054665279102</v>
      </c>
      <c r="O1216">
        <v>58.271089109498597</v>
      </c>
      <c r="P1216">
        <v>-7.6918332557766103E-2</v>
      </c>
      <c r="Q1216">
        <v>0.21558281290759301</v>
      </c>
      <c r="R1216">
        <v>0.97487264460219303</v>
      </c>
      <c r="S1216" t="s">
        <v>7042</v>
      </c>
      <c r="T1216" t="s">
        <v>11650</v>
      </c>
      <c r="U1216" t="s">
        <v>11650</v>
      </c>
      <c r="V1216" t="s">
        <v>11650</v>
      </c>
      <c r="W1216" t="s">
        <v>12839</v>
      </c>
      <c r="X1216">
        <v>2</v>
      </c>
      <c r="Y1216" t="s">
        <v>18590</v>
      </c>
      <c r="Z1216" t="s">
        <v>24278</v>
      </c>
      <c r="AA1216">
        <v>0.71220568658791472</v>
      </c>
      <c r="AB1216" t="str">
        <f>HYPERLINK("Melting_Curves/meltCurve_O14498_ISLR.pdf", "Melting_Curves/meltCurve_O14498_ISLR.pdf")</f>
        <v>Melting_Curves/meltCurve_O14498_ISLR.pdf</v>
      </c>
    </row>
    <row r="1217" spans="1:28" x14ac:dyDescent="0.25">
      <c r="A1217" t="s">
        <v>1221</v>
      </c>
      <c r="B1217">
        <v>0.99996721820229495</v>
      </c>
      <c r="C1217">
        <v>0.82349064867008703</v>
      </c>
      <c r="D1217">
        <v>0.95775546161644798</v>
      </c>
      <c r="E1217">
        <v>1.5531370250463601</v>
      </c>
      <c r="F1217">
        <v>2.2763381372508098</v>
      </c>
      <c r="G1217">
        <v>1.74671560051299</v>
      </c>
      <c r="H1217">
        <v>1.2231504860241</v>
      </c>
      <c r="I1217">
        <v>1.4440448583660599</v>
      </c>
      <c r="J1217">
        <v>1.0854333597074499</v>
      </c>
      <c r="K1217">
        <v>0.787720165354451</v>
      </c>
      <c r="L1217">
        <v>15000</v>
      </c>
      <c r="M1217">
        <v>212.97442068770201</v>
      </c>
      <c r="Q1217">
        <v>0</v>
      </c>
      <c r="R1217">
        <v>-0.40028890002684703</v>
      </c>
      <c r="S1217" t="s">
        <v>7043</v>
      </c>
      <c r="T1217" t="s">
        <v>11650</v>
      </c>
      <c r="U1217" t="s">
        <v>11650</v>
      </c>
      <c r="V1217" t="s">
        <v>11650</v>
      </c>
      <c r="W1217" t="s">
        <v>12840</v>
      </c>
      <c r="X1217">
        <v>1</v>
      </c>
      <c r="Y1217" t="s">
        <v>18591</v>
      </c>
      <c r="Z1217" t="s">
        <v>24279</v>
      </c>
      <c r="AA1217">
        <v>0.99742727510500073</v>
      </c>
      <c r="AB1217" t="str">
        <f>HYPERLINK("Melting_Curves/meltCurve_O14519_2_CDK2AP1.pdf", "Melting_Curves/meltCurve_O14519_2_CDK2AP1.pdf")</f>
        <v>Melting_Curves/meltCurve_O14519_2_CDK2AP1.pdf</v>
      </c>
    </row>
    <row r="1218" spans="1:28" x14ac:dyDescent="0.25">
      <c r="A1218" t="s">
        <v>1222</v>
      </c>
      <c r="B1218">
        <v>0.99996721820229495</v>
      </c>
      <c r="C1218">
        <v>0.94950686169167198</v>
      </c>
      <c r="D1218">
        <v>1.0609181649625099</v>
      </c>
      <c r="E1218">
        <v>1.0518145158549499</v>
      </c>
      <c r="F1218">
        <v>0.99159870971325303</v>
      </c>
      <c r="G1218">
        <v>0.68076517803620695</v>
      </c>
      <c r="H1218">
        <v>0.321180425000826</v>
      </c>
      <c r="I1218">
        <v>0.167135225857275</v>
      </c>
      <c r="J1218">
        <v>0.121283618070664</v>
      </c>
      <c r="K1218">
        <v>0.131786360369954</v>
      </c>
      <c r="L1218">
        <v>1767.9037836702801</v>
      </c>
      <c r="M1218">
        <v>30.341147315345101</v>
      </c>
      <c r="N1218">
        <v>58.7933642929152</v>
      </c>
      <c r="O1218">
        <v>58.016174914143498</v>
      </c>
      <c r="P1218">
        <v>-0.11520869620450699</v>
      </c>
      <c r="Q1218">
        <v>0.118830130225025</v>
      </c>
      <c r="R1218">
        <v>0.99228409778604998</v>
      </c>
      <c r="S1218" t="s">
        <v>7044</v>
      </c>
      <c r="T1218" t="s">
        <v>11650</v>
      </c>
      <c r="U1218" t="s">
        <v>11650</v>
      </c>
      <c r="V1218" t="s">
        <v>11650</v>
      </c>
      <c r="W1218" t="s">
        <v>12841</v>
      </c>
      <c r="X1218">
        <v>3</v>
      </c>
      <c r="Y1218" t="s">
        <v>18592</v>
      </c>
      <c r="Z1218" t="s">
        <v>24280</v>
      </c>
      <c r="AA1218">
        <v>0.66105382482688924</v>
      </c>
      <c r="AB1218" t="str">
        <f>HYPERLINK("Melting_Curves/meltCurve_O14524_2_TMEM194A.pdf", "Melting_Curves/meltCurve_O14524_2_TMEM194A.pdf")</f>
        <v>Melting_Curves/meltCurve_O14524_2_TMEM194A.pdf</v>
      </c>
    </row>
    <row r="1219" spans="1:28" x14ac:dyDescent="0.25">
      <c r="A1219" t="s">
        <v>1223</v>
      </c>
      <c r="B1219">
        <v>0.99996721820229495</v>
      </c>
      <c r="C1219">
        <v>0.93617812253001598</v>
      </c>
      <c r="D1219">
        <v>1.41660099039903</v>
      </c>
      <c r="E1219">
        <v>2.0437004643288099</v>
      </c>
      <c r="F1219">
        <v>2.8122200469698799</v>
      </c>
      <c r="G1219">
        <v>4.3351492825179996</v>
      </c>
      <c r="H1219">
        <v>1.9088937369362999</v>
      </c>
      <c r="I1219">
        <v>0.285126443989971</v>
      </c>
      <c r="J1219">
        <v>5.6640160091658801E-2</v>
      </c>
      <c r="K1219">
        <v>4.8458111450978003E-2</v>
      </c>
      <c r="L1219">
        <v>15000</v>
      </c>
      <c r="M1219">
        <v>235.49683515448601</v>
      </c>
      <c r="N1219">
        <v>63.725143145730001</v>
      </c>
      <c r="O1219">
        <v>63.690533305861301</v>
      </c>
      <c r="P1219">
        <v>-0.87584711218948597</v>
      </c>
      <c r="Q1219">
        <v>5.2502482323871502E-2</v>
      </c>
      <c r="R1219">
        <v>-2.3742322772191101E-3</v>
      </c>
      <c r="S1219" t="s">
        <v>7045</v>
      </c>
      <c r="T1219" t="s">
        <v>11650</v>
      </c>
      <c r="U1219" t="s">
        <v>11650</v>
      </c>
      <c r="V1219" t="s">
        <v>11650</v>
      </c>
      <c r="W1219" t="s">
        <v>12842</v>
      </c>
      <c r="X1219">
        <v>1</v>
      </c>
      <c r="Y1219" t="s">
        <v>18593</v>
      </c>
      <c r="Z1219" t="s">
        <v>24281</v>
      </c>
      <c r="AA1219">
        <v>0.80099087140548686</v>
      </c>
      <c r="AB1219" t="str">
        <f>HYPERLINK("Melting_Curves/meltCurve_O14531_DPYSL4.pdf", "Melting_Curves/meltCurve_O14531_DPYSL4.pdf")</f>
        <v>Melting_Curves/meltCurve_O14531_DPYSL4.pdf</v>
      </c>
    </row>
    <row r="1220" spans="1:28" x14ac:dyDescent="0.25">
      <c r="A1220" t="s">
        <v>1224</v>
      </c>
      <c r="B1220">
        <v>0.99996721820229495</v>
      </c>
      <c r="C1220">
        <v>1.0032604979078099</v>
      </c>
      <c r="D1220">
        <v>0.95330708187228796</v>
      </c>
      <c r="E1220">
        <v>1.0157355054046999</v>
      </c>
      <c r="F1220">
        <v>1.2123466575221999</v>
      </c>
      <c r="G1220">
        <v>1.3865133693670699</v>
      </c>
      <c r="H1220">
        <v>0.938838968391285</v>
      </c>
      <c r="I1220">
        <v>0.81812408362836997</v>
      </c>
      <c r="J1220">
        <v>0.80596618990438895</v>
      </c>
      <c r="K1220">
        <v>0.73532030610745702</v>
      </c>
      <c r="L1220">
        <v>3815.8175898197501</v>
      </c>
      <c r="M1220">
        <v>61.138660226539599</v>
      </c>
      <c r="O1220">
        <v>62.345846646325398</v>
      </c>
      <c r="P1220">
        <v>-5.6330795049601499E-2</v>
      </c>
      <c r="Q1220">
        <v>0.77022788907211504</v>
      </c>
      <c r="R1220">
        <v>0.41117183360839799</v>
      </c>
      <c r="S1220" t="s">
        <v>7046</v>
      </c>
      <c r="T1220" t="s">
        <v>11650</v>
      </c>
      <c r="U1220" t="s">
        <v>11650</v>
      </c>
      <c r="V1220" t="s">
        <v>11650</v>
      </c>
      <c r="W1220" t="s">
        <v>12843</v>
      </c>
      <c r="X1220">
        <v>11</v>
      </c>
      <c r="Y1220" t="s">
        <v>18594</v>
      </c>
      <c r="Z1220" t="s">
        <v>24282</v>
      </c>
      <c r="AA1220">
        <v>0.94229569244788058</v>
      </c>
      <c r="AB1220" t="str">
        <f>HYPERLINK("Melting_Curves/meltCurve_O14545_TRAFD1.pdf", "Melting_Curves/meltCurve_O14545_TRAFD1.pdf")</f>
        <v>Melting_Curves/meltCurve_O14545_TRAFD1.pdf</v>
      </c>
    </row>
    <row r="1221" spans="1:28" x14ac:dyDescent="0.25">
      <c r="A1221" t="s">
        <v>1225</v>
      </c>
      <c r="B1221">
        <v>0.99996721820229495</v>
      </c>
      <c r="C1221">
        <v>0.97119186392358103</v>
      </c>
      <c r="D1221">
        <v>0.84171341804673905</v>
      </c>
      <c r="E1221">
        <v>0.65132977477429299</v>
      </c>
      <c r="F1221">
        <v>0.59818602644855001</v>
      </c>
      <c r="G1221">
        <v>0.51700425984396403</v>
      </c>
      <c r="H1221">
        <v>0.37595766175742301</v>
      </c>
      <c r="I1221">
        <v>0.29821526841312501</v>
      </c>
      <c r="J1221">
        <v>0.37572906411430801</v>
      </c>
      <c r="K1221">
        <v>0.402021613133688</v>
      </c>
      <c r="L1221">
        <v>655.45263290229798</v>
      </c>
      <c r="M1221">
        <v>12.9745939762955</v>
      </c>
      <c r="N1221">
        <v>55.3359573875628</v>
      </c>
      <c r="O1221">
        <v>49.363248273909697</v>
      </c>
      <c r="P1221">
        <v>-4.3479807646665501E-2</v>
      </c>
      <c r="Q1221">
        <v>0.33842322289280202</v>
      </c>
      <c r="R1221">
        <v>0.97239730311087103</v>
      </c>
      <c r="S1221" t="s">
        <v>7047</v>
      </c>
      <c r="T1221" t="s">
        <v>11650</v>
      </c>
      <c r="U1221" t="s">
        <v>11650</v>
      </c>
      <c r="V1221" t="s">
        <v>11650</v>
      </c>
      <c r="W1221" t="s">
        <v>12844</v>
      </c>
      <c r="X1221">
        <v>8</v>
      </c>
      <c r="Y1221" t="s">
        <v>18595</v>
      </c>
      <c r="Z1221" t="s">
        <v>24283</v>
      </c>
      <c r="AA1221">
        <v>0.59007629307777942</v>
      </c>
      <c r="AB1221" t="str">
        <f>HYPERLINK("Melting_Curves/meltCurve_O14558_HSPB6.pdf", "Melting_Curves/meltCurve_O14558_HSPB6.pdf")</f>
        <v>Melting_Curves/meltCurve_O14558_HSPB6.pdf</v>
      </c>
    </row>
    <row r="1222" spans="1:28" x14ac:dyDescent="0.25">
      <c r="A1222" t="s">
        <v>1226</v>
      </c>
      <c r="B1222">
        <v>0.99996721820229495</v>
      </c>
      <c r="C1222">
        <v>1.3076744630956401</v>
      </c>
      <c r="D1222">
        <v>1.29300184815566</v>
      </c>
      <c r="E1222">
        <v>1.2639394907650701</v>
      </c>
      <c r="F1222">
        <v>1.6816584168464299</v>
      </c>
      <c r="G1222">
        <v>1.9080737357539299</v>
      </c>
      <c r="H1222">
        <v>1.2792390697912901</v>
      </c>
      <c r="I1222">
        <v>0.88394227396864</v>
      </c>
      <c r="J1222">
        <v>0.63568960260673202</v>
      </c>
      <c r="K1222">
        <v>0.41389864372649698</v>
      </c>
      <c r="L1222">
        <v>3671.44347896306</v>
      </c>
      <c r="M1222">
        <v>55.2466244858999</v>
      </c>
      <c r="N1222">
        <v>68.249576327902304</v>
      </c>
      <c r="O1222">
        <v>66.368622947191199</v>
      </c>
      <c r="P1222">
        <v>-0.128405581724121</v>
      </c>
      <c r="Q1222">
        <v>0.38297791787093</v>
      </c>
      <c r="R1222">
        <v>0.11291443632862801</v>
      </c>
      <c r="S1222" t="s">
        <v>7048</v>
      </c>
      <c r="T1222" t="s">
        <v>11650</v>
      </c>
      <c r="U1222" t="s">
        <v>11650</v>
      </c>
      <c r="V1222" t="s">
        <v>11650</v>
      </c>
      <c r="W1222" t="s">
        <v>12845</v>
      </c>
      <c r="X1222">
        <v>1</v>
      </c>
      <c r="Y1222" t="s">
        <v>18596</v>
      </c>
      <c r="Z1222" t="s">
        <v>24284</v>
      </c>
      <c r="AA1222">
        <v>0.92688808354252572</v>
      </c>
      <c r="AB1222" t="str">
        <f>HYPERLINK("Melting_Curves/meltCurve_O14561_NDUFAB1.pdf", "Melting_Curves/meltCurve_O14561_NDUFAB1.pdf")</f>
        <v>Melting_Curves/meltCurve_O14561_NDUFAB1.pdf</v>
      </c>
    </row>
    <row r="1223" spans="1:28" x14ac:dyDescent="0.25">
      <c r="A1223" t="s">
        <v>1227</v>
      </c>
      <c r="B1223">
        <v>0.99996721820229495</v>
      </c>
      <c r="C1223">
        <v>1.0699704362881199</v>
      </c>
      <c r="D1223">
        <v>1.0595932685782801</v>
      </c>
      <c r="E1223">
        <v>1.0120034471877</v>
      </c>
      <c r="F1223">
        <v>0.788703532677553</v>
      </c>
      <c r="G1223">
        <v>0.37007625515669101</v>
      </c>
      <c r="H1223">
        <v>0.210404526212707</v>
      </c>
      <c r="I1223">
        <v>0.20904629052755999</v>
      </c>
      <c r="J1223">
        <v>8.7556156887825795E-2</v>
      </c>
      <c r="K1223">
        <v>9.7754854303432906E-2</v>
      </c>
      <c r="L1223">
        <v>1604.8143589266499</v>
      </c>
      <c r="M1223">
        <v>29.051479992317901</v>
      </c>
      <c r="N1223">
        <v>55.815671131943802</v>
      </c>
      <c r="O1223">
        <v>54.980608089860802</v>
      </c>
      <c r="P1223">
        <v>-0.115008178242705</v>
      </c>
      <c r="Q1223">
        <v>0.129383732429316</v>
      </c>
      <c r="R1223">
        <v>0.98803268077615303</v>
      </c>
      <c r="S1223" t="s">
        <v>7049</v>
      </c>
      <c r="T1223" t="s">
        <v>11650</v>
      </c>
      <c r="U1223" t="s">
        <v>11650</v>
      </c>
      <c r="V1223" t="s">
        <v>11650</v>
      </c>
      <c r="W1223" t="s">
        <v>12846</v>
      </c>
      <c r="X1223">
        <v>13</v>
      </c>
      <c r="Y1223" t="s">
        <v>18597</v>
      </c>
      <c r="Z1223" t="s">
        <v>24285</v>
      </c>
      <c r="AA1223">
        <v>0.57780998631270342</v>
      </c>
      <c r="AB1223" t="str">
        <f>HYPERLINK("Melting_Curves/meltCurve_O14579_COPE.pdf", "Melting_Curves/meltCurve_O14579_COPE.pdf")</f>
        <v>Melting_Curves/meltCurve_O14579_COPE.pdf</v>
      </c>
    </row>
    <row r="1224" spans="1:28" x14ac:dyDescent="0.25">
      <c r="A1224" t="s">
        <v>1228</v>
      </c>
      <c r="B1224">
        <v>0.99996721820229495</v>
      </c>
      <c r="C1224">
        <v>0.98003135577219902</v>
      </c>
      <c r="D1224">
        <v>0.78573579541428895</v>
      </c>
      <c r="E1224">
        <v>0.60688934255336502</v>
      </c>
      <c r="F1224">
        <v>0.64250229474432796</v>
      </c>
      <c r="G1224">
        <v>0.5483529507689</v>
      </c>
      <c r="H1224">
        <v>0.37540792496886299</v>
      </c>
      <c r="I1224">
        <v>0.35881796120515802</v>
      </c>
      <c r="J1224">
        <v>0.51740198125777603</v>
      </c>
      <c r="K1224">
        <v>0.42554972650911199</v>
      </c>
      <c r="L1224">
        <v>665.07529089924003</v>
      </c>
      <c r="M1224">
        <v>13.6041733828676</v>
      </c>
      <c r="N1224">
        <v>56.338197673531099</v>
      </c>
      <c r="O1224">
        <v>47.867552995844001</v>
      </c>
      <c r="P1224">
        <v>-4.1409197844971601E-2</v>
      </c>
      <c r="Q1224">
        <v>0.41727799814349098</v>
      </c>
      <c r="R1224">
        <v>0.921737488101671</v>
      </c>
      <c r="S1224" t="s">
        <v>7050</v>
      </c>
      <c r="T1224" t="s">
        <v>11650</v>
      </c>
      <c r="U1224" t="s">
        <v>11650</v>
      </c>
      <c r="V1224" t="s">
        <v>11650</v>
      </c>
      <c r="W1224" t="s">
        <v>12847</v>
      </c>
      <c r="X1224">
        <v>4</v>
      </c>
      <c r="Y1224" t="s">
        <v>18598</v>
      </c>
      <c r="Z1224" t="s">
        <v>24286</v>
      </c>
      <c r="AA1224">
        <v>0.60721876829597177</v>
      </c>
      <c r="AB1224" t="str">
        <f>HYPERLINK("Melting_Curves/meltCurve_O14613_CDC42EP2.pdf", "Melting_Curves/meltCurve_O14613_CDC42EP2.pdf")</f>
        <v>Melting_Curves/meltCurve_O14613_CDC42EP2.pdf</v>
      </c>
    </row>
    <row r="1225" spans="1:28" x14ac:dyDescent="0.25">
      <c r="A1225" t="s">
        <v>1229</v>
      </c>
      <c r="B1225">
        <v>0.99996721820229495</v>
      </c>
      <c r="C1225">
        <v>0.98626081917962904</v>
      </c>
      <c r="D1225">
        <v>1.1682612340858201</v>
      </c>
      <c r="E1225">
        <v>1.4918766462841699</v>
      </c>
      <c r="F1225">
        <v>0.60433641076665501</v>
      </c>
      <c r="G1225">
        <v>0.49840160534466599</v>
      </c>
      <c r="H1225">
        <v>0.25962292904128698</v>
      </c>
      <c r="I1225">
        <v>0.17684916395724001</v>
      </c>
      <c r="J1225">
        <v>0.14180338142236901</v>
      </c>
      <c r="K1225">
        <v>0.11561602351655199</v>
      </c>
      <c r="L1225">
        <v>1570.7891635941101</v>
      </c>
      <c r="M1225">
        <v>28.221792565685298</v>
      </c>
      <c r="N1225">
        <v>56.383899588543798</v>
      </c>
      <c r="O1225">
        <v>55.381524884535999</v>
      </c>
      <c r="P1225">
        <v>-0.10800890648330801</v>
      </c>
      <c r="Q1225">
        <v>0.15219448270682601</v>
      </c>
      <c r="R1225">
        <v>0.83082094910196902</v>
      </c>
      <c r="S1225" t="s">
        <v>7051</v>
      </c>
      <c r="T1225" t="s">
        <v>11650</v>
      </c>
      <c r="U1225" t="s">
        <v>11650</v>
      </c>
      <c r="V1225" t="s">
        <v>11650</v>
      </c>
      <c r="W1225" t="s">
        <v>12848</v>
      </c>
      <c r="X1225">
        <v>8</v>
      </c>
      <c r="Y1225" t="s">
        <v>18599</v>
      </c>
      <c r="Z1225" t="s">
        <v>24287</v>
      </c>
      <c r="AA1225">
        <v>0.60102856083931389</v>
      </c>
      <c r="AB1225" t="str">
        <f>HYPERLINK("Melting_Curves/meltCurve_O14617_4_AP3D1.pdf", "Melting_Curves/meltCurve_O14617_4_AP3D1.pdf")</f>
        <v>Melting_Curves/meltCurve_O14617_4_AP3D1.pdf</v>
      </c>
    </row>
    <row r="1226" spans="1:28" x14ac:dyDescent="0.25">
      <c r="A1226" t="s">
        <v>1230</v>
      </c>
      <c r="B1226">
        <v>0.99996721820229495</v>
      </c>
      <c r="C1226">
        <v>0.92892357966204697</v>
      </c>
      <c r="D1226">
        <v>0.941712194089527</v>
      </c>
      <c r="E1226">
        <v>0.94949306163242497</v>
      </c>
      <c r="F1226">
        <v>0.75859978657489002</v>
      </c>
      <c r="G1226">
        <v>0.58682322217397698</v>
      </c>
      <c r="H1226">
        <v>0.30181217860401499</v>
      </c>
      <c r="I1226">
        <v>0.145114251568074</v>
      </c>
      <c r="J1226">
        <v>9.7740829565684903E-2</v>
      </c>
      <c r="K1226">
        <v>7.7731246642180299E-2</v>
      </c>
      <c r="L1226">
        <v>898.91818602066598</v>
      </c>
      <c r="M1226">
        <v>15.575868786866801</v>
      </c>
      <c r="N1226">
        <v>57.712234343463003</v>
      </c>
      <c r="O1226">
        <v>56.786025924788397</v>
      </c>
      <c r="P1226">
        <v>-6.8578579606659903E-2</v>
      </c>
      <c r="Q1226">
        <v>0</v>
      </c>
      <c r="R1226">
        <v>0.99139552951640997</v>
      </c>
      <c r="S1226" t="s">
        <v>7052</v>
      </c>
      <c r="T1226" t="s">
        <v>11650</v>
      </c>
      <c r="U1226" t="s">
        <v>11650</v>
      </c>
      <c r="V1226" t="s">
        <v>11650</v>
      </c>
      <c r="W1226" t="s">
        <v>12849</v>
      </c>
      <c r="X1226">
        <v>9</v>
      </c>
      <c r="Y1226" t="s">
        <v>18600</v>
      </c>
      <c r="Z1226" t="s">
        <v>24288</v>
      </c>
      <c r="AA1226">
        <v>0.60438757743669969</v>
      </c>
      <c r="AB1226" t="str">
        <f>HYPERLINK("Melting_Curves/meltCurve_O14656_TOR1A.pdf", "Melting_Curves/meltCurve_O14656_TOR1A.pdf")</f>
        <v>Melting_Curves/meltCurve_O14656_TOR1A.pdf</v>
      </c>
    </row>
    <row r="1227" spans="1:28" x14ac:dyDescent="0.25">
      <c r="A1227" t="s">
        <v>1231</v>
      </c>
      <c r="B1227">
        <v>0.99996721820229495</v>
      </c>
      <c r="C1227">
        <v>1.0783917132629199</v>
      </c>
      <c r="D1227">
        <v>1.0428238157911101</v>
      </c>
      <c r="E1227">
        <v>0.84730221749007195</v>
      </c>
      <c r="F1227">
        <v>0.490338234777283</v>
      </c>
      <c r="G1227">
        <v>0.36927333195006501</v>
      </c>
      <c r="H1227">
        <v>0.21115824527864199</v>
      </c>
      <c r="I1227">
        <v>0.11367521046375199</v>
      </c>
      <c r="J1227">
        <v>7.0795234176230001E-2</v>
      </c>
      <c r="K1227">
        <v>6.3468288045490595E-2</v>
      </c>
      <c r="L1227">
        <v>994.47606135779597</v>
      </c>
      <c r="M1227">
        <v>18.534703937476401</v>
      </c>
      <c r="N1227">
        <v>54.131149082942798</v>
      </c>
      <c r="O1227">
        <v>53.041919516671697</v>
      </c>
      <c r="P1227">
        <v>-8.0788683122346994E-2</v>
      </c>
      <c r="Q1227">
        <v>7.5248323672488696E-2</v>
      </c>
      <c r="R1227">
        <v>0.97952813597286803</v>
      </c>
      <c r="S1227" t="s">
        <v>7053</v>
      </c>
      <c r="T1227" t="s">
        <v>11650</v>
      </c>
      <c r="U1227" t="s">
        <v>11650</v>
      </c>
      <c r="V1227" t="s">
        <v>11650</v>
      </c>
      <c r="W1227" t="s">
        <v>12850</v>
      </c>
      <c r="X1227">
        <v>9</v>
      </c>
      <c r="Y1227" t="s">
        <v>18601</v>
      </c>
      <c r="Z1227" t="s">
        <v>24289</v>
      </c>
      <c r="AA1227">
        <v>0.51042837465727475</v>
      </c>
      <c r="AB1227" t="str">
        <f>HYPERLINK("Melting_Curves/meltCurve_O14657_TOR1B.pdf", "Melting_Curves/meltCurve_O14657_TOR1B.pdf")</f>
        <v>Melting_Curves/meltCurve_O14657_TOR1B.pdf</v>
      </c>
    </row>
    <row r="1228" spans="1:28" x14ac:dyDescent="0.25">
      <c r="A1228" t="s">
        <v>1232</v>
      </c>
      <c r="B1228">
        <v>0.99996721820229495</v>
      </c>
      <c r="C1228">
        <v>0.964453845872145</v>
      </c>
      <c r="D1228">
        <v>1.1206526141895199</v>
      </c>
      <c r="E1228">
        <v>0.92353511249258202</v>
      </c>
      <c r="F1228">
        <v>0.73264581112309701</v>
      </c>
      <c r="G1228">
        <v>0.59121380888451502</v>
      </c>
      <c r="H1228">
        <v>0.39374591652907398</v>
      </c>
      <c r="I1228">
        <v>0.183646952606282</v>
      </c>
      <c r="J1228">
        <v>0.14439031167839</v>
      </c>
      <c r="K1228">
        <v>0.10471500813415199</v>
      </c>
      <c r="L1228">
        <v>829.35698759810703</v>
      </c>
      <c r="M1228">
        <v>14.2701679024784</v>
      </c>
      <c r="N1228">
        <v>58.255789606170701</v>
      </c>
      <c r="O1228">
        <v>57.012638937649697</v>
      </c>
      <c r="P1228">
        <v>-6.15454697990344E-2</v>
      </c>
      <c r="Q1228">
        <v>1.6566662284977701E-2</v>
      </c>
      <c r="R1228">
        <v>0.97757346915697896</v>
      </c>
      <c r="S1228" t="s">
        <v>7054</v>
      </c>
      <c r="T1228" t="s">
        <v>11650</v>
      </c>
      <c r="U1228" t="s">
        <v>11650</v>
      </c>
      <c r="V1228" t="s">
        <v>11650</v>
      </c>
      <c r="W1228" t="s">
        <v>12851</v>
      </c>
      <c r="X1228">
        <v>1</v>
      </c>
      <c r="Y1228" t="s">
        <v>18602</v>
      </c>
      <c r="Z1228" t="s">
        <v>24290</v>
      </c>
      <c r="AA1228">
        <v>0.62341766023623191</v>
      </c>
      <c r="AB1228" t="str">
        <f>HYPERLINK("Melting_Curves/meltCurve_O14662_2_STX16.pdf", "Melting_Curves/meltCurve_O14662_2_STX16.pdf")</f>
        <v>Melting_Curves/meltCurve_O14662_2_STX16.pdf</v>
      </c>
    </row>
    <row r="1229" spans="1:28" x14ac:dyDescent="0.25">
      <c r="A1229" t="s">
        <v>1233</v>
      </c>
      <c r="B1229">
        <v>0.99996721820229495</v>
      </c>
      <c r="C1229">
        <v>0.90012337883968696</v>
      </c>
      <c r="D1229">
        <v>1.04366714115343</v>
      </c>
      <c r="E1229">
        <v>1.17271595179678</v>
      </c>
      <c r="F1229">
        <v>1.26878434724528</v>
      </c>
      <c r="G1229">
        <v>1.20481114667133</v>
      </c>
      <c r="H1229">
        <v>0.67296493335951801</v>
      </c>
      <c r="I1229">
        <v>0.29986864482601799</v>
      </c>
      <c r="J1229">
        <v>0.201438407631084</v>
      </c>
      <c r="K1229">
        <v>0.181033851689992</v>
      </c>
      <c r="L1229">
        <v>3831.2518363371501</v>
      </c>
      <c r="M1229">
        <v>62.353837724928603</v>
      </c>
      <c r="N1229">
        <v>61.960908661017903</v>
      </c>
      <c r="O1229">
        <v>61.380630451414397</v>
      </c>
      <c r="P1229">
        <v>-0.20244014297083601</v>
      </c>
      <c r="Q1229">
        <v>0.20287849173380301</v>
      </c>
      <c r="R1229">
        <v>0.90203234052071402</v>
      </c>
      <c r="S1229" t="s">
        <v>7055</v>
      </c>
      <c r="T1229" t="s">
        <v>11650</v>
      </c>
      <c r="U1229" t="s">
        <v>11650</v>
      </c>
      <c r="V1229" t="s">
        <v>11650</v>
      </c>
      <c r="W1229" t="s">
        <v>12852</v>
      </c>
      <c r="X1229">
        <v>24</v>
      </c>
      <c r="Y1229" t="s">
        <v>18603</v>
      </c>
      <c r="Z1229" t="s">
        <v>24291</v>
      </c>
      <c r="AA1229">
        <v>0.77402265457117836</v>
      </c>
      <c r="AB1229" t="str">
        <f>HYPERLINK("Melting_Curves/meltCurve_O14672_ADAM10.pdf", "Melting_Curves/meltCurve_O14672_ADAM10.pdf")</f>
        <v>Melting_Curves/meltCurve_O14672_ADAM10.pdf</v>
      </c>
    </row>
    <row r="1230" spans="1:28" x14ac:dyDescent="0.25">
      <c r="A1230" t="s">
        <v>1234</v>
      </c>
      <c r="B1230">
        <v>0.99996721820229495</v>
      </c>
      <c r="C1230">
        <v>0.93470647310322397</v>
      </c>
      <c r="D1230">
        <v>0.79050195570304704</v>
      </c>
      <c r="E1230">
        <v>0.76699415323411302</v>
      </c>
      <c r="F1230">
        <v>0.87180831181847496</v>
      </c>
      <c r="G1230">
        <v>1.0559299587184101</v>
      </c>
      <c r="H1230">
        <v>0.77454916780157101</v>
      </c>
      <c r="I1230">
        <v>0.76965619321909595</v>
      </c>
      <c r="J1230">
        <v>0.59527420832816402</v>
      </c>
      <c r="K1230">
        <v>0.52864695142033702</v>
      </c>
      <c r="L1230">
        <v>329.61771570520398</v>
      </c>
      <c r="M1230">
        <v>4.2788193555132299</v>
      </c>
      <c r="O1230">
        <v>64.550449531199106</v>
      </c>
      <c r="P1230">
        <v>-1.6742800188856599E-2</v>
      </c>
      <c r="Q1230">
        <v>0</v>
      </c>
      <c r="R1230">
        <v>0.52469421212858702</v>
      </c>
      <c r="S1230" t="s">
        <v>7056</v>
      </c>
      <c r="T1230" t="s">
        <v>11650</v>
      </c>
      <c r="U1230" t="s">
        <v>11650</v>
      </c>
      <c r="V1230" t="s">
        <v>11650</v>
      </c>
      <c r="W1230" t="s">
        <v>12853</v>
      </c>
      <c r="X1230">
        <v>2</v>
      </c>
      <c r="Y1230" t="s">
        <v>18604</v>
      </c>
      <c r="Z1230" t="s">
        <v>24292</v>
      </c>
      <c r="AA1230">
        <v>0.82836258368735061</v>
      </c>
      <c r="AB1230" t="str">
        <f>HYPERLINK("Melting_Curves/meltCurve_O14686_MLL2.pdf", "Melting_Curves/meltCurve_O14686_MLL2.pdf")</f>
        <v>Melting_Curves/meltCurve_O14686_MLL2.pdf</v>
      </c>
    </row>
    <row r="1231" spans="1:28" x14ac:dyDescent="0.25">
      <c r="A1231" t="s">
        <v>1235</v>
      </c>
      <c r="B1231">
        <v>0.99996721820229495</v>
      </c>
      <c r="C1231">
        <v>0.97031879167383195</v>
      </c>
      <c r="D1231">
        <v>0.82750355140864496</v>
      </c>
      <c r="E1231">
        <v>0.70030982293928401</v>
      </c>
      <c r="F1231">
        <v>0.81636648698858305</v>
      </c>
      <c r="G1231">
        <v>0.454719464521744</v>
      </c>
      <c r="H1231">
        <v>0.19244791809078801</v>
      </c>
      <c r="I1231">
        <v>7.2851193757151794E-2</v>
      </c>
      <c r="J1231">
        <v>5.7794717888662299E-2</v>
      </c>
      <c r="K1231">
        <v>4.95069711512428E-2</v>
      </c>
      <c r="L1231">
        <v>783.84950283424303</v>
      </c>
      <c r="M1231">
        <v>14.0757735872032</v>
      </c>
      <c r="N1231">
        <v>55.6878453503234</v>
      </c>
      <c r="O1231">
        <v>54.599983961800902</v>
      </c>
      <c r="P1231">
        <v>-6.4457882411577905E-2</v>
      </c>
      <c r="Q1231">
        <v>0</v>
      </c>
      <c r="R1231">
        <v>0.95596299904987803</v>
      </c>
      <c r="S1231" t="s">
        <v>7057</v>
      </c>
      <c r="T1231" t="s">
        <v>11650</v>
      </c>
      <c r="U1231" t="s">
        <v>11650</v>
      </c>
      <c r="V1231" t="s">
        <v>11650</v>
      </c>
      <c r="W1231" t="s">
        <v>12854</v>
      </c>
      <c r="X1231">
        <v>1</v>
      </c>
      <c r="Y1231" t="s">
        <v>18605</v>
      </c>
      <c r="Z1231" t="s">
        <v>24293</v>
      </c>
      <c r="AA1231">
        <v>0.54221652627763983</v>
      </c>
      <c r="AB1231" t="str">
        <f>HYPERLINK("Melting_Curves/meltCurve_O14713_2_ITGB1BP1.pdf", "Melting_Curves/meltCurve_O14713_2_ITGB1BP1.pdf")</f>
        <v>Melting_Curves/meltCurve_O14713_2_ITGB1BP1.pdf</v>
      </c>
    </row>
    <row r="1232" spans="1:28" x14ac:dyDescent="0.25">
      <c r="A1232" t="s">
        <v>1236</v>
      </c>
      <c r="B1232">
        <v>0.99996721820229495</v>
      </c>
      <c r="C1232">
        <v>1.00337666862563</v>
      </c>
      <c r="D1232">
        <v>1.0622939523919701</v>
      </c>
      <c r="E1232">
        <v>1.0432045329303199</v>
      </c>
      <c r="F1232">
        <v>1.21879908368559</v>
      </c>
      <c r="G1232">
        <v>1.0610121558082499</v>
      </c>
      <c r="H1232">
        <v>0.50243506559649198</v>
      </c>
      <c r="I1232">
        <v>0.27576764298057899</v>
      </c>
      <c r="J1232">
        <v>0.127386164751045</v>
      </c>
      <c r="K1232">
        <v>0.108371819359991</v>
      </c>
      <c r="L1232">
        <v>3138.24318933528</v>
      </c>
      <c r="M1232">
        <v>51.627548626191597</v>
      </c>
      <c r="N1232">
        <v>61.181480130235499</v>
      </c>
      <c r="O1232">
        <v>60.695228667491797</v>
      </c>
      <c r="P1232">
        <v>-0.18249485568059801</v>
      </c>
      <c r="Q1232">
        <v>0.14181036024820601</v>
      </c>
      <c r="R1232">
        <v>0.95932962443329495</v>
      </c>
      <c r="S1232" t="s">
        <v>7058</v>
      </c>
      <c r="T1232" t="s">
        <v>11650</v>
      </c>
      <c r="U1232" t="s">
        <v>11650</v>
      </c>
      <c r="V1232" t="s">
        <v>11650</v>
      </c>
      <c r="W1232" t="s">
        <v>12855</v>
      </c>
      <c r="X1232">
        <v>5</v>
      </c>
      <c r="Y1232" t="s">
        <v>18606</v>
      </c>
      <c r="Z1232" t="s">
        <v>24294</v>
      </c>
      <c r="AA1232">
        <v>0.73853264487335191</v>
      </c>
      <c r="AB1232" t="str">
        <f>HYPERLINK("Melting_Curves/meltCurve_O14734_ACOT8.pdf", "Melting_Curves/meltCurve_O14734_ACOT8.pdf")</f>
        <v>Melting_Curves/meltCurve_O14734_ACOT8.pdf</v>
      </c>
    </row>
    <row r="1233" spans="1:28" x14ac:dyDescent="0.25">
      <c r="A1233" t="s">
        <v>1237</v>
      </c>
      <c r="B1233">
        <v>0.99996721820229495</v>
      </c>
      <c r="C1233">
        <v>0.92299622894702305</v>
      </c>
      <c r="D1233">
        <v>0.81694579068041095</v>
      </c>
      <c r="E1233">
        <v>0.90479544047401095</v>
      </c>
      <c r="F1233">
        <v>1.23796279525956</v>
      </c>
      <c r="G1233">
        <v>1.3863722777649099</v>
      </c>
      <c r="H1233">
        <v>1.23463142683316</v>
      </c>
      <c r="I1233">
        <v>1.59882787570646</v>
      </c>
      <c r="J1233">
        <v>1.5103755491936699</v>
      </c>
      <c r="K1233">
        <v>0.914303786645003</v>
      </c>
      <c r="L1233">
        <v>13199.018549750899</v>
      </c>
      <c r="M1233">
        <v>250</v>
      </c>
      <c r="O1233">
        <v>52.792695646000297</v>
      </c>
      <c r="P1233">
        <v>0.38937942275946602</v>
      </c>
      <c r="Q1233">
        <v>1.3289022290355501</v>
      </c>
      <c r="R1233">
        <v>0.51843400245096805</v>
      </c>
      <c r="S1233" t="s">
        <v>7059</v>
      </c>
      <c r="T1233" t="s">
        <v>11650</v>
      </c>
      <c r="U1233" t="s">
        <v>11650</v>
      </c>
      <c r="V1233" t="s">
        <v>11650</v>
      </c>
      <c r="W1233" t="s">
        <v>12856</v>
      </c>
      <c r="X1233">
        <v>16</v>
      </c>
      <c r="Y1233" t="s">
        <v>18607</v>
      </c>
      <c r="Z1233" t="s">
        <v>24295</v>
      </c>
      <c r="AA1233">
        <v>1.1885831766105011</v>
      </c>
      <c r="AB1233" t="str">
        <f>HYPERLINK("Melting_Curves/meltCurve_O14737_PDCD5.pdf", "Melting_Curves/meltCurve_O14737_PDCD5.pdf")</f>
        <v>Melting_Curves/meltCurve_O14737_PDCD5.pdf</v>
      </c>
    </row>
    <row r="1234" spans="1:28" x14ac:dyDescent="0.25">
      <c r="A1234" t="s">
        <v>1238</v>
      </c>
      <c r="B1234">
        <v>0.99996721820229495</v>
      </c>
      <c r="C1234">
        <v>1.0676676824279001</v>
      </c>
      <c r="D1234">
        <v>1.2525634020048799</v>
      </c>
      <c r="E1234">
        <v>2.17839478498234</v>
      </c>
      <c r="F1234">
        <v>3.5146617497063199</v>
      </c>
      <c r="G1234">
        <v>1.4425591190032001</v>
      </c>
      <c r="H1234">
        <v>0.564199996338971</v>
      </c>
      <c r="I1234">
        <v>0.36916950910692398</v>
      </c>
      <c r="J1234">
        <v>0.22536993708945199</v>
      </c>
      <c r="K1234">
        <v>0.160390646212341</v>
      </c>
      <c r="L1234">
        <v>6184.0924168234797</v>
      </c>
      <c r="M1234">
        <v>101.675358964331</v>
      </c>
      <c r="N1234">
        <v>61.2369899297193</v>
      </c>
      <c r="O1234">
        <v>60.798439173097101</v>
      </c>
      <c r="P1234">
        <v>-0.31398317166188999</v>
      </c>
      <c r="Q1234">
        <v>0.24899484147834799</v>
      </c>
      <c r="R1234">
        <v>0.162791712240384</v>
      </c>
      <c r="S1234" t="s">
        <v>7060</v>
      </c>
      <c r="T1234" t="s">
        <v>11650</v>
      </c>
      <c r="U1234" t="s">
        <v>11650</v>
      </c>
      <c r="V1234" t="s">
        <v>11650</v>
      </c>
      <c r="W1234" t="s">
        <v>12857</v>
      </c>
      <c r="X1234">
        <v>5</v>
      </c>
      <c r="Y1234" t="s">
        <v>18608</v>
      </c>
      <c r="Z1234" t="s">
        <v>24296</v>
      </c>
      <c r="AA1234">
        <v>0.77072610164302768</v>
      </c>
      <c r="AB1234" t="str">
        <f>HYPERLINK("Melting_Curves/meltCurve_O14744_PRMT5.pdf", "Melting_Curves/meltCurve_O14744_PRMT5.pdf")</f>
        <v>Melting_Curves/meltCurve_O14744_PRMT5.pdf</v>
      </c>
    </row>
    <row r="1235" spans="1:28" x14ac:dyDescent="0.25">
      <c r="A1235" t="s">
        <v>1239</v>
      </c>
      <c r="B1235">
        <v>0.99996721820229495</v>
      </c>
      <c r="C1235">
        <v>1.0400891874748099</v>
      </c>
      <c r="D1235">
        <v>1.0145229060490699</v>
      </c>
      <c r="E1235">
        <v>0.98220028561366002</v>
      </c>
      <c r="F1235">
        <v>1.22777312972623</v>
      </c>
      <c r="G1235">
        <v>1.2232538938442099</v>
      </c>
      <c r="H1235">
        <v>0.79796598693885001</v>
      </c>
      <c r="I1235">
        <v>0.72434730825802596</v>
      </c>
      <c r="J1235">
        <v>0.588802305196923</v>
      </c>
      <c r="K1235">
        <v>0.44885106326741497</v>
      </c>
      <c r="L1235">
        <v>1938.5731726935601</v>
      </c>
      <c r="M1235">
        <v>30.3843145903815</v>
      </c>
      <c r="N1235">
        <v>68.749025980239907</v>
      </c>
      <c r="O1235">
        <v>63.527323762670299</v>
      </c>
      <c r="P1235">
        <v>-6.6500927243974398E-2</v>
      </c>
      <c r="Q1235">
        <v>0.44384469944657601</v>
      </c>
      <c r="R1235">
        <v>0.79741910547941997</v>
      </c>
      <c r="S1235" t="s">
        <v>7061</v>
      </c>
      <c r="T1235" t="s">
        <v>11650</v>
      </c>
      <c r="U1235" t="s">
        <v>11650</v>
      </c>
      <c r="V1235" t="s">
        <v>11650</v>
      </c>
      <c r="W1235" t="s">
        <v>12858</v>
      </c>
      <c r="X1235">
        <v>25</v>
      </c>
      <c r="Y1235" t="s">
        <v>18609</v>
      </c>
      <c r="Z1235" t="s">
        <v>24297</v>
      </c>
      <c r="AA1235">
        <v>0.88604320344120102</v>
      </c>
      <c r="AB1235" t="str">
        <f>HYPERLINK("Melting_Curves/meltCurve_O14745_SLC9A3R1.pdf", "Melting_Curves/meltCurve_O14745_SLC9A3R1.pdf")</f>
        <v>Melting_Curves/meltCurve_O14745_SLC9A3R1.pdf</v>
      </c>
    </row>
    <row r="1236" spans="1:28" x14ac:dyDescent="0.25">
      <c r="A1236" t="s">
        <v>1240</v>
      </c>
      <c r="B1236">
        <v>0.99996721820229495</v>
      </c>
      <c r="C1236">
        <v>0.84036970591759896</v>
      </c>
      <c r="D1236">
        <v>1.2005870980398601</v>
      </c>
      <c r="E1236">
        <v>1.6411239237160899</v>
      </c>
      <c r="F1236">
        <v>2.0983583629997198</v>
      </c>
      <c r="G1236">
        <v>1.9912216518086201</v>
      </c>
      <c r="H1236">
        <v>0.45168532554329799</v>
      </c>
      <c r="I1236">
        <v>0.16585535269923801</v>
      </c>
      <c r="J1236">
        <v>9.3230564372733499E-2</v>
      </c>
      <c r="K1236">
        <v>8.3104402117137002E-2</v>
      </c>
      <c r="L1236">
        <v>11343.7336764429</v>
      </c>
      <c r="M1236">
        <v>186.44747851936299</v>
      </c>
      <c r="N1236">
        <v>60.926024159701299</v>
      </c>
      <c r="O1236">
        <v>60.834443828803003</v>
      </c>
      <c r="P1236">
        <v>-0.67884135031563797</v>
      </c>
      <c r="Q1236">
        <v>0.114025330821035</v>
      </c>
      <c r="R1236">
        <v>0.49686063624370203</v>
      </c>
      <c r="S1236" t="s">
        <v>7062</v>
      </c>
      <c r="T1236" t="s">
        <v>11650</v>
      </c>
      <c r="U1236" t="s">
        <v>11650</v>
      </c>
      <c r="V1236" t="s">
        <v>11650</v>
      </c>
      <c r="W1236" t="s">
        <v>12859</v>
      </c>
      <c r="X1236">
        <v>1</v>
      </c>
      <c r="Y1236" t="s">
        <v>18610</v>
      </c>
      <c r="Z1236" t="s">
        <v>24298</v>
      </c>
      <c r="AA1236">
        <v>0.7296951357684397</v>
      </c>
      <c r="AB1236" t="str">
        <f>HYPERLINK("Melting_Curves/meltCurve_O14756_HSD17B6.pdf", "Melting_Curves/meltCurve_O14756_HSD17B6.pdf")</f>
        <v>Melting_Curves/meltCurve_O14756_HSD17B6.pdf</v>
      </c>
    </row>
    <row r="1237" spans="1:28" x14ac:dyDescent="0.25">
      <c r="A1237" t="s">
        <v>1241</v>
      </c>
      <c r="B1237">
        <v>0.99996721820229495</v>
      </c>
      <c r="C1237">
        <v>0.99445361076053995</v>
      </c>
      <c r="D1237">
        <v>1.0528377225891301</v>
      </c>
      <c r="E1237">
        <v>1.0633878783078901</v>
      </c>
      <c r="F1237">
        <v>1.21285632420456</v>
      </c>
      <c r="G1237">
        <v>1.22681542748835</v>
      </c>
      <c r="H1237">
        <v>0.82770256075687598</v>
      </c>
      <c r="I1237">
        <v>0.54834775953790804</v>
      </c>
      <c r="J1237">
        <v>0.38372046674024302</v>
      </c>
      <c r="K1237">
        <v>0.31625680690202301</v>
      </c>
      <c r="L1237">
        <v>2801.8089458327299</v>
      </c>
      <c r="M1237">
        <v>44.575729648790201</v>
      </c>
      <c r="N1237">
        <v>64.394859955807206</v>
      </c>
      <c r="O1237">
        <v>62.728917796907297</v>
      </c>
      <c r="P1237">
        <v>-0.119419800917008</v>
      </c>
      <c r="Q1237">
        <v>0.32778976685337702</v>
      </c>
      <c r="R1237">
        <v>0.89081242475406397</v>
      </c>
      <c r="S1237" t="s">
        <v>7063</v>
      </c>
      <c r="T1237" t="s">
        <v>11650</v>
      </c>
      <c r="U1237" t="s">
        <v>11650</v>
      </c>
      <c r="V1237" t="s">
        <v>11650</v>
      </c>
      <c r="W1237" t="s">
        <v>12860</v>
      </c>
      <c r="X1237">
        <v>10</v>
      </c>
      <c r="Y1237" t="s">
        <v>18611</v>
      </c>
      <c r="Z1237" t="s">
        <v>24299</v>
      </c>
      <c r="AA1237">
        <v>0.84181668100455309</v>
      </c>
      <c r="AB1237" t="str">
        <f>HYPERLINK("Melting_Curves/meltCurve_O14763_2_TNFRSF10B.pdf", "Melting_Curves/meltCurve_O14763_2_TNFRSF10B.pdf")</f>
        <v>Melting_Curves/meltCurve_O14763_2_TNFRSF10B.pdf</v>
      </c>
    </row>
    <row r="1238" spans="1:28" x14ac:dyDescent="0.25">
      <c r="A1238" t="s">
        <v>1242</v>
      </c>
      <c r="B1238">
        <v>0.99996721820229495</v>
      </c>
      <c r="C1238">
        <v>1.08783589843307</v>
      </c>
      <c r="D1238">
        <v>1.1293176979316799</v>
      </c>
      <c r="E1238">
        <v>0.99821153088972903</v>
      </c>
      <c r="F1238">
        <v>0.79345875110532604</v>
      </c>
      <c r="G1238">
        <v>0.39335774320148997</v>
      </c>
      <c r="H1238">
        <v>0.19240069059011999</v>
      </c>
      <c r="I1238">
        <v>8.88074437207204E-2</v>
      </c>
      <c r="J1238">
        <v>6.6494421976947299E-2</v>
      </c>
      <c r="K1238">
        <v>5.04301791458392E-2</v>
      </c>
      <c r="L1238">
        <v>1453.66499083398</v>
      </c>
      <c r="M1238">
        <v>26.051014562400901</v>
      </c>
      <c r="N1238">
        <v>56.082465025058703</v>
      </c>
      <c r="O1238">
        <v>55.475012654831602</v>
      </c>
      <c r="P1238">
        <v>-0.11019959230403201</v>
      </c>
      <c r="Q1238">
        <v>6.1341168548344802E-2</v>
      </c>
      <c r="R1238">
        <v>0.98469686538001899</v>
      </c>
      <c r="S1238" t="s">
        <v>7064</v>
      </c>
      <c r="T1238" t="s">
        <v>11650</v>
      </c>
      <c r="U1238" t="s">
        <v>11650</v>
      </c>
      <c r="V1238" t="s">
        <v>11650</v>
      </c>
      <c r="W1238" t="s">
        <v>12861</v>
      </c>
      <c r="X1238">
        <v>4</v>
      </c>
      <c r="Y1238" t="s">
        <v>18612</v>
      </c>
      <c r="Z1238" t="s">
        <v>24300</v>
      </c>
      <c r="AA1238">
        <v>0.56377509771118517</v>
      </c>
      <c r="AB1238" t="str">
        <f>HYPERLINK("Melting_Curves/meltCurve_O14772_FPGT.pdf", "Melting_Curves/meltCurve_O14772_FPGT.pdf")</f>
        <v>Melting_Curves/meltCurve_O14772_FPGT.pdf</v>
      </c>
    </row>
    <row r="1239" spans="1:28" x14ac:dyDescent="0.25">
      <c r="A1239" t="s">
        <v>1243</v>
      </c>
      <c r="B1239">
        <v>0.99996721820229495</v>
      </c>
      <c r="C1239">
        <v>0.90661950630244004</v>
      </c>
      <c r="D1239">
        <v>0.934407335020212</v>
      </c>
      <c r="E1239">
        <v>0.88221264556699397</v>
      </c>
      <c r="F1239">
        <v>0.93595234543203099</v>
      </c>
      <c r="G1239">
        <v>0.62111475828481399</v>
      </c>
      <c r="H1239">
        <v>0.373585869553546</v>
      </c>
      <c r="I1239">
        <v>0.235495825700168</v>
      </c>
      <c r="J1239">
        <v>0.20000034708550801</v>
      </c>
      <c r="K1239">
        <v>0.154449371812064</v>
      </c>
      <c r="L1239">
        <v>1094.97765100161</v>
      </c>
      <c r="M1239">
        <v>18.873730384210202</v>
      </c>
      <c r="N1239">
        <v>58.887335194550403</v>
      </c>
      <c r="O1239">
        <v>57.376432357790499</v>
      </c>
      <c r="P1239">
        <v>-7.2220049230052694E-2</v>
      </c>
      <c r="Q1239">
        <v>0.12183567210603</v>
      </c>
      <c r="R1239">
        <v>0.97955970254146096</v>
      </c>
      <c r="S1239" t="s">
        <v>7065</v>
      </c>
      <c r="T1239" t="s">
        <v>11650</v>
      </c>
      <c r="U1239" t="s">
        <v>11650</v>
      </c>
      <c r="V1239" t="s">
        <v>11650</v>
      </c>
      <c r="W1239" t="s">
        <v>12862</v>
      </c>
      <c r="X1239">
        <v>7</v>
      </c>
      <c r="Y1239" t="s">
        <v>18613</v>
      </c>
      <c r="Z1239" t="s">
        <v>24301</v>
      </c>
      <c r="AA1239">
        <v>0.65965938249954781</v>
      </c>
      <c r="AB1239" t="str">
        <f>HYPERLINK("Melting_Curves/meltCurve_O14773_TPP1.pdf", "Melting_Curves/meltCurve_O14773_TPP1.pdf")</f>
        <v>Melting_Curves/meltCurve_O14773_TPP1.pdf</v>
      </c>
    </row>
    <row r="1240" spans="1:28" x14ac:dyDescent="0.25">
      <c r="A1240" t="s">
        <v>1244</v>
      </c>
      <c r="B1240">
        <v>0.99996721820229495</v>
      </c>
      <c r="C1240">
        <v>1.1088610622214401</v>
      </c>
      <c r="D1240">
        <v>0.98082314530862602</v>
      </c>
      <c r="E1240">
        <v>0.61206146498636604</v>
      </c>
      <c r="F1240">
        <v>0.56049063074042405</v>
      </c>
      <c r="G1240">
        <v>0.52720579539812895</v>
      </c>
      <c r="H1240">
        <v>0.331532887254961</v>
      </c>
      <c r="I1240">
        <v>0.31936117704609701</v>
      </c>
      <c r="J1240">
        <v>0.245599117242084</v>
      </c>
      <c r="K1240">
        <v>0.20513760308427101</v>
      </c>
      <c r="L1240">
        <v>714.03416551739997</v>
      </c>
      <c r="M1240">
        <v>13.612627059753001</v>
      </c>
      <c r="N1240">
        <v>54.923023885951999</v>
      </c>
      <c r="O1240">
        <v>51.360648379963699</v>
      </c>
      <c r="P1240">
        <v>-5.1102927359451503E-2</v>
      </c>
      <c r="Q1240">
        <v>0.22886532496488701</v>
      </c>
      <c r="R1240">
        <v>0.94154207531906697</v>
      </c>
      <c r="S1240" t="s">
        <v>7066</v>
      </c>
      <c r="T1240" t="s">
        <v>11650</v>
      </c>
      <c r="U1240" t="s">
        <v>11650</v>
      </c>
      <c r="V1240" t="s">
        <v>11650</v>
      </c>
      <c r="W1240" t="s">
        <v>12863</v>
      </c>
      <c r="X1240">
        <v>16</v>
      </c>
      <c r="Y1240" t="s">
        <v>18614</v>
      </c>
      <c r="Z1240" t="s">
        <v>24302</v>
      </c>
      <c r="AA1240">
        <v>0.56843533708394578</v>
      </c>
      <c r="AB1240" t="str">
        <f>HYPERLINK("Melting_Curves/meltCurve_O14776_2_TCERG1.pdf", "Melting_Curves/meltCurve_O14776_2_TCERG1.pdf")</f>
        <v>Melting_Curves/meltCurve_O14776_2_TCERG1.pdf</v>
      </c>
    </row>
    <row r="1241" spans="1:28" x14ac:dyDescent="0.25">
      <c r="A1241" t="s">
        <v>1245</v>
      </c>
      <c r="B1241">
        <v>0.99996721820229495</v>
      </c>
      <c r="C1241">
        <v>1.0463735768642299</v>
      </c>
      <c r="D1241">
        <v>1.0568000960025401</v>
      </c>
      <c r="E1241">
        <v>0.539545610586742</v>
      </c>
      <c r="F1241">
        <v>0.41636819492038901</v>
      </c>
      <c r="G1241">
        <v>0.52014590061773003</v>
      </c>
      <c r="H1241">
        <v>0.326563030449809</v>
      </c>
      <c r="I1241">
        <v>6.9397603936034905E-2</v>
      </c>
      <c r="J1241">
        <v>3.67786923417509E-2</v>
      </c>
      <c r="K1241">
        <v>2.9784621845423999E-2</v>
      </c>
      <c r="L1241">
        <v>614.83022037226203</v>
      </c>
      <c r="M1241">
        <v>11.4132429560989</v>
      </c>
      <c r="N1241">
        <v>53.869896435354597</v>
      </c>
      <c r="O1241">
        <v>52.295660811084602</v>
      </c>
      <c r="P1241">
        <v>-5.4577104997916001E-2</v>
      </c>
      <c r="Q1241">
        <v>0</v>
      </c>
      <c r="R1241">
        <v>0.90684046623486603</v>
      </c>
      <c r="S1241" t="s">
        <v>7067</v>
      </c>
      <c r="T1241" t="s">
        <v>11650</v>
      </c>
      <c r="U1241" t="s">
        <v>11650</v>
      </c>
      <c r="V1241" t="s">
        <v>11650</v>
      </c>
      <c r="W1241" t="s">
        <v>12864</v>
      </c>
      <c r="X1241">
        <v>12</v>
      </c>
      <c r="Y1241" t="s">
        <v>18615</v>
      </c>
      <c r="Z1241" t="s">
        <v>24303</v>
      </c>
      <c r="AA1241">
        <v>0.49001208994984868</v>
      </c>
      <c r="AB1241" t="str">
        <f>HYPERLINK("Melting_Curves/meltCurve_O14787_2_TNPO2.pdf", "Melting_Curves/meltCurve_O14787_2_TNPO2.pdf")</f>
        <v>Melting_Curves/meltCurve_O14787_2_TNPO2.pdf</v>
      </c>
    </row>
    <row r="1242" spans="1:28" x14ac:dyDescent="0.25">
      <c r="A1242" t="s">
        <v>1246</v>
      </c>
      <c r="B1242">
        <v>0.99996721820229495</v>
      </c>
      <c r="C1242">
        <v>0.924253212210982</v>
      </c>
      <c r="D1242">
        <v>0.87489116324340799</v>
      </c>
      <c r="E1242">
        <v>0.76822965572686897</v>
      </c>
      <c r="F1242">
        <v>0.93497896516037404</v>
      </c>
      <c r="G1242">
        <v>0.81235764603480198</v>
      </c>
      <c r="H1242">
        <v>0.46776639785573199</v>
      </c>
      <c r="I1242">
        <v>0.222891400168575</v>
      </c>
      <c r="J1242">
        <v>0.15201833689466501</v>
      </c>
      <c r="K1242">
        <v>0.116766127844316</v>
      </c>
      <c r="L1242">
        <v>1054.66089187845</v>
      </c>
      <c r="M1242">
        <v>17.4329043555467</v>
      </c>
      <c r="N1242">
        <v>60.498289526918299</v>
      </c>
      <c r="O1242">
        <v>59.719051517481098</v>
      </c>
      <c r="P1242">
        <v>-7.2982908336078095E-2</v>
      </c>
      <c r="Q1242">
        <v>0</v>
      </c>
      <c r="R1242">
        <v>0.93548012150618698</v>
      </c>
      <c r="S1242" t="s">
        <v>7068</v>
      </c>
      <c r="T1242" t="s">
        <v>11650</v>
      </c>
      <c r="U1242" t="s">
        <v>11650</v>
      </c>
      <c r="V1242" t="s">
        <v>11650</v>
      </c>
      <c r="W1242" t="s">
        <v>12865</v>
      </c>
      <c r="X1242">
        <v>5</v>
      </c>
      <c r="Y1242" t="s">
        <v>18616</v>
      </c>
      <c r="Z1242" t="s">
        <v>24304</v>
      </c>
      <c r="AA1242">
        <v>0.68991876748655723</v>
      </c>
      <c r="AB1242" t="str">
        <f>HYPERLINK("Melting_Curves/meltCurve_O14807_MRAS.pdf", "Melting_Curves/meltCurve_O14807_MRAS.pdf")</f>
        <v>Melting_Curves/meltCurve_O14807_MRAS.pdf</v>
      </c>
    </row>
    <row r="1243" spans="1:28" x14ac:dyDescent="0.25">
      <c r="A1243" t="s">
        <v>1247</v>
      </c>
      <c r="B1243">
        <v>0.99996721820229495</v>
      </c>
      <c r="C1243">
        <v>1.02418049357812</v>
      </c>
      <c r="D1243">
        <v>0.80414836726780103</v>
      </c>
      <c r="E1243">
        <v>0.72275371479489203</v>
      </c>
      <c r="F1243">
        <v>1.1583711050053001</v>
      </c>
      <c r="G1243">
        <v>1.8030426502597601</v>
      </c>
      <c r="H1243">
        <v>1.9215956322377601</v>
      </c>
      <c r="I1243">
        <v>0.94162847898469704</v>
      </c>
      <c r="J1243">
        <v>0.19312640561529301</v>
      </c>
      <c r="K1243">
        <v>0.90865440231568595</v>
      </c>
      <c r="L1243">
        <v>1730.2172457371501</v>
      </c>
      <c r="M1243">
        <v>25.980773276032899</v>
      </c>
      <c r="O1243">
        <v>66.205259103998003</v>
      </c>
      <c r="P1243">
        <v>-4.0762402456195099E-2</v>
      </c>
      <c r="Q1243">
        <v>0.58451507283433002</v>
      </c>
      <c r="R1243">
        <v>7.4451391460043995E-2</v>
      </c>
      <c r="S1243" t="s">
        <v>7069</v>
      </c>
      <c r="T1243" t="s">
        <v>11650</v>
      </c>
      <c r="U1243" t="s">
        <v>11650</v>
      </c>
      <c r="V1243" t="s">
        <v>11650</v>
      </c>
      <c r="W1243" t="s">
        <v>12866</v>
      </c>
      <c r="X1243">
        <v>9</v>
      </c>
      <c r="Y1243" t="s">
        <v>18617</v>
      </c>
      <c r="Z1243" t="s">
        <v>24305</v>
      </c>
      <c r="AA1243">
        <v>0.9467162311800531</v>
      </c>
      <c r="AB1243" t="str">
        <f>HYPERLINK("Melting_Curves/meltCurve_O14818_PSMA7.pdf", "Melting_Curves/meltCurve_O14818_PSMA7.pdf")</f>
        <v>Melting_Curves/meltCurve_O14818_PSMA7.pdf</v>
      </c>
    </row>
    <row r="1244" spans="1:28" x14ac:dyDescent="0.25">
      <c r="A1244" t="s">
        <v>1248</v>
      </c>
      <c r="B1244">
        <v>0.99996721820229495</v>
      </c>
      <c r="C1244">
        <v>0.77880664387021603</v>
      </c>
      <c r="D1244">
        <v>0.80277392596762498</v>
      </c>
      <c r="E1244">
        <v>1.0554518665785999</v>
      </c>
      <c r="F1244">
        <v>1.1749021153266099</v>
      </c>
      <c r="G1244">
        <v>1.0084565392781299</v>
      </c>
      <c r="H1244">
        <v>0.94761562022077495</v>
      </c>
      <c r="I1244">
        <v>0.68655543557047705</v>
      </c>
      <c r="J1244">
        <v>0.46509295789877098</v>
      </c>
      <c r="K1244">
        <v>0.46107748523542502</v>
      </c>
      <c r="L1244">
        <v>3573.9417697684798</v>
      </c>
      <c r="M1244">
        <v>56.149904822764803</v>
      </c>
      <c r="N1244">
        <v>66.3039494002265</v>
      </c>
      <c r="O1244">
        <v>63.569441874884703</v>
      </c>
      <c r="P1244">
        <v>-0.122077117158666</v>
      </c>
      <c r="Q1244">
        <v>0.44716787993225698</v>
      </c>
      <c r="R1244">
        <v>0.77283981843579297</v>
      </c>
      <c r="S1244" t="s">
        <v>7070</v>
      </c>
      <c r="T1244" t="s">
        <v>11650</v>
      </c>
      <c r="U1244" t="s">
        <v>11650</v>
      </c>
      <c r="V1244" t="s">
        <v>11650</v>
      </c>
      <c r="W1244" t="s">
        <v>12867</v>
      </c>
      <c r="X1244">
        <v>14</v>
      </c>
      <c r="Y1244" t="s">
        <v>18618</v>
      </c>
      <c r="Z1244" t="s">
        <v>24306</v>
      </c>
      <c r="AA1244">
        <v>0.88405230544823532</v>
      </c>
      <c r="AB1244" t="str">
        <f>HYPERLINK("Melting_Curves/meltCurve_O14828_SCAMP3.pdf", "Melting_Curves/meltCurve_O14828_SCAMP3.pdf")</f>
        <v>Melting_Curves/meltCurve_O14828_SCAMP3.pdf</v>
      </c>
    </row>
    <row r="1245" spans="1:28" x14ac:dyDescent="0.25">
      <c r="A1245" t="s">
        <v>1249</v>
      </c>
      <c r="B1245">
        <v>0.99996721820229495</v>
      </c>
      <c r="C1245">
        <v>1.0220527275637199</v>
      </c>
      <c r="D1245">
        <v>1.1838972913857899</v>
      </c>
      <c r="E1245">
        <v>1.2683088687656301</v>
      </c>
      <c r="F1245">
        <v>1.01480816487999</v>
      </c>
      <c r="G1245">
        <v>0.68372407757259301</v>
      </c>
      <c r="H1245">
        <v>0.36329577553870401</v>
      </c>
      <c r="I1245">
        <v>0.20920719407827101</v>
      </c>
      <c r="J1245">
        <v>0.124129962829052</v>
      </c>
      <c r="K1245">
        <v>0.12089812698992</v>
      </c>
      <c r="L1245">
        <v>1721.48810302417</v>
      </c>
      <c r="M1245">
        <v>29.380308624658301</v>
      </c>
      <c r="N1245">
        <v>59.163146556956498</v>
      </c>
      <c r="O1245">
        <v>58.3238006805949</v>
      </c>
      <c r="P1245">
        <v>-0.11041635223788999</v>
      </c>
      <c r="Q1245">
        <v>0.123241568551859</v>
      </c>
      <c r="R1245">
        <v>0.93783926984010302</v>
      </c>
      <c r="S1245" t="s">
        <v>7071</v>
      </c>
      <c r="T1245" t="s">
        <v>11650</v>
      </c>
      <c r="U1245" t="s">
        <v>11650</v>
      </c>
      <c r="V1245" t="s">
        <v>11650</v>
      </c>
      <c r="W1245" t="s">
        <v>12868</v>
      </c>
      <c r="X1245">
        <v>4</v>
      </c>
      <c r="Y1245" t="s">
        <v>18619</v>
      </c>
      <c r="Z1245" t="s">
        <v>24307</v>
      </c>
      <c r="AA1245">
        <v>0.67251499040815677</v>
      </c>
      <c r="AB1245" t="str">
        <f>HYPERLINK("Melting_Curves/meltCurve_O14841_OPLAH.pdf", "Melting_Curves/meltCurve_O14841_OPLAH.pdf")</f>
        <v>Melting_Curves/meltCurve_O14841_OPLAH.pdf</v>
      </c>
    </row>
    <row r="1246" spans="1:28" x14ac:dyDescent="0.25">
      <c r="A1246" t="s">
        <v>1250</v>
      </c>
      <c r="B1246">
        <v>0.99996721820229495</v>
      </c>
      <c r="C1246">
        <v>0.94097284750063803</v>
      </c>
      <c r="D1246">
        <v>1.0053996954130899</v>
      </c>
      <c r="E1246">
        <v>1.0783805345441499</v>
      </c>
      <c r="F1246">
        <v>1.39962669098468</v>
      </c>
      <c r="G1246">
        <v>1.42825981254651</v>
      </c>
      <c r="H1246">
        <v>1.0518088970127999</v>
      </c>
      <c r="I1246">
        <v>0.73622415715209399</v>
      </c>
      <c r="J1246">
        <v>0.48898169529536301</v>
      </c>
      <c r="K1246">
        <v>0.41772686068128201</v>
      </c>
      <c r="L1246">
        <v>6486.5836101049199</v>
      </c>
      <c r="M1246">
        <v>101.248088603334</v>
      </c>
      <c r="N1246">
        <v>65.548844632814294</v>
      </c>
      <c r="O1246">
        <v>64.041250632926804</v>
      </c>
      <c r="P1246">
        <v>-0.21763413098464399</v>
      </c>
      <c r="Q1246">
        <v>0.44936990455734999</v>
      </c>
      <c r="R1246">
        <v>0.64375467573694001</v>
      </c>
      <c r="S1246" t="s">
        <v>7072</v>
      </c>
      <c r="T1246" t="s">
        <v>11650</v>
      </c>
      <c r="U1246" t="s">
        <v>11650</v>
      </c>
      <c r="V1246" t="s">
        <v>11650</v>
      </c>
      <c r="W1246" t="s">
        <v>12869</v>
      </c>
      <c r="X1246">
        <v>14</v>
      </c>
      <c r="Y1246" t="s">
        <v>18620</v>
      </c>
      <c r="Z1246" t="s">
        <v>24308</v>
      </c>
      <c r="AA1246">
        <v>0.89146486885442233</v>
      </c>
      <c r="AB1246" t="str">
        <f>HYPERLINK("Melting_Curves/meltCurve_O14867_BACH1.pdf", "Melting_Curves/meltCurve_O14867_BACH1.pdf")</f>
        <v>Melting_Curves/meltCurve_O14867_BACH1.pdf</v>
      </c>
    </row>
    <row r="1247" spans="1:28" x14ac:dyDescent="0.25">
      <c r="A1247" t="s">
        <v>1251</v>
      </c>
      <c r="B1247">
        <v>0.99996721820229495</v>
      </c>
      <c r="C1247">
        <v>0.83020765914085604</v>
      </c>
      <c r="D1247">
        <v>0.72018822531474302</v>
      </c>
      <c r="E1247">
        <v>0.42864094525184399</v>
      </c>
      <c r="F1247">
        <v>0.36257183959561901</v>
      </c>
      <c r="G1247">
        <v>0.30819255180272598</v>
      </c>
      <c r="H1247">
        <v>0.208157976634257</v>
      </c>
      <c r="I1247">
        <v>0.11916014143869599</v>
      </c>
      <c r="J1247">
        <v>0.10639738177145</v>
      </c>
      <c r="K1247">
        <v>0.114300573967584</v>
      </c>
      <c r="L1247">
        <v>564.33154291438802</v>
      </c>
      <c r="M1247">
        <v>11.5431482764244</v>
      </c>
      <c r="N1247">
        <v>49.7894379820751</v>
      </c>
      <c r="O1247">
        <v>47.490673214591602</v>
      </c>
      <c r="P1247">
        <v>-5.5055729641215898E-2</v>
      </c>
      <c r="Q1247">
        <v>9.4215421264698299E-2</v>
      </c>
      <c r="R1247">
        <v>0.98332279199820805</v>
      </c>
      <c r="S1247" t="s">
        <v>7073</v>
      </c>
      <c r="T1247" t="s">
        <v>11650</v>
      </c>
      <c r="U1247" t="s">
        <v>11650</v>
      </c>
      <c r="V1247" t="s">
        <v>11650</v>
      </c>
      <c r="W1247" t="s">
        <v>12870</v>
      </c>
      <c r="X1247">
        <v>6</v>
      </c>
      <c r="Y1247" t="s">
        <v>18621</v>
      </c>
      <c r="Z1247" t="s">
        <v>24309</v>
      </c>
      <c r="AA1247">
        <v>0.39833430053179453</v>
      </c>
      <c r="AB1247" t="str">
        <f>HYPERLINK("Melting_Curves/meltCurve_O14879_IFIT3.pdf", "Melting_Curves/meltCurve_O14879_IFIT3.pdf")</f>
        <v>Melting_Curves/meltCurve_O14879_IFIT3.pdf</v>
      </c>
    </row>
    <row r="1248" spans="1:28" x14ac:dyDescent="0.25">
      <c r="A1248" t="s">
        <v>1252</v>
      </c>
      <c r="B1248">
        <v>0.99996721820229495</v>
      </c>
      <c r="C1248">
        <v>1.2114821267508</v>
      </c>
      <c r="D1248">
        <v>0.87750561096290702</v>
      </c>
      <c r="E1248">
        <v>0.42818484696317299</v>
      </c>
      <c r="F1248">
        <v>0.36683795740688702</v>
      </c>
      <c r="G1248">
        <v>0.34069730881819299</v>
      </c>
      <c r="H1248">
        <v>0.20236178386780801</v>
      </c>
      <c r="I1248">
        <v>0.12971974674216399</v>
      </c>
      <c r="J1248">
        <v>9.63843078552927E-2</v>
      </c>
      <c r="K1248">
        <v>7.6932950369233796E-2</v>
      </c>
      <c r="L1248">
        <v>1128.6785954459299</v>
      </c>
      <c r="M1248">
        <v>22.841455952096101</v>
      </c>
      <c r="N1248">
        <v>50.246328895072502</v>
      </c>
      <c r="O1248">
        <v>49.039553825186097</v>
      </c>
      <c r="P1248">
        <v>-9.8097935687018495E-2</v>
      </c>
      <c r="Q1248">
        <v>0.15756963298846499</v>
      </c>
      <c r="R1248">
        <v>0.93185103519555601</v>
      </c>
      <c r="S1248" t="s">
        <v>7074</v>
      </c>
      <c r="T1248" t="s">
        <v>11650</v>
      </c>
      <c r="U1248" t="s">
        <v>11650</v>
      </c>
      <c r="V1248" t="s">
        <v>11650</v>
      </c>
      <c r="W1248" t="s">
        <v>12871</v>
      </c>
      <c r="X1248">
        <v>5</v>
      </c>
      <c r="Y1248" t="s">
        <v>18622</v>
      </c>
      <c r="Z1248" t="s">
        <v>24310</v>
      </c>
      <c r="AA1248">
        <v>0.43091183018390861</v>
      </c>
      <c r="AB1248" t="str">
        <f>HYPERLINK("Melting_Curves/meltCurve_O14907_TAX1BP3.pdf", "Melting_Curves/meltCurve_O14907_TAX1BP3.pdf")</f>
        <v>Melting_Curves/meltCurve_O14907_TAX1BP3.pdf</v>
      </c>
    </row>
    <row r="1249" spans="1:28" x14ac:dyDescent="0.25">
      <c r="A1249" t="s">
        <v>1253</v>
      </c>
      <c r="B1249">
        <v>0.99996721820229495</v>
      </c>
      <c r="C1249">
        <v>1.06831050904999</v>
      </c>
      <c r="D1249">
        <v>0.885464736817417</v>
      </c>
      <c r="E1249">
        <v>0.50103123326731402</v>
      </c>
      <c r="F1249">
        <v>0.28441799035437898</v>
      </c>
      <c r="G1249">
        <v>0.249083559078252</v>
      </c>
      <c r="H1249">
        <v>0.14097388997947499</v>
      </c>
      <c r="I1249">
        <v>0.106383978816375</v>
      </c>
      <c r="J1249">
        <v>8.0284141428806105E-2</v>
      </c>
      <c r="K1249">
        <v>6.13403088995522E-2</v>
      </c>
      <c r="L1249">
        <v>1104.6936554443701</v>
      </c>
      <c r="M1249">
        <v>22.196066142522199</v>
      </c>
      <c r="N1249">
        <v>50.321178889558098</v>
      </c>
      <c r="O1249">
        <v>49.371092921535499</v>
      </c>
      <c r="P1249">
        <v>-0.10026383785738199</v>
      </c>
      <c r="Q1249">
        <v>0.107944888434029</v>
      </c>
      <c r="R1249">
        <v>0.98503446112195903</v>
      </c>
      <c r="S1249" t="s">
        <v>7075</v>
      </c>
      <c r="T1249" t="s">
        <v>11650</v>
      </c>
      <c r="U1249" t="s">
        <v>11650</v>
      </c>
      <c r="V1249" t="s">
        <v>11650</v>
      </c>
      <c r="W1249" t="s">
        <v>12872</v>
      </c>
      <c r="X1249">
        <v>17</v>
      </c>
      <c r="Y1249" t="s">
        <v>18623</v>
      </c>
      <c r="Z1249" t="s">
        <v>24311</v>
      </c>
      <c r="AA1249">
        <v>0.40855824940715041</v>
      </c>
      <c r="AB1249" t="str">
        <f>HYPERLINK("Melting_Curves/meltCurve_O14908_GIPC1.pdf", "Melting_Curves/meltCurve_O14908_GIPC1.pdf")</f>
        <v>Melting_Curves/meltCurve_O14908_GIPC1.pdf</v>
      </c>
    </row>
    <row r="1250" spans="1:28" x14ac:dyDescent="0.25">
      <c r="A1250" t="s">
        <v>1254</v>
      </c>
      <c r="B1250">
        <v>0.99996721820229495</v>
      </c>
      <c r="C1250">
        <v>0.91833703423066904</v>
      </c>
      <c r="D1250">
        <v>0.93570175339168404</v>
      </c>
      <c r="E1250">
        <v>0.958912556072816</v>
      </c>
      <c r="F1250">
        <v>0.73704716771448298</v>
      </c>
      <c r="G1250">
        <v>0.72714663269467195</v>
      </c>
      <c r="H1250">
        <v>0.491046772313253</v>
      </c>
      <c r="I1250">
        <v>0.357462003001013</v>
      </c>
      <c r="J1250">
        <v>0.29963950465372202</v>
      </c>
      <c r="K1250">
        <v>0.24077181149584001</v>
      </c>
      <c r="L1250">
        <v>585.16351143745806</v>
      </c>
      <c r="M1250">
        <v>9.5889266604218797</v>
      </c>
      <c r="N1250">
        <v>61.024905298446797</v>
      </c>
      <c r="O1250">
        <v>58.5478720831833</v>
      </c>
      <c r="P1250">
        <v>-4.0968187302945998E-2</v>
      </c>
      <c r="Q1250">
        <v>0</v>
      </c>
      <c r="R1250">
        <v>0.97445075804624803</v>
      </c>
      <c r="S1250" t="s">
        <v>7076</v>
      </c>
      <c r="T1250" t="s">
        <v>11650</v>
      </c>
      <c r="U1250" t="s">
        <v>11650</v>
      </c>
      <c r="V1250" t="s">
        <v>11650</v>
      </c>
      <c r="W1250" t="s">
        <v>12873</v>
      </c>
      <c r="X1250">
        <v>7</v>
      </c>
      <c r="Y1250" t="s">
        <v>18624</v>
      </c>
      <c r="Z1250" t="s">
        <v>24312</v>
      </c>
      <c r="AA1250">
        <v>0.68621518805531534</v>
      </c>
      <c r="AB1250" t="str">
        <f>HYPERLINK("Melting_Curves/meltCurve_O14910_LIN7A.pdf", "Melting_Curves/meltCurve_O14910_LIN7A.pdf")</f>
        <v>Melting_Curves/meltCurve_O14910_LIN7A.pdf</v>
      </c>
    </row>
    <row r="1251" spans="1:28" x14ac:dyDescent="0.25">
      <c r="A1251" t="s">
        <v>1255</v>
      </c>
      <c r="B1251">
        <v>0.99996721820229495</v>
      </c>
      <c r="C1251">
        <v>0.87907988082159805</v>
      </c>
      <c r="D1251">
        <v>0.62604723761671699</v>
      </c>
      <c r="E1251">
        <v>0.31922178493146602</v>
      </c>
      <c r="F1251">
        <v>0.32292965298827397</v>
      </c>
      <c r="G1251">
        <v>0.25023056269622201</v>
      </c>
      <c r="H1251">
        <v>0.17783361061684799</v>
      </c>
      <c r="I1251">
        <v>0.13127840677420299</v>
      </c>
      <c r="J1251">
        <v>9.0074145094245495E-2</v>
      </c>
      <c r="K1251">
        <v>7.8730761671716998E-2</v>
      </c>
      <c r="L1251">
        <v>728.56296339595895</v>
      </c>
      <c r="M1251">
        <v>15.4233728944433</v>
      </c>
      <c r="N1251">
        <v>48.115929304658998</v>
      </c>
      <c r="O1251">
        <v>46.464864368434299</v>
      </c>
      <c r="P1251">
        <v>-7.2809145507878897E-2</v>
      </c>
      <c r="Q1251">
        <v>0.122692694433936</v>
      </c>
      <c r="R1251">
        <v>0.977628600683212</v>
      </c>
      <c r="S1251" t="s">
        <v>7077</v>
      </c>
      <c r="T1251" t="s">
        <v>11650</v>
      </c>
      <c r="U1251" t="s">
        <v>11650</v>
      </c>
      <c r="V1251" t="s">
        <v>11650</v>
      </c>
      <c r="W1251" t="s">
        <v>12874</v>
      </c>
      <c r="X1251">
        <v>11</v>
      </c>
      <c r="Y1251" t="s">
        <v>18625</v>
      </c>
      <c r="Z1251" t="s">
        <v>24313</v>
      </c>
      <c r="AA1251">
        <v>0.35653790566449572</v>
      </c>
      <c r="AB1251" t="str">
        <f>HYPERLINK("Melting_Curves/meltCurve_O14920_IKBKB.pdf", "Melting_Curves/meltCurve_O14920_IKBKB.pdf")</f>
        <v>Melting_Curves/meltCurve_O14920_IKBKB.pdf</v>
      </c>
    </row>
    <row r="1252" spans="1:28" x14ac:dyDescent="0.25">
      <c r="A1252" t="s">
        <v>1256</v>
      </c>
      <c r="B1252">
        <v>0.99996721820229495</v>
      </c>
      <c r="C1252">
        <v>0.91062344245270099</v>
      </c>
      <c r="D1252">
        <v>1.0084875987053801</v>
      </c>
      <c r="E1252">
        <v>1.3512147284653799</v>
      </c>
      <c r="F1252">
        <v>2.7542832824316199</v>
      </c>
      <c r="G1252">
        <v>2.60662451422357</v>
      </c>
      <c r="H1252">
        <v>1.77069851979833</v>
      </c>
      <c r="I1252">
        <v>0.99695344680785403</v>
      </c>
      <c r="J1252">
        <v>0.38482248496756399</v>
      </c>
      <c r="K1252">
        <v>0.104308104761463</v>
      </c>
      <c r="L1252">
        <v>9742.7421634403909</v>
      </c>
      <c r="M1252">
        <v>146.196518134716</v>
      </c>
      <c r="N1252">
        <v>66.747312971371599</v>
      </c>
      <c r="O1252">
        <v>66.628942465858998</v>
      </c>
      <c r="P1252">
        <v>-0.49176962690850001</v>
      </c>
      <c r="Q1252">
        <v>0.103505604406639</v>
      </c>
      <c r="R1252">
        <v>5.1504806050423797E-2</v>
      </c>
      <c r="S1252" t="s">
        <v>7078</v>
      </c>
      <c r="T1252" t="s">
        <v>11650</v>
      </c>
      <c r="U1252" t="s">
        <v>11650</v>
      </c>
      <c r="V1252" t="s">
        <v>11650</v>
      </c>
      <c r="W1252" t="s">
        <v>12875</v>
      </c>
      <c r="X1252">
        <v>2</v>
      </c>
      <c r="Y1252" t="s">
        <v>18626</v>
      </c>
      <c r="Z1252" t="s">
        <v>24314</v>
      </c>
      <c r="AA1252">
        <v>0.89992780437796716</v>
      </c>
      <c r="AB1252" t="str">
        <f>HYPERLINK("Melting_Curves/meltCurve_O14925_TIMM23.pdf", "Melting_Curves/meltCurve_O14925_TIMM23.pdf")</f>
        <v>Melting_Curves/meltCurve_O14925_TIMM23.pdf</v>
      </c>
    </row>
    <row r="1253" spans="1:28" x14ac:dyDescent="0.25">
      <c r="A1253" t="s">
        <v>1257</v>
      </c>
      <c r="B1253">
        <v>0.99996721820229495</v>
      </c>
      <c r="C1253">
        <v>0.96633259805076299</v>
      </c>
      <c r="D1253">
        <v>0.90442322770877703</v>
      </c>
      <c r="E1253">
        <v>0.57628647905443797</v>
      </c>
      <c r="F1253">
        <v>0.35400194565673099</v>
      </c>
      <c r="G1253">
        <v>0.27424399164729302</v>
      </c>
      <c r="H1253">
        <v>0.17505901442635599</v>
      </c>
      <c r="I1253">
        <v>0.12162620320468</v>
      </c>
      <c r="J1253">
        <v>9.3251281741505099E-2</v>
      </c>
      <c r="K1253">
        <v>7.1267219306469301E-2</v>
      </c>
      <c r="L1253">
        <v>862.59757818652099</v>
      </c>
      <c r="M1253">
        <v>17.023516941634199</v>
      </c>
      <c r="N1253">
        <v>51.3232494864207</v>
      </c>
      <c r="O1253">
        <v>49.987221383244901</v>
      </c>
      <c r="P1253">
        <v>-7.6861728193378095E-2</v>
      </c>
      <c r="Q1253">
        <v>9.7279817894577902E-2</v>
      </c>
      <c r="R1253">
        <v>0.992808899530497</v>
      </c>
      <c r="S1253" t="s">
        <v>7079</v>
      </c>
      <c r="T1253" t="s">
        <v>11650</v>
      </c>
      <c r="U1253" t="s">
        <v>11650</v>
      </c>
      <c r="V1253" t="s">
        <v>11650</v>
      </c>
      <c r="W1253" t="s">
        <v>12876</v>
      </c>
      <c r="X1253">
        <v>6</v>
      </c>
      <c r="Y1253" t="s">
        <v>18627</v>
      </c>
      <c r="Z1253" t="s">
        <v>24315</v>
      </c>
      <c r="AA1253">
        <v>0.43527167921756132</v>
      </c>
      <c r="AB1253" t="str">
        <f>HYPERLINK("Melting_Curves/meltCurve_O14929_HAT1.pdf", "Melting_Curves/meltCurve_O14929_HAT1.pdf")</f>
        <v>Melting_Curves/meltCurve_O14929_HAT1.pdf</v>
      </c>
    </row>
    <row r="1254" spans="1:28" x14ac:dyDescent="0.25">
      <c r="A1254" t="s">
        <v>1258</v>
      </c>
      <c r="B1254">
        <v>0.99996721820229495</v>
      </c>
      <c r="C1254">
        <v>1.0567556784474299</v>
      </c>
      <c r="D1254">
        <v>0.89473625043071703</v>
      </c>
      <c r="E1254">
        <v>0.65420293095664395</v>
      </c>
      <c r="F1254">
        <v>0.41516031958785898</v>
      </c>
      <c r="G1254">
        <v>0.31717988777633299</v>
      </c>
      <c r="H1254">
        <v>0.20385845489597099</v>
      </c>
      <c r="I1254">
        <v>0.15361538727631199</v>
      </c>
      <c r="J1254">
        <v>0.14166096561326399</v>
      </c>
      <c r="K1254">
        <v>0.10545826018830599</v>
      </c>
      <c r="L1254">
        <v>881.839336897762</v>
      </c>
      <c r="M1254">
        <v>17.178657115425501</v>
      </c>
      <c r="N1254">
        <v>52.250186591715597</v>
      </c>
      <c r="O1254">
        <v>50.652952745085202</v>
      </c>
      <c r="P1254">
        <v>-7.3758691957479805E-2</v>
      </c>
      <c r="Q1254">
        <v>0.130112708819379</v>
      </c>
      <c r="R1254">
        <v>0.98969893909898199</v>
      </c>
      <c r="S1254" t="s">
        <v>7080</v>
      </c>
      <c r="T1254" t="s">
        <v>11650</v>
      </c>
      <c r="U1254" t="s">
        <v>11650</v>
      </c>
      <c r="V1254" t="s">
        <v>11650</v>
      </c>
      <c r="W1254" t="s">
        <v>12877</v>
      </c>
      <c r="X1254">
        <v>8</v>
      </c>
      <c r="Y1254" t="s">
        <v>18628</v>
      </c>
      <c r="Z1254" t="s">
        <v>24316</v>
      </c>
      <c r="AA1254">
        <v>0.47458460355302329</v>
      </c>
      <c r="AB1254" t="str">
        <f>HYPERLINK("Melting_Curves/meltCurve_O14933_UBE2L6.pdf", "Melting_Curves/meltCurve_O14933_UBE2L6.pdf")</f>
        <v>Melting_Curves/meltCurve_O14933_UBE2L6.pdf</v>
      </c>
    </row>
    <row r="1255" spans="1:28" x14ac:dyDescent="0.25">
      <c r="A1255" t="s">
        <v>1259</v>
      </c>
      <c r="B1255">
        <v>0.99996721820229495</v>
      </c>
      <c r="C1255">
        <v>0.97601216701597304</v>
      </c>
      <c r="D1255">
        <v>1.1435233639245199</v>
      </c>
      <c r="E1255">
        <v>1.4605631011044999</v>
      </c>
      <c r="F1255">
        <v>1.2705111182019999</v>
      </c>
      <c r="G1255">
        <v>0.70242115704928598</v>
      </c>
      <c r="H1255">
        <v>0.30858593914926802</v>
      </c>
      <c r="I1255">
        <v>0.17998928994369501</v>
      </c>
      <c r="J1255">
        <v>0.12613496412241501</v>
      </c>
      <c r="K1255">
        <v>0.10524328868622999</v>
      </c>
      <c r="L1255">
        <v>2380.6605881745199</v>
      </c>
      <c r="M1255">
        <v>40.821780471337497</v>
      </c>
      <c r="N1255">
        <v>58.783125758957297</v>
      </c>
      <c r="O1255">
        <v>58.178971062544498</v>
      </c>
      <c r="P1255">
        <v>-0.15122245648015201</v>
      </c>
      <c r="Q1255">
        <v>0.13791618259973401</v>
      </c>
      <c r="R1255">
        <v>0.86373427112960399</v>
      </c>
      <c r="S1255" t="s">
        <v>7081</v>
      </c>
      <c r="T1255" t="s">
        <v>11650</v>
      </c>
      <c r="U1255" t="s">
        <v>11650</v>
      </c>
      <c r="V1255" t="s">
        <v>11650</v>
      </c>
      <c r="W1255" t="s">
        <v>12878</v>
      </c>
      <c r="X1255">
        <v>12</v>
      </c>
      <c r="Y1255" t="s">
        <v>18629</v>
      </c>
      <c r="Z1255" t="s">
        <v>24317</v>
      </c>
      <c r="AA1255">
        <v>0.66758302393769342</v>
      </c>
      <c r="AB1255" t="str">
        <f>HYPERLINK("Melting_Curves/meltCurve_O14936_3_CASK.pdf", "Melting_Curves/meltCurve_O14936_3_CASK.pdf")</f>
        <v>Melting_Curves/meltCurve_O14936_3_CASK.pdf</v>
      </c>
    </row>
    <row r="1256" spans="1:28" x14ac:dyDescent="0.25">
      <c r="A1256" t="s">
        <v>1260</v>
      </c>
      <c r="B1256">
        <v>0.99996721820229495</v>
      </c>
      <c r="C1256">
        <v>0.69103307453910401</v>
      </c>
      <c r="D1256">
        <v>0.69616753777885998</v>
      </c>
      <c r="E1256">
        <v>1.3727922649062401</v>
      </c>
      <c r="F1256">
        <v>1.8425933681050599</v>
      </c>
      <c r="G1256">
        <v>1.2343686639075999</v>
      </c>
      <c r="H1256">
        <v>1.55873558404544</v>
      </c>
      <c r="I1256">
        <v>1.21154254567249</v>
      </c>
      <c r="J1256">
        <v>0.79522963474073505</v>
      </c>
      <c r="K1256">
        <v>0.77484538703306705</v>
      </c>
      <c r="L1256">
        <v>15000</v>
      </c>
      <c r="M1256">
        <v>226.12885524322999</v>
      </c>
      <c r="O1256">
        <v>66.328673690100004</v>
      </c>
      <c r="P1256">
        <v>-0.19234903886794899</v>
      </c>
      <c r="Q1256">
        <v>0.77431882621417603</v>
      </c>
      <c r="R1256">
        <v>-3.27946553941234E-2</v>
      </c>
      <c r="S1256" t="s">
        <v>7082</v>
      </c>
      <c r="T1256" t="s">
        <v>11650</v>
      </c>
      <c r="U1256" t="s">
        <v>11650</v>
      </c>
      <c r="V1256" t="s">
        <v>11650</v>
      </c>
      <c r="W1256" t="s">
        <v>12879</v>
      </c>
      <c r="X1256">
        <v>6</v>
      </c>
      <c r="Y1256" t="s">
        <v>18630</v>
      </c>
      <c r="Z1256" t="s">
        <v>24318</v>
      </c>
      <c r="AA1256">
        <v>0.97245280927125854</v>
      </c>
      <c r="AB1256" t="str">
        <f>HYPERLINK("Melting_Curves/meltCurve_O14949_UQCRQ.pdf", "Melting_Curves/meltCurve_O14949_UQCRQ.pdf")</f>
        <v>Melting_Curves/meltCurve_O14949_UQCRQ.pdf</v>
      </c>
    </row>
    <row r="1257" spans="1:28" x14ac:dyDescent="0.25">
      <c r="A1257" t="s">
        <v>1261</v>
      </c>
      <c r="B1257">
        <v>0.99996721820229495</v>
      </c>
      <c r="C1257">
        <v>0.98426737457302704</v>
      </c>
      <c r="D1257">
        <v>0.94795880499255403</v>
      </c>
      <c r="E1257">
        <v>0.98303449169076995</v>
      </c>
      <c r="F1257">
        <v>0.42159779708692502</v>
      </c>
      <c r="G1257">
        <v>0.31497415476750601</v>
      </c>
      <c r="H1257">
        <v>0.18796779195816299</v>
      </c>
      <c r="I1257">
        <v>0.13046874337014899</v>
      </c>
      <c r="J1257">
        <v>0.104371950030129</v>
      </c>
      <c r="K1257">
        <v>8.9981128985018102E-2</v>
      </c>
      <c r="L1257">
        <v>3338.36194366157</v>
      </c>
      <c r="M1257">
        <v>63.749123968067202</v>
      </c>
      <c r="N1257">
        <v>52.694527308899502</v>
      </c>
      <c r="O1257">
        <v>52.315728757466502</v>
      </c>
      <c r="P1257">
        <v>-0.25482522010784903</v>
      </c>
      <c r="Q1257">
        <v>0.16351093545898901</v>
      </c>
      <c r="R1257">
        <v>0.97647545466967201</v>
      </c>
      <c r="S1257" t="s">
        <v>7083</v>
      </c>
      <c r="T1257" t="s">
        <v>11650</v>
      </c>
      <c r="U1257" t="s">
        <v>11650</v>
      </c>
      <c r="V1257" t="s">
        <v>11650</v>
      </c>
      <c r="W1257" t="s">
        <v>12880</v>
      </c>
      <c r="X1257">
        <v>29</v>
      </c>
      <c r="Y1257" t="s">
        <v>18631</v>
      </c>
      <c r="Z1257" t="s">
        <v>24319</v>
      </c>
      <c r="AA1257">
        <v>0.50953074593952541</v>
      </c>
      <c r="AB1257" t="str">
        <f>HYPERLINK("Melting_Curves/meltCurve_O14964_HGS.pdf", "Melting_Curves/meltCurve_O14964_HGS.pdf")</f>
        <v>Melting_Curves/meltCurve_O14964_HGS.pdf</v>
      </c>
    </row>
    <row r="1258" spans="1:28" x14ac:dyDescent="0.25">
      <c r="A1258" t="s">
        <v>1262</v>
      </c>
      <c r="B1258">
        <v>0.99996721820229495</v>
      </c>
      <c r="C1258">
        <v>0.72683667083741299</v>
      </c>
      <c r="D1258">
        <v>0.71922329359805903</v>
      </c>
      <c r="E1258">
        <v>0.65883414240535298</v>
      </c>
      <c r="F1258">
        <v>0.47651487780694102</v>
      </c>
      <c r="G1258">
        <v>0.22642586041012899</v>
      </c>
      <c r="H1258">
        <v>0.13970658027503699</v>
      </c>
      <c r="I1258">
        <v>9.4508274408223805E-2</v>
      </c>
      <c r="J1258">
        <v>7.3277185124203198E-2</v>
      </c>
      <c r="K1258">
        <v>6.0950702050268903E-2</v>
      </c>
      <c r="L1258">
        <v>501.43691623180501</v>
      </c>
      <c r="M1258">
        <v>9.7846737939092208</v>
      </c>
      <c r="N1258">
        <v>51.247161256724603</v>
      </c>
      <c r="O1258">
        <v>49.244154521827603</v>
      </c>
      <c r="P1258">
        <v>-4.9700550570892101E-2</v>
      </c>
      <c r="Q1258">
        <v>0</v>
      </c>
      <c r="R1258">
        <v>0.95948943465456304</v>
      </c>
      <c r="S1258" t="s">
        <v>7084</v>
      </c>
      <c r="T1258" t="s">
        <v>11650</v>
      </c>
      <c r="U1258" t="s">
        <v>11650</v>
      </c>
      <c r="V1258" t="s">
        <v>11650</v>
      </c>
      <c r="W1258" t="s">
        <v>12881</v>
      </c>
      <c r="X1258">
        <v>6</v>
      </c>
      <c r="Y1258" t="s">
        <v>18632</v>
      </c>
      <c r="Z1258" t="s">
        <v>24320</v>
      </c>
      <c r="AA1258">
        <v>0.41667422362848161</v>
      </c>
      <c r="AB1258" t="str">
        <f>HYPERLINK("Melting_Curves/meltCurve_O14966_RAB7L1.pdf", "Melting_Curves/meltCurve_O14966_RAB7L1.pdf")</f>
        <v>Melting_Curves/meltCurve_O14966_RAB7L1.pdf</v>
      </c>
    </row>
    <row r="1259" spans="1:28" x14ac:dyDescent="0.25">
      <c r="A1259" t="s">
        <v>1263</v>
      </c>
      <c r="B1259">
        <v>0.99996721820229495</v>
      </c>
      <c r="C1259">
        <v>0.96521737067512903</v>
      </c>
      <c r="D1259">
        <v>0.76089111183250102</v>
      </c>
      <c r="E1259">
        <v>0.35406728013649702</v>
      </c>
      <c r="F1259">
        <v>0.313165058381703</v>
      </c>
      <c r="G1259">
        <v>0.31459150059473501</v>
      </c>
      <c r="H1259">
        <v>0.19454906876147801</v>
      </c>
      <c r="I1259">
        <v>0.12924248615189399</v>
      </c>
      <c r="J1259">
        <v>7.9430436924277106E-2</v>
      </c>
      <c r="K1259">
        <v>8.4242091861988597E-2</v>
      </c>
      <c r="L1259">
        <v>864.70653510551097</v>
      </c>
      <c r="M1259">
        <v>17.916976882949601</v>
      </c>
      <c r="N1259">
        <v>49.138183938869297</v>
      </c>
      <c r="O1259">
        <v>47.672691988831303</v>
      </c>
      <c r="P1259">
        <v>-8.1113100613548206E-2</v>
      </c>
      <c r="Q1259">
        <v>0.13675491298519599</v>
      </c>
      <c r="R1259">
        <v>0.96871401991879003</v>
      </c>
      <c r="S1259" t="s">
        <v>7085</v>
      </c>
      <c r="T1259" t="s">
        <v>11650</v>
      </c>
      <c r="U1259" t="s">
        <v>11650</v>
      </c>
      <c r="V1259" t="s">
        <v>11650</v>
      </c>
      <c r="W1259" t="s">
        <v>12882</v>
      </c>
      <c r="X1259">
        <v>7</v>
      </c>
      <c r="Y1259" t="s">
        <v>18633</v>
      </c>
      <c r="Z1259" t="s">
        <v>24321</v>
      </c>
      <c r="AA1259">
        <v>0.38983649385089608</v>
      </c>
      <c r="AB1259" t="str">
        <f>HYPERLINK("Melting_Curves/meltCurve_O14967_CLGN.pdf", "Melting_Curves/meltCurve_O14967_CLGN.pdf")</f>
        <v>Melting_Curves/meltCurve_O14967_CLGN.pdf</v>
      </c>
    </row>
    <row r="1260" spans="1:28" x14ac:dyDescent="0.25">
      <c r="A1260" t="s">
        <v>1264</v>
      </c>
      <c r="B1260">
        <v>0.99996721820229495</v>
      </c>
      <c r="C1260">
        <v>1.0201375715633401</v>
      </c>
      <c r="D1260">
        <v>0.98848472051399905</v>
      </c>
      <c r="E1260">
        <v>0.86319811921628098</v>
      </c>
      <c r="F1260">
        <v>0.77080062678597405</v>
      </c>
      <c r="G1260">
        <v>0.81468622060809004</v>
      </c>
      <c r="H1260">
        <v>0.59898524901249905</v>
      </c>
      <c r="I1260">
        <v>0.49125520821013602</v>
      </c>
      <c r="J1260">
        <v>0.44209394654386103</v>
      </c>
      <c r="K1260">
        <v>0.32559532689223702</v>
      </c>
      <c r="L1260">
        <v>505.28723339396799</v>
      </c>
      <c r="M1260">
        <v>7.8587450264201397</v>
      </c>
      <c r="N1260">
        <v>64.296172172791699</v>
      </c>
      <c r="O1260">
        <v>60.532061518496597</v>
      </c>
      <c r="P1260">
        <v>-3.2496189104815498E-2</v>
      </c>
      <c r="Q1260">
        <v>0</v>
      </c>
      <c r="R1260">
        <v>0.96964634733370803</v>
      </c>
      <c r="S1260" t="s">
        <v>7086</v>
      </c>
      <c r="T1260" t="s">
        <v>11650</v>
      </c>
      <c r="U1260" t="s">
        <v>11650</v>
      </c>
      <c r="V1260" t="s">
        <v>11650</v>
      </c>
      <c r="W1260" t="s">
        <v>12883</v>
      </c>
      <c r="X1260">
        <v>43</v>
      </c>
      <c r="Y1260" t="s">
        <v>18634</v>
      </c>
      <c r="Z1260" t="s">
        <v>24322</v>
      </c>
      <c r="AA1260">
        <v>0.74242512253208048</v>
      </c>
      <c r="AB1260" t="str">
        <f>HYPERLINK("Melting_Curves/meltCurve_O14974_PPP1R12A.pdf", "Melting_Curves/meltCurve_O14974_PPP1R12A.pdf")</f>
        <v>Melting_Curves/meltCurve_O14974_PPP1R12A.pdf</v>
      </c>
    </row>
    <row r="1261" spans="1:28" x14ac:dyDescent="0.25">
      <c r="A1261" t="s">
        <v>1265</v>
      </c>
      <c r="B1261">
        <v>0.99996721820229495</v>
      </c>
      <c r="C1261">
        <v>0.85959456194538597</v>
      </c>
      <c r="D1261">
        <v>0.55541804184044696</v>
      </c>
      <c r="E1261">
        <v>0.35958459732570403</v>
      </c>
      <c r="F1261">
        <v>0.35029872828285602</v>
      </c>
      <c r="G1261">
        <v>0.25936707023835498</v>
      </c>
      <c r="H1261">
        <v>0.157703198294845</v>
      </c>
      <c r="I1261">
        <v>9.7026724657346797E-2</v>
      </c>
      <c r="J1261">
        <v>9.5455282924308701E-2</v>
      </c>
      <c r="K1261">
        <v>5.78591087146672E-2</v>
      </c>
      <c r="L1261">
        <v>590.35355233866699</v>
      </c>
      <c r="M1261">
        <v>12.408670743345001</v>
      </c>
      <c r="N1261">
        <v>48.301670363538797</v>
      </c>
      <c r="O1261">
        <v>46.390931316444998</v>
      </c>
      <c r="P1261">
        <v>-6.1195678707404E-2</v>
      </c>
      <c r="Q1261">
        <v>8.5051522521294803E-2</v>
      </c>
      <c r="R1261">
        <v>0.969224541960923</v>
      </c>
      <c r="S1261" t="s">
        <v>7087</v>
      </c>
      <c r="T1261" t="s">
        <v>11650</v>
      </c>
      <c r="U1261" t="s">
        <v>11650</v>
      </c>
      <c r="V1261" t="s">
        <v>11650</v>
      </c>
      <c r="W1261" t="s">
        <v>12884</v>
      </c>
      <c r="X1261">
        <v>12</v>
      </c>
      <c r="Y1261" t="s">
        <v>18635</v>
      </c>
      <c r="Z1261" t="s">
        <v>24323</v>
      </c>
      <c r="AA1261">
        <v>0.35077787240071789</v>
      </c>
      <c r="AB1261" t="str">
        <f>HYPERLINK("Melting_Curves/meltCurve_O14976_GAK.pdf", "Melting_Curves/meltCurve_O14976_GAK.pdf")</f>
        <v>Melting_Curves/meltCurve_O14976_GAK.pdf</v>
      </c>
    </row>
    <row r="1262" spans="1:28" x14ac:dyDescent="0.25">
      <c r="A1262" t="s">
        <v>1266</v>
      </c>
      <c r="B1262">
        <v>0.99996721820229495</v>
      </c>
      <c r="C1262">
        <v>1.0702259525082201</v>
      </c>
      <c r="D1262">
        <v>1.1584346382161701</v>
      </c>
      <c r="E1262">
        <v>1.4109078135356501</v>
      </c>
      <c r="F1262">
        <v>2.0537569844236701</v>
      </c>
      <c r="G1262">
        <v>2.7062138781736902</v>
      </c>
      <c r="H1262">
        <v>2.5831798382139102</v>
      </c>
      <c r="I1262">
        <v>3.0546829492768701</v>
      </c>
      <c r="J1262">
        <v>1.68448658253022</v>
      </c>
      <c r="K1262">
        <v>1.6087400399068701</v>
      </c>
      <c r="L1262">
        <v>2271.6956276706701</v>
      </c>
      <c r="M1262">
        <v>48.621684370473197</v>
      </c>
      <c r="O1262">
        <v>46.643033169280102</v>
      </c>
      <c r="P1262">
        <v>0.13030277421108299</v>
      </c>
      <c r="Q1262">
        <v>1.5</v>
      </c>
      <c r="R1262">
        <v>-0.115670788525709</v>
      </c>
      <c r="S1262" t="s">
        <v>7088</v>
      </c>
      <c r="T1262" t="s">
        <v>11650</v>
      </c>
      <c r="U1262" t="s">
        <v>11650</v>
      </c>
      <c r="V1262" t="s">
        <v>11650</v>
      </c>
      <c r="W1262" t="s">
        <v>12885</v>
      </c>
      <c r="X1262">
        <v>10</v>
      </c>
      <c r="Y1262" t="s">
        <v>18636</v>
      </c>
      <c r="Z1262" t="s">
        <v>24324</v>
      </c>
      <c r="AA1262">
        <v>1.386875696633467</v>
      </c>
      <c r="AB1262" t="str">
        <f>HYPERLINK("Melting_Curves/meltCurve_O14979_HNRPDL.pdf", "Melting_Curves/meltCurve_O14979_HNRPDL.pdf")</f>
        <v>Melting_Curves/meltCurve_O14979_HNRPDL.pdf</v>
      </c>
    </row>
    <row r="1263" spans="1:28" x14ac:dyDescent="0.25">
      <c r="A1263" t="s">
        <v>1267</v>
      </c>
      <c r="B1263">
        <v>0.99996721820229495</v>
      </c>
      <c r="C1263">
        <v>1.11971949824335</v>
      </c>
      <c r="D1263">
        <v>1.1487933302362801</v>
      </c>
      <c r="E1263">
        <v>0.892405462771104</v>
      </c>
      <c r="F1263">
        <v>0.37524132066339799</v>
      </c>
      <c r="G1263">
        <v>0.35067051349651102</v>
      </c>
      <c r="H1263">
        <v>0.21618654592706801</v>
      </c>
      <c r="I1263">
        <v>0.161457456759241</v>
      </c>
      <c r="J1263">
        <v>0.114988410503674</v>
      </c>
      <c r="K1263">
        <v>8.6869659405439101E-2</v>
      </c>
      <c r="L1263">
        <v>2461.5491199564399</v>
      </c>
      <c r="M1263">
        <v>47.472150357430202</v>
      </c>
      <c r="N1263">
        <v>52.346466192461001</v>
      </c>
      <c r="O1263">
        <v>51.760722578239502</v>
      </c>
      <c r="P1263">
        <v>-0.18789103078169</v>
      </c>
      <c r="Q1263">
        <v>0.180541373595693</v>
      </c>
      <c r="R1263">
        <v>0.95536061737453604</v>
      </c>
      <c r="S1263" t="s">
        <v>7089</v>
      </c>
      <c r="T1263" t="s">
        <v>11650</v>
      </c>
      <c r="U1263" t="s">
        <v>11650</v>
      </c>
      <c r="V1263" t="s">
        <v>11650</v>
      </c>
      <c r="W1263" t="s">
        <v>12886</v>
      </c>
      <c r="X1263">
        <v>27</v>
      </c>
      <c r="Y1263" t="s">
        <v>18637</v>
      </c>
      <c r="Z1263" t="s">
        <v>24325</v>
      </c>
      <c r="AA1263">
        <v>0.50637575429573434</v>
      </c>
      <c r="AB1263" t="str">
        <f>HYPERLINK("Melting_Curves/meltCurve_O14980_XPO1.pdf", "Melting_Curves/meltCurve_O14980_XPO1.pdf")</f>
        <v>Melting_Curves/meltCurve_O14980_XPO1.pdf</v>
      </c>
    </row>
    <row r="1264" spans="1:28" x14ac:dyDescent="0.25">
      <c r="A1264" t="s">
        <v>1268</v>
      </c>
      <c r="B1264">
        <v>0.99996721820229495</v>
      </c>
      <c r="C1264">
        <v>1.05902107722193</v>
      </c>
      <c r="D1264">
        <v>0.91697043184574201</v>
      </c>
      <c r="E1264">
        <v>0.66214378763185899</v>
      </c>
      <c r="F1264">
        <v>0.292861106355574</v>
      </c>
      <c r="G1264">
        <v>0.27281869947625498</v>
      </c>
      <c r="H1264">
        <v>0.220076012462914</v>
      </c>
      <c r="I1264">
        <v>0.21455240716462901</v>
      </c>
      <c r="J1264">
        <v>0</v>
      </c>
      <c r="K1264">
        <v>0.20435172955970099</v>
      </c>
      <c r="L1264">
        <v>1387.2814627544899</v>
      </c>
      <c r="M1264">
        <v>27.4914850988872</v>
      </c>
      <c r="N1264">
        <v>51.218306931171703</v>
      </c>
      <c r="O1264">
        <v>50.1974825590855</v>
      </c>
      <c r="P1264">
        <v>-0.11408168579429501</v>
      </c>
      <c r="Q1264">
        <v>0.16678773607259301</v>
      </c>
      <c r="R1264">
        <v>0.96510015771146895</v>
      </c>
      <c r="S1264" t="s">
        <v>7090</v>
      </c>
      <c r="T1264" t="s">
        <v>11650</v>
      </c>
      <c r="U1264" t="s">
        <v>11650</v>
      </c>
      <c r="V1264" t="s">
        <v>11650</v>
      </c>
      <c r="W1264" t="s">
        <v>12887</v>
      </c>
      <c r="X1264">
        <v>1</v>
      </c>
      <c r="Y1264" t="s">
        <v>18638</v>
      </c>
      <c r="Z1264" t="s">
        <v>24326</v>
      </c>
      <c r="AA1264">
        <v>0.46355185042044023</v>
      </c>
      <c r="AB1264" t="str">
        <f>HYPERLINK("Melting_Curves/meltCurve_O14981_BTAF1.pdf", "Melting_Curves/meltCurve_O14981_BTAF1.pdf")</f>
        <v>Melting_Curves/meltCurve_O14981_BTAF1.pdf</v>
      </c>
    </row>
    <row r="1265" spans="1:28" x14ac:dyDescent="0.25">
      <c r="A1265" t="s">
        <v>1269</v>
      </c>
      <c r="B1265">
        <v>0.99996721820229495</v>
      </c>
      <c r="C1265">
        <v>0.90274805456970497</v>
      </c>
      <c r="D1265">
        <v>0.68218288616140799</v>
      </c>
      <c r="E1265">
        <v>0.72021813642180699</v>
      </c>
      <c r="F1265">
        <v>1.04800242857312</v>
      </c>
      <c r="G1265">
        <v>0.74632050472682299</v>
      </c>
      <c r="H1265">
        <v>0.51488892962462895</v>
      </c>
      <c r="I1265">
        <v>0.359151566063661</v>
      </c>
      <c r="J1265">
        <v>0.44410289528605001</v>
      </c>
      <c r="K1265">
        <v>0.24994165892722101</v>
      </c>
      <c r="L1265">
        <v>446.13978219261702</v>
      </c>
      <c r="M1265">
        <v>7.1492103939210896</v>
      </c>
      <c r="N1265">
        <v>62.404063732084602</v>
      </c>
      <c r="O1265">
        <v>58.074758372393902</v>
      </c>
      <c r="P1265">
        <v>-3.0828700613967999E-2</v>
      </c>
      <c r="Q1265">
        <v>0</v>
      </c>
      <c r="R1265">
        <v>0.72967174154818104</v>
      </c>
      <c r="S1265" t="s">
        <v>7091</v>
      </c>
      <c r="T1265" t="s">
        <v>11650</v>
      </c>
      <c r="U1265" t="s">
        <v>11650</v>
      </c>
      <c r="V1265" t="s">
        <v>11650</v>
      </c>
      <c r="W1265" t="s">
        <v>12888</v>
      </c>
      <c r="X1265">
        <v>18</v>
      </c>
      <c r="Y1265" t="s">
        <v>18377</v>
      </c>
      <c r="Z1265" t="s">
        <v>24327</v>
      </c>
      <c r="AA1265">
        <v>0.6957200047175196</v>
      </c>
      <c r="AB1265" t="str">
        <f>HYPERLINK("Melting_Curves/meltCurve_O15027_5_SEC16A.pdf", "Melting_Curves/meltCurve_O15027_5_SEC16A.pdf")</f>
        <v>Melting_Curves/meltCurve_O15027_5_SEC16A.pdf</v>
      </c>
    </row>
    <row r="1266" spans="1:28" x14ac:dyDescent="0.25">
      <c r="A1266" t="s">
        <v>1270</v>
      </c>
      <c r="B1266">
        <v>0.99996721820229495</v>
      </c>
      <c r="C1266">
        <v>0.95887677073598299</v>
      </c>
      <c r="D1266">
        <v>1.14610014333466</v>
      </c>
      <c r="E1266">
        <v>1.4787158901255699</v>
      </c>
      <c r="F1266">
        <v>1.0404515170668001</v>
      </c>
      <c r="G1266">
        <v>1.19609086363176</v>
      </c>
      <c r="H1266">
        <v>0.79967938396501603</v>
      </c>
      <c r="I1266">
        <v>0.54591742072923299</v>
      </c>
      <c r="J1266">
        <v>0.36106876470253502</v>
      </c>
      <c r="K1266">
        <v>0.42351884788216498</v>
      </c>
      <c r="L1266">
        <v>3104.93829300374</v>
      </c>
      <c r="M1266">
        <v>49.9473813340677</v>
      </c>
      <c r="N1266">
        <v>64.162415136270099</v>
      </c>
      <c r="O1266">
        <v>62.064781164862801</v>
      </c>
      <c r="P1266">
        <v>-0.121828819242623</v>
      </c>
      <c r="Q1266">
        <v>0.39446096432109501</v>
      </c>
      <c r="R1266">
        <v>0.74313540180884596</v>
      </c>
      <c r="S1266" t="s">
        <v>7092</v>
      </c>
      <c r="T1266" t="s">
        <v>11650</v>
      </c>
      <c r="U1266" t="s">
        <v>11650</v>
      </c>
      <c r="V1266" t="s">
        <v>11650</v>
      </c>
      <c r="W1266" t="s">
        <v>12889</v>
      </c>
      <c r="X1266">
        <v>34</v>
      </c>
      <c r="Y1266" t="s">
        <v>18639</v>
      </c>
      <c r="Z1266" t="s">
        <v>24328</v>
      </c>
      <c r="AA1266">
        <v>0.84337654266244122</v>
      </c>
      <c r="AB1266" t="str">
        <f>HYPERLINK("Melting_Curves/meltCurve_O15031_PLXNB2.pdf", "Melting_Curves/meltCurve_O15031_PLXNB2.pdf")</f>
        <v>Melting_Curves/meltCurve_O15031_PLXNB2.pdf</v>
      </c>
    </row>
    <row r="1267" spans="1:28" x14ac:dyDescent="0.25">
      <c r="A1267" t="s">
        <v>1271</v>
      </c>
      <c r="B1267">
        <v>0.99996721820229495</v>
      </c>
      <c r="C1267">
        <v>1.0645501020919299</v>
      </c>
      <c r="D1267">
        <v>0.70326516828756602</v>
      </c>
      <c r="E1267">
        <v>0.408717557806762</v>
      </c>
      <c r="F1267">
        <v>0.364856317504964</v>
      </c>
      <c r="G1267">
        <v>0.28998783312929</v>
      </c>
      <c r="H1267">
        <v>0.121327281027786</v>
      </c>
      <c r="I1267">
        <v>6.8111179399856406E-2</v>
      </c>
      <c r="J1267">
        <v>5.8748031897866301E-2</v>
      </c>
      <c r="K1267">
        <v>6.1238702370177603E-2</v>
      </c>
      <c r="L1267">
        <v>725.11822410974105</v>
      </c>
      <c r="M1267">
        <v>14.675009889871101</v>
      </c>
      <c r="N1267">
        <v>49.9118852746426</v>
      </c>
      <c r="O1267">
        <v>48.521434901039903</v>
      </c>
      <c r="P1267">
        <v>-7.0449082156131895E-2</v>
      </c>
      <c r="Q1267">
        <v>6.8371487430128206E-2</v>
      </c>
      <c r="R1267">
        <v>0.96109737609666901</v>
      </c>
      <c r="S1267" t="s">
        <v>7093</v>
      </c>
      <c r="T1267" t="s">
        <v>11650</v>
      </c>
      <c r="U1267" t="s">
        <v>11650</v>
      </c>
      <c r="V1267" t="s">
        <v>11650</v>
      </c>
      <c r="W1267" t="s">
        <v>12890</v>
      </c>
      <c r="X1267">
        <v>3</v>
      </c>
      <c r="Y1267" t="s">
        <v>18640</v>
      </c>
      <c r="Z1267" t="s">
        <v>24329</v>
      </c>
      <c r="AA1267">
        <v>0.38422861288627502</v>
      </c>
      <c r="AB1267" t="str">
        <f>HYPERLINK("Melting_Curves/meltCurve_O15037_KHNYN.pdf", "Melting_Curves/meltCurve_O15037_KHNYN.pdf")</f>
        <v>Melting_Curves/meltCurve_O15037_KHNYN.pdf</v>
      </c>
    </row>
    <row r="1268" spans="1:28" x14ac:dyDescent="0.25">
      <c r="A1268" t="s">
        <v>1272</v>
      </c>
      <c r="B1268">
        <v>0.99996721820229495</v>
      </c>
      <c r="C1268">
        <v>1.0550706794321301</v>
      </c>
      <c r="D1268">
        <v>1.09271816854534</v>
      </c>
      <c r="E1268">
        <v>1.1336327937806301</v>
      </c>
      <c r="F1268">
        <v>1.30793944220762</v>
      </c>
      <c r="G1268">
        <v>0.97008588648289995</v>
      </c>
      <c r="H1268">
        <v>0.39266418477903098</v>
      </c>
      <c r="I1268">
        <v>0.235673802273906</v>
      </c>
      <c r="J1268">
        <v>0.18574418987213001</v>
      </c>
      <c r="K1268">
        <v>0.118774409505327</v>
      </c>
      <c r="L1268">
        <v>3430.9140618298302</v>
      </c>
      <c r="M1268">
        <v>57.192638650686</v>
      </c>
      <c r="N1268">
        <v>60.426181525418102</v>
      </c>
      <c r="O1268">
        <v>59.915514756201503</v>
      </c>
      <c r="P1268">
        <v>-0.198185771970813</v>
      </c>
      <c r="Q1268">
        <v>0.16951557535749501</v>
      </c>
      <c r="R1268">
        <v>0.93146153397773601</v>
      </c>
      <c r="S1268" t="s">
        <v>7094</v>
      </c>
      <c r="T1268" t="s">
        <v>11650</v>
      </c>
      <c r="U1268" t="s">
        <v>11650</v>
      </c>
      <c r="V1268" t="s">
        <v>11650</v>
      </c>
      <c r="W1268" t="s">
        <v>12891</v>
      </c>
      <c r="X1268">
        <v>9</v>
      </c>
      <c r="Y1268" t="s">
        <v>18641</v>
      </c>
      <c r="Z1268" t="s">
        <v>24330</v>
      </c>
      <c r="AA1268">
        <v>0.7245258177956202</v>
      </c>
      <c r="AB1268" t="str">
        <f>HYPERLINK("Melting_Curves/meltCurve_O15040_TECPR2.pdf", "Melting_Curves/meltCurve_O15040_TECPR2.pdf")</f>
        <v>Melting_Curves/meltCurve_O15040_TECPR2.pdf</v>
      </c>
    </row>
    <row r="1269" spans="1:28" x14ac:dyDescent="0.25">
      <c r="A1269" t="s">
        <v>1273</v>
      </c>
      <c r="B1269">
        <v>0.99996721820229495</v>
      </c>
      <c r="C1269">
        <v>1.0738755389416701</v>
      </c>
      <c r="D1269">
        <v>1.11959594307663</v>
      </c>
      <c r="E1269">
        <v>1.1680891594937399</v>
      </c>
      <c r="F1269">
        <v>1.62294802404225</v>
      </c>
      <c r="G1269">
        <v>1.57170054600392</v>
      </c>
      <c r="H1269">
        <v>1.17543950455959</v>
      </c>
      <c r="I1269">
        <v>1.01150364464894</v>
      </c>
      <c r="J1269">
        <v>0.76304134470582197</v>
      </c>
      <c r="K1269">
        <v>0.60584550461682696</v>
      </c>
      <c r="L1269">
        <v>15000</v>
      </c>
      <c r="M1269">
        <v>224.29085119407301</v>
      </c>
      <c r="O1269">
        <v>66.872132267391706</v>
      </c>
      <c r="P1269">
        <v>-0.33051661473249799</v>
      </c>
      <c r="Q1269">
        <v>0.605826976688698</v>
      </c>
      <c r="R1269">
        <v>9.9640054373858394E-2</v>
      </c>
      <c r="S1269" t="s">
        <v>7095</v>
      </c>
      <c r="T1269" t="s">
        <v>11650</v>
      </c>
      <c r="U1269" t="s">
        <v>11650</v>
      </c>
      <c r="V1269" t="s">
        <v>11650</v>
      </c>
      <c r="W1269" t="s">
        <v>12892</v>
      </c>
      <c r="X1269">
        <v>2</v>
      </c>
      <c r="Y1269" t="s">
        <v>18642</v>
      </c>
      <c r="Z1269" t="s">
        <v>24331</v>
      </c>
      <c r="AA1269">
        <v>0.95902977470465389</v>
      </c>
      <c r="AB1269" t="str">
        <f>HYPERLINK("Melting_Curves/meltCurve_O15061_SYNM.pdf", "Melting_Curves/meltCurve_O15061_SYNM.pdf")</f>
        <v>Melting_Curves/meltCurve_O15061_SYNM.pdf</v>
      </c>
    </row>
    <row r="1270" spans="1:28" x14ac:dyDescent="0.25">
      <c r="A1270" t="s">
        <v>1274</v>
      </c>
      <c r="B1270">
        <v>0.99996721820229495</v>
      </c>
      <c r="C1270">
        <v>0.93024706540598201</v>
      </c>
      <c r="D1270">
        <v>0.76011588384464202</v>
      </c>
      <c r="E1270">
        <v>0.35600209894715301</v>
      </c>
      <c r="F1270">
        <v>0.333874355523401</v>
      </c>
      <c r="G1270">
        <v>0.35906066275550602</v>
      </c>
      <c r="H1270">
        <v>0.208212399988738</v>
      </c>
      <c r="I1270">
        <v>9.4402562267176804E-2</v>
      </c>
      <c r="J1270">
        <v>6.3360698458292106E-2</v>
      </c>
      <c r="K1270">
        <v>2.42759813549373E-2</v>
      </c>
      <c r="L1270">
        <v>625.19210854014602</v>
      </c>
      <c r="M1270">
        <v>12.697297553682301</v>
      </c>
      <c r="N1270">
        <v>49.836451225039397</v>
      </c>
      <c r="O1270">
        <v>48.064776475334597</v>
      </c>
      <c r="P1270">
        <v>-6.1386145660801097E-2</v>
      </c>
      <c r="Q1270">
        <v>7.0686801174122793E-2</v>
      </c>
      <c r="R1270">
        <v>0.95117926320908797</v>
      </c>
      <c r="S1270" t="s">
        <v>7096</v>
      </c>
      <c r="T1270" t="s">
        <v>11650</v>
      </c>
      <c r="U1270" t="s">
        <v>11650</v>
      </c>
      <c r="V1270" t="s">
        <v>11650</v>
      </c>
      <c r="W1270" t="s">
        <v>12893</v>
      </c>
      <c r="X1270">
        <v>1</v>
      </c>
      <c r="Y1270" t="s">
        <v>18643</v>
      </c>
      <c r="Z1270" t="s">
        <v>24332</v>
      </c>
      <c r="AA1270">
        <v>0.38747063273515658</v>
      </c>
      <c r="AB1270" t="str">
        <f>HYPERLINK("Melting_Curves/meltCurve_O15063_KIAA0355.pdf", "Melting_Curves/meltCurve_O15063_KIAA0355.pdf")</f>
        <v>Melting_Curves/meltCurve_O15063_KIAA0355.pdf</v>
      </c>
    </row>
    <row r="1271" spans="1:28" x14ac:dyDescent="0.25">
      <c r="A1271" t="s">
        <v>1275</v>
      </c>
      <c r="B1271">
        <v>0.99996721820229495</v>
      </c>
      <c r="C1271">
        <v>0.92701149579701503</v>
      </c>
      <c r="D1271">
        <v>0.963132414160216</v>
      </c>
      <c r="E1271">
        <v>1.20418734321323</v>
      </c>
      <c r="F1271">
        <v>0.54629623246732495</v>
      </c>
      <c r="G1271">
        <v>0.48806124642577398</v>
      </c>
      <c r="H1271">
        <v>0.29705269539351598</v>
      </c>
      <c r="I1271">
        <v>0.25289316512369098</v>
      </c>
      <c r="J1271">
        <v>0.19652283469526999</v>
      </c>
      <c r="K1271">
        <v>0.172950331973236</v>
      </c>
      <c r="L1271">
        <v>1494.91738071186</v>
      </c>
      <c r="M1271">
        <v>27.614600070531299</v>
      </c>
      <c r="N1271">
        <v>55.360490597042698</v>
      </c>
      <c r="O1271">
        <v>53.853531700319998</v>
      </c>
      <c r="P1271">
        <v>-9.88799848437458E-2</v>
      </c>
      <c r="Q1271">
        <v>0.22867060760924399</v>
      </c>
      <c r="R1271">
        <v>0.90182206784653796</v>
      </c>
      <c r="S1271" t="s">
        <v>7097</v>
      </c>
      <c r="T1271" t="s">
        <v>11650</v>
      </c>
      <c r="U1271" t="s">
        <v>11650</v>
      </c>
      <c r="V1271" t="s">
        <v>11650</v>
      </c>
      <c r="W1271" t="s">
        <v>12894</v>
      </c>
      <c r="X1271">
        <v>4</v>
      </c>
      <c r="Y1271" t="s">
        <v>18644</v>
      </c>
      <c r="Z1271" t="s">
        <v>24333</v>
      </c>
      <c r="AA1271">
        <v>0.59803730079290252</v>
      </c>
      <c r="AB1271" t="str">
        <f>HYPERLINK("Melting_Curves/meltCurve_O15066_KIF3B.pdf", "Melting_Curves/meltCurve_O15066_KIF3B.pdf")</f>
        <v>Melting_Curves/meltCurve_O15066_KIF3B.pdf</v>
      </c>
    </row>
    <row r="1272" spans="1:28" x14ac:dyDescent="0.25">
      <c r="A1272" t="s">
        <v>1276</v>
      </c>
      <c r="B1272">
        <v>0.99996721820229495</v>
      </c>
      <c r="C1272">
        <v>0.87492076869761304</v>
      </c>
      <c r="D1272">
        <v>0.92980764638892399</v>
      </c>
      <c r="E1272">
        <v>0.515664655288257</v>
      </c>
      <c r="F1272">
        <v>0.26092401078579602</v>
      </c>
      <c r="G1272">
        <v>0.201752053125072</v>
      </c>
      <c r="H1272">
        <v>0.13652384943021201</v>
      </c>
      <c r="I1272">
        <v>9.7966796333791198E-2</v>
      </c>
      <c r="J1272">
        <v>6.8823082498122204E-2</v>
      </c>
      <c r="K1272">
        <v>6.3698455631380102E-2</v>
      </c>
      <c r="L1272">
        <v>1067.8298026933701</v>
      </c>
      <c r="M1272">
        <v>21.427183047451098</v>
      </c>
      <c r="N1272">
        <v>50.304933828221699</v>
      </c>
      <c r="O1272">
        <v>49.4073101989921</v>
      </c>
      <c r="P1272">
        <v>-9.8594934693011102E-2</v>
      </c>
      <c r="Q1272">
        <v>9.0652319308779594E-2</v>
      </c>
      <c r="R1272">
        <v>0.98540969755451002</v>
      </c>
      <c r="S1272" t="s">
        <v>7098</v>
      </c>
      <c r="T1272" t="s">
        <v>11650</v>
      </c>
      <c r="U1272" t="s">
        <v>11650</v>
      </c>
      <c r="V1272" t="s">
        <v>11650</v>
      </c>
      <c r="W1272" t="s">
        <v>12895</v>
      </c>
      <c r="X1272">
        <v>26</v>
      </c>
      <c r="Y1272" t="s">
        <v>18645</v>
      </c>
      <c r="Z1272" t="s">
        <v>24334</v>
      </c>
      <c r="AA1272">
        <v>0.39983015412885642</v>
      </c>
      <c r="AB1272" t="str">
        <f>HYPERLINK("Melting_Curves/meltCurve_O15067_PFAS.pdf", "Melting_Curves/meltCurve_O15067_PFAS.pdf")</f>
        <v>Melting_Curves/meltCurve_O15067_PFAS.pdf</v>
      </c>
    </row>
    <row r="1273" spans="1:28" x14ac:dyDescent="0.25">
      <c r="A1273" t="s">
        <v>1277</v>
      </c>
      <c r="B1273">
        <v>0.99996721820229495</v>
      </c>
      <c r="C1273">
        <v>1.0344598713945199</v>
      </c>
      <c r="D1273">
        <v>0.93756239765892402</v>
      </c>
      <c r="E1273">
        <v>0.91113127460585097</v>
      </c>
      <c r="F1273">
        <v>0.98971653110962698</v>
      </c>
      <c r="G1273">
        <v>1.17394420850593</v>
      </c>
      <c r="H1273">
        <v>0.83464016757211901</v>
      </c>
      <c r="I1273">
        <v>0.58851982944470504</v>
      </c>
      <c r="J1273">
        <v>0.51984002834119802</v>
      </c>
      <c r="K1273">
        <v>0.40632448976719499</v>
      </c>
      <c r="L1273">
        <v>2816.8396871671298</v>
      </c>
      <c r="M1273">
        <v>45.106269711356802</v>
      </c>
      <c r="N1273">
        <v>65.715196086490295</v>
      </c>
      <c r="O1273">
        <v>62.326584205783803</v>
      </c>
      <c r="P1273">
        <v>-0.10007581213735101</v>
      </c>
      <c r="Q1273">
        <v>0.44687283510728198</v>
      </c>
      <c r="R1273">
        <v>0.91008186201499797</v>
      </c>
      <c r="S1273" t="s">
        <v>7099</v>
      </c>
      <c r="T1273" t="s">
        <v>11650</v>
      </c>
      <c r="U1273" t="s">
        <v>11650</v>
      </c>
      <c r="V1273" t="s">
        <v>11650</v>
      </c>
      <c r="W1273" t="s">
        <v>12896</v>
      </c>
      <c r="X1273">
        <v>3</v>
      </c>
      <c r="Y1273" t="s">
        <v>18646</v>
      </c>
      <c r="Z1273" t="s">
        <v>24335</v>
      </c>
      <c r="AA1273">
        <v>0.86239232428490842</v>
      </c>
      <c r="AB1273" t="str">
        <f>HYPERLINK("Melting_Curves/meltCurve_O15069_NACAD.pdf", "Melting_Curves/meltCurve_O15069_NACAD.pdf")</f>
        <v>Melting_Curves/meltCurve_O15069_NACAD.pdf</v>
      </c>
    </row>
    <row r="1274" spans="1:28" x14ac:dyDescent="0.25">
      <c r="A1274" t="s">
        <v>1278</v>
      </c>
      <c r="B1274">
        <v>0.99996721820229495</v>
      </c>
      <c r="C1274">
        <v>0.88802955752250901</v>
      </c>
      <c r="D1274">
        <v>0.79375129578765302</v>
      </c>
      <c r="E1274">
        <v>0.55471012195034497</v>
      </c>
      <c r="F1274">
        <v>0.66513240726297895</v>
      </c>
      <c r="G1274">
        <v>0.55380763388780296</v>
      </c>
      <c r="H1274">
        <v>0.33077639449434199</v>
      </c>
      <c r="I1274">
        <v>0.23950897628603399</v>
      </c>
      <c r="J1274">
        <v>0.18392890500307099</v>
      </c>
      <c r="K1274">
        <v>0.13809600245862499</v>
      </c>
      <c r="L1274">
        <v>411.19619274957898</v>
      </c>
      <c r="M1274">
        <v>7.4308245400995201</v>
      </c>
      <c r="N1274">
        <v>55.3365498583861</v>
      </c>
      <c r="O1274">
        <v>51.7532459595147</v>
      </c>
      <c r="P1274">
        <v>-3.5948863816130501E-2</v>
      </c>
      <c r="Q1274">
        <v>0</v>
      </c>
      <c r="R1274">
        <v>0.94810649656950896</v>
      </c>
      <c r="S1274" t="s">
        <v>7100</v>
      </c>
      <c r="T1274" t="s">
        <v>11650</v>
      </c>
      <c r="U1274" t="s">
        <v>11650</v>
      </c>
      <c r="V1274" t="s">
        <v>11650</v>
      </c>
      <c r="W1274" t="s">
        <v>12897</v>
      </c>
      <c r="X1274">
        <v>5</v>
      </c>
      <c r="Y1274" t="s">
        <v>18647</v>
      </c>
      <c r="Z1274" t="s">
        <v>24336</v>
      </c>
      <c r="AA1274">
        <v>0.53564269336929082</v>
      </c>
      <c r="AB1274" t="str">
        <f>HYPERLINK("Melting_Curves/meltCurve_O15085_ARHGEF11.pdf", "Melting_Curves/meltCurve_O15085_ARHGEF11.pdf")</f>
        <v>Melting_Curves/meltCurve_O15085_ARHGEF11.pdf</v>
      </c>
    </row>
    <row r="1275" spans="1:28" x14ac:dyDescent="0.25">
      <c r="A1275" t="s">
        <v>1279</v>
      </c>
      <c r="B1275">
        <v>0.99996721820229495</v>
      </c>
      <c r="C1275">
        <v>1.0925988240031801</v>
      </c>
      <c r="D1275">
        <v>0.543214016690166</v>
      </c>
      <c r="E1275">
        <v>0.211482286457921</v>
      </c>
      <c r="F1275">
        <v>0.21937540067966499</v>
      </c>
      <c r="G1275">
        <v>0.14705028531556</v>
      </c>
      <c r="H1275">
        <v>8.3016445901242394E-2</v>
      </c>
      <c r="I1275">
        <v>0</v>
      </c>
      <c r="J1275">
        <v>0</v>
      </c>
      <c r="K1275">
        <v>0</v>
      </c>
      <c r="S1275" t="s">
        <v>7101</v>
      </c>
      <c r="T1275" t="s">
        <v>11650</v>
      </c>
      <c r="U1275" t="s">
        <v>11651</v>
      </c>
      <c r="V1275" t="s">
        <v>11650</v>
      </c>
      <c r="W1275" t="s">
        <v>12898</v>
      </c>
      <c r="X1275">
        <v>3</v>
      </c>
      <c r="Y1275" t="s">
        <v>18648</v>
      </c>
      <c r="Z1275" t="s">
        <v>24337</v>
      </c>
      <c r="AB1275" t="str">
        <f>HYPERLINK("Melting_Curves/meltCurve_O15111_CHUK.pdf", "Melting_Curves/meltCurve_O15111_CHUK.pdf")</f>
        <v>Melting_Curves/meltCurve_O15111_CHUK.pdf</v>
      </c>
    </row>
    <row r="1276" spans="1:28" x14ac:dyDescent="0.25">
      <c r="A1276" t="s">
        <v>1280</v>
      </c>
      <c r="B1276">
        <v>0.99996721820229495</v>
      </c>
      <c r="C1276">
        <v>0.95288811826100495</v>
      </c>
      <c r="D1276">
        <v>0.96412270379648202</v>
      </c>
      <c r="E1276">
        <v>1.0282425778458699</v>
      </c>
      <c r="F1276">
        <v>1.7456556763667901</v>
      </c>
      <c r="G1276">
        <v>1.7427623800465499</v>
      </c>
      <c r="H1276">
        <v>1.2422763838275499</v>
      </c>
      <c r="I1276">
        <v>1.09586968493089</v>
      </c>
      <c r="J1276">
        <v>0.75462046524633697</v>
      </c>
      <c r="K1276">
        <v>0.52604898933470101</v>
      </c>
      <c r="L1276">
        <v>15000</v>
      </c>
      <c r="M1276">
        <v>223.95131284798899</v>
      </c>
      <c r="O1276">
        <v>66.973526798078197</v>
      </c>
      <c r="P1276">
        <v>-0.39623643852768298</v>
      </c>
      <c r="Q1276">
        <v>0.526015867971111</v>
      </c>
      <c r="R1276">
        <v>0.12856449998255501</v>
      </c>
      <c r="S1276" t="s">
        <v>7102</v>
      </c>
      <c r="T1276" t="s">
        <v>11650</v>
      </c>
      <c r="U1276" t="s">
        <v>11650</v>
      </c>
      <c r="V1276" t="s">
        <v>11650</v>
      </c>
      <c r="W1276" t="s">
        <v>12899</v>
      </c>
      <c r="X1276">
        <v>4</v>
      </c>
      <c r="Y1276" t="s">
        <v>18649</v>
      </c>
      <c r="Z1276" t="s">
        <v>24338</v>
      </c>
      <c r="AA1276">
        <v>0.95233643326682682</v>
      </c>
      <c r="AB1276" t="str">
        <f>HYPERLINK("Melting_Curves/meltCurve_O15116_LSM1.pdf", "Melting_Curves/meltCurve_O15116_LSM1.pdf")</f>
        <v>Melting_Curves/meltCurve_O15116_LSM1.pdf</v>
      </c>
    </row>
    <row r="1277" spans="1:28" x14ac:dyDescent="0.25">
      <c r="A1277" t="s">
        <v>1281</v>
      </c>
      <c r="B1277">
        <v>0.99996721820229495</v>
      </c>
      <c r="C1277">
        <v>0.86719860817972905</v>
      </c>
      <c r="D1277">
        <v>1.01339038785962</v>
      </c>
      <c r="E1277">
        <v>1.2503841829442499</v>
      </c>
      <c r="F1277">
        <v>1.61704266623068</v>
      </c>
      <c r="G1277">
        <v>1.8700073663966299</v>
      </c>
      <c r="H1277">
        <v>1.5945921248199499</v>
      </c>
      <c r="I1277">
        <v>0.98358602863227795</v>
      </c>
      <c r="J1277">
        <v>0.42457005141621901</v>
      </c>
      <c r="K1277">
        <v>0.55914679062486705</v>
      </c>
      <c r="L1277">
        <v>15000</v>
      </c>
      <c r="M1277">
        <v>231.06526208043701</v>
      </c>
      <c r="N1277">
        <v>66.089566997779997</v>
      </c>
      <c r="O1277">
        <v>64.9118663606789</v>
      </c>
      <c r="P1277">
        <v>-0.45232998345935899</v>
      </c>
      <c r="Q1277">
        <v>0.49171794918189499</v>
      </c>
      <c r="R1277">
        <v>0.19273420313881301</v>
      </c>
      <c r="S1277" t="s">
        <v>7103</v>
      </c>
      <c r="T1277" t="s">
        <v>11650</v>
      </c>
      <c r="U1277" t="s">
        <v>11650</v>
      </c>
      <c r="V1277" t="s">
        <v>11650</v>
      </c>
      <c r="W1277" t="s">
        <v>12900</v>
      </c>
      <c r="X1277">
        <v>9</v>
      </c>
      <c r="Y1277" t="s">
        <v>18650</v>
      </c>
      <c r="Z1277" t="s">
        <v>24339</v>
      </c>
      <c r="AA1277">
        <v>0.91394320216931468</v>
      </c>
      <c r="AB1277" t="str">
        <f>HYPERLINK("Melting_Curves/meltCurve_O15118_NPC1.pdf", "Melting_Curves/meltCurve_O15118_NPC1.pdf")</f>
        <v>Melting_Curves/meltCurve_O15118_NPC1.pdf</v>
      </c>
    </row>
    <row r="1278" spans="1:28" x14ac:dyDescent="0.25">
      <c r="A1278" t="s">
        <v>1282</v>
      </c>
      <c r="B1278">
        <v>0.99996721820229495</v>
      </c>
      <c r="C1278">
        <v>1.12347843577955</v>
      </c>
      <c r="D1278">
        <v>1.24839699481279</v>
      </c>
      <c r="E1278">
        <v>1.2416080700816099</v>
      </c>
      <c r="F1278">
        <v>0.76893995854866803</v>
      </c>
      <c r="G1278">
        <v>0.48970385445841702</v>
      </c>
      <c r="H1278">
        <v>0.208640528073718</v>
      </c>
      <c r="I1278">
        <v>0.110994694158043</v>
      </c>
      <c r="J1278">
        <v>0.12881264747208901</v>
      </c>
      <c r="K1278">
        <v>6.8785958646501805E-2</v>
      </c>
      <c r="L1278">
        <v>1610.1661594612401</v>
      </c>
      <c r="M1278">
        <v>28.578219733154</v>
      </c>
      <c r="N1278">
        <v>56.765856171083399</v>
      </c>
      <c r="O1278">
        <v>56.068708364015201</v>
      </c>
      <c r="P1278">
        <v>-0.115194326004896</v>
      </c>
      <c r="Q1278">
        <v>9.59904308388001E-2</v>
      </c>
      <c r="R1278">
        <v>0.92644672922829097</v>
      </c>
      <c r="S1278" t="s">
        <v>7104</v>
      </c>
      <c r="T1278" t="s">
        <v>11650</v>
      </c>
      <c r="U1278" t="s">
        <v>11650</v>
      </c>
      <c r="V1278" t="s">
        <v>11650</v>
      </c>
      <c r="W1278" t="s">
        <v>12901</v>
      </c>
      <c r="X1278">
        <v>2</v>
      </c>
      <c r="Y1278" t="s">
        <v>18651</v>
      </c>
      <c r="Z1278" t="s">
        <v>24340</v>
      </c>
      <c r="AA1278">
        <v>0.59502536263965478</v>
      </c>
      <c r="AB1278" t="str">
        <f>HYPERLINK("Melting_Curves/meltCurve_O15120_AGPAT2.pdf", "Melting_Curves/meltCurve_O15120_AGPAT2.pdf")</f>
        <v>Melting_Curves/meltCurve_O15120_AGPAT2.pdf</v>
      </c>
    </row>
    <row r="1279" spans="1:28" x14ac:dyDescent="0.25">
      <c r="A1279" t="s">
        <v>1283</v>
      </c>
      <c r="B1279">
        <v>0.99996721820229495</v>
      </c>
      <c r="C1279">
        <v>0.77017592638710997</v>
      </c>
      <c r="D1279">
        <v>0.79791565877512105</v>
      </c>
      <c r="E1279">
        <v>0.96449277296579405</v>
      </c>
      <c r="F1279">
        <v>1.0718934825348601</v>
      </c>
      <c r="G1279">
        <v>0.86523311141438497</v>
      </c>
      <c r="H1279">
        <v>0.61809784631495901</v>
      </c>
      <c r="I1279">
        <v>0.31194925537827201</v>
      </c>
      <c r="J1279">
        <v>0.176461197369848</v>
      </c>
      <c r="K1279">
        <v>0.177697215116219</v>
      </c>
      <c r="L1279">
        <v>1776.90158805898</v>
      </c>
      <c r="M1279">
        <v>29.014544637337099</v>
      </c>
      <c r="N1279">
        <v>61.898332599996401</v>
      </c>
      <c r="O1279">
        <v>60.953043891022801</v>
      </c>
      <c r="P1279">
        <v>-0.103241237484818</v>
      </c>
      <c r="Q1279">
        <v>0.13245975210846</v>
      </c>
      <c r="R1279">
        <v>0.89850773361968095</v>
      </c>
      <c r="S1279" t="s">
        <v>7105</v>
      </c>
      <c r="T1279" t="s">
        <v>11650</v>
      </c>
      <c r="U1279" t="s">
        <v>11650</v>
      </c>
      <c r="V1279" t="s">
        <v>11650</v>
      </c>
      <c r="W1279" t="s">
        <v>12902</v>
      </c>
      <c r="X1279">
        <v>4</v>
      </c>
      <c r="Y1279" t="s">
        <v>18652</v>
      </c>
      <c r="Z1279" t="s">
        <v>24341</v>
      </c>
      <c r="AA1279">
        <v>0.75149250337974116</v>
      </c>
      <c r="AB1279" t="str">
        <f>HYPERLINK("Melting_Curves/meltCurve_O15121_DEGS1.pdf", "Melting_Curves/meltCurve_O15121_DEGS1.pdf")</f>
        <v>Melting_Curves/meltCurve_O15121_DEGS1.pdf</v>
      </c>
    </row>
    <row r="1280" spans="1:28" x14ac:dyDescent="0.25">
      <c r="A1280" t="s">
        <v>1284</v>
      </c>
      <c r="B1280">
        <v>0.99996721820229495</v>
      </c>
      <c r="C1280">
        <v>0.94676334243754701</v>
      </c>
      <c r="D1280">
        <v>1.03089522434445</v>
      </c>
      <c r="E1280">
        <v>1.14741987963828</v>
      </c>
      <c r="F1280">
        <v>1.46463692598813</v>
      </c>
      <c r="G1280">
        <v>1.5622700031371799</v>
      </c>
      <c r="H1280">
        <v>1.15998728779375</v>
      </c>
      <c r="I1280">
        <v>0.77576209606088697</v>
      </c>
      <c r="J1280">
        <v>0.530862687432062</v>
      </c>
      <c r="K1280">
        <v>0.38388263525599903</v>
      </c>
      <c r="L1280">
        <v>3925.7185832434002</v>
      </c>
      <c r="M1280">
        <v>60.551600595997797</v>
      </c>
      <c r="N1280">
        <v>66.729421682952406</v>
      </c>
      <c r="O1280">
        <v>64.762013273392995</v>
      </c>
      <c r="P1280">
        <v>-0.137776419078496</v>
      </c>
      <c r="Q1280">
        <v>0.41057381514644098</v>
      </c>
      <c r="R1280">
        <v>0.51947461825691099</v>
      </c>
      <c r="S1280" t="s">
        <v>7106</v>
      </c>
      <c r="T1280" t="s">
        <v>11650</v>
      </c>
      <c r="U1280" t="s">
        <v>11650</v>
      </c>
      <c r="V1280" t="s">
        <v>11650</v>
      </c>
      <c r="W1280" t="s">
        <v>12903</v>
      </c>
      <c r="X1280">
        <v>10</v>
      </c>
      <c r="Y1280" t="s">
        <v>18653</v>
      </c>
      <c r="Z1280" t="s">
        <v>24342</v>
      </c>
      <c r="AA1280">
        <v>0.89933116784060307</v>
      </c>
      <c r="AB1280" t="str">
        <f>HYPERLINK("Melting_Curves/meltCurve_O15126_SCAMP1.pdf", "Melting_Curves/meltCurve_O15126_SCAMP1.pdf")</f>
        <v>Melting_Curves/meltCurve_O15126_SCAMP1.pdf</v>
      </c>
    </row>
    <row r="1281" spans="1:28" x14ac:dyDescent="0.25">
      <c r="A1281" t="s">
        <v>1285</v>
      </c>
      <c r="B1281">
        <v>0.99996721820229495</v>
      </c>
      <c r="C1281">
        <v>0.88735246855361105</v>
      </c>
      <c r="D1281">
        <v>0.89776544058019803</v>
      </c>
      <c r="E1281">
        <v>1.0314482378788601</v>
      </c>
      <c r="F1281">
        <v>1.33961732988899</v>
      </c>
      <c r="G1281">
        <v>1.48053331143822</v>
      </c>
      <c r="H1281">
        <v>1.2107472133911901</v>
      </c>
      <c r="I1281">
        <v>0.79356991021288203</v>
      </c>
      <c r="J1281">
        <v>0.56702045405840495</v>
      </c>
      <c r="K1281">
        <v>0.51820706637605296</v>
      </c>
      <c r="L1281">
        <v>15000</v>
      </c>
      <c r="M1281">
        <v>234.17955523045799</v>
      </c>
      <c r="O1281">
        <v>64.048742547097305</v>
      </c>
      <c r="P1281">
        <v>-0.418090745219035</v>
      </c>
      <c r="Q1281">
        <v>0.54260419655625902</v>
      </c>
      <c r="R1281">
        <v>0.52158265260776804</v>
      </c>
      <c r="S1281" t="s">
        <v>7107</v>
      </c>
      <c r="T1281" t="s">
        <v>11650</v>
      </c>
      <c r="U1281" t="s">
        <v>11650</v>
      </c>
      <c r="V1281" t="s">
        <v>11650</v>
      </c>
      <c r="W1281" t="s">
        <v>12904</v>
      </c>
      <c r="X1281">
        <v>8</v>
      </c>
      <c r="Y1281" t="s">
        <v>18654</v>
      </c>
      <c r="Z1281" t="s">
        <v>24343</v>
      </c>
      <c r="AA1281">
        <v>0.90939381793800378</v>
      </c>
      <c r="AB1281" t="str">
        <f>HYPERLINK("Melting_Curves/meltCurve_O15127_SCAMP2.pdf", "Melting_Curves/meltCurve_O15127_SCAMP2.pdf")</f>
        <v>Melting_Curves/meltCurve_O15127_SCAMP2.pdf</v>
      </c>
    </row>
    <row r="1282" spans="1:28" x14ac:dyDescent="0.25">
      <c r="A1282" t="s">
        <v>1286</v>
      </c>
      <c r="B1282">
        <v>0.99996721820229495</v>
      </c>
      <c r="C1282">
        <v>0.94064834044220802</v>
      </c>
      <c r="D1282">
        <v>1.08003231880531</v>
      </c>
      <c r="E1282">
        <v>1.6798770973691299</v>
      </c>
      <c r="F1282">
        <v>2.1160169969335998</v>
      </c>
      <c r="G1282">
        <v>2.57047994222969</v>
      </c>
      <c r="H1282">
        <v>1.3973710048910599</v>
      </c>
      <c r="I1282">
        <v>0.38543411607154698</v>
      </c>
      <c r="J1282">
        <v>0.23610415143128699</v>
      </c>
      <c r="K1282">
        <v>0.18283061272384599</v>
      </c>
      <c r="L1282">
        <v>15000</v>
      </c>
      <c r="M1282">
        <v>235.624878092589</v>
      </c>
      <c r="N1282">
        <v>63.807512691429601</v>
      </c>
      <c r="O1282">
        <v>63.655938652328999</v>
      </c>
      <c r="P1282">
        <v>-0.73157232704310404</v>
      </c>
      <c r="Q1282">
        <v>0.20943980020112599</v>
      </c>
      <c r="R1282">
        <v>0.240469844290219</v>
      </c>
      <c r="S1282" t="s">
        <v>7108</v>
      </c>
      <c r="T1282" t="s">
        <v>11650</v>
      </c>
      <c r="U1282" t="s">
        <v>11650</v>
      </c>
      <c r="V1282" t="s">
        <v>11650</v>
      </c>
      <c r="W1282" t="s">
        <v>12905</v>
      </c>
      <c r="X1282">
        <v>22</v>
      </c>
      <c r="Y1282" t="s">
        <v>18655</v>
      </c>
      <c r="Z1282" t="s">
        <v>24344</v>
      </c>
      <c r="AA1282">
        <v>0.83304116002808171</v>
      </c>
      <c r="AB1282" t="str">
        <f>HYPERLINK("Melting_Curves/meltCurve_O15143_ARPC1B.pdf", "Melting_Curves/meltCurve_O15143_ARPC1B.pdf")</f>
        <v>Melting_Curves/meltCurve_O15143_ARPC1B.pdf</v>
      </c>
    </row>
    <row r="1283" spans="1:28" x14ac:dyDescent="0.25">
      <c r="A1283" t="s">
        <v>1287</v>
      </c>
      <c r="B1283">
        <v>0.99996721820229495</v>
      </c>
      <c r="C1283">
        <v>1.03128139298443</v>
      </c>
      <c r="D1283">
        <v>1.29517939621006</v>
      </c>
      <c r="E1283">
        <v>1.85070653652331</v>
      </c>
      <c r="F1283">
        <v>2.4670896184907498</v>
      </c>
      <c r="G1283">
        <v>3.3982753204455198</v>
      </c>
      <c r="H1283">
        <v>1.8022728875345699</v>
      </c>
      <c r="I1283">
        <v>0.49485574144831501</v>
      </c>
      <c r="J1283">
        <v>0.178296489675317</v>
      </c>
      <c r="K1283">
        <v>0.12941566963807399</v>
      </c>
      <c r="L1283">
        <v>15000</v>
      </c>
      <c r="M1283">
        <v>234.767663206149</v>
      </c>
      <c r="N1283">
        <v>63.993194064494404</v>
      </c>
      <c r="O1283">
        <v>63.8883422746242</v>
      </c>
      <c r="P1283">
        <v>-0.77733808680361105</v>
      </c>
      <c r="Q1283">
        <v>0.153838761205251</v>
      </c>
      <c r="R1283">
        <v>3.6713295913641003E-2</v>
      </c>
      <c r="S1283" t="s">
        <v>7109</v>
      </c>
      <c r="T1283" t="s">
        <v>11650</v>
      </c>
      <c r="U1283" t="s">
        <v>11650</v>
      </c>
      <c r="V1283" t="s">
        <v>11650</v>
      </c>
      <c r="W1283" t="s">
        <v>12906</v>
      </c>
      <c r="X1283">
        <v>23</v>
      </c>
      <c r="Y1283" t="s">
        <v>18656</v>
      </c>
      <c r="Z1283" t="s">
        <v>24345</v>
      </c>
      <c r="AA1283">
        <v>0.82785613495503263</v>
      </c>
      <c r="AB1283" t="str">
        <f>HYPERLINK("Melting_Curves/meltCurve_O15144_ARPC2.pdf", "Melting_Curves/meltCurve_O15144_ARPC2.pdf")</f>
        <v>Melting_Curves/meltCurve_O15144_ARPC2.pdf</v>
      </c>
    </row>
    <row r="1284" spans="1:28" x14ac:dyDescent="0.25">
      <c r="A1284" t="s">
        <v>1288</v>
      </c>
      <c r="B1284">
        <v>0.99996721820229495</v>
      </c>
      <c r="C1284">
        <v>0.90360743862206705</v>
      </c>
      <c r="D1284">
        <v>1.0082877021907599</v>
      </c>
      <c r="E1284">
        <v>1.62895074069241</v>
      </c>
      <c r="F1284">
        <v>1.9646911411053201</v>
      </c>
      <c r="G1284">
        <v>1.89794044785848</v>
      </c>
      <c r="H1284">
        <v>1.00353546674927</v>
      </c>
      <c r="I1284">
        <v>0.37731787772115999</v>
      </c>
      <c r="J1284">
        <v>0.23517971545268401</v>
      </c>
      <c r="K1284">
        <v>0.164798551405612</v>
      </c>
      <c r="L1284">
        <v>9773.9712105273793</v>
      </c>
      <c r="M1284">
        <v>153.97252269364199</v>
      </c>
      <c r="N1284">
        <v>63.689723691551301</v>
      </c>
      <c r="O1284">
        <v>63.467981382766098</v>
      </c>
      <c r="P1284">
        <v>-0.48530672705845601</v>
      </c>
      <c r="Q1284">
        <v>0.199820091527872</v>
      </c>
      <c r="R1284">
        <v>0.43699013799219599</v>
      </c>
      <c r="S1284" t="s">
        <v>7110</v>
      </c>
      <c r="T1284" t="s">
        <v>11650</v>
      </c>
      <c r="U1284" t="s">
        <v>11650</v>
      </c>
      <c r="V1284" t="s">
        <v>11650</v>
      </c>
      <c r="W1284" t="s">
        <v>12907</v>
      </c>
      <c r="X1284">
        <v>9</v>
      </c>
      <c r="Y1284" t="s">
        <v>18657</v>
      </c>
      <c r="Z1284" t="s">
        <v>24346</v>
      </c>
      <c r="AA1284">
        <v>0.82629388744979482</v>
      </c>
      <c r="AB1284" t="str">
        <f>HYPERLINK("Melting_Curves/meltCurve_O15145_ARPC3.pdf", "Melting_Curves/meltCurve_O15145_ARPC3.pdf")</f>
        <v>Melting_Curves/meltCurve_O15145_ARPC3.pdf</v>
      </c>
    </row>
    <row r="1285" spans="1:28" x14ac:dyDescent="0.25">
      <c r="A1285" t="s">
        <v>1289</v>
      </c>
      <c r="B1285">
        <v>0.99996721820229495</v>
      </c>
      <c r="C1285">
        <v>0.88919645835114802</v>
      </c>
      <c r="D1285">
        <v>0.97593620521825797</v>
      </c>
      <c r="E1285">
        <v>0.97155532800680899</v>
      </c>
      <c r="F1285">
        <v>1.2126773454705999</v>
      </c>
      <c r="G1285">
        <v>1.41772874480083</v>
      </c>
      <c r="H1285">
        <v>1.0856413960154401</v>
      </c>
      <c r="I1285">
        <v>0.73504242918823204</v>
      </c>
      <c r="J1285">
        <v>0.50763105594048497</v>
      </c>
      <c r="K1285">
        <v>0.52136282240790299</v>
      </c>
      <c r="L1285">
        <v>15000</v>
      </c>
      <c r="M1285">
        <v>234.55841003378401</v>
      </c>
      <c r="O1285">
        <v>63.945324684251098</v>
      </c>
      <c r="P1285">
        <v>-0.44522509670718302</v>
      </c>
      <c r="Q1285">
        <v>0.51449098699736795</v>
      </c>
      <c r="R1285">
        <v>0.672689593759634</v>
      </c>
      <c r="S1285" t="s">
        <v>7111</v>
      </c>
      <c r="T1285" t="s">
        <v>11650</v>
      </c>
      <c r="U1285" t="s">
        <v>11650</v>
      </c>
      <c r="V1285" t="s">
        <v>11650</v>
      </c>
      <c r="W1285" t="s">
        <v>12908</v>
      </c>
      <c r="X1285">
        <v>3</v>
      </c>
      <c r="Y1285" t="s">
        <v>18658</v>
      </c>
      <c r="Z1285" t="s">
        <v>24347</v>
      </c>
      <c r="AA1285">
        <v>0.90215020514894917</v>
      </c>
      <c r="AB1285" t="str">
        <f>HYPERLINK("Melting_Curves/meltCurve_O15155_BET1.pdf", "Melting_Curves/meltCurve_O15155_BET1.pdf")</f>
        <v>Melting_Curves/meltCurve_O15155_BET1.pdf</v>
      </c>
    </row>
    <row r="1286" spans="1:28" x14ac:dyDescent="0.25">
      <c r="A1286" t="s">
        <v>1290</v>
      </c>
      <c r="B1286">
        <v>0.99996721820229495</v>
      </c>
      <c r="C1286">
        <v>0.911779377089459</v>
      </c>
      <c r="D1286">
        <v>0.58326000098066999</v>
      </c>
      <c r="E1286">
        <v>0.22782841325094799</v>
      </c>
      <c r="F1286">
        <v>0.34228641767249501</v>
      </c>
      <c r="G1286">
        <v>0.22633417278353901</v>
      </c>
      <c r="H1286">
        <v>0.13541088989175601</v>
      </c>
      <c r="I1286">
        <v>0.100302808437124</v>
      </c>
      <c r="J1286">
        <v>4.4289100517145401E-2</v>
      </c>
      <c r="K1286">
        <v>3.5882068967802598E-2</v>
      </c>
      <c r="L1286">
        <v>819.277955570058</v>
      </c>
      <c r="M1286">
        <v>17.493349734741301</v>
      </c>
      <c r="N1286">
        <v>47.457164634349397</v>
      </c>
      <c r="O1286">
        <v>46.234496519793304</v>
      </c>
      <c r="P1286">
        <v>-8.4884020049719205E-2</v>
      </c>
      <c r="Q1286">
        <v>0.10266350445228099</v>
      </c>
      <c r="R1286">
        <v>0.95387117847829805</v>
      </c>
      <c r="S1286" t="s">
        <v>7112</v>
      </c>
      <c r="T1286" t="s">
        <v>11650</v>
      </c>
      <c r="U1286" t="s">
        <v>11650</v>
      </c>
      <c r="V1286" t="s">
        <v>11650</v>
      </c>
      <c r="W1286" t="s">
        <v>12909</v>
      </c>
      <c r="X1286">
        <v>6</v>
      </c>
      <c r="Y1286" t="s">
        <v>18659</v>
      </c>
      <c r="Z1286" t="s">
        <v>24348</v>
      </c>
      <c r="AA1286">
        <v>0.32483737874077317</v>
      </c>
      <c r="AB1286" t="str">
        <f>HYPERLINK("Melting_Curves/meltCurve_O15160_POLR1C.pdf", "Melting_Curves/meltCurve_O15160_POLR1C.pdf")</f>
        <v>Melting_Curves/meltCurve_O15160_POLR1C.pdf</v>
      </c>
    </row>
    <row r="1287" spans="1:28" x14ac:dyDescent="0.25">
      <c r="A1287" t="s">
        <v>1291</v>
      </c>
      <c r="B1287">
        <v>0.99996721820229495</v>
      </c>
      <c r="C1287">
        <v>0.86359827022618396</v>
      </c>
      <c r="D1287">
        <v>0.96354072586582895</v>
      </c>
      <c r="E1287">
        <v>0.89167103969151695</v>
      </c>
      <c r="F1287">
        <v>0.89504502694088295</v>
      </c>
      <c r="G1287">
        <v>0.736776427310321</v>
      </c>
      <c r="H1287">
        <v>0.52718504708212</v>
      </c>
      <c r="I1287">
        <v>0.51845464241454498</v>
      </c>
      <c r="J1287">
        <v>0.481369564908113</v>
      </c>
      <c r="K1287">
        <v>0.34497399198173201</v>
      </c>
      <c r="L1287">
        <v>496.36165356563799</v>
      </c>
      <c r="M1287">
        <v>7.8383536587127303</v>
      </c>
      <c r="N1287">
        <v>64.445950073094906</v>
      </c>
      <c r="O1287">
        <v>59.600005333229703</v>
      </c>
      <c r="P1287">
        <v>-3.0820854172073701E-2</v>
      </c>
      <c r="Q1287">
        <v>6.3740156257730204E-2</v>
      </c>
      <c r="R1287">
        <v>0.94810654969294195</v>
      </c>
      <c r="S1287" t="s">
        <v>7113</v>
      </c>
      <c r="T1287" t="s">
        <v>11650</v>
      </c>
      <c r="U1287" t="s">
        <v>11650</v>
      </c>
      <c r="V1287" t="s">
        <v>11650</v>
      </c>
      <c r="W1287" t="s">
        <v>12910</v>
      </c>
      <c r="X1287">
        <v>16</v>
      </c>
      <c r="Y1287" t="s">
        <v>18660</v>
      </c>
      <c r="Z1287" t="s">
        <v>24349</v>
      </c>
      <c r="AA1287">
        <v>0.7404217923617088</v>
      </c>
      <c r="AB1287" t="str">
        <f>HYPERLINK("Melting_Curves/meltCurve_O15173_PGRMC2.pdf", "Melting_Curves/meltCurve_O15173_PGRMC2.pdf")</f>
        <v>Melting_Curves/meltCurve_O15173_PGRMC2.pdf</v>
      </c>
    </row>
    <row r="1288" spans="1:28" x14ac:dyDescent="0.25">
      <c r="A1288" t="s">
        <v>1292</v>
      </c>
      <c r="B1288">
        <v>0.99996721820229495</v>
      </c>
      <c r="C1288">
        <v>0.96114733534737395</v>
      </c>
      <c r="D1288">
        <v>1.00995026215086</v>
      </c>
      <c r="E1288">
        <v>1.1590379623092599</v>
      </c>
      <c r="F1288">
        <v>1.44824863592163</v>
      </c>
      <c r="G1288">
        <v>1.7382429540342701</v>
      </c>
      <c r="H1288">
        <v>1.2285644210106199</v>
      </c>
      <c r="I1288">
        <v>0.94667179938575396</v>
      </c>
      <c r="J1288">
        <v>0.85732558053405095</v>
      </c>
      <c r="K1288">
        <v>0.58842424647649405</v>
      </c>
      <c r="L1288">
        <v>3588.8330507658302</v>
      </c>
      <c r="M1288">
        <v>52.635537989438397</v>
      </c>
      <c r="O1288">
        <v>68.084494680793398</v>
      </c>
      <c r="P1288">
        <v>-9.9739421038774298E-2</v>
      </c>
      <c r="Q1288">
        <v>0.48394536420939999</v>
      </c>
      <c r="R1288">
        <v>0.110545559575508</v>
      </c>
      <c r="S1288" t="s">
        <v>7114</v>
      </c>
      <c r="T1288" t="s">
        <v>11650</v>
      </c>
      <c r="U1288" t="s">
        <v>11650</v>
      </c>
      <c r="V1288" t="s">
        <v>11650</v>
      </c>
      <c r="W1288" t="s">
        <v>12911</v>
      </c>
      <c r="X1288">
        <v>16</v>
      </c>
      <c r="Y1288" t="s">
        <v>18661</v>
      </c>
      <c r="Z1288" t="s">
        <v>24350</v>
      </c>
      <c r="AA1288">
        <v>0.96456963463726797</v>
      </c>
      <c r="AB1288" t="str">
        <f>HYPERLINK("Melting_Curves/meltCurve_O15212_PFDN6.pdf", "Melting_Curves/meltCurve_O15212_PFDN6.pdf")</f>
        <v>Melting_Curves/meltCurve_O15212_PFDN6.pdf</v>
      </c>
    </row>
    <row r="1289" spans="1:28" x14ac:dyDescent="0.25">
      <c r="A1289" t="s">
        <v>1293</v>
      </c>
      <c r="B1289">
        <v>0.99996721820229495</v>
      </c>
      <c r="C1289">
        <v>1.0055756637092299</v>
      </c>
      <c r="D1289">
        <v>0.93386817940369204</v>
      </c>
      <c r="E1289">
        <v>0.41992231210666398</v>
      </c>
      <c r="F1289">
        <v>0.39953145401770102</v>
      </c>
      <c r="G1289">
        <v>0.39503159337311</v>
      </c>
      <c r="H1289">
        <v>0.25358408536354299</v>
      </c>
      <c r="I1289">
        <v>0.267398621511099</v>
      </c>
      <c r="J1289">
        <v>0.26012666474894103</v>
      </c>
      <c r="K1289">
        <v>0.13789916632400001</v>
      </c>
      <c r="L1289">
        <v>1673.84763538317</v>
      </c>
      <c r="M1289">
        <v>34.5071977180163</v>
      </c>
      <c r="N1289">
        <v>49.642941425437002</v>
      </c>
      <c r="O1289">
        <v>48.345163001626403</v>
      </c>
      <c r="P1289">
        <v>-0.12973569346109201</v>
      </c>
      <c r="Q1289">
        <v>0.27295519429658399</v>
      </c>
      <c r="R1289">
        <v>0.95724189978585705</v>
      </c>
      <c r="S1289" t="s">
        <v>7115</v>
      </c>
      <c r="T1289" t="s">
        <v>11650</v>
      </c>
      <c r="U1289" t="s">
        <v>11650</v>
      </c>
      <c r="V1289" t="s">
        <v>11650</v>
      </c>
      <c r="W1289" t="s">
        <v>12912</v>
      </c>
      <c r="X1289">
        <v>1</v>
      </c>
      <c r="Y1289" t="s">
        <v>18662</v>
      </c>
      <c r="Z1289" t="s">
        <v>24351</v>
      </c>
      <c r="AA1289">
        <v>0.48242485340610808</v>
      </c>
      <c r="AB1289" t="str">
        <f>HYPERLINK("Melting_Curves/meltCurve_O15217_GSTA4.pdf", "Melting_Curves/meltCurve_O15217_GSTA4.pdf")</f>
        <v>Melting_Curves/meltCurve_O15217_GSTA4.pdf</v>
      </c>
    </row>
    <row r="1290" spans="1:28" x14ac:dyDescent="0.25">
      <c r="A1290" t="s">
        <v>1294</v>
      </c>
      <c r="B1290">
        <v>0.99996721820229495</v>
      </c>
      <c r="C1290">
        <v>0.99228698821928496</v>
      </c>
      <c r="D1290">
        <v>1.0898023153273599</v>
      </c>
      <c r="E1290">
        <v>1.08080556324861</v>
      </c>
      <c r="F1290">
        <v>0.59021548115255895</v>
      </c>
      <c r="G1290">
        <v>0.50829988839793305</v>
      </c>
      <c r="H1290">
        <v>0.27052493404607902</v>
      </c>
      <c r="I1290">
        <v>0.17383442959377299</v>
      </c>
      <c r="J1290">
        <v>0.147491680242054</v>
      </c>
      <c r="K1290">
        <v>0.15603824158216201</v>
      </c>
      <c r="L1290">
        <v>1153.99391236427</v>
      </c>
      <c r="M1290">
        <v>20.891370139123101</v>
      </c>
      <c r="N1290">
        <v>56.16138781547</v>
      </c>
      <c r="O1290">
        <v>54.739180655538398</v>
      </c>
      <c r="P1290">
        <v>-8.15445696955545E-2</v>
      </c>
      <c r="Q1290">
        <v>0.14537714432094501</v>
      </c>
      <c r="R1290">
        <v>0.95304021966737595</v>
      </c>
      <c r="S1290" t="s">
        <v>7116</v>
      </c>
      <c r="T1290" t="s">
        <v>11650</v>
      </c>
      <c r="U1290" t="s">
        <v>11650</v>
      </c>
      <c r="V1290" t="s">
        <v>11650</v>
      </c>
      <c r="W1290" t="s">
        <v>12913</v>
      </c>
      <c r="X1290">
        <v>11</v>
      </c>
      <c r="Y1290" t="s">
        <v>18663</v>
      </c>
      <c r="Z1290" t="s">
        <v>24352</v>
      </c>
      <c r="AA1290">
        <v>0.59005418348404681</v>
      </c>
      <c r="AB1290" t="str">
        <f>HYPERLINK("Melting_Curves/meltCurve_O15228_GNPAT.pdf", "Melting_Curves/meltCurve_O15228_GNPAT.pdf")</f>
        <v>Melting_Curves/meltCurve_O15228_GNPAT.pdf</v>
      </c>
    </row>
    <row r="1291" spans="1:28" x14ac:dyDescent="0.25">
      <c r="A1291" t="s">
        <v>1295</v>
      </c>
      <c r="B1291">
        <v>0.99996721820229495</v>
      </c>
      <c r="C1291">
        <v>0.927224764421401</v>
      </c>
      <c r="D1291">
        <v>0.83519763034665595</v>
      </c>
      <c r="E1291">
        <v>0.97728154607126005</v>
      </c>
      <c r="F1291">
        <v>1.2732405662025501</v>
      </c>
      <c r="G1291">
        <v>1.3716612706276301</v>
      </c>
      <c r="H1291">
        <v>1.18959434636228</v>
      </c>
      <c r="I1291">
        <v>1.3973485132480301</v>
      </c>
      <c r="J1291">
        <v>1.69340401186111</v>
      </c>
      <c r="K1291">
        <v>1.9122513285112701</v>
      </c>
      <c r="L1291">
        <v>1095.9083744746499</v>
      </c>
      <c r="M1291">
        <v>19.942153952627699</v>
      </c>
      <c r="O1291">
        <v>54.4106978846917</v>
      </c>
      <c r="P1291">
        <v>4.5815446605072599E-2</v>
      </c>
      <c r="Q1291">
        <v>1.5</v>
      </c>
      <c r="R1291">
        <v>0.684844903188499</v>
      </c>
      <c r="S1291" t="s">
        <v>7117</v>
      </c>
      <c r="T1291" t="s">
        <v>11650</v>
      </c>
      <c r="U1291" t="s">
        <v>11650</v>
      </c>
      <c r="V1291" t="s">
        <v>11650</v>
      </c>
      <c r="W1291" t="s">
        <v>12914</v>
      </c>
      <c r="X1291">
        <v>6</v>
      </c>
      <c r="Y1291" t="s">
        <v>18664</v>
      </c>
      <c r="Z1291" t="s">
        <v>24353</v>
      </c>
      <c r="AA1291">
        <v>1.244066419181177</v>
      </c>
      <c r="AB1291" t="str">
        <f>HYPERLINK("Melting_Curves/meltCurve_O15234_CASC3.pdf", "Melting_Curves/meltCurve_O15234_CASC3.pdf")</f>
        <v>Melting_Curves/meltCurve_O15234_CASC3.pdf</v>
      </c>
    </row>
    <row r="1292" spans="1:28" x14ac:dyDescent="0.25">
      <c r="A1292" t="s">
        <v>1296</v>
      </c>
      <c r="B1292">
        <v>0.99996721820229495</v>
      </c>
      <c r="C1292">
        <v>0.99263863672147301</v>
      </c>
      <c r="D1292">
        <v>0.98845577925811401</v>
      </c>
      <c r="E1292">
        <v>0.95781247523915003</v>
      </c>
      <c r="F1292">
        <v>1.2256481263221299</v>
      </c>
      <c r="G1292">
        <v>0.82232037219882204</v>
      </c>
      <c r="H1292">
        <v>0.66950691511624805</v>
      </c>
      <c r="I1292">
        <v>0.53704902163821699</v>
      </c>
      <c r="J1292">
        <v>0.490320627965107</v>
      </c>
      <c r="K1292">
        <v>0.34956810835849</v>
      </c>
      <c r="L1292">
        <v>1441.78291303994</v>
      </c>
      <c r="M1292">
        <v>23.699067804545699</v>
      </c>
      <c r="N1292">
        <v>64.597635155521004</v>
      </c>
      <c r="O1292">
        <v>60.408911449095399</v>
      </c>
      <c r="P1292">
        <v>-6.1381559283550803E-2</v>
      </c>
      <c r="Q1292">
        <v>0.374164155797239</v>
      </c>
      <c r="R1292">
        <v>0.89764566422904002</v>
      </c>
      <c r="S1292" t="s">
        <v>7118</v>
      </c>
      <c r="T1292" t="s">
        <v>11650</v>
      </c>
      <c r="U1292" t="s">
        <v>11650</v>
      </c>
      <c r="V1292" t="s">
        <v>11650</v>
      </c>
      <c r="W1292" t="s">
        <v>12915</v>
      </c>
      <c r="X1292">
        <v>6</v>
      </c>
      <c r="Y1292" t="s">
        <v>18665</v>
      </c>
      <c r="Z1292" t="s">
        <v>24354</v>
      </c>
      <c r="AA1292">
        <v>0.81299954128939311</v>
      </c>
      <c r="AB1292" t="str">
        <f>HYPERLINK("Melting_Curves/meltCurve_O15240_VGF.pdf", "Melting_Curves/meltCurve_O15240_VGF.pdf")</f>
        <v>Melting_Curves/meltCurve_O15240_VGF.pdf</v>
      </c>
    </row>
    <row r="1293" spans="1:28" x14ac:dyDescent="0.25">
      <c r="A1293" t="s">
        <v>1297</v>
      </c>
      <c r="B1293">
        <v>0.99996721820229495</v>
      </c>
      <c r="C1293">
        <v>1.08073988262956</v>
      </c>
      <c r="D1293">
        <v>0.91175404293794504</v>
      </c>
      <c r="E1293">
        <v>0.52540969465820297</v>
      </c>
      <c r="F1293">
        <v>0.41599549180673701</v>
      </c>
      <c r="G1293">
        <v>0.33028845484264202</v>
      </c>
      <c r="H1293">
        <v>0.21896825331115699</v>
      </c>
      <c r="I1293">
        <v>0.14144844533148199</v>
      </c>
      <c r="J1293">
        <v>0.120256245575278</v>
      </c>
      <c r="K1293">
        <v>9.5957293758611201E-2</v>
      </c>
      <c r="L1293">
        <v>870.57964084653804</v>
      </c>
      <c r="M1293">
        <v>17.193162063954599</v>
      </c>
      <c r="N1293">
        <v>51.576829894142797</v>
      </c>
      <c r="O1293">
        <v>49.965113039997398</v>
      </c>
      <c r="P1293">
        <v>-7.4442777025615595E-2</v>
      </c>
      <c r="Q1293">
        <v>0.13469741154723899</v>
      </c>
      <c r="R1293">
        <v>0.97267115591865105</v>
      </c>
      <c r="S1293" t="s">
        <v>7119</v>
      </c>
      <c r="T1293" t="s">
        <v>11650</v>
      </c>
      <c r="U1293" t="s">
        <v>11650</v>
      </c>
      <c r="V1293" t="s">
        <v>11650</v>
      </c>
      <c r="W1293" t="s">
        <v>12916</v>
      </c>
      <c r="X1293">
        <v>8</v>
      </c>
      <c r="Y1293" t="s">
        <v>18666</v>
      </c>
      <c r="Z1293" t="s">
        <v>24355</v>
      </c>
      <c r="AA1293">
        <v>0.457372276855117</v>
      </c>
      <c r="AB1293" t="str">
        <f>HYPERLINK("Melting_Curves/meltCurve_O15247_CLIC2.pdf", "Melting_Curves/meltCurve_O15247_CLIC2.pdf")</f>
        <v>Melting_Curves/meltCurve_O15247_CLIC2.pdf</v>
      </c>
    </row>
    <row r="1294" spans="1:28" x14ac:dyDescent="0.25">
      <c r="A1294" t="s">
        <v>1298</v>
      </c>
      <c r="B1294">
        <v>0.99996721820229495</v>
      </c>
      <c r="C1294">
        <v>0.81996328250419603</v>
      </c>
      <c r="D1294">
        <v>0.88328209682131498</v>
      </c>
      <c r="E1294">
        <v>1.4192817516640499</v>
      </c>
      <c r="F1294">
        <v>1.74649204006298</v>
      </c>
      <c r="G1294">
        <v>1.61284111839749</v>
      </c>
      <c r="H1294">
        <v>1.3327736194009101</v>
      </c>
      <c r="I1294">
        <v>0.65585723118475503</v>
      </c>
      <c r="J1294">
        <v>0.41777335706687901</v>
      </c>
      <c r="K1294">
        <v>0.54015868884735296</v>
      </c>
      <c r="L1294">
        <v>15000</v>
      </c>
      <c r="M1294">
        <v>235.04026493142101</v>
      </c>
      <c r="N1294">
        <v>64.690805061657002</v>
      </c>
      <c r="O1294">
        <v>63.8142322086359</v>
      </c>
      <c r="P1294">
        <v>-0.47977499690769398</v>
      </c>
      <c r="Q1294">
        <v>0.47895782020273903</v>
      </c>
      <c r="R1294">
        <v>0.33562332271669998</v>
      </c>
      <c r="S1294" t="s">
        <v>7120</v>
      </c>
      <c r="T1294" t="s">
        <v>11650</v>
      </c>
      <c r="U1294" t="s">
        <v>11650</v>
      </c>
      <c r="V1294" t="s">
        <v>11650</v>
      </c>
      <c r="W1294" t="s">
        <v>12917</v>
      </c>
      <c r="X1294">
        <v>3</v>
      </c>
      <c r="Y1294" t="s">
        <v>18667</v>
      </c>
      <c r="Z1294" t="s">
        <v>24356</v>
      </c>
      <c r="AA1294">
        <v>0.89271140536539062</v>
      </c>
      <c r="AB1294" t="str">
        <f>HYPERLINK("Melting_Curves/meltCurve_O15254_2_ACOX3.pdf", "Melting_Curves/meltCurve_O15254_2_ACOX3.pdf")</f>
        <v>Melting_Curves/meltCurve_O15254_2_ACOX3.pdf</v>
      </c>
    </row>
    <row r="1295" spans="1:28" x14ac:dyDescent="0.25">
      <c r="A1295" t="s">
        <v>1299</v>
      </c>
      <c r="B1295">
        <v>0.99996721820229495</v>
      </c>
      <c r="C1295">
        <v>0.78077947061876296</v>
      </c>
      <c r="D1295">
        <v>0.96858229615918601</v>
      </c>
      <c r="E1295">
        <v>0.95550620665171904</v>
      </c>
      <c r="F1295">
        <v>1.02345134277316</v>
      </c>
      <c r="G1295">
        <v>0.94812990645732798</v>
      </c>
      <c r="H1295">
        <v>0.66675132992733799</v>
      </c>
      <c r="I1295">
        <v>0.404247003427604</v>
      </c>
      <c r="J1295">
        <v>0.204884537646877</v>
      </c>
      <c r="K1295">
        <v>0.19337856679986001</v>
      </c>
      <c r="L1295">
        <v>1898.46149754164</v>
      </c>
      <c r="M1295">
        <v>30.645169250072101</v>
      </c>
      <c r="N1295">
        <v>62.709494252097898</v>
      </c>
      <c r="O1295">
        <v>61.687778533072098</v>
      </c>
      <c r="P1295">
        <v>-0.104936936052813</v>
      </c>
      <c r="Q1295">
        <v>0.155065846434425</v>
      </c>
      <c r="R1295">
        <v>0.94624327251254403</v>
      </c>
      <c r="S1295" t="s">
        <v>7121</v>
      </c>
      <c r="T1295" t="s">
        <v>11650</v>
      </c>
      <c r="U1295" t="s">
        <v>11650</v>
      </c>
      <c r="V1295" t="s">
        <v>11650</v>
      </c>
      <c r="W1295" t="s">
        <v>12918</v>
      </c>
      <c r="X1295">
        <v>6</v>
      </c>
      <c r="Y1295" t="s">
        <v>18668</v>
      </c>
      <c r="Z1295" t="s">
        <v>24357</v>
      </c>
      <c r="AA1295">
        <v>0.77718614504399774</v>
      </c>
      <c r="AB1295" t="str">
        <f>HYPERLINK("Melting_Curves/meltCurve_O15258_RER1.pdf", "Melting_Curves/meltCurve_O15258_RER1.pdf")</f>
        <v>Melting_Curves/meltCurve_O15258_RER1.pdf</v>
      </c>
    </row>
    <row r="1296" spans="1:28" x14ac:dyDescent="0.25">
      <c r="A1296" t="s">
        <v>1300</v>
      </c>
      <c r="B1296">
        <v>0.99996721820229495</v>
      </c>
      <c r="C1296">
        <v>0.94937914082488895</v>
      </c>
      <c r="D1296">
        <v>0.99613683546711596</v>
      </c>
      <c r="E1296">
        <v>0.78513068240416095</v>
      </c>
      <c r="F1296">
        <v>0.44644573478232202</v>
      </c>
      <c r="G1296">
        <v>0.235853014503182</v>
      </c>
      <c r="H1296">
        <v>0.12417420230380399</v>
      </c>
      <c r="I1296">
        <v>0.10262590380514899</v>
      </c>
      <c r="J1296">
        <v>8.5272347086334202E-2</v>
      </c>
      <c r="K1296">
        <v>8.6814340807509702E-2</v>
      </c>
      <c r="L1296">
        <v>1251.17465114938</v>
      </c>
      <c r="M1296">
        <v>23.927901966242199</v>
      </c>
      <c r="N1296">
        <v>52.739092322661598</v>
      </c>
      <c r="O1296">
        <v>51.928235601446801</v>
      </c>
      <c r="P1296">
        <v>-0.104567555777982</v>
      </c>
      <c r="Q1296">
        <v>9.2286037543292898E-2</v>
      </c>
      <c r="R1296">
        <v>0.99652272920103002</v>
      </c>
      <c r="S1296" t="s">
        <v>7122</v>
      </c>
      <c r="T1296" t="s">
        <v>11650</v>
      </c>
      <c r="U1296" t="s">
        <v>11650</v>
      </c>
      <c r="V1296" t="s">
        <v>11650</v>
      </c>
      <c r="W1296" t="s">
        <v>12919</v>
      </c>
      <c r="X1296">
        <v>13</v>
      </c>
      <c r="Y1296" t="s">
        <v>18669</v>
      </c>
      <c r="Z1296" t="s">
        <v>24358</v>
      </c>
      <c r="AA1296">
        <v>0.47315792382255861</v>
      </c>
      <c r="AB1296" t="str">
        <f>HYPERLINK("Melting_Curves/meltCurve_O15269_SPTLC1.pdf", "Melting_Curves/meltCurve_O15269_SPTLC1.pdf")</f>
        <v>Melting_Curves/meltCurve_O15269_SPTLC1.pdf</v>
      </c>
    </row>
    <row r="1297" spans="1:28" x14ac:dyDescent="0.25">
      <c r="A1297" t="s">
        <v>1301</v>
      </c>
      <c r="B1297">
        <v>0.99996721820229495</v>
      </c>
      <c r="C1297">
        <v>1.02066263227702</v>
      </c>
      <c r="D1297">
        <v>1.23203742297796</v>
      </c>
      <c r="E1297">
        <v>1.5415104150183401</v>
      </c>
      <c r="F1297">
        <v>0.89722164495718104</v>
      </c>
      <c r="G1297">
        <v>0.600337399864876</v>
      </c>
      <c r="H1297">
        <v>0.32056100271181598</v>
      </c>
      <c r="I1297">
        <v>0.19522242086165001</v>
      </c>
      <c r="J1297">
        <v>0.14248769291698901</v>
      </c>
      <c r="K1297">
        <v>0.104258160023653</v>
      </c>
      <c r="L1297">
        <v>1797.8346944105101</v>
      </c>
      <c r="M1297">
        <v>31.225792827095901</v>
      </c>
      <c r="N1297">
        <v>58.192459367961199</v>
      </c>
      <c r="O1297">
        <v>57.340718322311098</v>
      </c>
      <c r="P1297">
        <v>-0.116952233132501</v>
      </c>
      <c r="Q1297">
        <v>0.14095532730648799</v>
      </c>
      <c r="R1297">
        <v>0.84136510180784696</v>
      </c>
      <c r="S1297" t="s">
        <v>7123</v>
      </c>
      <c r="T1297" t="s">
        <v>11650</v>
      </c>
      <c r="U1297" t="s">
        <v>11650</v>
      </c>
      <c r="V1297" t="s">
        <v>11650</v>
      </c>
      <c r="W1297" t="s">
        <v>12920</v>
      </c>
      <c r="X1297">
        <v>9</v>
      </c>
      <c r="Y1297" t="s">
        <v>18670</v>
      </c>
      <c r="Z1297" t="s">
        <v>24359</v>
      </c>
      <c r="AA1297">
        <v>0.64953319571146606</v>
      </c>
      <c r="AB1297" t="str">
        <f>HYPERLINK("Melting_Curves/meltCurve_O15270_SPTLC2.pdf", "Melting_Curves/meltCurve_O15270_SPTLC2.pdf")</f>
        <v>Melting_Curves/meltCurve_O15270_SPTLC2.pdf</v>
      </c>
    </row>
    <row r="1298" spans="1:28" x14ac:dyDescent="0.25">
      <c r="A1298" t="s">
        <v>1302</v>
      </c>
      <c r="B1298">
        <v>0.99996721820229495</v>
      </c>
      <c r="C1298">
        <v>0.92236525469981701</v>
      </c>
      <c r="D1298">
        <v>0.942661167864282</v>
      </c>
      <c r="E1298">
        <v>0.60566321885225505</v>
      </c>
      <c r="F1298">
        <v>0.37712494914904199</v>
      </c>
      <c r="G1298">
        <v>0.34333221677947001</v>
      </c>
      <c r="H1298">
        <v>0.21155114663682301</v>
      </c>
      <c r="I1298">
        <v>0.17328246585955401</v>
      </c>
      <c r="J1298">
        <v>0.16021627046238399</v>
      </c>
      <c r="K1298">
        <v>0.16689932438959099</v>
      </c>
      <c r="L1298">
        <v>925.71662325806903</v>
      </c>
      <c r="M1298">
        <v>18.3275909534552</v>
      </c>
      <c r="N1298">
        <v>51.698823487091097</v>
      </c>
      <c r="O1298">
        <v>49.919646086297298</v>
      </c>
      <c r="P1298">
        <v>-7.6000375651981505E-2</v>
      </c>
      <c r="Q1298">
        <v>0.172016128997143</v>
      </c>
      <c r="R1298">
        <v>0.98614070692538602</v>
      </c>
      <c r="S1298" t="s">
        <v>7124</v>
      </c>
      <c r="T1298" t="s">
        <v>11650</v>
      </c>
      <c r="U1298" t="s">
        <v>11650</v>
      </c>
      <c r="V1298" t="s">
        <v>11650</v>
      </c>
      <c r="W1298" t="s">
        <v>12921</v>
      </c>
      <c r="X1298">
        <v>8</v>
      </c>
      <c r="Y1298" t="s">
        <v>18671</v>
      </c>
      <c r="Z1298" t="s">
        <v>24360</v>
      </c>
      <c r="AA1298">
        <v>0.47564073358041131</v>
      </c>
      <c r="AB1298" t="str">
        <f>HYPERLINK("Melting_Curves/meltCurve_O15294_3_OGT.pdf", "Melting_Curves/meltCurve_O15294_3_OGT.pdf")</f>
        <v>Melting_Curves/meltCurve_O15294_3_OGT.pdf</v>
      </c>
    </row>
    <row r="1299" spans="1:28" x14ac:dyDescent="0.25">
      <c r="A1299" t="s">
        <v>1303</v>
      </c>
      <c r="B1299">
        <v>0.99996721820229495</v>
      </c>
      <c r="C1299">
        <v>1.0849440176810801</v>
      </c>
      <c r="D1299">
        <v>1.0003900524695299</v>
      </c>
      <c r="E1299">
        <v>0.84965555294597594</v>
      </c>
      <c r="F1299">
        <v>0.63175551209581504</v>
      </c>
      <c r="G1299">
        <v>0.41973564609665698</v>
      </c>
      <c r="H1299">
        <v>0.216778662917162</v>
      </c>
      <c r="I1299">
        <v>0.12719666039097799</v>
      </c>
      <c r="J1299">
        <v>9.5397365224125105E-2</v>
      </c>
      <c r="K1299">
        <v>8.84443215869022E-2</v>
      </c>
      <c r="L1299">
        <v>921.22067047235998</v>
      </c>
      <c r="M1299">
        <v>16.768739659891299</v>
      </c>
      <c r="N1299">
        <v>55.353501106105597</v>
      </c>
      <c r="O1299">
        <v>54.173337614484197</v>
      </c>
      <c r="P1299">
        <v>-7.2800654015243799E-2</v>
      </c>
      <c r="Q1299">
        <v>5.9297938753810099E-2</v>
      </c>
      <c r="R1299">
        <v>0.991750612551906</v>
      </c>
      <c r="S1299" t="s">
        <v>7125</v>
      </c>
      <c r="T1299" t="s">
        <v>11650</v>
      </c>
      <c r="U1299" t="s">
        <v>11650</v>
      </c>
      <c r="V1299" t="s">
        <v>11650</v>
      </c>
      <c r="W1299" t="s">
        <v>12922</v>
      </c>
      <c r="X1299">
        <v>14</v>
      </c>
      <c r="Y1299" t="s">
        <v>18672</v>
      </c>
      <c r="Z1299" t="s">
        <v>24361</v>
      </c>
      <c r="AA1299">
        <v>0.54366994864245421</v>
      </c>
      <c r="AB1299" t="str">
        <f>HYPERLINK("Melting_Curves/meltCurve_O15305_PMM2.pdf", "Melting_Curves/meltCurve_O15305_PMM2.pdf")</f>
        <v>Melting_Curves/meltCurve_O15305_PMM2.pdf</v>
      </c>
    </row>
    <row r="1300" spans="1:28" x14ac:dyDescent="0.25">
      <c r="A1300" t="s">
        <v>1304</v>
      </c>
      <c r="B1300">
        <v>0.99996721820229495</v>
      </c>
      <c r="C1300">
        <v>1.03817498015837</v>
      </c>
      <c r="D1300">
        <v>1.04060669389206</v>
      </c>
      <c r="E1300">
        <v>0.85893793348379399</v>
      </c>
      <c r="F1300">
        <v>0.41114990986083999</v>
      </c>
      <c r="G1300">
        <v>0.29385509226700002</v>
      </c>
      <c r="H1300">
        <v>0.180261447620191</v>
      </c>
      <c r="I1300">
        <v>0.134304079779341</v>
      </c>
      <c r="J1300">
        <v>0.111036350044021</v>
      </c>
      <c r="K1300">
        <v>8.5178724299807898E-2</v>
      </c>
      <c r="L1300">
        <v>1681.1790127883201</v>
      </c>
      <c r="M1300">
        <v>32.245638463277402</v>
      </c>
      <c r="N1300">
        <v>52.6840699809323</v>
      </c>
      <c r="O1300">
        <v>51.937339700484699</v>
      </c>
      <c r="P1300">
        <v>-0.13311944517545199</v>
      </c>
      <c r="Q1300">
        <v>0.14235392561775101</v>
      </c>
      <c r="R1300">
        <v>0.98529608897362297</v>
      </c>
      <c r="S1300" t="s">
        <v>7126</v>
      </c>
      <c r="T1300" t="s">
        <v>11650</v>
      </c>
      <c r="U1300" t="s">
        <v>11650</v>
      </c>
      <c r="V1300" t="s">
        <v>11650</v>
      </c>
      <c r="W1300" t="s">
        <v>12923</v>
      </c>
      <c r="X1300">
        <v>11</v>
      </c>
      <c r="Y1300" t="s">
        <v>18673</v>
      </c>
      <c r="Z1300" t="s">
        <v>24362</v>
      </c>
      <c r="AA1300">
        <v>0.49407612496503389</v>
      </c>
      <c r="AB1300" t="str">
        <f>HYPERLINK("Melting_Curves/meltCurve_O15327_INPP4B.pdf", "Melting_Curves/meltCurve_O15327_INPP4B.pdf")</f>
        <v>Melting_Curves/meltCurve_O15327_INPP4B.pdf</v>
      </c>
    </row>
    <row r="1301" spans="1:28" x14ac:dyDescent="0.25">
      <c r="A1301" t="s">
        <v>1305</v>
      </c>
      <c r="B1301">
        <v>0.99996721820229495</v>
      </c>
      <c r="C1301">
        <v>1.02784223576597</v>
      </c>
      <c r="D1301">
        <v>0.93783800770706904</v>
      </c>
      <c r="E1301">
        <v>0.842435777897662</v>
      </c>
      <c r="F1301">
        <v>0.45428172597768801</v>
      </c>
      <c r="G1301">
        <v>0.35563527167680598</v>
      </c>
      <c r="H1301">
        <v>0.243916102217588</v>
      </c>
      <c r="I1301">
        <v>0.15086565804815599</v>
      </c>
      <c r="J1301">
        <v>0.113484997565127</v>
      </c>
      <c r="K1301">
        <v>9.42361218754489E-2</v>
      </c>
      <c r="L1301">
        <v>943.68746086463796</v>
      </c>
      <c r="M1301">
        <v>17.815832213311399</v>
      </c>
      <c r="N1301">
        <v>53.745775545920999</v>
      </c>
      <c r="O1301">
        <v>52.315184029631801</v>
      </c>
      <c r="P1301">
        <v>-7.5477828499128805E-2</v>
      </c>
      <c r="Q1301">
        <v>0.11349981727444799</v>
      </c>
      <c r="R1301">
        <v>0.98296565993962304</v>
      </c>
      <c r="S1301" t="s">
        <v>7127</v>
      </c>
      <c r="T1301" t="s">
        <v>11650</v>
      </c>
      <c r="U1301" t="s">
        <v>11650</v>
      </c>
      <c r="V1301" t="s">
        <v>11650</v>
      </c>
      <c r="W1301" t="s">
        <v>12924</v>
      </c>
      <c r="X1301">
        <v>6</v>
      </c>
      <c r="Y1301" t="s">
        <v>18674</v>
      </c>
      <c r="Z1301" t="s">
        <v>24363</v>
      </c>
      <c r="AA1301">
        <v>0.51149974575905111</v>
      </c>
      <c r="AB1301" t="str">
        <f>HYPERLINK("Melting_Curves/meltCurve_O15344_MID1.pdf", "Melting_Curves/meltCurve_O15344_MID1.pdf")</f>
        <v>Melting_Curves/meltCurve_O15344_MID1.pdf</v>
      </c>
    </row>
    <row r="1302" spans="1:28" x14ac:dyDescent="0.25">
      <c r="A1302" t="s">
        <v>1306</v>
      </c>
      <c r="B1302">
        <v>0.99996721820229495</v>
      </c>
      <c r="C1302">
        <v>1.00307999807705</v>
      </c>
      <c r="D1302">
        <v>0.87642129806897395</v>
      </c>
      <c r="E1302">
        <v>0.99894536530753197</v>
      </c>
      <c r="F1302">
        <v>0.90474998931865802</v>
      </c>
      <c r="G1302">
        <v>0.871137816310249</v>
      </c>
      <c r="H1302">
        <v>0.63435972617783798</v>
      </c>
      <c r="I1302">
        <v>0.66528842691391299</v>
      </c>
      <c r="J1302">
        <v>0.38782421636515102</v>
      </c>
      <c r="K1302">
        <v>0.32393399961200398</v>
      </c>
      <c r="L1302">
        <v>730.82517162179897</v>
      </c>
      <c r="M1302">
        <v>11.154290483676601</v>
      </c>
      <c r="N1302">
        <v>65.519634367819904</v>
      </c>
      <c r="O1302">
        <v>63.519545402750502</v>
      </c>
      <c r="P1302">
        <v>-4.3915054074290298E-2</v>
      </c>
      <c r="Q1302">
        <v>0</v>
      </c>
      <c r="R1302">
        <v>0.94414211736806997</v>
      </c>
      <c r="S1302" t="s">
        <v>7128</v>
      </c>
      <c r="T1302" t="s">
        <v>11650</v>
      </c>
      <c r="U1302" t="s">
        <v>11650</v>
      </c>
      <c r="V1302" t="s">
        <v>11650</v>
      </c>
      <c r="W1302" t="s">
        <v>12925</v>
      </c>
      <c r="X1302">
        <v>9</v>
      </c>
      <c r="Y1302" t="s">
        <v>18675</v>
      </c>
      <c r="Z1302" t="s">
        <v>24364</v>
      </c>
      <c r="AA1302">
        <v>0.7989232739483666</v>
      </c>
      <c r="AB1302" t="str">
        <f>HYPERLINK("Melting_Curves/meltCurve_O15347_HMGB3.pdf", "Melting_Curves/meltCurve_O15347_HMGB3.pdf")</f>
        <v>Melting_Curves/meltCurve_O15347_HMGB3.pdf</v>
      </c>
    </row>
    <row r="1303" spans="1:28" x14ac:dyDescent="0.25">
      <c r="A1303" t="s">
        <v>1307</v>
      </c>
      <c r="B1303">
        <v>0.99996721820229495</v>
      </c>
      <c r="C1303">
        <v>0.68929527232127896</v>
      </c>
      <c r="D1303">
        <v>0.29704963409024299</v>
      </c>
      <c r="E1303">
        <v>0.20313329161464699</v>
      </c>
      <c r="F1303">
        <v>0.24123413855770601</v>
      </c>
      <c r="G1303">
        <v>0.187261326242532</v>
      </c>
      <c r="H1303">
        <v>0.17543744619375901</v>
      </c>
      <c r="I1303">
        <v>0.15641046258421801</v>
      </c>
      <c r="J1303">
        <v>0.124353494540693</v>
      </c>
      <c r="K1303">
        <v>0.127177477063801</v>
      </c>
      <c r="L1303">
        <v>1490.5703077302501</v>
      </c>
      <c r="M1303">
        <v>34.178084764829897</v>
      </c>
      <c r="N1303">
        <v>44.156437999038602</v>
      </c>
      <c r="O1303">
        <v>43.463389469464403</v>
      </c>
      <c r="P1303">
        <v>-0.16278394571558499</v>
      </c>
      <c r="Q1303">
        <v>0.171970749825679</v>
      </c>
      <c r="R1303">
        <v>0.98529747156074898</v>
      </c>
      <c r="S1303" t="s">
        <v>7129</v>
      </c>
      <c r="T1303" t="s">
        <v>11650</v>
      </c>
      <c r="U1303" t="s">
        <v>11650</v>
      </c>
      <c r="V1303" t="s">
        <v>11650</v>
      </c>
      <c r="W1303" t="s">
        <v>12926</v>
      </c>
      <c r="X1303">
        <v>13</v>
      </c>
      <c r="Y1303" t="s">
        <v>18676</v>
      </c>
      <c r="Z1303" t="s">
        <v>24365</v>
      </c>
      <c r="AA1303">
        <v>0.27634976470501449</v>
      </c>
      <c r="AB1303" t="str">
        <f>HYPERLINK("Melting_Curves/meltCurve_O15355_PPM1G.pdf", "Melting_Curves/meltCurve_O15355_PPM1G.pdf")</f>
        <v>Melting_Curves/meltCurve_O15355_PPM1G.pdf</v>
      </c>
    </row>
    <row r="1304" spans="1:28" x14ac:dyDescent="0.25">
      <c r="A1304" t="s">
        <v>1308</v>
      </c>
      <c r="B1304">
        <v>0.99996721820229495</v>
      </c>
      <c r="C1304">
        <v>1.00674399327583</v>
      </c>
      <c r="D1304">
        <v>0.94145724702714695</v>
      </c>
      <c r="E1304">
        <v>0.551190143778856</v>
      </c>
      <c r="F1304">
        <v>0.50907415973293402</v>
      </c>
      <c r="G1304">
        <v>0.39841821426264501</v>
      </c>
      <c r="H1304">
        <v>0.218611027465098</v>
      </c>
      <c r="I1304">
        <v>0.154415025103875</v>
      </c>
      <c r="J1304">
        <v>0.125846348536887</v>
      </c>
      <c r="K1304">
        <v>8.2154785246136106E-2</v>
      </c>
      <c r="L1304">
        <v>648.38330965336502</v>
      </c>
      <c r="M1304">
        <v>12.3455137196623</v>
      </c>
      <c r="N1304">
        <v>53.153201571606502</v>
      </c>
      <c r="O1304">
        <v>51.198794255173802</v>
      </c>
      <c r="P1304">
        <v>-5.6170599347931199E-2</v>
      </c>
      <c r="Q1304">
        <v>6.8407801704872595E-2</v>
      </c>
      <c r="R1304">
        <v>0.97390890179229295</v>
      </c>
      <c r="S1304" t="s">
        <v>7130</v>
      </c>
      <c r="T1304" t="s">
        <v>11650</v>
      </c>
      <c r="U1304" t="s">
        <v>11650</v>
      </c>
      <c r="V1304" t="s">
        <v>11650</v>
      </c>
      <c r="W1304" t="s">
        <v>12927</v>
      </c>
      <c r="X1304">
        <v>22</v>
      </c>
      <c r="Y1304" t="s">
        <v>18677</v>
      </c>
      <c r="Z1304" t="s">
        <v>24366</v>
      </c>
      <c r="AA1304">
        <v>0.48374896435079079</v>
      </c>
      <c r="AB1304" t="str">
        <f>HYPERLINK("Melting_Curves/meltCurve_O15357_INPPL1.pdf", "Melting_Curves/meltCurve_O15357_INPPL1.pdf")</f>
        <v>Melting_Curves/meltCurve_O15357_INPPL1.pdf</v>
      </c>
    </row>
    <row r="1305" spans="1:28" x14ac:dyDescent="0.25">
      <c r="A1305" t="s">
        <v>1309</v>
      </c>
      <c r="B1305">
        <v>0.99996721820229495</v>
      </c>
      <c r="C1305">
        <v>1.0807516803642701</v>
      </c>
      <c r="D1305">
        <v>1.05078232367637</v>
      </c>
      <c r="E1305">
        <v>1.01722824880908</v>
      </c>
      <c r="F1305">
        <v>1.2214785324753099</v>
      </c>
      <c r="G1305">
        <v>1.03965808155478</v>
      </c>
      <c r="H1305">
        <v>0.53196433433321</v>
      </c>
      <c r="I1305">
        <v>0.28330510694731897</v>
      </c>
      <c r="J1305">
        <v>0.170007019344492</v>
      </c>
      <c r="K1305">
        <v>0.12190483264870999</v>
      </c>
      <c r="L1305">
        <v>2981.4054552667599</v>
      </c>
      <c r="M1305">
        <v>48.978870327724202</v>
      </c>
      <c r="N1305">
        <v>61.352540042181602</v>
      </c>
      <c r="O1305">
        <v>60.770044193733803</v>
      </c>
      <c r="P1305">
        <v>-0.16935313513540901</v>
      </c>
      <c r="Q1305">
        <v>0.159507963850787</v>
      </c>
      <c r="R1305">
        <v>0.95812683977866397</v>
      </c>
      <c r="S1305" t="s">
        <v>7131</v>
      </c>
      <c r="T1305" t="s">
        <v>11650</v>
      </c>
      <c r="U1305" t="s">
        <v>11650</v>
      </c>
      <c r="V1305" t="s">
        <v>11650</v>
      </c>
      <c r="W1305" t="s">
        <v>12928</v>
      </c>
      <c r="X1305">
        <v>14</v>
      </c>
      <c r="Y1305" t="s">
        <v>18678</v>
      </c>
      <c r="Z1305" t="s">
        <v>24367</v>
      </c>
      <c r="AA1305">
        <v>0.74651657806926586</v>
      </c>
      <c r="AB1305" t="str">
        <f>HYPERLINK("Melting_Curves/meltCurve_O15382_BCAT2.pdf", "Melting_Curves/meltCurve_O15382_BCAT2.pdf")</f>
        <v>Melting_Curves/meltCurve_O15382_BCAT2.pdf</v>
      </c>
    </row>
    <row r="1306" spans="1:28" x14ac:dyDescent="0.25">
      <c r="A1306" t="s">
        <v>1310</v>
      </c>
      <c r="B1306">
        <v>0.99996721820229495</v>
      </c>
      <c r="C1306">
        <v>0.96480608804378198</v>
      </c>
      <c r="D1306">
        <v>1.0700644154443999</v>
      </c>
      <c r="E1306">
        <v>1.1757068025677799</v>
      </c>
      <c r="F1306">
        <v>1.50957500255821</v>
      </c>
      <c r="G1306">
        <v>1.48993774015477</v>
      </c>
      <c r="H1306">
        <v>0.83220106867052202</v>
      </c>
      <c r="I1306">
        <v>0.45957242818398603</v>
      </c>
      <c r="J1306">
        <v>0.29232652143052801</v>
      </c>
      <c r="K1306">
        <v>0.318214943063577</v>
      </c>
      <c r="L1306">
        <v>3700.6689831072999</v>
      </c>
      <c r="M1306">
        <v>59.274841938712598</v>
      </c>
      <c r="N1306">
        <v>63.444548440380302</v>
      </c>
      <c r="O1306">
        <v>62.361429923663202</v>
      </c>
      <c r="P1306">
        <v>-0.16496321202740499</v>
      </c>
      <c r="Q1306">
        <v>0.305787280792293</v>
      </c>
      <c r="R1306">
        <v>0.68959846604090402</v>
      </c>
      <c r="S1306" t="s">
        <v>7132</v>
      </c>
      <c r="T1306" t="s">
        <v>11650</v>
      </c>
      <c r="U1306" t="s">
        <v>11650</v>
      </c>
      <c r="V1306" t="s">
        <v>11650</v>
      </c>
      <c r="W1306" t="s">
        <v>12929</v>
      </c>
      <c r="X1306">
        <v>17</v>
      </c>
      <c r="Y1306" t="s">
        <v>18679</v>
      </c>
      <c r="Z1306" t="s">
        <v>24368</v>
      </c>
      <c r="AA1306">
        <v>0.82618751940756696</v>
      </c>
      <c r="AB1306" t="str">
        <f>HYPERLINK("Melting_Curves/meltCurve_O15394_NCAM2.pdf", "Melting_Curves/meltCurve_O15394_NCAM2.pdf")</f>
        <v>Melting_Curves/meltCurve_O15394_NCAM2.pdf</v>
      </c>
    </row>
    <row r="1307" spans="1:28" x14ac:dyDescent="0.25">
      <c r="A1307" t="s">
        <v>1311</v>
      </c>
      <c r="B1307">
        <v>0.99996721820229495</v>
      </c>
      <c r="C1307">
        <v>1.0792481726819301</v>
      </c>
      <c r="D1307">
        <v>1.29616954037971</v>
      </c>
      <c r="E1307">
        <v>0.92568320613047195</v>
      </c>
      <c r="F1307">
        <v>0.47997586998846897</v>
      </c>
      <c r="G1307">
        <v>0.40574347624267199</v>
      </c>
      <c r="H1307">
        <v>0.45055878805349597</v>
      </c>
      <c r="I1307">
        <v>0.24115842197114201</v>
      </c>
      <c r="J1307">
        <v>0.167175921375537</v>
      </c>
      <c r="K1307">
        <v>0.22068769855024301</v>
      </c>
      <c r="L1307">
        <v>2653.72702038836</v>
      </c>
      <c r="M1307">
        <v>51.018432796645797</v>
      </c>
      <c r="N1307">
        <v>52.933744723990699</v>
      </c>
      <c r="O1307">
        <v>51.935333451399998</v>
      </c>
      <c r="P1307">
        <v>-0.17344950431251299</v>
      </c>
      <c r="Q1307">
        <v>0.29373364059846002</v>
      </c>
      <c r="R1307">
        <v>0.89780222283466704</v>
      </c>
      <c r="S1307" t="s">
        <v>7133</v>
      </c>
      <c r="T1307" t="s">
        <v>11650</v>
      </c>
      <c r="U1307" t="s">
        <v>11650</v>
      </c>
      <c r="V1307" t="s">
        <v>11650</v>
      </c>
      <c r="W1307" t="s">
        <v>12930</v>
      </c>
      <c r="X1307">
        <v>4</v>
      </c>
      <c r="Y1307" t="s">
        <v>18680</v>
      </c>
      <c r="Z1307" t="s">
        <v>24369</v>
      </c>
      <c r="AA1307">
        <v>0.57815078819952737</v>
      </c>
      <c r="AB1307" t="str">
        <f>HYPERLINK("Melting_Curves/meltCurve_O15397_IPO8.pdf", "Melting_Curves/meltCurve_O15397_IPO8.pdf")</f>
        <v>Melting_Curves/meltCurve_O15397_IPO8.pdf</v>
      </c>
    </row>
    <row r="1308" spans="1:28" x14ac:dyDescent="0.25">
      <c r="A1308" t="s">
        <v>1312</v>
      </c>
      <c r="B1308">
        <v>0.99996721820229495</v>
      </c>
      <c r="C1308">
        <v>0.83231932468095704</v>
      </c>
      <c r="D1308">
        <v>0.91615878860004896</v>
      </c>
      <c r="E1308">
        <v>1.07366510895245</v>
      </c>
      <c r="F1308">
        <v>1.43882925230883</v>
      </c>
      <c r="G1308">
        <v>1.5917291530206801</v>
      </c>
      <c r="H1308">
        <v>1.2323645289176699</v>
      </c>
      <c r="I1308">
        <v>0.88493578861442701</v>
      </c>
      <c r="J1308">
        <v>0.59592127703352504</v>
      </c>
      <c r="K1308">
        <v>0.60951187269952001</v>
      </c>
      <c r="L1308">
        <v>15000</v>
      </c>
      <c r="M1308">
        <v>233.47773163600201</v>
      </c>
      <c r="O1308">
        <v>64.241233786581603</v>
      </c>
      <c r="P1308">
        <v>-0.360982659741862</v>
      </c>
      <c r="Q1308">
        <v>0.60270344930154396</v>
      </c>
      <c r="R1308">
        <v>0.33827747869389901</v>
      </c>
      <c r="S1308" t="s">
        <v>7134</v>
      </c>
      <c r="T1308" t="s">
        <v>11650</v>
      </c>
      <c r="U1308" t="s">
        <v>11650</v>
      </c>
      <c r="V1308" t="s">
        <v>11650</v>
      </c>
      <c r="W1308" t="s">
        <v>12931</v>
      </c>
      <c r="X1308">
        <v>13</v>
      </c>
      <c r="Y1308" t="s">
        <v>18681</v>
      </c>
      <c r="Z1308" t="s">
        <v>24370</v>
      </c>
      <c r="AA1308">
        <v>0.92384929609622846</v>
      </c>
      <c r="AB1308" t="str">
        <f>HYPERLINK("Melting_Curves/meltCurve_O15400_2_STX7.pdf", "Melting_Curves/meltCurve_O15400_2_STX7.pdf")</f>
        <v>Melting_Curves/meltCurve_O15400_2_STX7.pdf</v>
      </c>
    </row>
    <row r="1309" spans="1:28" x14ac:dyDescent="0.25">
      <c r="A1309" t="s">
        <v>1313</v>
      </c>
      <c r="B1309">
        <v>0.99996721820229495</v>
      </c>
      <c r="C1309">
        <v>0.88971403792593495</v>
      </c>
      <c r="D1309">
        <v>1.0208765197897001</v>
      </c>
      <c r="E1309">
        <v>1.1035589678470501</v>
      </c>
      <c r="F1309">
        <v>1.4763747972425301</v>
      </c>
      <c r="G1309">
        <v>1.5984074909385</v>
      </c>
      <c r="H1309">
        <v>1.1950348714265999</v>
      </c>
      <c r="I1309">
        <v>0.67373210380068305</v>
      </c>
      <c r="J1309">
        <v>0.49665449226456898</v>
      </c>
      <c r="K1309">
        <v>0.48507209475479901</v>
      </c>
      <c r="L1309">
        <v>15000</v>
      </c>
      <c r="M1309">
        <v>234.95377995966001</v>
      </c>
      <c r="N1309">
        <v>64.948486800424007</v>
      </c>
      <c r="O1309">
        <v>63.837718407421697</v>
      </c>
      <c r="P1309">
        <v>-0.46847414425674799</v>
      </c>
      <c r="Q1309">
        <v>0.49085610887454201</v>
      </c>
      <c r="R1309">
        <v>0.491370241243414</v>
      </c>
      <c r="S1309" t="s">
        <v>7135</v>
      </c>
      <c r="T1309" t="s">
        <v>11650</v>
      </c>
      <c r="U1309" t="s">
        <v>11650</v>
      </c>
      <c r="V1309" t="s">
        <v>11650</v>
      </c>
      <c r="W1309" t="s">
        <v>12932</v>
      </c>
      <c r="X1309">
        <v>3</v>
      </c>
      <c r="Y1309" t="s">
        <v>18682</v>
      </c>
      <c r="Z1309" t="s">
        <v>24371</v>
      </c>
      <c r="AA1309">
        <v>0.89556015339109052</v>
      </c>
      <c r="AB1309" t="str">
        <f>HYPERLINK("Melting_Curves/meltCurve_O15403_SLC16A6.pdf", "Melting_Curves/meltCurve_O15403_SLC16A6.pdf")</f>
        <v>Melting_Curves/meltCurve_O15403_SLC16A6.pdf</v>
      </c>
    </row>
    <row r="1310" spans="1:28" x14ac:dyDescent="0.25">
      <c r="A1310" t="s">
        <v>1314</v>
      </c>
      <c r="B1310">
        <v>0.99996721820229495</v>
      </c>
      <c r="C1310">
        <v>0.80191482386205504</v>
      </c>
      <c r="D1310">
        <v>1.1532387661827801</v>
      </c>
      <c r="E1310">
        <v>1.28221125385544</v>
      </c>
      <c r="F1310">
        <v>1.7884472965845</v>
      </c>
      <c r="G1310">
        <v>1.86146543194957</v>
      </c>
      <c r="H1310">
        <v>1.41493722189255</v>
      </c>
      <c r="I1310">
        <v>0.94556810514298295</v>
      </c>
      <c r="J1310">
        <v>0.51736436328718605</v>
      </c>
      <c r="K1310">
        <v>0.73837213379320199</v>
      </c>
      <c r="L1310">
        <v>15000</v>
      </c>
      <c r="M1310">
        <v>232.61374820131601</v>
      </c>
      <c r="O1310">
        <v>64.479814218566801</v>
      </c>
      <c r="P1310">
        <v>-0.33563004256707901</v>
      </c>
      <c r="Q1310">
        <v>0.62785754640367697</v>
      </c>
      <c r="R1310">
        <v>3.066470362906E-2</v>
      </c>
      <c r="S1310" t="s">
        <v>7136</v>
      </c>
      <c r="T1310" t="s">
        <v>11650</v>
      </c>
      <c r="U1310" t="s">
        <v>11650</v>
      </c>
      <c r="V1310" t="s">
        <v>11650</v>
      </c>
      <c r="W1310" t="s">
        <v>12933</v>
      </c>
      <c r="X1310">
        <v>6</v>
      </c>
      <c r="Y1310" t="s">
        <v>18683</v>
      </c>
      <c r="Z1310" t="s">
        <v>24372</v>
      </c>
      <c r="AA1310">
        <v>0.93163125769844835</v>
      </c>
      <c r="AB1310" t="str">
        <f>HYPERLINK("Melting_Curves/meltCurve_O15427_SLC16A3.pdf", "Melting_Curves/meltCurve_O15427_SLC16A3.pdf")</f>
        <v>Melting_Curves/meltCurve_O15427_SLC16A3.pdf</v>
      </c>
    </row>
    <row r="1311" spans="1:28" x14ac:dyDescent="0.25">
      <c r="A1311" t="s">
        <v>1315</v>
      </c>
      <c r="B1311">
        <v>0.99996721820229495</v>
      </c>
      <c r="C1311">
        <v>0.98393646536180002</v>
      </c>
      <c r="D1311">
        <v>1.0409073336399599</v>
      </c>
      <c r="E1311">
        <v>1.12292178862448</v>
      </c>
      <c r="F1311">
        <v>1.52244629245329</v>
      </c>
      <c r="G1311">
        <v>2.02119522356465</v>
      </c>
      <c r="H1311">
        <v>1.5733084432244999</v>
      </c>
      <c r="I1311">
        <v>0.72647560668012301</v>
      </c>
      <c r="J1311">
        <v>0.288045916696822</v>
      </c>
      <c r="K1311">
        <v>0.78726004364420998</v>
      </c>
      <c r="L1311">
        <v>15000</v>
      </c>
      <c r="M1311">
        <v>234.74544483928199</v>
      </c>
      <c r="O1311">
        <v>63.894373591237098</v>
      </c>
      <c r="P1311">
        <v>-0.42466324466132999</v>
      </c>
      <c r="Q1311">
        <v>0.53765086006829699</v>
      </c>
      <c r="R1311">
        <v>0.17868804819690701</v>
      </c>
      <c r="S1311" t="s">
        <v>7137</v>
      </c>
      <c r="T1311" t="s">
        <v>11650</v>
      </c>
      <c r="U1311" t="s">
        <v>11650</v>
      </c>
      <c r="V1311" t="s">
        <v>11650</v>
      </c>
      <c r="W1311" t="s">
        <v>12934</v>
      </c>
      <c r="X1311">
        <v>2</v>
      </c>
      <c r="Y1311" t="s">
        <v>18684</v>
      </c>
      <c r="Z1311" t="s">
        <v>24373</v>
      </c>
      <c r="AA1311">
        <v>0.9060324583594106</v>
      </c>
      <c r="AB1311" t="str">
        <f>HYPERLINK("Melting_Curves/meltCurve_O15431_SLC31A1.pdf", "Melting_Curves/meltCurve_O15431_SLC31A1.pdf")</f>
        <v>Melting_Curves/meltCurve_O15431_SLC31A1.pdf</v>
      </c>
    </row>
    <row r="1312" spans="1:28" x14ac:dyDescent="0.25">
      <c r="A1312" t="s">
        <v>1316</v>
      </c>
      <c r="B1312">
        <v>0.99996721820229495</v>
      </c>
      <c r="C1312">
        <v>0.92263304611334795</v>
      </c>
      <c r="D1312">
        <v>1.11138530832176</v>
      </c>
      <c r="E1312">
        <v>1.5584498895710599</v>
      </c>
      <c r="F1312">
        <v>2.2272363869839298</v>
      </c>
      <c r="G1312">
        <v>2.0124648776851601</v>
      </c>
      <c r="H1312">
        <v>0.94193765108181904</v>
      </c>
      <c r="I1312">
        <v>0.28206486893445498</v>
      </c>
      <c r="J1312">
        <v>0.20378005641409</v>
      </c>
      <c r="K1312">
        <v>0.14308793910279299</v>
      </c>
      <c r="L1312">
        <v>5864.4918440949205</v>
      </c>
      <c r="M1312">
        <v>93.509620088543898</v>
      </c>
      <c r="N1312">
        <v>62.999955714536199</v>
      </c>
      <c r="O1312">
        <v>62.686718187130801</v>
      </c>
      <c r="P1312">
        <v>-0.30868415088736301</v>
      </c>
      <c r="Q1312">
        <v>0.17226078579688001</v>
      </c>
      <c r="R1312">
        <v>0.39493816699550799</v>
      </c>
      <c r="S1312" t="s">
        <v>7138</v>
      </c>
      <c r="T1312" t="s">
        <v>11650</v>
      </c>
      <c r="U1312" t="s">
        <v>11650</v>
      </c>
      <c r="V1312" t="s">
        <v>11650</v>
      </c>
      <c r="W1312" t="s">
        <v>12935</v>
      </c>
      <c r="X1312">
        <v>25</v>
      </c>
      <c r="Y1312" t="s">
        <v>18685</v>
      </c>
      <c r="Z1312" t="s">
        <v>24374</v>
      </c>
      <c r="AA1312">
        <v>0.79965863181152363</v>
      </c>
      <c r="AB1312" t="str">
        <f>HYPERLINK("Melting_Curves/meltCurve_O15439_2_ABCC4.pdf", "Melting_Curves/meltCurve_O15439_2_ABCC4.pdf")</f>
        <v>Melting_Curves/meltCurve_O15439_2_ABCC4.pdf</v>
      </c>
    </row>
    <row r="1313" spans="1:28" x14ac:dyDescent="0.25">
      <c r="A1313" t="s">
        <v>1317</v>
      </c>
      <c r="B1313">
        <v>0.99996721820229495</v>
      </c>
      <c r="C1313">
        <v>1.04575193421205</v>
      </c>
      <c r="D1313">
        <v>1.17148945919507</v>
      </c>
      <c r="E1313">
        <v>1.4040065969408899</v>
      </c>
      <c r="F1313">
        <v>2.3494533408335201</v>
      </c>
      <c r="G1313">
        <v>1.8874784993014799</v>
      </c>
      <c r="H1313">
        <v>1.2187801067720501</v>
      </c>
      <c r="I1313">
        <v>1.0927859011119001</v>
      </c>
      <c r="J1313">
        <v>1.20615640755133</v>
      </c>
      <c r="K1313">
        <v>1.2726318478754</v>
      </c>
      <c r="L1313">
        <v>2475.1392024002298</v>
      </c>
      <c r="M1313">
        <v>53.178922783038502</v>
      </c>
      <c r="O1313">
        <v>46.477935431741301</v>
      </c>
      <c r="P1313">
        <v>0.14078704636664699</v>
      </c>
      <c r="Q1313">
        <v>1.4921864922680701</v>
      </c>
      <c r="R1313">
        <v>0.231738821693971</v>
      </c>
      <c r="S1313" t="s">
        <v>7139</v>
      </c>
      <c r="T1313" t="s">
        <v>11650</v>
      </c>
      <c r="U1313" t="s">
        <v>11650</v>
      </c>
      <c r="V1313" t="s">
        <v>11650</v>
      </c>
      <c r="W1313" t="s">
        <v>12936</v>
      </c>
      <c r="X1313">
        <v>4</v>
      </c>
      <c r="Y1313" t="s">
        <v>18686</v>
      </c>
      <c r="Z1313" t="s">
        <v>24375</v>
      </c>
      <c r="AA1313">
        <v>1.383936142775859</v>
      </c>
      <c r="AB1313" t="str">
        <f>HYPERLINK("Melting_Curves/meltCurve_O15446_CD3EAP.pdf", "Melting_Curves/meltCurve_O15446_CD3EAP.pdf")</f>
        <v>Melting_Curves/meltCurve_O15446_CD3EAP.pdf</v>
      </c>
    </row>
    <row r="1314" spans="1:28" x14ac:dyDescent="0.25">
      <c r="A1314" t="s">
        <v>1318</v>
      </c>
      <c r="B1314">
        <v>0.99996721820229495</v>
      </c>
      <c r="C1314">
        <v>0.73238797425823599</v>
      </c>
      <c r="D1314">
        <v>0.76403795578038103</v>
      </c>
      <c r="E1314">
        <v>1.93088866647302</v>
      </c>
      <c r="F1314">
        <v>1.2003340534728599</v>
      </c>
      <c r="G1314">
        <v>0.36672384519582202</v>
      </c>
      <c r="H1314">
        <v>0.25890671753398697</v>
      </c>
      <c r="I1314">
        <v>9.8445575711348196E-2</v>
      </c>
      <c r="J1314">
        <v>2.6799691772307201E-2</v>
      </c>
      <c r="K1314">
        <v>7.11095326744208E-2</v>
      </c>
      <c r="L1314">
        <v>13373.885018696699</v>
      </c>
      <c r="M1314">
        <v>235.547439800902</v>
      </c>
      <c r="N1314">
        <v>56.840195653142899</v>
      </c>
      <c r="O1314">
        <v>56.773813632228901</v>
      </c>
      <c r="P1314">
        <v>-0.91916766018741503</v>
      </c>
      <c r="Q1314">
        <v>0.11381533929432899</v>
      </c>
      <c r="R1314">
        <v>0.68185367921854501</v>
      </c>
      <c r="S1314" t="s">
        <v>7140</v>
      </c>
      <c r="T1314" t="s">
        <v>11650</v>
      </c>
      <c r="U1314" t="s">
        <v>11650</v>
      </c>
      <c r="V1314" t="s">
        <v>11650</v>
      </c>
      <c r="W1314" t="s">
        <v>12937</v>
      </c>
      <c r="X1314">
        <v>29</v>
      </c>
      <c r="Y1314" t="s">
        <v>18687</v>
      </c>
      <c r="Z1314" t="s">
        <v>24376</v>
      </c>
      <c r="AA1314">
        <v>0.60952490410053806</v>
      </c>
      <c r="AB1314" t="str">
        <f>HYPERLINK("Melting_Curves/meltCurve_O15460_P4HA2.pdf", "Melting_Curves/meltCurve_O15460_P4HA2.pdf")</f>
        <v>Melting_Curves/meltCurve_O15460_P4HA2.pdf</v>
      </c>
    </row>
    <row r="1315" spans="1:28" x14ac:dyDescent="0.25">
      <c r="A1315" t="s">
        <v>1319</v>
      </c>
      <c r="B1315">
        <v>0.99996721820229495</v>
      </c>
      <c r="C1315">
        <v>0.85238920939586604</v>
      </c>
      <c r="D1315">
        <v>0.91522866710365502</v>
      </c>
      <c r="E1315">
        <v>1.26626909971208</v>
      </c>
      <c r="F1315">
        <v>1.2936353339889599</v>
      </c>
      <c r="G1315">
        <v>0.818708314080139</v>
      </c>
      <c r="H1315">
        <v>0.39893076071338801</v>
      </c>
      <c r="I1315">
        <v>0.41793482824605899</v>
      </c>
      <c r="J1315">
        <v>0.48675814160765601</v>
      </c>
      <c r="K1315">
        <v>0.45372382032855602</v>
      </c>
      <c r="L1315">
        <v>14292.089276377001</v>
      </c>
      <c r="M1315">
        <v>250</v>
      </c>
      <c r="N1315">
        <v>57.6547964300891</v>
      </c>
      <c r="O1315">
        <v>57.164707250947799</v>
      </c>
      <c r="P1315">
        <v>-0.61299099976106497</v>
      </c>
      <c r="Q1315">
        <v>0.43933686745110201</v>
      </c>
      <c r="R1315">
        <v>0.81693093994449395</v>
      </c>
      <c r="S1315" t="s">
        <v>7141</v>
      </c>
      <c r="T1315" t="s">
        <v>11650</v>
      </c>
      <c r="U1315" t="s">
        <v>11650</v>
      </c>
      <c r="V1315" t="s">
        <v>11650</v>
      </c>
      <c r="W1315" t="s">
        <v>12938</v>
      </c>
      <c r="X1315">
        <v>28</v>
      </c>
      <c r="Y1315" t="s">
        <v>18687</v>
      </c>
      <c r="Z1315" t="s">
        <v>24377</v>
      </c>
      <c r="AA1315">
        <v>0.76024861439576352</v>
      </c>
      <c r="AB1315" t="str">
        <f>HYPERLINK("Melting_Curves/meltCurve_O15460_2_P4HA2.pdf", "Melting_Curves/meltCurve_O15460_2_P4HA2.pdf")</f>
        <v>Melting_Curves/meltCurve_O15460_2_P4HA2.pdf</v>
      </c>
    </row>
    <row r="1316" spans="1:28" x14ac:dyDescent="0.25">
      <c r="A1316" t="s">
        <v>1320</v>
      </c>
      <c r="B1316">
        <v>0.99996721820229495</v>
      </c>
      <c r="C1316">
        <v>1.07098220117876</v>
      </c>
      <c r="D1316">
        <v>0.99046655480719403</v>
      </c>
      <c r="E1316">
        <v>0.91733578350748501</v>
      </c>
      <c r="F1316">
        <v>1.0508936679190599</v>
      </c>
      <c r="G1316">
        <v>0.86435780963322695</v>
      </c>
      <c r="H1316">
        <v>0.31742460792504901</v>
      </c>
      <c r="I1316">
        <v>0.11220291858970199</v>
      </c>
      <c r="J1316">
        <v>7.4412703124481797E-2</v>
      </c>
      <c r="K1316">
        <v>5.4165693357929499E-2</v>
      </c>
      <c r="L1316">
        <v>2432.5881529818398</v>
      </c>
      <c r="M1316">
        <v>40.8534837243539</v>
      </c>
      <c r="N1316">
        <v>59.727886449156799</v>
      </c>
      <c r="O1316">
        <v>59.402065394187403</v>
      </c>
      <c r="P1316">
        <v>-0.161786729986897</v>
      </c>
      <c r="Q1316">
        <v>5.9032745015276999E-2</v>
      </c>
      <c r="R1316">
        <v>0.99143465441913903</v>
      </c>
      <c r="S1316" t="s">
        <v>7142</v>
      </c>
      <c r="T1316" t="s">
        <v>11650</v>
      </c>
      <c r="U1316" t="s">
        <v>11650</v>
      </c>
      <c r="V1316" t="s">
        <v>11650</v>
      </c>
      <c r="W1316" t="s">
        <v>12939</v>
      </c>
      <c r="X1316">
        <v>14</v>
      </c>
      <c r="Y1316" t="s">
        <v>18688</v>
      </c>
      <c r="Z1316" t="s">
        <v>24378</v>
      </c>
      <c r="AA1316">
        <v>0.67561023909978468</v>
      </c>
      <c r="AB1316" t="str">
        <f>HYPERLINK("Melting_Curves/meltCurve_O15498_YKT6.pdf", "Melting_Curves/meltCurve_O15498_YKT6.pdf")</f>
        <v>Melting_Curves/meltCurve_O15498_YKT6.pdf</v>
      </c>
    </row>
    <row r="1317" spans="1:28" x14ac:dyDescent="0.25">
      <c r="A1317" t="s">
        <v>1321</v>
      </c>
      <c r="B1317">
        <v>0.99996721820229495</v>
      </c>
      <c r="C1317">
        <v>1.0357640346052901</v>
      </c>
      <c r="D1317">
        <v>1.16413838052542</v>
      </c>
      <c r="E1317">
        <v>1.4083702736062</v>
      </c>
      <c r="F1317">
        <v>1.8138473150216401</v>
      </c>
      <c r="G1317">
        <v>2.2157345849360399</v>
      </c>
      <c r="H1317">
        <v>1.40136841163612</v>
      </c>
      <c r="I1317">
        <v>0.86147828545209504</v>
      </c>
      <c r="J1317">
        <v>0.54721615308290195</v>
      </c>
      <c r="K1317">
        <v>0.38722363851154001</v>
      </c>
      <c r="L1317">
        <v>4236.5054245608899</v>
      </c>
      <c r="M1317">
        <v>64.442022295337296</v>
      </c>
      <c r="N1317">
        <v>67.2895888010231</v>
      </c>
      <c r="O1317">
        <v>65.678134906740496</v>
      </c>
      <c r="P1317">
        <v>-0.150490879565118</v>
      </c>
      <c r="Q1317">
        <v>0.38649001561487001</v>
      </c>
      <c r="R1317">
        <v>9.3047995977411493E-2</v>
      </c>
      <c r="S1317" t="s">
        <v>7143</v>
      </c>
      <c r="T1317" t="s">
        <v>11650</v>
      </c>
      <c r="U1317" t="s">
        <v>11650</v>
      </c>
      <c r="V1317" t="s">
        <v>11650</v>
      </c>
      <c r="W1317" t="s">
        <v>12940</v>
      </c>
      <c r="X1317">
        <v>10</v>
      </c>
      <c r="Y1317" t="s">
        <v>18689</v>
      </c>
      <c r="Z1317" t="s">
        <v>24379</v>
      </c>
      <c r="AA1317">
        <v>0.91349707819030779</v>
      </c>
      <c r="AB1317" t="str">
        <f>HYPERLINK("Melting_Curves/meltCurve_O15511_ARPC5.pdf", "Melting_Curves/meltCurve_O15511_ARPC5.pdf")</f>
        <v>Melting_Curves/meltCurve_O15511_ARPC5.pdf</v>
      </c>
    </row>
    <row r="1318" spans="1:28" x14ac:dyDescent="0.25">
      <c r="A1318" t="s">
        <v>1322</v>
      </c>
      <c r="B1318">
        <v>0.99996721820229495</v>
      </c>
      <c r="C1318">
        <v>0.95407728978428696</v>
      </c>
      <c r="D1318">
        <v>0.92028721035994898</v>
      </c>
      <c r="E1318">
        <v>1.1283056680405199</v>
      </c>
      <c r="F1318">
        <v>1.49636675634176</v>
      </c>
      <c r="G1318">
        <v>1.5434771600017401</v>
      </c>
      <c r="H1318">
        <v>1.0682518351416399</v>
      </c>
      <c r="I1318">
        <v>0.560619510941752</v>
      </c>
      <c r="J1318">
        <v>0.217332038777689</v>
      </c>
      <c r="K1318">
        <v>0.18162352341426899</v>
      </c>
      <c r="L1318">
        <v>15000</v>
      </c>
      <c r="M1318">
        <v>234.57104188918501</v>
      </c>
      <c r="N1318">
        <v>64.085587228211494</v>
      </c>
      <c r="O1318">
        <v>63.941873555761298</v>
      </c>
      <c r="P1318">
        <v>-0.734189334047193</v>
      </c>
      <c r="Q1318">
        <v>0.19946751824172501</v>
      </c>
      <c r="R1318">
        <v>0.70821806345317995</v>
      </c>
      <c r="S1318" t="s">
        <v>7144</v>
      </c>
      <c r="T1318" t="s">
        <v>11650</v>
      </c>
      <c r="U1318" t="s">
        <v>11650</v>
      </c>
      <c r="V1318" t="s">
        <v>11650</v>
      </c>
      <c r="W1318" t="s">
        <v>12941</v>
      </c>
      <c r="X1318">
        <v>5</v>
      </c>
      <c r="Y1318" t="s">
        <v>18690</v>
      </c>
      <c r="Z1318" t="s">
        <v>24380</v>
      </c>
      <c r="AA1318">
        <v>0.83856826392797812</v>
      </c>
      <c r="AB1318" t="str">
        <f>HYPERLINK("Melting_Curves/meltCurve_O15514_POLR2D.pdf", "Melting_Curves/meltCurve_O15514_POLR2D.pdf")</f>
        <v>Melting_Curves/meltCurve_O15514_POLR2D.pdf</v>
      </c>
    </row>
    <row r="1319" spans="1:28" x14ac:dyDescent="0.25">
      <c r="A1319" t="s">
        <v>1323</v>
      </c>
      <c r="B1319">
        <v>0.99996721820229495</v>
      </c>
      <c r="C1319">
        <v>0.999221484285298</v>
      </c>
      <c r="D1319">
        <v>0.95892611533512695</v>
      </c>
      <c r="E1319">
        <v>1.0068372970895101</v>
      </c>
      <c r="F1319">
        <v>1.4299545222324099</v>
      </c>
      <c r="G1319">
        <v>1.4951662147803</v>
      </c>
      <c r="H1319">
        <v>1.02216490717729</v>
      </c>
      <c r="I1319">
        <v>0.96476021873986195</v>
      </c>
      <c r="J1319">
        <v>0.92299208812454803</v>
      </c>
      <c r="K1319">
        <v>0.55624790653588596</v>
      </c>
      <c r="L1319">
        <v>3416.2525129400401</v>
      </c>
      <c r="M1319">
        <v>48.5746354462865</v>
      </c>
      <c r="Q1319">
        <v>0</v>
      </c>
      <c r="R1319">
        <v>0.30560477077026699</v>
      </c>
      <c r="S1319" t="s">
        <v>7145</v>
      </c>
      <c r="T1319" t="s">
        <v>11650</v>
      </c>
      <c r="U1319" t="s">
        <v>11650</v>
      </c>
      <c r="V1319" t="s">
        <v>11650</v>
      </c>
      <c r="W1319" t="s">
        <v>12942</v>
      </c>
      <c r="X1319">
        <v>6</v>
      </c>
      <c r="Y1319" t="s">
        <v>18691</v>
      </c>
      <c r="Z1319" t="s">
        <v>24381</v>
      </c>
      <c r="AA1319">
        <v>0.97326521321307469</v>
      </c>
      <c r="AB1319" t="str">
        <f>HYPERLINK("Melting_Curves/meltCurve_O15541_RNF113A.pdf", "Melting_Curves/meltCurve_O15541_RNF113A.pdf")</f>
        <v>Melting_Curves/meltCurve_O15541_RNF113A.pdf</v>
      </c>
    </row>
    <row r="1320" spans="1:28" x14ac:dyDescent="0.25">
      <c r="A1320" t="s">
        <v>1324</v>
      </c>
      <c r="B1320">
        <v>0.99996721820229495</v>
      </c>
      <c r="C1320">
        <v>1.09562757918849</v>
      </c>
      <c r="D1320">
        <v>1.1351152806846501</v>
      </c>
      <c r="E1320">
        <v>1.27403674157889</v>
      </c>
      <c r="F1320">
        <v>1.1298459753427399</v>
      </c>
      <c r="G1320">
        <v>0.64678963140426604</v>
      </c>
      <c r="H1320">
        <v>0.229520188426386</v>
      </c>
      <c r="I1320">
        <v>0.171444622389371</v>
      </c>
      <c r="J1320">
        <v>0.122592126062713</v>
      </c>
      <c r="K1320">
        <v>9.7369417072517297E-2</v>
      </c>
      <c r="L1320">
        <v>2940.5089103371802</v>
      </c>
      <c r="M1320">
        <v>51.143837141262601</v>
      </c>
      <c r="N1320">
        <v>57.870524815090199</v>
      </c>
      <c r="O1320">
        <v>57.407183277857797</v>
      </c>
      <c r="P1320">
        <v>-0.19126392440114201</v>
      </c>
      <c r="Q1320">
        <v>0.141252186558394</v>
      </c>
      <c r="R1320">
        <v>0.94050252561751602</v>
      </c>
      <c r="S1320" t="s">
        <v>7146</v>
      </c>
      <c r="T1320" t="s">
        <v>11650</v>
      </c>
      <c r="U1320" t="s">
        <v>11650</v>
      </c>
      <c r="V1320" t="s">
        <v>11650</v>
      </c>
      <c r="W1320" t="s">
        <v>12943</v>
      </c>
      <c r="X1320">
        <v>29</v>
      </c>
      <c r="Y1320" t="s">
        <v>18692</v>
      </c>
      <c r="Z1320" t="s">
        <v>24382</v>
      </c>
      <c r="AA1320">
        <v>0.6441175709115704</v>
      </c>
      <c r="AB1320" t="str">
        <f>HYPERLINK("Melting_Curves/meltCurve_O43143_DHX15.pdf", "Melting_Curves/meltCurve_O43143_DHX15.pdf")</f>
        <v>Melting_Curves/meltCurve_O43143_DHX15.pdf</v>
      </c>
    </row>
    <row r="1321" spans="1:28" x14ac:dyDescent="0.25">
      <c r="A1321" t="s">
        <v>1325</v>
      </c>
      <c r="B1321">
        <v>0.99996721820229495</v>
      </c>
      <c r="C1321">
        <v>1.0410858678692001</v>
      </c>
      <c r="D1321">
        <v>1.1153203381474901</v>
      </c>
      <c r="E1321">
        <v>1.25607450414959</v>
      </c>
      <c r="F1321">
        <v>1.37861554191217</v>
      </c>
      <c r="G1321">
        <v>1.0014931528914499</v>
      </c>
      <c r="H1321">
        <v>0.34522365550137701</v>
      </c>
      <c r="I1321">
        <v>0.209583029698205</v>
      </c>
      <c r="J1321">
        <v>0.14275771766348</v>
      </c>
      <c r="K1321">
        <v>9.9780539142256097E-2</v>
      </c>
      <c r="L1321">
        <v>4455.2456541903803</v>
      </c>
      <c r="M1321">
        <v>74.197155143432099</v>
      </c>
      <c r="N1321">
        <v>60.3277164145886</v>
      </c>
      <c r="O1321">
        <v>60.002466382814099</v>
      </c>
      <c r="P1321">
        <v>-0.26388512307481299</v>
      </c>
      <c r="Q1321">
        <v>0.14639552086794999</v>
      </c>
      <c r="R1321">
        <v>0.89765494927719203</v>
      </c>
      <c r="S1321" t="s">
        <v>7147</v>
      </c>
      <c r="T1321" t="s">
        <v>11650</v>
      </c>
      <c r="U1321" t="s">
        <v>11650</v>
      </c>
      <c r="V1321" t="s">
        <v>11650</v>
      </c>
      <c r="W1321" t="s">
        <v>12944</v>
      </c>
      <c r="X1321">
        <v>10</v>
      </c>
      <c r="Y1321" t="s">
        <v>18693</v>
      </c>
      <c r="Z1321" t="s">
        <v>24383</v>
      </c>
      <c r="AA1321">
        <v>0.71779801695015599</v>
      </c>
      <c r="AB1321" t="str">
        <f>HYPERLINK("Melting_Curves/meltCurve_O43148_RNMT.pdf", "Melting_Curves/meltCurve_O43148_RNMT.pdf")</f>
        <v>Melting_Curves/meltCurve_O43148_RNMT.pdf</v>
      </c>
    </row>
    <row r="1322" spans="1:28" x14ac:dyDescent="0.25">
      <c r="A1322" t="s">
        <v>1326</v>
      </c>
      <c r="B1322">
        <v>0.99996721820229495</v>
      </c>
      <c r="C1322">
        <v>1.05799731200656</v>
      </c>
      <c r="D1322">
        <v>1.0038168255689699</v>
      </c>
      <c r="E1322">
        <v>1.0290929243598099</v>
      </c>
      <c r="F1322">
        <v>1.23558989094646</v>
      </c>
      <c r="G1322">
        <v>1.06693988894436</v>
      </c>
      <c r="H1322">
        <v>0.70174420001913995</v>
      </c>
      <c r="I1322">
        <v>0.30328718328987198</v>
      </c>
      <c r="J1322">
        <v>0.12274208888774001</v>
      </c>
      <c r="K1322">
        <v>0.10764140336964401</v>
      </c>
      <c r="L1322">
        <v>2824.1177515456602</v>
      </c>
      <c r="M1322">
        <v>45.499424538020797</v>
      </c>
      <c r="N1322">
        <v>62.385112009804701</v>
      </c>
      <c r="O1322">
        <v>61.949762620794999</v>
      </c>
      <c r="P1322">
        <v>-0.16472732964775999</v>
      </c>
      <c r="Q1322">
        <v>0.102862823037821</v>
      </c>
      <c r="R1322">
        <v>0.95886851547337104</v>
      </c>
      <c r="S1322" t="s">
        <v>7148</v>
      </c>
      <c r="T1322" t="s">
        <v>11650</v>
      </c>
      <c r="U1322" t="s">
        <v>11650</v>
      </c>
      <c r="V1322" t="s">
        <v>11650</v>
      </c>
      <c r="W1322" t="s">
        <v>12945</v>
      </c>
      <c r="X1322">
        <v>4</v>
      </c>
      <c r="Y1322" t="s">
        <v>18694</v>
      </c>
      <c r="Z1322" t="s">
        <v>24384</v>
      </c>
      <c r="AA1322">
        <v>0.76549110002220144</v>
      </c>
      <c r="AB1322" t="str">
        <f>HYPERLINK("Melting_Curves/meltCurve_O43155_FLRT2.pdf", "Melting_Curves/meltCurve_O43155_FLRT2.pdf")</f>
        <v>Melting_Curves/meltCurve_O43155_FLRT2.pdf</v>
      </c>
    </row>
    <row r="1323" spans="1:28" x14ac:dyDescent="0.25">
      <c r="A1323" t="s">
        <v>1327</v>
      </c>
      <c r="B1323">
        <v>0.99996721820229495</v>
      </c>
      <c r="C1323">
        <v>0.96421749081076402</v>
      </c>
      <c r="D1323">
        <v>1.04217570076759</v>
      </c>
      <c r="E1323">
        <v>1.26962279337186</v>
      </c>
      <c r="F1323">
        <v>1.0720714477681099</v>
      </c>
      <c r="G1323">
        <v>0.76685666393727903</v>
      </c>
      <c r="H1323">
        <v>0.556872522207425</v>
      </c>
      <c r="I1323">
        <v>0.40951499807626801</v>
      </c>
      <c r="J1323">
        <v>0.371598963719869</v>
      </c>
      <c r="K1323">
        <v>0.29508401034235399</v>
      </c>
      <c r="L1323">
        <v>1645.67681299842</v>
      </c>
      <c r="M1323">
        <v>27.788532495564802</v>
      </c>
      <c r="N1323">
        <v>61.529119879168697</v>
      </c>
      <c r="O1323">
        <v>58.917298739473097</v>
      </c>
      <c r="P1323">
        <v>-7.9749572364601798E-2</v>
      </c>
      <c r="Q1323">
        <v>0.32366527436988002</v>
      </c>
      <c r="R1323">
        <v>0.91186161819757106</v>
      </c>
      <c r="S1323" t="s">
        <v>7149</v>
      </c>
      <c r="T1323" t="s">
        <v>11650</v>
      </c>
      <c r="U1323" t="s">
        <v>11650</v>
      </c>
      <c r="V1323" t="s">
        <v>11650</v>
      </c>
      <c r="W1323" t="s">
        <v>12946</v>
      </c>
      <c r="X1323">
        <v>7</v>
      </c>
      <c r="Y1323" t="s">
        <v>18695</v>
      </c>
      <c r="Z1323" t="s">
        <v>24385</v>
      </c>
      <c r="AA1323">
        <v>0.76178209878458614</v>
      </c>
      <c r="AB1323" t="str">
        <f>HYPERLINK("Melting_Curves/meltCurve_O43157_2_PLXNB1.pdf", "Melting_Curves/meltCurve_O43157_2_PLXNB1.pdf")</f>
        <v>Melting_Curves/meltCurve_O43157_2_PLXNB1.pdf</v>
      </c>
    </row>
    <row r="1324" spans="1:28" x14ac:dyDescent="0.25">
      <c r="A1324" t="s">
        <v>1328</v>
      </c>
      <c r="B1324">
        <v>0.99996721820229495</v>
      </c>
      <c r="C1324">
        <v>0.9556661529296</v>
      </c>
      <c r="D1324">
        <v>0.92831665008958297</v>
      </c>
      <c r="E1324">
        <v>1.1653735415764901</v>
      </c>
      <c r="F1324">
        <v>1.7172081879391501</v>
      </c>
      <c r="G1324">
        <v>1.4859008973680199</v>
      </c>
      <c r="H1324">
        <v>1.3157226270067</v>
      </c>
      <c r="I1324">
        <v>1.3762392783128601</v>
      </c>
      <c r="J1324">
        <v>0.99065871826995999</v>
      </c>
      <c r="K1324">
        <v>0.96960650885380395</v>
      </c>
      <c r="L1324">
        <v>12493.027259097</v>
      </c>
      <c r="M1324">
        <v>250</v>
      </c>
      <c r="O1324">
        <v>49.968911399419099</v>
      </c>
      <c r="P1324">
        <v>0.38676874219029</v>
      </c>
      <c r="Q1324">
        <v>1.3092226062810599</v>
      </c>
      <c r="R1324">
        <v>0.35864270692759997</v>
      </c>
      <c r="S1324" t="s">
        <v>7150</v>
      </c>
      <c r="T1324" t="s">
        <v>11650</v>
      </c>
      <c r="U1324" t="s">
        <v>11650</v>
      </c>
      <c r="V1324" t="s">
        <v>11650</v>
      </c>
      <c r="W1324" t="s">
        <v>12947</v>
      </c>
      <c r="X1324">
        <v>3</v>
      </c>
      <c r="Y1324" t="s">
        <v>18696</v>
      </c>
      <c r="Z1324" t="s">
        <v>24386</v>
      </c>
      <c r="AA1324">
        <v>1.206408769162191</v>
      </c>
      <c r="AB1324" t="str">
        <f>HYPERLINK("Melting_Curves/meltCurve_O43164_2_PJA2.pdf", "Melting_Curves/meltCurve_O43164_2_PJA2.pdf")</f>
        <v>Melting_Curves/meltCurve_O43164_2_PJA2.pdf</v>
      </c>
    </row>
    <row r="1325" spans="1:28" x14ac:dyDescent="0.25">
      <c r="A1325" t="s">
        <v>1329</v>
      </c>
      <c r="B1325">
        <v>0.99996721820229495</v>
      </c>
      <c r="C1325">
        <v>1.0227758134212599</v>
      </c>
      <c r="D1325">
        <v>1.15248749156513</v>
      </c>
      <c r="E1325">
        <v>1.83572822456662</v>
      </c>
      <c r="F1325">
        <v>1.50709656218702</v>
      </c>
      <c r="G1325">
        <v>1.39712227242286</v>
      </c>
      <c r="H1325">
        <v>0.96630531572447997</v>
      </c>
      <c r="I1325">
        <v>0.885966863453858</v>
      </c>
      <c r="J1325">
        <v>0.92369519390586297</v>
      </c>
      <c r="K1325">
        <v>0.69663414210719699</v>
      </c>
      <c r="L1325">
        <v>1858.0462453561499</v>
      </c>
      <c r="M1325">
        <v>25.680161912499798</v>
      </c>
      <c r="Q1325">
        <v>0</v>
      </c>
      <c r="R1325">
        <v>-8.5210648272172396E-2</v>
      </c>
      <c r="S1325" t="s">
        <v>7151</v>
      </c>
      <c r="T1325" t="s">
        <v>11650</v>
      </c>
      <c r="U1325" t="s">
        <v>11650</v>
      </c>
      <c r="V1325" t="s">
        <v>11650</v>
      </c>
      <c r="W1325" t="s">
        <v>12948</v>
      </c>
      <c r="X1325">
        <v>2</v>
      </c>
      <c r="Y1325" t="s">
        <v>18697</v>
      </c>
      <c r="Z1325" t="s">
        <v>24387</v>
      </c>
      <c r="AA1325">
        <v>0.97134933107000399</v>
      </c>
      <c r="AB1325" t="str">
        <f>HYPERLINK("Melting_Curves/meltCurve_O43172_2_PRPF4.pdf", "Melting_Curves/meltCurve_O43172_2_PRPF4.pdf")</f>
        <v>Melting_Curves/meltCurve_O43172_2_PRPF4.pdf</v>
      </c>
    </row>
    <row r="1326" spans="1:28" x14ac:dyDescent="0.25">
      <c r="A1326" t="s">
        <v>1330</v>
      </c>
      <c r="B1326">
        <v>0.99996721820229495</v>
      </c>
      <c r="C1326">
        <v>0.91648570899321402</v>
      </c>
      <c r="D1326">
        <v>1.0459102726753899</v>
      </c>
      <c r="E1326">
        <v>1.1961529975280401</v>
      </c>
      <c r="F1326">
        <v>1.4135376692194599</v>
      </c>
      <c r="G1326">
        <v>1.16283534945628</v>
      </c>
      <c r="H1326">
        <v>0.28579092608503498</v>
      </c>
      <c r="I1326">
        <v>0.15414775052430499</v>
      </c>
      <c r="J1326">
        <v>0.10299679773249699</v>
      </c>
      <c r="K1326">
        <v>8.2276907054741305E-2</v>
      </c>
      <c r="L1326">
        <v>12103.700865230499</v>
      </c>
      <c r="M1326">
        <v>199.84110984016101</v>
      </c>
      <c r="N1326">
        <v>60.644446623232398</v>
      </c>
      <c r="O1326">
        <v>60.560557066722403</v>
      </c>
      <c r="P1326">
        <v>-0.73163475159369995</v>
      </c>
      <c r="Q1326">
        <v>0.113131278940737</v>
      </c>
      <c r="R1326">
        <v>0.89761772106702797</v>
      </c>
      <c r="S1326" t="s">
        <v>7152</v>
      </c>
      <c r="T1326" t="s">
        <v>11650</v>
      </c>
      <c r="U1326" t="s">
        <v>11650</v>
      </c>
      <c r="V1326" t="s">
        <v>11650</v>
      </c>
      <c r="W1326" t="s">
        <v>12949</v>
      </c>
      <c r="X1326">
        <v>24</v>
      </c>
      <c r="Y1326" t="s">
        <v>18698</v>
      </c>
      <c r="Z1326" t="s">
        <v>24388</v>
      </c>
      <c r="AA1326">
        <v>0.7212752703565859</v>
      </c>
      <c r="AB1326" t="str">
        <f>HYPERLINK("Melting_Curves/meltCurve_O43175_PHGDH.pdf", "Melting_Curves/meltCurve_O43175_PHGDH.pdf")</f>
        <v>Melting_Curves/meltCurve_O43175_PHGDH.pdf</v>
      </c>
    </row>
    <row r="1327" spans="1:28" x14ac:dyDescent="0.25">
      <c r="A1327" t="s">
        <v>1331</v>
      </c>
      <c r="B1327">
        <v>0.99996721820229495</v>
      </c>
      <c r="C1327">
        <v>1.2109937691281101</v>
      </c>
      <c r="D1327">
        <v>1.2289426453993699</v>
      </c>
      <c r="E1327">
        <v>1.41334392956296</v>
      </c>
      <c r="F1327">
        <v>2.1953387448059898</v>
      </c>
      <c r="G1327">
        <v>2.4580722365577601</v>
      </c>
      <c r="H1327">
        <v>1.58666548870391</v>
      </c>
      <c r="I1327">
        <v>1.2158071784826601</v>
      </c>
      <c r="J1327">
        <v>1.0425891312569</v>
      </c>
      <c r="K1327">
        <v>0.79232197181555297</v>
      </c>
      <c r="L1327">
        <v>1291.3036767987901</v>
      </c>
      <c r="M1327">
        <v>28.816996137914199</v>
      </c>
      <c r="O1327">
        <v>44.596360428371398</v>
      </c>
      <c r="P1327">
        <v>8.0772332624176005E-2</v>
      </c>
      <c r="Q1327">
        <v>1.5</v>
      </c>
      <c r="R1327">
        <v>0.11982902810649999</v>
      </c>
      <c r="S1327" t="s">
        <v>7153</v>
      </c>
      <c r="T1327" t="s">
        <v>11650</v>
      </c>
      <c r="U1327" t="s">
        <v>11650</v>
      </c>
      <c r="V1327" t="s">
        <v>11650</v>
      </c>
      <c r="W1327" t="s">
        <v>12950</v>
      </c>
      <c r="X1327">
        <v>1</v>
      </c>
      <c r="Y1327" t="s">
        <v>18699</v>
      </c>
      <c r="Z1327" t="s">
        <v>24389</v>
      </c>
      <c r="AA1327">
        <v>1.416218275203212</v>
      </c>
      <c r="AB1327" t="str">
        <f>HYPERLINK("Melting_Curves/meltCurve_O43181_NDUFS4.pdf", "Melting_Curves/meltCurve_O43181_NDUFS4.pdf")</f>
        <v>Melting_Curves/meltCurve_O43181_NDUFS4.pdf</v>
      </c>
    </row>
    <row r="1328" spans="1:28" x14ac:dyDescent="0.25">
      <c r="A1328" t="s">
        <v>1332</v>
      </c>
      <c r="B1328">
        <v>0.99996721820229495</v>
      </c>
      <c r="C1328">
        <v>0.94174723329216703</v>
      </c>
      <c r="D1328">
        <v>0.72920585428204199</v>
      </c>
      <c r="E1328">
        <v>0.54748269152162998</v>
      </c>
      <c r="F1328">
        <v>0.59721187086600203</v>
      </c>
      <c r="G1328">
        <v>0.496201494908384</v>
      </c>
      <c r="H1328">
        <v>0.355474340388651</v>
      </c>
      <c r="I1328">
        <v>0.207242289187025</v>
      </c>
      <c r="J1328">
        <v>0.21908410272346501</v>
      </c>
      <c r="K1328">
        <v>0.163644450504776</v>
      </c>
      <c r="L1328">
        <v>387.3731131623</v>
      </c>
      <c r="M1328">
        <v>7.0892510151402899</v>
      </c>
      <c r="N1328">
        <v>54.642318639070098</v>
      </c>
      <c r="O1328">
        <v>50.794383404960797</v>
      </c>
      <c r="P1328">
        <v>-3.4953653394342102E-2</v>
      </c>
      <c r="Q1328">
        <v>0</v>
      </c>
      <c r="R1328">
        <v>0.95466194642180902</v>
      </c>
      <c r="S1328" t="s">
        <v>7154</v>
      </c>
      <c r="T1328" t="s">
        <v>11650</v>
      </c>
      <c r="U1328" t="s">
        <v>11650</v>
      </c>
      <c r="V1328" t="s">
        <v>11650</v>
      </c>
      <c r="W1328" t="s">
        <v>12951</v>
      </c>
      <c r="X1328">
        <v>3</v>
      </c>
      <c r="Y1328" t="s">
        <v>18700</v>
      </c>
      <c r="Z1328" t="s">
        <v>24390</v>
      </c>
      <c r="AA1328">
        <v>0.5182400080770988</v>
      </c>
      <c r="AB1328" t="str">
        <f>HYPERLINK("Melting_Curves/meltCurve_O43182_4_ARHGAP6.pdf", "Melting_Curves/meltCurve_O43182_4_ARHGAP6.pdf")</f>
        <v>Melting_Curves/meltCurve_O43182_4_ARHGAP6.pdf</v>
      </c>
    </row>
    <row r="1329" spans="1:28" x14ac:dyDescent="0.25">
      <c r="A1329" t="s">
        <v>1333</v>
      </c>
      <c r="B1329">
        <v>0.99996721820229495</v>
      </c>
      <c r="C1329">
        <v>0.93823238083134797</v>
      </c>
      <c r="D1329">
        <v>0.85539082532330102</v>
      </c>
      <c r="E1329">
        <v>0.88304134742805696</v>
      </c>
      <c r="F1329">
        <v>0.85019098057102205</v>
      </c>
      <c r="G1329">
        <v>0.67511117015325595</v>
      </c>
      <c r="H1329">
        <v>0.31547578001929</v>
      </c>
      <c r="I1329">
        <v>7.7300705148022605E-2</v>
      </c>
      <c r="J1329">
        <v>0.103691599172159</v>
      </c>
      <c r="K1329">
        <v>0.12690747269910099</v>
      </c>
      <c r="L1329">
        <v>1129.81568557538</v>
      </c>
      <c r="M1329">
        <v>19.421961904470901</v>
      </c>
      <c r="N1329">
        <v>58.369051937870402</v>
      </c>
      <c r="O1329">
        <v>57.565891437970201</v>
      </c>
      <c r="P1329">
        <v>-8.1674092208571705E-2</v>
      </c>
      <c r="Q1329">
        <v>3.1720890974785497E-2</v>
      </c>
      <c r="R1329">
        <v>0.96449237149124101</v>
      </c>
      <c r="S1329" t="s">
        <v>7155</v>
      </c>
      <c r="T1329" t="s">
        <v>11650</v>
      </c>
      <c r="U1329" t="s">
        <v>11650</v>
      </c>
      <c r="V1329" t="s">
        <v>11650</v>
      </c>
      <c r="W1329" t="s">
        <v>12952</v>
      </c>
      <c r="X1329">
        <v>2</v>
      </c>
      <c r="Y1329" t="s">
        <v>18701</v>
      </c>
      <c r="Z1329" t="s">
        <v>24391</v>
      </c>
      <c r="AA1329">
        <v>0.62930947083041855</v>
      </c>
      <c r="AB1329" t="str">
        <f>HYPERLINK("Melting_Curves/meltCurve_O43184_3_ADAM12.pdf", "Melting_Curves/meltCurve_O43184_3_ADAM12.pdf")</f>
        <v>Melting_Curves/meltCurve_O43184_3_ADAM12.pdf</v>
      </c>
    </row>
    <row r="1330" spans="1:28" x14ac:dyDescent="0.25">
      <c r="A1330" t="s">
        <v>1334</v>
      </c>
      <c r="B1330">
        <v>0.99996721820229495</v>
      </c>
      <c r="C1330">
        <v>0.99466213894494104</v>
      </c>
      <c r="D1330">
        <v>0.96516607754183703</v>
      </c>
      <c r="E1330">
        <v>1.4102778207881299</v>
      </c>
      <c r="F1330">
        <v>1.1744843370692799</v>
      </c>
      <c r="G1330">
        <v>0.77199577041090595</v>
      </c>
      <c r="H1330">
        <v>0.54538004252417605</v>
      </c>
      <c r="I1330">
        <v>0.49798208665869698</v>
      </c>
      <c r="J1330">
        <v>0.42550218248736799</v>
      </c>
      <c r="K1330">
        <v>0.29749032876185399</v>
      </c>
      <c r="L1330">
        <v>1870.29984272864</v>
      </c>
      <c r="M1330">
        <v>31.761356718210902</v>
      </c>
      <c r="N1330">
        <v>61.709534432549503</v>
      </c>
      <c r="O1330">
        <v>58.654057076720001</v>
      </c>
      <c r="P1330">
        <v>-8.3514554750795805E-2</v>
      </c>
      <c r="Q1330">
        <v>0.38309410899660101</v>
      </c>
      <c r="R1330">
        <v>0.80567934227816396</v>
      </c>
      <c r="S1330" t="s">
        <v>7156</v>
      </c>
      <c r="T1330" t="s">
        <v>11650</v>
      </c>
      <c r="U1330" t="s">
        <v>11650</v>
      </c>
      <c r="V1330" t="s">
        <v>11650</v>
      </c>
      <c r="W1330" t="s">
        <v>12953</v>
      </c>
      <c r="X1330">
        <v>18</v>
      </c>
      <c r="Y1330" t="s">
        <v>18702</v>
      </c>
      <c r="Z1330" t="s">
        <v>24392</v>
      </c>
      <c r="AA1330">
        <v>0.77508607663404561</v>
      </c>
      <c r="AB1330" t="str">
        <f>HYPERLINK("Melting_Curves/meltCurve_O43237_DYNC1LI2.pdf", "Melting_Curves/meltCurve_O43237_DYNC1LI2.pdf")</f>
        <v>Melting_Curves/meltCurve_O43237_DYNC1LI2.pdf</v>
      </c>
    </row>
    <row r="1331" spans="1:28" x14ac:dyDescent="0.25">
      <c r="A1331" t="s">
        <v>1335</v>
      </c>
      <c r="B1331">
        <v>0.99996721820229495</v>
      </c>
      <c r="C1331">
        <v>1.0495074251036001</v>
      </c>
      <c r="D1331">
        <v>1.1807297167912001</v>
      </c>
      <c r="E1331">
        <v>1.8209023874632799</v>
      </c>
      <c r="F1331">
        <v>1.8402086188817699</v>
      </c>
      <c r="G1331">
        <v>2.10498042426851</v>
      </c>
      <c r="H1331">
        <v>0.59948507882742996</v>
      </c>
      <c r="I1331">
        <v>0.30932864831171403</v>
      </c>
      <c r="J1331">
        <v>0.17906200747143899</v>
      </c>
      <c r="K1331">
        <v>0.155932716771087</v>
      </c>
      <c r="L1331">
        <v>7698.9655636956404</v>
      </c>
      <c r="M1331">
        <v>126.241992406093</v>
      </c>
      <c r="N1331">
        <v>61.256478254141697</v>
      </c>
      <c r="O1331">
        <v>60.970473291737697</v>
      </c>
      <c r="P1331">
        <v>-0.406972600995335</v>
      </c>
      <c r="Q1331">
        <v>0.21378580592375801</v>
      </c>
      <c r="R1331">
        <v>0.43070818567741498</v>
      </c>
      <c r="S1331" t="s">
        <v>7157</v>
      </c>
      <c r="T1331" t="s">
        <v>11650</v>
      </c>
      <c r="U1331" t="s">
        <v>11650</v>
      </c>
      <c r="V1331" t="s">
        <v>11650</v>
      </c>
      <c r="W1331" t="s">
        <v>12954</v>
      </c>
      <c r="X1331">
        <v>12</v>
      </c>
      <c r="Y1331" t="s">
        <v>18703</v>
      </c>
      <c r="Z1331" t="s">
        <v>24393</v>
      </c>
      <c r="AA1331">
        <v>0.764093120672237</v>
      </c>
      <c r="AB1331" t="str">
        <f>HYPERLINK("Melting_Curves/meltCurve_O43242_PSMD3.pdf", "Melting_Curves/meltCurve_O43242_PSMD3.pdf")</f>
        <v>Melting_Curves/meltCurve_O43242_PSMD3.pdf</v>
      </c>
    </row>
    <row r="1332" spans="1:28" x14ac:dyDescent="0.25">
      <c r="A1332" t="s">
        <v>1336</v>
      </c>
      <c r="B1332">
        <v>0.99996721820229495</v>
      </c>
      <c r="C1332">
        <v>1.050034471966</v>
      </c>
      <c r="D1332">
        <v>1.1475901103680399</v>
      </c>
      <c r="E1332">
        <v>1.2977216586146101</v>
      </c>
      <c r="F1332">
        <v>1.0544041448894199</v>
      </c>
      <c r="G1332">
        <v>0.48627883878338701</v>
      </c>
      <c r="H1332">
        <v>0.21363027975482801</v>
      </c>
      <c r="I1332">
        <v>0.16116871437879901</v>
      </c>
      <c r="J1332">
        <v>0.12498106440336</v>
      </c>
      <c r="K1332">
        <v>0.103103847151</v>
      </c>
      <c r="L1332">
        <v>5177.9844360487496</v>
      </c>
      <c r="M1332">
        <v>91.262217125607506</v>
      </c>
      <c r="N1332">
        <v>56.960450798133699</v>
      </c>
      <c r="O1332">
        <v>56.7102095688983</v>
      </c>
      <c r="P1332">
        <v>-0.34187951866000799</v>
      </c>
      <c r="Q1332">
        <v>0.15022628466663901</v>
      </c>
      <c r="R1332">
        <v>0.94265019293611796</v>
      </c>
      <c r="S1332" t="s">
        <v>7158</v>
      </c>
      <c r="T1332" t="s">
        <v>11650</v>
      </c>
      <c r="U1332" t="s">
        <v>11650</v>
      </c>
      <c r="V1332" t="s">
        <v>11650</v>
      </c>
      <c r="W1332" t="s">
        <v>12955</v>
      </c>
      <c r="X1332">
        <v>23</v>
      </c>
      <c r="Y1332" t="s">
        <v>18704</v>
      </c>
      <c r="Z1332" t="s">
        <v>24394</v>
      </c>
      <c r="AA1332">
        <v>0.6249633355177131</v>
      </c>
      <c r="AB1332" t="str">
        <f>HYPERLINK("Melting_Curves/meltCurve_O43252_PAPSS1.pdf", "Melting_Curves/meltCurve_O43252_PAPSS1.pdf")</f>
        <v>Melting_Curves/meltCurve_O43252_PAPSS1.pdf</v>
      </c>
    </row>
    <row r="1333" spans="1:28" x14ac:dyDescent="0.25">
      <c r="A1333" t="s">
        <v>1337</v>
      </c>
      <c r="B1333">
        <v>0.99996721820229495</v>
      </c>
      <c r="C1333">
        <v>1.08053702302032</v>
      </c>
      <c r="D1333">
        <v>0.991728565156757</v>
      </c>
      <c r="E1333">
        <v>0.63179394214596596</v>
      </c>
      <c r="F1333">
        <v>0.37239110509923001</v>
      </c>
      <c r="G1333">
        <v>0.30948045392944001</v>
      </c>
      <c r="H1333">
        <v>0.18099789806088001</v>
      </c>
      <c r="I1333">
        <v>7.9580135168297594E-2</v>
      </c>
      <c r="J1333">
        <v>5.6188787437953497E-2</v>
      </c>
      <c r="K1333">
        <v>0.104777793659207</v>
      </c>
      <c r="L1333">
        <v>1042.41666018254</v>
      </c>
      <c r="M1333">
        <v>20.308893030797599</v>
      </c>
      <c r="N1333">
        <v>51.923200520887903</v>
      </c>
      <c r="O1333">
        <v>50.838198564051801</v>
      </c>
      <c r="P1333">
        <v>-8.9503317024568999E-2</v>
      </c>
      <c r="Q1333">
        <v>0.103831354683816</v>
      </c>
      <c r="R1333">
        <v>0.97773668409550496</v>
      </c>
      <c r="S1333" t="s">
        <v>7159</v>
      </c>
      <c r="T1333" t="s">
        <v>11650</v>
      </c>
      <c r="U1333" t="s">
        <v>11650</v>
      </c>
      <c r="V1333" t="s">
        <v>11650</v>
      </c>
      <c r="W1333" t="s">
        <v>12956</v>
      </c>
      <c r="X1333">
        <v>2</v>
      </c>
      <c r="Y1333" t="s">
        <v>18705</v>
      </c>
      <c r="Z1333" t="s">
        <v>24395</v>
      </c>
      <c r="AA1333">
        <v>0.45430940952671001</v>
      </c>
      <c r="AB1333" t="str">
        <f>HYPERLINK("Melting_Curves/meltCurve_O43281_EFS.pdf", "Melting_Curves/meltCurve_O43281_EFS.pdf")</f>
        <v>Melting_Curves/meltCurve_O43281_EFS.pdf</v>
      </c>
    </row>
    <row r="1334" spans="1:28" x14ac:dyDescent="0.25">
      <c r="A1334" t="s">
        <v>1338</v>
      </c>
      <c r="B1334">
        <v>0.99996721820229495</v>
      </c>
      <c r="C1334">
        <v>0.99883919753416595</v>
      </c>
      <c r="D1334">
        <v>1.0796178475188001</v>
      </c>
      <c r="E1334">
        <v>1.0108158867505901</v>
      </c>
      <c r="F1334">
        <v>1.1485422668760601</v>
      </c>
      <c r="G1334">
        <v>1.0799137581232701</v>
      </c>
      <c r="H1334">
        <v>0.72463357049851496</v>
      </c>
      <c r="I1334">
        <v>0.62871239005817103</v>
      </c>
      <c r="J1334">
        <v>0.52478801731528602</v>
      </c>
      <c r="K1334">
        <v>0.45293473593934402</v>
      </c>
      <c r="L1334">
        <v>2480.4897779084699</v>
      </c>
      <c r="M1334">
        <v>40.4534039510621</v>
      </c>
      <c r="N1334">
        <v>68.944162176648504</v>
      </c>
      <c r="O1334">
        <v>61.167939527523998</v>
      </c>
      <c r="P1334">
        <v>-8.3610352549100403E-2</v>
      </c>
      <c r="Q1334">
        <v>0.494305807475582</v>
      </c>
      <c r="R1334">
        <v>0.92042086876326801</v>
      </c>
      <c r="S1334" t="s">
        <v>7160</v>
      </c>
      <c r="T1334" t="s">
        <v>11650</v>
      </c>
      <c r="U1334" t="s">
        <v>11650</v>
      </c>
      <c r="V1334" t="s">
        <v>11650</v>
      </c>
      <c r="W1334" t="s">
        <v>12957</v>
      </c>
      <c r="X1334">
        <v>10</v>
      </c>
      <c r="Y1334" t="s">
        <v>18706</v>
      </c>
      <c r="Z1334" t="s">
        <v>24396</v>
      </c>
      <c r="AA1334">
        <v>0.85550122266172934</v>
      </c>
      <c r="AB1334" t="str">
        <f>HYPERLINK("Melting_Curves/meltCurve_O43290_SART1.pdf", "Melting_Curves/meltCurve_O43290_SART1.pdf")</f>
        <v>Melting_Curves/meltCurve_O43290_SART1.pdf</v>
      </c>
    </row>
    <row r="1335" spans="1:28" x14ac:dyDescent="0.25">
      <c r="A1335" t="s">
        <v>1339</v>
      </c>
      <c r="B1335">
        <v>0.99996721820229495</v>
      </c>
      <c r="C1335">
        <v>0.96192571752477896</v>
      </c>
      <c r="D1335">
        <v>0.737168134118249</v>
      </c>
      <c r="E1335">
        <v>0.44294227605797498</v>
      </c>
      <c r="F1335">
        <v>0.375353785919391</v>
      </c>
      <c r="G1335">
        <v>0.31434229229406901</v>
      </c>
      <c r="H1335">
        <v>0.194396375495545</v>
      </c>
      <c r="I1335">
        <v>0.152715043435624</v>
      </c>
      <c r="J1335">
        <v>8.6953764564722896E-2</v>
      </c>
      <c r="K1335">
        <v>9.8673311489366394E-2</v>
      </c>
      <c r="L1335">
        <v>662.80612376532804</v>
      </c>
      <c r="M1335">
        <v>13.4381872157677</v>
      </c>
      <c r="N1335">
        <v>50.2383884027495</v>
      </c>
      <c r="O1335">
        <v>48.2687683771235</v>
      </c>
      <c r="P1335">
        <v>-6.2049402038915603E-2</v>
      </c>
      <c r="Q1335">
        <v>0.10863475628048801</v>
      </c>
      <c r="R1335">
        <v>0.98021704111383801</v>
      </c>
      <c r="S1335" t="s">
        <v>7161</v>
      </c>
      <c r="T1335" t="s">
        <v>11650</v>
      </c>
      <c r="U1335" t="s">
        <v>11650</v>
      </c>
      <c r="V1335" t="s">
        <v>11650</v>
      </c>
      <c r="W1335" t="s">
        <v>12958</v>
      </c>
      <c r="X1335">
        <v>5</v>
      </c>
      <c r="Y1335" t="s">
        <v>18707</v>
      </c>
      <c r="Z1335" t="s">
        <v>24397</v>
      </c>
      <c r="AA1335">
        <v>0.41213364877572722</v>
      </c>
      <c r="AB1335" t="str">
        <f>HYPERLINK("Melting_Curves/meltCurve_O43293_DAPK3.pdf", "Melting_Curves/meltCurve_O43293_DAPK3.pdf")</f>
        <v>Melting_Curves/meltCurve_O43293_DAPK3.pdf</v>
      </c>
    </row>
    <row r="1336" spans="1:28" x14ac:dyDescent="0.25">
      <c r="A1336" t="s">
        <v>1340</v>
      </c>
      <c r="B1336">
        <v>0.99996721820229495</v>
      </c>
      <c r="C1336">
        <v>0.92997074910046396</v>
      </c>
      <c r="D1336">
        <v>0.86301249490409104</v>
      </c>
      <c r="E1336">
        <v>0.70893140535422505</v>
      </c>
      <c r="F1336">
        <v>0.57194243431425495</v>
      </c>
      <c r="G1336">
        <v>0.54733852235371805</v>
      </c>
      <c r="H1336">
        <v>0.29667005966691101</v>
      </c>
      <c r="I1336">
        <v>0.31003105413232301</v>
      </c>
      <c r="J1336">
        <v>0.388583865215054</v>
      </c>
      <c r="K1336">
        <v>0.35925307231761799</v>
      </c>
      <c r="L1336">
        <v>640.12028609592903</v>
      </c>
      <c r="M1336">
        <v>12.4755057919499</v>
      </c>
      <c r="N1336">
        <v>55.5376350565938</v>
      </c>
      <c r="O1336">
        <v>50.0453117138549</v>
      </c>
      <c r="P1336">
        <v>-4.3225094614327303E-2</v>
      </c>
      <c r="Q1336">
        <v>0.30655654085631201</v>
      </c>
      <c r="R1336">
        <v>0.96438151486641999</v>
      </c>
      <c r="S1336" t="s">
        <v>7162</v>
      </c>
      <c r="T1336" t="s">
        <v>11650</v>
      </c>
      <c r="U1336" t="s">
        <v>11650</v>
      </c>
      <c r="V1336" t="s">
        <v>11650</v>
      </c>
      <c r="W1336" t="s">
        <v>12959</v>
      </c>
      <c r="X1336">
        <v>5</v>
      </c>
      <c r="Y1336" t="s">
        <v>18708</v>
      </c>
      <c r="Z1336" t="s">
        <v>24398</v>
      </c>
      <c r="AA1336">
        <v>0.58899564093573498</v>
      </c>
      <c r="AB1336" t="str">
        <f>HYPERLINK("Melting_Curves/meltCurve_O43294_2_TGFB1I1.pdf", "Melting_Curves/meltCurve_O43294_2_TGFB1I1.pdf")</f>
        <v>Melting_Curves/meltCurve_O43294_2_TGFB1I1.pdf</v>
      </c>
    </row>
    <row r="1337" spans="1:28" x14ac:dyDescent="0.25">
      <c r="A1337" t="s">
        <v>1341</v>
      </c>
      <c r="B1337">
        <v>0.99996721820229495</v>
      </c>
      <c r="C1337">
        <v>0.90823509257483404</v>
      </c>
      <c r="D1337">
        <v>0.97232544277843502</v>
      </c>
      <c r="E1337">
        <v>1.2515624649652199</v>
      </c>
      <c r="F1337">
        <v>1.3729055262808101</v>
      </c>
      <c r="G1337">
        <v>1.40013786583206</v>
      </c>
      <c r="H1337">
        <v>0.935500318225853</v>
      </c>
      <c r="I1337">
        <v>0.27153068466535901</v>
      </c>
      <c r="J1337">
        <v>0.16551709979808399</v>
      </c>
      <c r="K1337">
        <v>0.119543900155809</v>
      </c>
      <c r="L1337">
        <v>5518.0232915817196</v>
      </c>
      <c r="M1337">
        <v>87.930728961760195</v>
      </c>
      <c r="N1337">
        <v>62.990712641743201</v>
      </c>
      <c r="O1337">
        <v>62.7217712815523</v>
      </c>
      <c r="P1337">
        <v>-0.30120551100033999</v>
      </c>
      <c r="Q1337">
        <v>0.140589798231814</v>
      </c>
      <c r="R1337">
        <v>0.824314909118954</v>
      </c>
      <c r="S1337" t="s">
        <v>7163</v>
      </c>
      <c r="T1337" t="s">
        <v>11650</v>
      </c>
      <c r="U1337" t="s">
        <v>11650</v>
      </c>
      <c r="V1337" t="s">
        <v>11650</v>
      </c>
      <c r="W1337" t="s">
        <v>12960</v>
      </c>
      <c r="X1337">
        <v>6</v>
      </c>
      <c r="Y1337" t="s">
        <v>18709</v>
      </c>
      <c r="Z1337" t="s">
        <v>24399</v>
      </c>
      <c r="AA1337">
        <v>0.79319314795492013</v>
      </c>
      <c r="AB1337" t="str">
        <f>HYPERLINK("Melting_Curves/meltCurve_O43299_AP5Z1.pdf", "Melting_Curves/meltCurve_O43299_AP5Z1.pdf")</f>
        <v>Melting_Curves/meltCurve_O43299_AP5Z1.pdf</v>
      </c>
    </row>
    <row r="1338" spans="1:28" x14ac:dyDescent="0.25">
      <c r="A1338" t="s">
        <v>1342</v>
      </c>
      <c r="B1338">
        <v>0.99996721820229495</v>
      </c>
      <c r="C1338">
        <v>1.0509944244104901</v>
      </c>
      <c r="D1338">
        <v>1.0232731215450199</v>
      </c>
      <c r="E1338">
        <v>0.849261943964979</v>
      </c>
      <c r="F1338">
        <v>0.52762120240992205</v>
      </c>
      <c r="G1338">
        <v>0.41676381372723698</v>
      </c>
      <c r="H1338">
        <v>0.248613745689513</v>
      </c>
      <c r="I1338">
        <v>0.15026574420882599</v>
      </c>
      <c r="J1338">
        <v>0.12917946839390501</v>
      </c>
      <c r="K1338">
        <v>9.5811341390881197E-2</v>
      </c>
      <c r="L1338">
        <v>915.92266897174795</v>
      </c>
      <c r="M1338">
        <v>16.964290619141799</v>
      </c>
      <c r="N1338">
        <v>54.7303917844689</v>
      </c>
      <c r="O1338">
        <v>53.257712990062899</v>
      </c>
      <c r="P1338">
        <v>-7.1484499585820996E-2</v>
      </c>
      <c r="Q1338">
        <v>0.10238181458640699</v>
      </c>
      <c r="R1338">
        <v>0.98355356665107296</v>
      </c>
      <c r="S1338" t="s">
        <v>7164</v>
      </c>
      <c r="T1338" t="s">
        <v>11650</v>
      </c>
      <c r="U1338" t="s">
        <v>11650</v>
      </c>
      <c r="V1338" t="s">
        <v>11650</v>
      </c>
      <c r="W1338" t="s">
        <v>12961</v>
      </c>
      <c r="X1338">
        <v>12</v>
      </c>
      <c r="Y1338" t="s">
        <v>18710</v>
      </c>
      <c r="Z1338" t="s">
        <v>24400</v>
      </c>
      <c r="AA1338">
        <v>0.53665933623094597</v>
      </c>
      <c r="AB1338" t="str">
        <f>HYPERLINK("Melting_Curves/meltCurve_O43301_HSPA12A.pdf", "Melting_Curves/meltCurve_O43301_HSPA12A.pdf")</f>
        <v>Melting_Curves/meltCurve_O43301_HSPA12A.pdf</v>
      </c>
    </row>
    <row r="1339" spans="1:28" x14ac:dyDescent="0.25">
      <c r="A1339" t="s">
        <v>1343</v>
      </c>
      <c r="B1339">
        <v>0.99996721820229495</v>
      </c>
      <c r="C1339">
        <v>1.2910142142743</v>
      </c>
      <c r="D1339">
        <v>1.27622353761385</v>
      </c>
      <c r="E1339">
        <v>1.3773010333190201</v>
      </c>
      <c r="F1339">
        <v>1.3830716194242501</v>
      </c>
      <c r="G1339">
        <v>1.1572958423261901</v>
      </c>
      <c r="H1339">
        <v>0.66746581456589005</v>
      </c>
      <c r="I1339">
        <v>0.55522973896286598</v>
      </c>
      <c r="J1339">
        <v>0.51223387210229798</v>
      </c>
      <c r="K1339">
        <v>0.351987705939246</v>
      </c>
      <c r="L1339">
        <v>5343.9334207277498</v>
      </c>
      <c r="M1339">
        <v>88.080891071001503</v>
      </c>
      <c r="N1339">
        <v>62.673762016113201</v>
      </c>
      <c r="O1339">
        <v>60.639494377456401</v>
      </c>
      <c r="P1339">
        <v>-0.19244327384745799</v>
      </c>
      <c r="Q1339">
        <v>0.47004798254151697</v>
      </c>
      <c r="R1339">
        <v>0.65030773587575996</v>
      </c>
      <c r="S1339" t="s">
        <v>7165</v>
      </c>
      <c r="T1339" t="s">
        <v>11650</v>
      </c>
      <c r="U1339" t="s">
        <v>11650</v>
      </c>
      <c r="V1339" t="s">
        <v>11650</v>
      </c>
      <c r="W1339" t="s">
        <v>12962</v>
      </c>
      <c r="X1339">
        <v>3</v>
      </c>
      <c r="Y1339" t="s">
        <v>18711</v>
      </c>
      <c r="Z1339" t="s">
        <v>24401</v>
      </c>
      <c r="AA1339">
        <v>0.83565326564826847</v>
      </c>
      <c r="AB1339" t="str">
        <f>HYPERLINK("Melting_Curves/meltCurve_O43310_CTIF.pdf", "Melting_Curves/meltCurve_O43310_CTIF.pdf")</f>
        <v>Melting_Curves/meltCurve_O43310_CTIF.pdf</v>
      </c>
    </row>
    <row r="1340" spans="1:28" x14ac:dyDescent="0.25">
      <c r="A1340" t="s">
        <v>1344</v>
      </c>
      <c r="B1340">
        <v>0.99996721820229495</v>
      </c>
      <c r="C1340">
        <v>0.930931562711245</v>
      </c>
      <c r="D1340">
        <v>0.94107483615780996</v>
      </c>
      <c r="E1340">
        <v>0.93974540863328804</v>
      </c>
      <c r="F1340">
        <v>0.66606633180206298</v>
      </c>
      <c r="G1340">
        <v>0.421914658695487</v>
      </c>
      <c r="H1340">
        <v>0.26980520043719602</v>
      </c>
      <c r="I1340">
        <v>0.13667848483231801</v>
      </c>
      <c r="J1340">
        <v>0.111096231459673</v>
      </c>
      <c r="K1340">
        <v>9.3330863985133794E-2</v>
      </c>
      <c r="L1340">
        <v>927.51808148816099</v>
      </c>
      <c r="M1340">
        <v>16.721122507303601</v>
      </c>
      <c r="N1340">
        <v>55.936270941375902</v>
      </c>
      <c r="O1340">
        <v>54.694690875664499</v>
      </c>
      <c r="P1340">
        <v>-7.1460681589844699E-2</v>
      </c>
      <c r="Q1340">
        <v>6.5071829681031798E-2</v>
      </c>
      <c r="R1340">
        <v>0.99032835229214899</v>
      </c>
      <c r="S1340" t="s">
        <v>7166</v>
      </c>
      <c r="T1340" t="s">
        <v>11650</v>
      </c>
      <c r="U1340" t="s">
        <v>11650</v>
      </c>
      <c r="V1340" t="s">
        <v>11650</v>
      </c>
      <c r="W1340" t="s">
        <v>12963</v>
      </c>
      <c r="X1340">
        <v>9</v>
      </c>
      <c r="Y1340" t="s">
        <v>18712</v>
      </c>
      <c r="Z1340" t="s">
        <v>24402</v>
      </c>
      <c r="AA1340">
        <v>0.56267343506660106</v>
      </c>
      <c r="AB1340" t="str">
        <f>HYPERLINK("Melting_Curves/meltCurve_O43314_2_PPIP5K2.pdf", "Melting_Curves/meltCurve_O43314_2_PPIP5K2.pdf")</f>
        <v>Melting_Curves/meltCurve_O43314_2_PPIP5K2.pdf</v>
      </c>
    </row>
    <row r="1341" spans="1:28" x14ac:dyDescent="0.25">
      <c r="A1341" t="s">
        <v>1345</v>
      </c>
      <c r="B1341">
        <v>0.99996721820229495</v>
      </c>
      <c r="C1341">
        <v>0.98709044404567103</v>
      </c>
      <c r="D1341">
        <v>0.87775730011481001</v>
      </c>
      <c r="E1341">
        <v>0.53742002897463004</v>
      </c>
      <c r="F1341">
        <v>0.46932835280955798</v>
      </c>
      <c r="G1341">
        <v>0.45948839025562999</v>
      </c>
      <c r="H1341">
        <v>0.29260376065601601</v>
      </c>
      <c r="I1341">
        <v>0.22189282644490399</v>
      </c>
      <c r="J1341">
        <v>0.206097218475667</v>
      </c>
      <c r="K1341">
        <v>0.14000354757647701</v>
      </c>
      <c r="L1341">
        <v>612.10215149653504</v>
      </c>
      <c r="M1341">
        <v>11.936812328317901</v>
      </c>
      <c r="N1341">
        <v>52.967553339091701</v>
      </c>
      <c r="O1341">
        <v>49.902923060833203</v>
      </c>
      <c r="P1341">
        <v>-5.0346940980354103E-2</v>
      </c>
      <c r="Q1341">
        <v>0.15828736079783801</v>
      </c>
      <c r="R1341">
        <v>0.96534180411011505</v>
      </c>
      <c r="S1341" t="s">
        <v>7167</v>
      </c>
      <c r="T1341" t="s">
        <v>11650</v>
      </c>
      <c r="U1341" t="s">
        <v>11650</v>
      </c>
      <c r="V1341" t="s">
        <v>11650</v>
      </c>
      <c r="W1341" t="s">
        <v>12964</v>
      </c>
      <c r="X1341">
        <v>9</v>
      </c>
      <c r="Y1341" t="s">
        <v>18713</v>
      </c>
      <c r="Z1341" t="s">
        <v>24403</v>
      </c>
      <c r="AA1341">
        <v>0.50191424461261736</v>
      </c>
      <c r="AB1341" t="str">
        <f>HYPERLINK("Melting_Curves/meltCurve_O43318_2_MAP3K7.pdf", "Melting_Curves/meltCurve_O43318_2_MAP3K7.pdf")</f>
        <v>Melting_Curves/meltCurve_O43318_2_MAP3K7.pdf</v>
      </c>
    </row>
    <row r="1342" spans="1:28" x14ac:dyDescent="0.25">
      <c r="A1342" t="s">
        <v>1346</v>
      </c>
      <c r="B1342">
        <v>0.99996721820229495</v>
      </c>
      <c r="C1342">
        <v>1.0518415926143101</v>
      </c>
      <c r="D1342">
        <v>0.95407378790333897</v>
      </c>
      <c r="E1342">
        <v>0.94616287277568001</v>
      </c>
      <c r="F1342">
        <v>0.69750903017376498</v>
      </c>
      <c r="G1342">
        <v>0.39799070678833898</v>
      </c>
      <c r="H1342">
        <v>0.21955265746519201</v>
      </c>
      <c r="I1342">
        <v>0.177803198092811</v>
      </c>
      <c r="J1342">
        <v>0.17695353792736301</v>
      </c>
      <c r="K1342">
        <v>0.12435266964573601</v>
      </c>
      <c r="L1342">
        <v>1237.4562089700501</v>
      </c>
      <c r="M1342">
        <v>22.619859624436</v>
      </c>
      <c r="N1342">
        <v>55.5379602189997</v>
      </c>
      <c r="O1342">
        <v>54.284437207621998</v>
      </c>
      <c r="P1342">
        <v>-8.9214061750504003E-2</v>
      </c>
      <c r="Q1342">
        <v>0.14361305337619401</v>
      </c>
      <c r="R1342">
        <v>0.99485190218432196</v>
      </c>
      <c r="S1342" t="s">
        <v>7168</v>
      </c>
      <c r="T1342" t="s">
        <v>11650</v>
      </c>
      <c r="U1342" t="s">
        <v>11650</v>
      </c>
      <c r="V1342" t="s">
        <v>11650</v>
      </c>
      <c r="W1342" t="s">
        <v>12965</v>
      </c>
      <c r="X1342">
        <v>6</v>
      </c>
      <c r="Y1342" t="s">
        <v>18714</v>
      </c>
      <c r="Z1342" t="s">
        <v>24404</v>
      </c>
      <c r="AA1342">
        <v>0.57285549200901953</v>
      </c>
      <c r="AB1342" t="str">
        <f>HYPERLINK("Melting_Curves/meltCurve_O43325_LYRM1.pdf", "Melting_Curves/meltCurve_O43325_LYRM1.pdf")</f>
        <v>Melting_Curves/meltCurve_O43325_LYRM1.pdf</v>
      </c>
    </row>
    <row r="1343" spans="1:28" x14ac:dyDescent="0.25">
      <c r="A1343" t="s">
        <v>1347</v>
      </c>
      <c r="B1343">
        <v>0.99996721820229495</v>
      </c>
      <c r="C1343">
        <v>0.99932731758216098</v>
      </c>
      <c r="D1343">
        <v>1.02244699610414</v>
      </c>
      <c r="E1343">
        <v>1.0630363363092701</v>
      </c>
      <c r="F1343">
        <v>1.07081816350862</v>
      </c>
      <c r="G1343">
        <v>0.97007602301021001</v>
      </c>
      <c r="H1343">
        <v>0.59134669299371301</v>
      </c>
      <c r="I1343">
        <v>0.356349753523233</v>
      </c>
      <c r="J1343">
        <v>0.18834831265499999</v>
      </c>
      <c r="K1343">
        <v>0.11541758796356601</v>
      </c>
      <c r="L1343">
        <v>1919.9039574569899</v>
      </c>
      <c r="M1343">
        <v>31.1553112459132</v>
      </c>
      <c r="N1343">
        <v>62.1376091375</v>
      </c>
      <c r="O1343">
        <v>61.371452060208298</v>
      </c>
      <c r="P1343">
        <v>-0.112497637035673</v>
      </c>
      <c r="Q1343">
        <v>0.1135890317022</v>
      </c>
      <c r="R1343">
        <v>0.98938667390996904</v>
      </c>
      <c r="S1343" t="s">
        <v>7169</v>
      </c>
      <c r="T1343" t="s">
        <v>11650</v>
      </c>
      <c r="U1343" t="s">
        <v>11650</v>
      </c>
      <c r="V1343" t="s">
        <v>11650</v>
      </c>
      <c r="W1343" t="s">
        <v>12966</v>
      </c>
      <c r="X1343">
        <v>12</v>
      </c>
      <c r="Y1343" t="s">
        <v>18715</v>
      </c>
      <c r="Z1343" t="s">
        <v>24405</v>
      </c>
      <c r="AA1343">
        <v>0.75682612371023916</v>
      </c>
      <c r="AB1343" t="str">
        <f>HYPERLINK("Melting_Curves/meltCurve_O43353_RIPK2.pdf", "Melting_Curves/meltCurve_O43353_RIPK2.pdf")</f>
        <v>Melting_Curves/meltCurve_O43353_RIPK2.pdf</v>
      </c>
    </row>
    <row r="1344" spans="1:28" x14ac:dyDescent="0.25">
      <c r="A1344" t="s">
        <v>1348</v>
      </c>
      <c r="B1344">
        <v>0.99996721820229495</v>
      </c>
      <c r="C1344">
        <v>1.05498625260555</v>
      </c>
      <c r="D1344">
        <v>0.909621880487682</v>
      </c>
      <c r="E1344">
        <v>0.43710186557868402</v>
      </c>
      <c r="F1344">
        <v>0.36226167859080499</v>
      </c>
      <c r="G1344">
        <v>0.28645593622000198</v>
      </c>
      <c r="H1344">
        <v>0.172089763707549</v>
      </c>
      <c r="I1344">
        <v>0.11530537503223399</v>
      </c>
      <c r="J1344">
        <v>8.40482861647186E-2</v>
      </c>
      <c r="K1344">
        <v>6.5940562650599804E-2</v>
      </c>
      <c r="L1344">
        <v>990.76291066012197</v>
      </c>
      <c r="M1344">
        <v>19.914505322263299</v>
      </c>
      <c r="N1344">
        <v>50.4498542063317</v>
      </c>
      <c r="O1344">
        <v>49.257299375281697</v>
      </c>
      <c r="P1344">
        <v>-8.8890469310425199E-2</v>
      </c>
      <c r="Q1344">
        <v>0.12056869844540399</v>
      </c>
      <c r="R1344">
        <v>0.97147320765252199</v>
      </c>
      <c r="S1344" t="s">
        <v>7170</v>
      </c>
      <c r="T1344" t="s">
        <v>11650</v>
      </c>
      <c r="U1344" t="s">
        <v>11650</v>
      </c>
      <c r="V1344" t="s">
        <v>11650</v>
      </c>
      <c r="W1344" t="s">
        <v>12967</v>
      </c>
      <c r="X1344">
        <v>14</v>
      </c>
      <c r="Y1344" t="s">
        <v>18716</v>
      </c>
      <c r="Z1344" t="s">
        <v>24406</v>
      </c>
      <c r="AA1344">
        <v>0.41876760575735339</v>
      </c>
      <c r="AB1344" t="str">
        <f>HYPERLINK("Melting_Curves/meltCurve_O43396_TXNL1.pdf", "Melting_Curves/meltCurve_O43396_TXNL1.pdf")</f>
        <v>Melting_Curves/meltCurve_O43396_TXNL1.pdf</v>
      </c>
    </row>
    <row r="1345" spans="1:28" x14ac:dyDescent="0.25">
      <c r="A1345" t="s">
        <v>1349</v>
      </c>
      <c r="B1345">
        <v>0.99996721820229495</v>
      </c>
      <c r="C1345">
        <v>1.1122515259124299</v>
      </c>
      <c r="D1345">
        <v>1.02678376985194</v>
      </c>
      <c r="E1345">
        <v>1.02847014242865</v>
      </c>
      <c r="F1345">
        <v>1.32962157327849</v>
      </c>
      <c r="G1345">
        <v>1.52031961818642</v>
      </c>
      <c r="H1345">
        <v>1.1452633797386</v>
      </c>
      <c r="I1345">
        <v>1.11972286646597</v>
      </c>
      <c r="J1345">
        <v>0.88884703255300102</v>
      </c>
      <c r="K1345">
        <v>0.682813112241348</v>
      </c>
      <c r="L1345">
        <v>15000</v>
      </c>
      <c r="M1345">
        <v>223.26315574314901</v>
      </c>
      <c r="O1345">
        <v>67.179921713915505</v>
      </c>
      <c r="P1345">
        <v>-0.26356581354768699</v>
      </c>
      <c r="Q1345">
        <v>0.68277210972624602</v>
      </c>
      <c r="R1345">
        <v>8.5335415611919305E-2</v>
      </c>
      <c r="S1345" t="s">
        <v>7171</v>
      </c>
      <c r="T1345" t="s">
        <v>11650</v>
      </c>
      <c r="U1345" t="s">
        <v>11650</v>
      </c>
      <c r="V1345" t="s">
        <v>11650</v>
      </c>
      <c r="W1345" t="s">
        <v>12968</v>
      </c>
      <c r="X1345">
        <v>24</v>
      </c>
      <c r="Y1345" t="s">
        <v>18717</v>
      </c>
      <c r="Z1345" t="s">
        <v>24407</v>
      </c>
      <c r="AA1345">
        <v>0.97028298420675052</v>
      </c>
      <c r="AB1345" t="str">
        <f>HYPERLINK("Melting_Curves/meltCurve_O43399_TPD52L2.pdf", "Melting_Curves/meltCurve_O43399_TPD52L2.pdf")</f>
        <v>Melting_Curves/meltCurve_O43399_TPD52L2.pdf</v>
      </c>
    </row>
    <row r="1346" spans="1:28" x14ac:dyDescent="0.25">
      <c r="A1346" t="s">
        <v>1350</v>
      </c>
      <c r="B1346">
        <v>0.99996721820229495</v>
      </c>
      <c r="C1346">
        <v>0.91175626419324496</v>
      </c>
      <c r="D1346">
        <v>0.90787458033187296</v>
      </c>
      <c r="E1346">
        <v>0.996840463837525</v>
      </c>
      <c r="F1346">
        <v>2.1356675716425499</v>
      </c>
      <c r="G1346">
        <v>0.44374641006036802</v>
      </c>
      <c r="H1346">
        <v>0.156635467431196</v>
      </c>
      <c r="I1346">
        <v>0.16620237054268</v>
      </c>
      <c r="J1346">
        <v>8.3086171415510404E-2</v>
      </c>
      <c r="K1346">
        <v>6.5115154026035904E-2</v>
      </c>
      <c r="L1346">
        <v>14219.541048990501</v>
      </c>
      <c r="M1346">
        <v>250</v>
      </c>
      <c r="N1346">
        <v>56.939305639882697</v>
      </c>
      <c r="O1346">
        <v>56.874548984058897</v>
      </c>
      <c r="P1346">
        <v>-0.96950286456997004</v>
      </c>
      <c r="Q1346">
        <v>0.117759769678889</v>
      </c>
      <c r="R1346">
        <v>0.65010746851824197</v>
      </c>
      <c r="S1346" t="s">
        <v>7172</v>
      </c>
      <c r="T1346" t="s">
        <v>11650</v>
      </c>
      <c r="U1346" t="s">
        <v>11650</v>
      </c>
      <c r="V1346" t="s">
        <v>11650</v>
      </c>
      <c r="W1346" t="s">
        <v>12969</v>
      </c>
      <c r="X1346">
        <v>1</v>
      </c>
      <c r="Y1346" t="s">
        <v>18718</v>
      </c>
      <c r="Z1346" t="s">
        <v>24408</v>
      </c>
      <c r="AA1346">
        <v>0.61420101741189492</v>
      </c>
      <c r="AB1346" t="str">
        <f>HYPERLINK("Melting_Curves/meltCurve_O43402_EMC8.pdf", "Melting_Curves/meltCurve_O43402_EMC8.pdf")</f>
        <v>Melting_Curves/meltCurve_O43402_EMC8.pdf</v>
      </c>
    </row>
    <row r="1347" spans="1:28" x14ac:dyDescent="0.25">
      <c r="A1347" t="s">
        <v>1351</v>
      </c>
      <c r="B1347">
        <v>0.99996721820229495</v>
      </c>
      <c r="C1347">
        <v>1.14606772791746</v>
      </c>
      <c r="D1347">
        <v>1.2395459460749001</v>
      </c>
      <c r="E1347">
        <v>1.6016332243067599</v>
      </c>
      <c r="F1347">
        <v>2.0450328221639902</v>
      </c>
      <c r="G1347">
        <v>2.5595741228215001</v>
      </c>
      <c r="H1347">
        <v>1.51534855810601</v>
      </c>
      <c r="I1347">
        <v>0.79738503613679201</v>
      </c>
      <c r="J1347">
        <v>0.290799393185044</v>
      </c>
      <c r="K1347">
        <v>0.12955214546799501</v>
      </c>
      <c r="L1347">
        <v>4799.2163364948001</v>
      </c>
      <c r="M1347">
        <v>73.520552364410804</v>
      </c>
      <c r="N1347">
        <v>65.587040986420206</v>
      </c>
      <c r="O1347">
        <v>65.228961202121894</v>
      </c>
      <c r="P1347">
        <v>-0.24043849666605499</v>
      </c>
      <c r="Q1347">
        <v>0.14671205109482</v>
      </c>
      <c r="R1347">
        <v>0.150778016407251</v>
      </c>
      <c r="S1347" t="s">
        <v>7173</v>
      </c>
      <c r="T1347" t="s">
        <v>11650</v>
      </c>
      <c r="U1347" t="s">
        <v>11650</v>
      </c>
      <c r="V1347" t="s">
        <v>11650</v>
      </c>
      <c r="W1347" t="s">
        <v>12970</v>
      </c>
      <c r="X1347">
        <v>6</v>
      </c>
      <c r="Y1347" t="s">
        <v>18719</v>
      </c>
      <c r="Z1347" t="s">
        <v>24409</v>
      </c>
      <c r="AA1347">
        <v>0.86659379685301918</v>
      </c>
      <c r="AB1347" t="str">
        <f>HYPERLINK("Melting_Curves/meltCurve_O43464_3_HTRA2.pdf", "Melting_Curves/meltCurve_O43464_3_HTRA2.pdf")</f>
        <v>Melting_Curves/meltCurve_O43464_3_HTRA2.pdf</v>
      </c>
    </row>
    <row r="1348" spans="1:28" x14ac:dyDescent="0.25">
      <c r="A1348" t="s">
        <v>1352</v>
      </c>
      <c r="B1348">
        <v>0.99996721820229495</v>
      </c>
      <c r="C1348">
        <v>0.90700283433681295</v>
      </c>
      <c r="D1348">
        <v>0.856127014431039</v>
      </c>
      <c r="E1348">
        <v>0.97199493431327699</v>
      </c>
      <c r="F1348">
        <v>0.484620517193457</v>
      </c>
      <c r="G1348">
        <v>0.19505876681696199</v>
      </c>
      <c r="H1348">
        <v>0.103127694623039</v>
      </c>
      <c r="I1348">
        <v>7.2904941144455698E-2</v>
      </c>
      <c r="J1348">
        <v>5.3037803828589601E-2</v>
      </c>
      <c r="K1348">
        <v>4.1664708559744898E-2</v>
      </c>
      <c r="L1348">
        <v>2050.5139715985501</v>
      </c>
      <c r="M1348">
        <v>38.777613276960501</v>
      </c>
      <c r="N1348">
        <v>53.111384323727201</v>
      </c>
      <c r="O1348">
        <v>52.738766101669199</v>
      </c>
      <c r="P1348">
        <v>-0.169465797406472</v>
      </c>
      <c r="Q1348">
        <v>7.8087042404415094E-2</v>
      </c>
      <c r="R1348">
        <v>0.974983770711771</v>
      </c>
      <c r="S1348" t="s">
        <v>7174</v>
      </c>
      <c r="T1348" t="s">
        <v>11650</v>
      </c>
      <c r="U1348" t="s">
        <v>11650</v>
      </c>
      <c r="V1348" t="s">
        <v>11650</v>
      </c>
      <c r="W1348" t="s">
        <v>12971</v>
      </c>
      <c r="X1348">
        <v>16</v>
      </c>
      <c r="Y1348" t="s">
        <v>18720</v>
      </c>
      <c r="Z1348" t="s">
        <v>24410</v>
      </c>
      <c r="AA1348">
        <v>0.4774410527137532</v>
      </c>
      <c r="AB1348" t="str">
        <f>HYPERLINK("Melting_Curves/meltCurve_O43488_AKR7A2.pdf", "Melting_Curves/meltCurve_O43488_AKR7A2.pdf")</f>
        <v>Melting_Curves/meltCurve_O43488_AKR7A2.pdf</v>
      </c>
    </row>
    <row r="1349" spans="1:28" x14ac:dyDescent="0.25">
      <c r="A1349" t="s">
        <v>1353</v>
      </c>
      <c r="B1349">
        <v>0.99996721820229495</v>
      </c>
      <c r="C1349">
        <v>0.68891478349301305</v>
      </c>
      <c r="D1349">
        <v>0.61763381974948794</v>
      </c>
      <c r="E1349">
        <v>1.2464377279829899</v>
      </c>
      <c r="F1349">
        <v>1.48628732277112</v>
      </c>
      <c r="G1349">
        <v>0.95738234428207103</v>
      </c>
      <c r="H1349">
        <v>1.3712772355440701</v>
      </c>
      <c r="I1349">
        <v>0.98681391862953005</v>
      </c>
      <c r="J1349">
        <v>0.83201842307789298</v>
      </c>
      <c r="K1349">
        <v>1.2118452487456499</v>
      </c>
      <c r="L1349">
        <v>12015.426368438801</v>
      </c>
      <c r="M1349">
        <v>250</v>
      </c>
      <c r="O1349">
        <v>48.058618481241403</v>
      </c>
      <c r="P1349">
        <v>0.20288854080857999</v>
      </c>
      <c r="Q1349">
        <v>1.1560087244685899</v>
      </c>
      <c r="R1349">
        <v>0.209542859268111</v>
      </c>
      <c r="S1349" t="s">
        <v>7175</v>
      </c>
      <c r="T1349" t="s">
        <v>11650</v>
      </c>
      <c r="U1349" t="s">
        <v>11650</v>
      </c>
      <c r="V1349" t="s">
        <v>11650</v>
      </c>
      <c r="W1349" t="s">
        <v>12972</v>
      </c>
      <c r="X1349">
        <v>30</v>
      </c>
      <c r="Y1349" t="s">
        <v>18721</v>
      </c>
      <c r="Z1349" t="s">
        <v>24411</v>
      </c>
      <c r="AA1349">
        <v>1.1140723525822669</v>
      </c>
      <c r="AB1349" t="str">
        <f>HYPERLINK("Melting_Curves/meltCurve_O43493_2_TGOLN2.pdf", "Melting_Curves/meltCurve_O43493_2_TGOLN2.pdf")</f>
        <v>Melting_Curves/meltCurve_O43493_2_TGOLN2.pdf</v>
      </c>
    </row>
    <row r="1350" spans="1:28" x14ac:dyDescent="0.25">
      <c r="A1350" t="s">
        <v>1354</v>
      </c>
      <c r="B1350">
        <v>0.99996721820229495</v>
      </c>
      <c r="C1350">
        <v>0.88079540402863798</v>
      </c>
      <c r="D1350">
        <v>0.95030648999769896</v>
      </c>
      <c r="E1350">
        <v>1.13837100743352</v>
      </c>
      <c r="F1350">
        <v>1.5130718484422601</v>
      </c>
      <c r="G1350">
        <v>1.5269074394044</v>
      </c>
      <c r="H1350">
        <v>1.3128230225428901</v>
      </c>
      <c r="I1350">
        <v>1.35576405592963</v>
      </c>
      <c r="J1350">
        <v>1.4608761397251899</v>
      </c>
      <c r="K1350">
        <v>1.04693329039218</v>
      </c>
      <c r="L1350">
        <v>12525.6289734406</v>
      </c>
      <c r="M1350">
        <v>250</v>
      </c>
      <c r="O1350">
        <v>50.0993088606726</v>
      </c>
      <c r="P1350">
        <v>0.46082966370088602</v>
      </c>
      <c r="Q1350">
        <v>1.3693959679621399</v>
      </c>
      <c r="R1350">
        <v>0.66936171677325396</v>
      </c>
      <c r="S1350" t="s">
        <v>7176</v>
      </c>
      <c r="T1350" t="s">
        <v>11650</v>
      </c>
      <c r="U1350" t="s">
        <v>11650</v>
      </c>
      <c r="V1350" t="s">
        <v>11650</v>
      </c>
      <c r="W1350" t="s">
        <v>12973</v>
      </c>
      <c r="X1350">
        <v>5</v>
      </c>
      <c r="Y1350" t="s">
        <v>18722</v>
      </c>
      <c r="Z1350" t="s">
        <v>24412</v>
      </c>
      <c r="AA1350">
        <v>1.2449691993796641</v>
      </c>
      <c r="AB1350" t="str">
        <f>HYPERLINK("Melting_Curves/meltCurve_O43504_LAMTOR5.pdf", "Melting_Curves/meltCurve_O43504_LAMTOR5.pdf")</f>
        <v>Melting_Curves/meltCurve_O43504_LAMTOR5.pdf</v>
      </c>
    </row>
    <row r="1351" spans="1:28" x14ac:dyDescent="0.25">
      <c r="A1351" t="s">
        <v>1355</v>
      </c>
      <c r="B1351">
        <v>0.99996721820229495</v>
      </c>
      <c r="C1351">
        <v>0.88290639794562398</v>
      </c>
      <c r="D1351">
        <v>0.95157078473911605</v>
      </c>
      <c r="E1351">
        <v>1.04405823475113</v>
      </c>
      <c r="F1351">
        <v>1.0299749927903601</v>
      </c>
      <c r="G1351">
        <v>0.51480307088239696</v>
      </c>
      <c r="H1351">
        <v>0.27228583192968397</v>
      </c>
      <c r="I1351">
        <v>0.16754659585294401</v>
      </c>
      <c r="J1351">
        <v>0.118840131596163</v>
      </c>
      <c r="K1351">
        <v>8.2768308898537299E-2</v>
      </c>
      <c r="L1351">
        <v>2219.8994038904102</v>
      </c>
      <c r="M1351">
        <v>39.026248963587101</v>
      </c>
      <c r="N1351">
        <v>57.354532698517403</v>
      </c>
      <c r="O1351">
        <v>56.7334744181885</v>
      </c>
      <c r="P1351">
        <v>-0.14833848284912099</v>
      </c>
      <c r="Q1351">
        <v>0.13742792870266199</v>
      </c>
      <c r="R1351">
        <v>0.97711509832047105</v>
      </c>
      <c r="S1351" t="s">
        <v>7177</v>
      </c>
      <c r="T1351" t="s">
        <v>11650</v>
      </c>
      <c r="U1351" t="s">
        <v>11650</v>
      </c>
      <c r="V1351" t="s">
        <v>11650</v>
      </c>
      <c r="W1351" t="s">
        <v>12974</v>
      </c>
      <c r="X1351">
        <v>2</v>
      </c>
      <c r="Y1351" t="s">
        <v>18723</v>
      </c>
      <c r="Z1351" t="s">
        <v>24413</v>
      </c>
      <c r="AA1351">
        <v>0.62635236737142941</v>
      </c>
      <c r="AB1351" t="str">
        <f>HYPERLINK("Melting_Curves/meltCurve_O43505_B3GNT1.pdf", "Melting_Curves/meltCurve_O43505_B3GNT1.pdf")</f>
        <v>Melting_Curves/meltCurve_O43505_B3GNT1.pdf</v>
      </c>
    </row>
    <row r="1352" spans="1:28" x14ac:dyDescent="0.25">
      <c r="A1352" t="s">
        <v>1356</v>
      </c>
      <c r="B1352">
        <v>0.99996721820229495</v>
      </c>
      <c r="C1352">
        <v>0.95255634942460699</v>
      </c>
      <c r="D1352">
        <v>0.85361441632372403</v>
      </c>
      <c r="E1352">
        <v>0.95082622722918397</v>
      </c>
      <c r="F1352">
        <v>0.93333388988468102</v>
      </c>
      <c r="G1352">
        <v>0.96689773345341801</v>
      </c>
      <c r="H1352">
        <v>0.82183513731780999</v>
      </c>
      <c r="I1352">
        <v>0.52582887859341199</v>
      </c>
      <c r="J1352">
        <v>0.226212113761661</v>
      </c>
      <c r="K1352">
        <v>0.138169519969566</v>
      </c>
      <c r="L1352">
        <v>2004.3921685820501</v>
      </c>
      <c r="M1352">
        <v>31.413847872470601</v>
      </c>
      <c r="N1352">
        <v>64.134418201237196</v>
      </c>
      <c r="O1352">
        <v>63.549119389628402</v>
      </c>
      <c r="P1352">
        <v>-0.114400473129959</v>
      </c>
      <c r="Q1352">
        <v>7.4292483744157894E-2</v>
      </c>
      <c r="R1352">
        <v>0.96696357471699801</v>
      </c>
      <c r="S1352" t="s">
        <v>7178</v>
      </c>
      <c r="T1352" t="s">
        <v>11650</v>
      </c>
      <c r="U1352" t="s">
        <v>11650</v>
      </c>
      <c r="V1352" t="s">
        <v>11650</v>
      </c>
      <c r="W1352" t="s">
        <v>12975</v>
      </c>
      <c r="X1352">
        <v>2</v>
      </c>
      <c r="Y1352" t="s">
        <v>18724</v>
      </c>
      <c r="Z1352" t="s">
        <v>24414</v>
      </c>
      <c r="AA1352">
        <v>0.81062748340252377</v>
      </c>
      <c r="AB1352" t="str">
        <f>HYPERLINK("Melting_Curves/meltCurve_O43513_MED7.pdf", "Melting_Curves/meltCurve_O43513_MED7.pdf")</f>
        <v>Melting_Curves/meltCurve_O43513_MED7.pdf</v>
      </c>
    </row>
    <row r="1353" spans="1:28" x14ac:dyDescent="0.25">
      <c r="A1353" t="s">
        <v>1357</v>
      </c>
      <c r="B1353">
        <v>0.99996721820229495</v>
      </c>
      <c r="C1353">
        <v>0.94699957845142702</v>
      </c>
      <c r="D1353">
        <v>0.96181030310228099</v>
      </c>
      <c r="E1353">
        <v>1.0436650337868401</v>
      </c>
      <c r="F1353">
        <v>1.47588849631007</v>
      </c>
      <c r="G1353">
        <v>1.4306149889759801</v>
      </c>
      <c r="H1353">
        <v>1.0257542934691199</v>
      </c>
      <c r="I1353">
        <v>0.98119510231099705</v>
      </c>
      <c r="J1353">
        <v>0.97439063124921299</v>
      </c>
      <c r="K1353">
        <v>0.73259750710818305</v>
      </c>
      <c r="L1353">
        <v>3992.3276763672102</v>
      </c>
      <c r="M1353">
        <v>56.024731071578998</v>
      </c>
      <c r="Q1353">
        <v>0</v>
      </c>
      <c r="R1353">
        <v>8.5931909458741199E-2</v>
      </c>
      <c r="S1353" t="s">
        <v>7179</v>
      </c>
      <c r="T1353" t="s">
        <v>11650</v>
      </c>
      <c r="U1353" t="s">
        <v>11650</v>
      </c>
      <c r="V1353" t="s">
        <v>11650</v>
      </c>
      <c r="W1353" t="s">
        <v>12976</v>
      </c>
      <c r="X1353">
        <v>13</v>
      </c>
      <c r="Y1353" t="s">
        <v>18725</v>
      </c>
      <c r="Z1353" t="s">
        <v>24415</v>
      </c>
      <c r="AA1353">
        <v>0.98773474672406958</v>
      </c>
      <c r="AB1353" t="str">
        <f>HYPERLINK("Melting_Curves/meltCurve_O43516_WIPF1.pdf", "Melting_Curves/meltCurve_O43516_WIPF1.pdf")</f>
        <v>Melting_Curves/meltCurve_O43516_WIPF1.pdf</v>
      </c>
    </row>
    <row r="1354" spans="1:28" x14ac:dyDescent="0.25">
      <c r="A1354" t="s">
        <v>1358</v>
      </c>
      <c r="B1354">
        <v>0.99996721820229495</v>
      </c>
      <c r="C1354">
        <v>0.65541713058908202</v>
      </c>
      <c r="D1354">
        <v>0.95273780600979996</v>
      </c>
      <c r="E1354">
        <v>1.3378870190185499</v>
      </c>
      <c r="F1354">
        <v>1.69387325985021</v>
      </c>
      <c r="G1354">
        <v>1.6910097460859601</v>
      </c>
      <c r="H1354">
        <v>1.0265465523938699</v>
      </c>
      <c r="I1354">
        <v>0.29615106369654698</v>
      </c>
      <c r="J1354">
        <v>0.152147555348145</v>
      </c>
      <c r="K1354">
        <v>0.144864907344051</v>
      </c>
      <c r="L1354">
        <v>15000</v>
      </c>
      <c r="M1354">
        <v>235.936644195089</v>
      </c>
      <c r="N1354">
        <v>63.671513696679298</v>
      </c>
      <c r="O1354">
        <v>63.571821706044197</v>
      </c>
      <c r="P1354">
        <v>-0.79005082982008201</v>
      </c>
      <c r="Q1354">
        <v>0.148500724666661</v>
      </c>
      <c r="R1354">
        <v>0.605692193953</v>
      </c>
      <c r="S1354" t="s">
        <v>7180</v>
      </c>
      <c r="T1354" t="s">
        <v>11650</v>
      </c>
      <c r="U1354" t="s">
        <v>11650</v>
      </c>
      <c r="V1354" t="s">
        <v>11650</v>
      </c>
      <c r="W1354" t="s">
        <v>12977</v>
      </c>
      <c r="X1354">
        <v>14</v>
      </c>
      <c r="Y1354" t="s">
        <v>18726</v>
      </c>
      <c r="Z1354" t="s">
        <v>24416</v>
      </c>
      <c r="AA1354">
        <v>0.81778335148112424</v>
      </c>
      <c r="AB1354" t="str">
        <f>HYPERLINK("Melting_Curves/meltCurve_O43520_ATP8B1.pdf", "Melting_Curves/meltCurve_O43520_ATP8B1.pdf")</f>
        <v>Melting_Curves/meltCurve_O43520_ATP8B1.pdf</v>
      </c>
    </row>
    <row r="1355" spans="1:28" x14ac:dyDescent="0.25">
      <c r="A1355" t="s">
        <v>1359</v>
      </c>
      <c r="B1355">
        <v>0.99996721820229495</v>
      </c>
      <c r="C1355">
        <v>1.02243284918731</v>
      </c>
      <c r="D1355">
        <v>0.86596599978369004</v>
      </c>
      <c r="E1355">
        <v>0.86119458864229703</v>
      </c>
      <c r="F1355">
        <v>0.81587451411811795</v>
      </c>
      <c r="G1355">
        <v>0.93205353604987895</v>
      </c>
      <c r="H1355">
        <v>0.59409474268937001</v>
      </c>
      <c r="I1355">
        <v>0.458100892932507</v>
      </c>
      <c r="J1355">
        <v>0.45371761709094899</v>
      </c>
      <c r="K1355">
        <v>0.40356008148252698</v>
      </c>
      <c r="L1355">
        <v>496.48282097111502</v>
      </c>
      <c r="M1355">
        <v>7.6006849507608099</v>
      </c>
      <c r="N1355">
        <v>65.320799422937995</v>
      </c>
      <c r="O1355">
        <v>61.259151322635901</v>
      </c>
      <c r="P1355">
        <v>-3.10610170588775E-2</v>
      </c>
      <c r="Q1355">
        <v>0</v>
      </c>
      <c r="R1355">
        <v>0.89196603488848603</v>
      </c>
      <c r="S1355" t="s">
        <v>7181</v>
      </c>
      <c r="T1355" t="s">
        <v>11650</v>
      </c>
      <c r="U1355" t="s">
        <v>11650</v>
      </c>
      <c r="V1355" t="s">
        <v>11650</v>
      </c>
      <c r="W1355" t="s">
        <v>12978</v>
      </c>
      <c r="X1355">
        <v>8</v>
      </c>
      <c r="Y1355" t="s">
        <v>18727</v>
      </c>
      <c r="Z1355" t="s">
        <v>24417</v>
      </c>
      <c r="AA1355">
        <v>0.75845435779694481</v>
      </c>
      <c r="AB1355" t="str">
        <f>HYPERLINK("Melting_Curves/meltCurve_O43524_FOXO3.pdf", "Melting_Curves/meltCurve_O43524_FOXO3.pdf")</f>
        <v>Melting_Curves/meltCurve_O43524_FOXO3.pdf</v>
      </c>
    </row>
    <row r="1356" spans="1:28" x14ac:dyDescent="0.25">
      <c r="A1356" t="s">
        <v>1360</v>
      </c>
      <c r="B1356">
        <v>0.99996721820229495</v>
      </c>
      <c r="C1356">
        <v>0.868397368662851</v>
      </c>
      <c r="D1356">
        <v>0.90839459859345695</v>
      </c>
      <c r="E1356">
        <v>1.07311848155378</v>
      </c>
      <c r="F1356">
        <v>1.6239481657541599</v>
      </c>
      <c r="G1356">
        <v>1.7589896007472601</v>
      </c>
      <c r="H1356">
        <v>1.28989856741091</v>
      </c>
      <c r="I1356">
        <v>0.70281925300847703</v>
      </c>
      <c r="J1356">
        <v>0.50056167157994202</v>
      </c>
      <c r="K1356">
        <v>0.42084212285879402</v>
      </c>
      <c r="L1356">
        <v>15000</v>
      </c>
      <c r="M1356">
        <v>234.57974440306299</v>
      </c>
      <c r="N1356">
        <v>64.644991359485005</v>
      </c>
      <c r="O1356">
        <v>63.939497931859599</v>
      </c>
      <c r="P1356">
        <v>-0.49465001908596201</v>
      </c>
      <c r="Q1356">
        <v>0.46069220705613201</v>
      </c>
      <c r="R1356">
        <v>0.381296862567999</v>
      </c>
      <c r="S1356" t="s">
        <v>7182</v>
      </c>
      <c r="T1356" t="s">
        <v>11650</v>
      </c>
      <c r="U1356" t="s">
        <v>11650</v>
      </c>
      <c r="V1356" t="s">
        <v>11650</v>
      </c>
      <c r="W1356" t="s">
        <v>12979</v>
      </c>
      <c r="X1356">
        <v>3</v>
      </c>
      <c r="Y1356" t="s">
        <v>18728</v>
      </c>
      <c r="Z1356" t="s">
        <v>24418</v>
      </c>
      <c r="AA1356">
        <v>0.89120299106298362</v>
      </c>
      <c r="AB1356" t="str">
        <f>HYPERLINK("Melting_Curves/meltCurve_O43567_RNF13.pdf", "Melting_Curves/meltCurve_O43567_RNF13.pdf")</f>
        <v>Melting_Curves/meltCurve_O43567_RNF13.pdf</v>
      </c>
    </row>
    <row r="1357" spans="1:28" x14ac:dyDescent="0.25">
      <c r="A1357" t="s">
        <v>1361</v>
      </c>
      <c r="B1357">
        <v>0.99996721820229495</v>
      </c>
      <c r="C1357">
        <v>1.0616542073592901</v>
      </c>
      <c r="D1357">
        <v>1.01152235954442</v>
      </c>
      <c r="E1357">
        <v>1.03090956483026</v>
      </c>
      <c r="F1357">
        <v>1.3912979078446599</v>
      </c>
      <c r="G1357">
        <v>1.5375421214688101</v>
      </c>
      <c r="H1357">
        <v>1.0022814644611999</v>
      </c>
      <c r="I1357">
        <v>0.64582264417005297</v>
      </c>
      <c r="J1357">
        <v>0.40957688947228899</v>
      </c>
      <c r="K1357">
        <v>0.24488688657025401</v>
      </c>
      <c r="L1357">
        <v>3379.7814491709801</v>
      </c>
      <c r="M1357">
        <v>52.590961460117498</v>
      </c>
      <c r="N1357">
        <v>65.263667449599197</v>
      </c>
      <c r="O1357">
        <v>64.172718828839194</v>
      </c>
      <c r="P1357">
        <v>-0.148268014401122</v>
      </c>
      <c r="Q1357">
        <v>0.276320075899951</v>
      </c>
      <c r="R1357">
        <v>0.68502892712004004</v>
      </c>
      <c r="S1357" t="s">
        <v>7183</v>
      </c>
      <c r="T1357" t="s">
        <v>11650</v>
      </c>
      <c r="U1357" t="s">
        <v>11650</v>
      </c>
      <c r="V1357" t="s">
        <v>11650</v>
      </c>
      <c r="W1357" t="s">
        <v>12980</v>
      </c>
      <c r="X1357">
        <v>16</v>
      </c>
      <c r="Y1357" t="s">
        <v>18729</v>
      </c>
      <c r="Z1357" t="s">
        <v>24419</v>
      </c>
      <c r="AA1357">
        <v>0.86303233496531839</v>
      </c>
      <c r="AB1357" t="str">
        <f>HYPERLINK("Melting_Curves/meltCurve_O43583_DENR.pdf", "Melting_Curves/meltCurve_O43583_DENR.pdf")</f>
        <v>Melting_Curves/meltCurve_O43583_DENR.pdf</v>
      </c>
    </row>
    <row r="1358" spans="1:28" x14ac:dyDescent="0.25">
      <c r="A1358" t="s">
        <v>1362</v>
      </c>
      <c r="B1358">
        <v>0.99996721820229495</v>
      </c>
      <c r="C1358">
        <v>1.11793764880633</v>
      </c>
      <c r="D1358">
        <v>1.26516919475016</v>
      </c>
      <c r="E1358">
        <v>0.73281070009041005</v>
      </c>
      <c r="F1358">
        <v>0.47210036479890299</v>
      </c>
      <c r="G1358">
        <v>0.44883719203531602</v>
      </c>
      <c r="H1358">
        <v>0.309325800635535</v>
      </c>
      <c r="I1358">
        <v>0.136294783257078</v>
      </c>
      <c r="J1358">
        <v>8.5708274521549097E-2</v>
      </c>
      <c r="K1358">
        <v>7.8790145357564595E-2</v>
      </c>
      <c r="L1358">
        <v>927.10395696688897</v>
      </c>
      <c r="M1358">
        <v>17.2736182042796</v>
      </c>
      <c r="N1358">
        <v>54.429968876944102</v>
      </c>
      <c r="O1358">
        <v>52.967832166654198</v>
      </c>
      <c r="P1358">
        <v>-7.2814231726514994E-2</v>
      </c>
      <c r="Q1358">
        <v>0.10694143573359501</v>
      </c>
      <c r="R1358">
        <v>0.90717802725811103</v>
      </c>
      <c r="S1358" t="s">
        <v>7184</v>
      </c>
      <c r="T1358" t="s">
        <v>11650</v>
      </c>
      <c r="U1358" t="s">
        <v>11650</v>
      </c>
      <c r="V1358" t="s">
        <v>11650</v>
      </c>
      <c r="W1358" t="s">
        <v>12981</v>
      </c>
      <c r="X1358">
        <v>9</v>
      </c>
      <c r="Y1358" t="s">
        <v>18730</v>
      </c>
      <c r="Z1358" t="s">
        <v>24420</v>
      </c>
      <c r="AA1358">
        <v>0.52925804495222628</v>
      </c>
      <c r="AB1358" t="str">
        <f>HYPERLINK("Melting_Curves/meltCurve_O43592_XPOT.pdf", "Melting_Curves/meltCurve_O43592_XPOT.pdf")</f>
        <v>Melting_Curves/meltCurve_O43592_XPOT.pdf</v>
      </c>
    </row>
    <row r="1359" spans="1:28" x14ac:dyDescent="0.25">
      <c r="A1359" t="s">
        <v>1363</v>
      </c>
      <c r="B1359">
        <v>0.99996721820229495</v>
      </c>
      <c r="C1359">
        <v>0.876303534658322</v>
      </c>
      <c r="D1359">
        <v>0.85642414853347804</v>
      </c>
      <c r="E1359">
        <v>0.73769249569862505</v>
      </c>
      <c r="F1359">
        <v>0.89625456867795406</v>
      </c>
      <c r="G1359">
        <v>0.70052841251026798</v>
      </c>
      <c r="H1359">
        <v>0.48465858541206502</v>
      </c>
      <c r="I1359">
        <v>0.52776045008670303</v>
      </c>
      <c r="J1359">
        <v>0.13182962251393801</v>
      </c>
      <c r="K1359">
        <v>0.100392147932505</v>
      </c>
      <c r="L1359">
        <v>633.80711910810396</v>
      </c>
      <c r="M1359">
        <v>10.468933608419601</v>
      </c>
      <c r="N1359">
        <v>60.541713917794702</v>
      </c>
      <c r="O1359">
        <v>58.457777019787997</v>
      </c>
      <c r="P1359">
        <v>-4.4789623601786198E-2</v>
      </c>
      <c r="Q1359">
        <v>0</v>
      </c>
      <c r="R1359">
        <v>0.87320196945322504</v>
      </c>
      <c r="S1359" t="s">
        <v>7185</v>
      </c>
      <c r="T1359" t="s">
        <v>11650</v>
      </c>
      <c r="U1359" t="s">
        <v>11650</v>
      </c>
      <c r="V1359" t="s">
        <v>11650</v>
      </c>
      <c r="W1359" t="s">
        <v>12982</v>
      </c>
      <c r="X1359">
        <v>10</v>
      </c>
      <c r="Y1359" t="s">
        <v>18731</v>
      </c>
      <c r="Z1359" t="s">
        <v>24421</v>
      </c>
      <c r="AA1359">
        <v>0.67850193032573425</v>
      </c>
      <c r="AB1359" t="str">
        <f>HYPERLINK("Melting_Curves/meltCurve_O43598_DNPH1.pdf", "Melting_Curves/meltCurve_O43598_DNPH1.pdf")</f>
        <v>Melting_Curves/meltCurve_O43598_DNPH1.pdf</v>
      </c>
    </row>
    <row r="1360" spans="1:28" x14ac:dyDescent="0.25">
      <c r="A1360" t="s">
        <v>1364</v>
      </c>
      <c r="B1360">
        <v>0.99996721820229495</v>
      </c>
      <c r="C1360">
        <v>1.0404583716073099</v>
      </c>
      <c r="D1360">
        <v>0.95738648726611997</v>
      </c>
      <c r="E1360">
        <v>0.73834830821218</v>
      </c>
      <c r="F1360">
        <v>0.33155972156935998</v>
      </c>
      <c r="G1360">
        <v>0.27010317352941898</v>
      </c>
      <c r="H1360">
        <v>0.18107570153875399</v>
      </c>
      <c r="I1360">
        <v>0.130180589210869</v>
      </c>
      <c r="J1360">
        <v>0.10268684513208499</v>
      </c>
      <c r="K1360">
        <v>8.2637802887388104E-2</v>
      </c>
      <c r="L1360">
        <v>1392.2049093661101</v>
      </c>
      <c r="M1360">
        <v>27.149867242789199</v>
      </c>
      <c r="N1360">
        <v>51.864945612941497</v>
      </c>
      <c r="O1360">
        <v>51.0027413825729</v>
      </c>
      <c r="P1360">
        <v>-0.115492646471007</v>
      </c>
      <c r="Q1360">
        <v>0.13216747276860899</v>
      </c>
      <c r="R1360">
        <v>0.98774787817277598</v>
      </c>
      <c r="S1360" t="s">
        <v>7186</v>
      </c>
      <c r="T1360" t="s">
        <v>11650</v>
      </c>
      <c r="U1360" t="s">
        <v>11650</v>
      </c>
      <c r="V1360" t="s">
        <v>11650</v>
      </c>
      <c r="W1360" t="s">
        <v>12983</v>
      </c>
      <c r="X1360">
        <v>20</v>
      </c>
      <c r="Y1360" t="s">
        <v>18732</v>
      </c>
      <c r="Z1360" t="s">
        <v>24422</v>
      </c>
      <c r="AA1360">
        <v>0.46511480316623061</v>
      </c>
      <c r="AB1360" t="str">
        <f>HYPERLINK("Melting_Curves/meltCurve_O43615_TIMM44.pdf", "Melting_Curves/meltCurve_O43615_TIMM44.pdf")</f>
        <v>Melting_Curves/meltCurve_O43615_TIMM44.pdf</v>
      </c>
    </row>
    <row r="1361" spans="1:28" x14ac:dyDescent="0.25">
      <c r="A1361" t="s">
        <v>1365</v>
      </c>
      <c r="B1361">
        <v>0.99996721820229495</v>
      </c>
      <c r="C1361">
        <v>1.3290379967724899</v>
      </c>
      <c r="D1361">
        <v>1.28306120984587</v>
      </c>
      <c r="E1361">
        <v>1.3559261410159</v>
      </c>
      <c r="F1361">
        <v>2.0906001689979998</v>
      </c>
      <c r="G1361">
        <v>2.7623755634081602</v>
      </c>
      <c r="H1361">
        <v>1.24402898839385</v>
      </c>
      <c r="I1361">
        <v>0.54486158135628904</v>
      </c>
      <c r="J1361">
        <v>0.31420022721489899</v>
      </c>
      <c r="K1361">
        <v>0.24484934411331999</v>
      </c>
      <c r="L1361">
        <v>15000</v>
      </c>
      <c r="M1361">
        <v>234.91444206737199</v>
      </c>
      <c r="N1361">
        <v>64.076361443615994</v>
      </c>
      <c r="O1361">
        <v>63.848406869791397</v>
      </c>
      <c r="P1361">
        <v>-0.66271225663331801</v>
      </c>
      <c r="Q1361">
        <v>0.279514339795499</v>
      </c>
      <c r="R1361">
        <v>0.14225348060171</v>
      </c>
      <c r="S1361" t="s">
        <v>7187</v>
      </c>
      <c r="T1361" t="s">
        <v>11650</v>
      </c>
      <c r="U1361" t="s">
        <v>11650</v>
      </c>
      <c r="V1361" t="s">
        <v>11650</v>
      </c>
      <c r="W1361" t="s">
        <v>12984</v>
      </c>
      <c r="X1361">
        <v>8</v>
      </c>
      <c r="Y1361" t="s">
        <v>18733</v>
      </c>
      <c r="Z1361" t="s">
        <v>24423</v>
      </c>
      <c r="AA1361">
        <v>0.85246476307803065</v>
      </c>
      <c r="AB1361" t="str">
        <f>HYPERLINK("Melting_Curves/meltCurve_O43617_TRAPPC3.pdf", "Melting_Curves/meltCurve_O43617_TRAPPC3.pdf")</f>
        <v>Melting_Curves/meltCurve_O43617_TRAPPC3.pdf</v>
      </c>
    </row>
    <row r="1362" spans="1:28" x14ac:dyDescent="0.25">
      <c r="A1362" t="s">
        <v>1366</v>
      </c>
      <c r="B1362">
        <v>0.99996721820229495</v>
      </c>
      <c r="C1362">
        <v>0.98500436906548805</v>
      </c>
      <c r="D1362">
        <v>1.12210291585695</v>
      </c>
      <c r="E1362">
        <v>1.7842308018708199</v>
      </c>
      <c r="F1362">
        <v>1.9235989910085101</v>
      </c>
      <c r="G1362">
        <v>1.7164065413367999</v>
      </c>
      <c r="H1362">
        <v>0.66710348764163396</v>
      </c>
      <c r="I1362">
        <v>0.23010540168417001</v>
      </c>
      <c r="J1362">
        <v>5.8034710987731802E-2</v>
      </c>
      <c r="K1362">
        <v>0.141726090485113</v>
      </c>
      <c r="L1362">
        <v>4795.7855580507003</v>
      </c>
      <c r="M1362">
        <v>78.0485023606483</v>
      </c>
      <c r="N1362">
        <v>61.6798030851362</v>
      </c>
      <c r="O1362">
        <v>61.4059171954368</v>
      </c>
      <c r="P1362">
        <v>-0.27710213790739302</v>
      </c>
      <c r="Q1362">
        <v>0.12794183270415599</v>
      </c>
      <c r="R1362">
        <v>0.53386367408231705</v>
      </c>
      <c r="S1362" t="s">
        <v>7188</v>
      </c>
      <c r="T1362" t="s">
        <v>11650</v>
      </c>
      <c r="U1362" t="s">
        <v>11650</v>
      </c>
      <c r="V1362" t="s">
        <v>11650</v>
      </c>
      <c r="W1362" t="s">
        <v>12985</v>
      </c>
      <c r="X1362">
        <v>8</v>
      </c>
      <c r="Y1362" t="s">
        <v>18733</v>
      </c>
      <c r="Z1362" t="s">
        <v>24424</v>
      </c>
      <c r="AA1362">
        <v>0.75231822443109264</v>
      </c>
      <c r="AB1362" t="str">
        <f>HYPERLINK("Melting_Curves/meltCurve_O43617_2_TRAPPC3.pdf", "Melting_Curves/meltCurve_O43617_2_TRAPPC3.pdf")</f>
        <v>Melting_Curves/meltCurve_O43617_2_TRAPPC3.pdf</v>
      </c>
    </row>
    <row r="1363" spans="1:28" x14ac:dyDescent="0.25">
      <c r="A1363" t="s">
        <v>1367</v>
      </c>
      <c r="B1363">
        <v>0.99996721820229495</v>
      </c>
      <c r="C1363">
        <v>0.94324682961977802</v>
      </c>
      <c r="D1363">
        <v>0.94291687140738301</v>
      </c>
      <c r="E1363">
        <v>1.04699238509089</v>
      </c>
      <c r="F1363">
        <v>1.24267764416753</v>
      </c>
      <c r="G1363">
        <v>0.80288919614569498</v>
      </c>
      <c r="H1363">
        <v>0.27261370575687299</v>
      </c>
      <c r="I1363">
        <v>0.11850678014766</v>
      </c>
      <c r="J1363">
        <v>6.1565272708473E-2</v>
      </c>
      <c r="K1363">
        <v>6.5569197305633597E-2</v>
      </c>
      <c r="L1363">
        <v>2481.0681530626398</v>
      </c>
      <c r="M1363">
        <v>42.018228319721203</v>
      </c>
      <c r="N1363">
        <v>59.258358507600398</v>
      </c>
      <c r="O1363">
        <v>58.914136580009803</v>
      </c>
      <c r="P1363">
        <v>-0.16591726980226801</v>
      </c>
      <c r="Q1363">
        <v>6.94649913679177E-2</v>
      </c>
      <c r="R1363">
        <v>0.962479531478873</v>
      </c>
      <c r="S1363" t="s">
        <v>7189</v>
      </c>
      <c r="T1363" t="s">
        <v>11650</v>
      </c>
      <c r="U1363" t="s">
        <v>11650</v>
      </c>
      <c r="V1363" t="s">
        <v>11650</v>
      </c>
      <c r="W1363" t="s">
        <v>12986</v>
      </c>
      <c r="X1363">
        <v>13</v>
      </c>
      <c r="Y1363" t="s">
        <v>18734</v>
      </c>
      <c r="Z1363" t="s">
        <v>24425</v>
      </c>
      <c r="AA1363">
        <v>0.66362414026651173</v>
      </c>
      <c r="AB1363" t="str">
        <f>HYPERLINK("Melting_Curves/meltCurve_O43633_CHMP2A.pdf", "Melting_Curves/meltCurve_O43633_CHMP2A.pdf")</f>
        <v>Melting_Curves/meltCurve_O43633_CHMP2A.pdf</v>
      </c>
    </row>
    <row r="1364" spans="1:28" x14ac:dyDescent="0.25">
      <c r="A1364" t="s">
        <v>1368</v>
      </c>
      <c r="B1364">
        <v>0.99996721820229495</v>
      </c>
      <c r="C1364">
        <v>1.0559514069815401</v>
      </c>
      <c r="D1364">
        <v>0.929705278634815</v>
      </c>
      <c r="E1364">
        <v>0.58850906665429203</v>
      </c>
      <c r="F1364">
        <v>0.75948442684193196</v>
      </c>
      <c r="G1364">
        <v>0.75505267206042403</v>
      </c>
      <c r="H1364">
        <v>0.44171579097980102</v>
      </c>
      <c r="I1364">
        <v>0.28507327863006399</v>
      </c>
      <c r="J1364">
        <v>0.243270827753853</v>
      </c>
      <c r="K1364">
        <v>0.12690299222200899</v>
      </c>
      <c r="L1364">
        <v>525.77052547635105</v>
      </c>
      <c r="M1364">
        <v>8.9211131743350904</v>
      </c>
      <c r="N1364">
        <v>58.935528884709399</v>
      </c>
      <c r="O1364">
        <v>56.1998472019527</v>
      </c>
      <c r="P1364">
        <v>-3.9714572363078599E-2</v>
      </c>
      <c r="Q1364">
        <v>0</v>
      </c>
      <c r="R1364">
        <v>0.89202974860683204</v>
      </c>
      <c r="S1364" t="s">
        <v>7190</v>
      </c>
      <c r="T1364" t="s">
        <v>11650</v>
      </c>
      <c r="U1364" t="s">
        <v>11650</v>
      </c>
      <c r="V1364" t="s">
        <v>11650</v>
      </c>
      <c r="W1364" t="s">
        <v>12987</v>
      </c>
      <c r="X1364">
        <v>6</v>
      </c>
      <c r="Y1364" t="s">
        <v>18735</v>
      </c>
      <c r="Z1364" t="s">
        <v>24426</v>
      </c>
      <c r="AA1364">
        <v>0.63098419930138883</v>
      </c>
      <c r="AB1364" t="str">
        <f>HYPERLINK("Melting_Curves/meltCurve_O43639_NCK2.pdf", "Melting_Curves/meltCurve_O43639_NCK2.pdf")</f>
        <v>Melting_Curves/meltCurve_O43639_NCK2.pdf</v>
      </c>
    </row>
    <row r="1365" spans="1:28" x14ac:dyDescent="0.25">
      <c r="A1365" t="s">
        <v>1369</v>
      </c>
      <c r="B1365">
        <v>0.99996721820229495</v>
      </c>
      <c r="C1365">
        <v>0.96780365474765595</v>
      </c>
      <c r="D1365">
        <v>1.03868942689975</v>
      </c>
      <c r="E1365">
        <v>1.0967455585321999</v>
      </c>
      <c r="F1365">
        <v>1.44527649677306</v>
      </c>
      <c r="G1365">
        <v>1.76104493113035</v>
      </c>
      <c r="H1365">
        <v>1.44941359500916</v>
      </c>
      <c r="I1365">
        <v>0.95205448682863303</v>
      </c>
      <c r="J1365">
        <v>0.72665945741070104</v>
      </c>
      <c r="K1365">
        <v>0.759980386341226</v>
      </c>
      <c r="L1365">
        <v>15000</v>
      </c>
      <c r="M1365">
        <v>232.90410524804901</v>
      </c>
      <c r="O1365">
        <v>64.3994403958894</v>
      </c>
      <c r="P1365">
        <v>-0.23208646005483599</v>
      </c>
      <c r="Q1365">
        <v>0.743306575149699</v>
      </c>
      <c r="R1365">
        <v>-9.5331392984536693E-3</v>
      </c>
      <c r="S1365" t="s">
        <v>7191</v>
      </c>
      <c r="T1365" t="s">
        <v>11650</v>
      </c>
      <c r="U1365" t="s">
        <v>11650</v>
      </c>
      <c r="V1365" t="s">
        <v>11650</v>
      </c>
      <c r="W1365" t="s">
        <v>12988</v>
      </c>
      <c r="X1365">
        <v>5</v>
      </c>
      <c r="Y1365" t="s">
        <v>18736</v>
      </c>
      <c r="Z1365" t="s">
        <v>24427</v>
      </c>
      <c r="AA1365">
        <v>0.9521531669459381</v>
      </c>
      <c r="AB1365" t="str">
        <f>HYPERLINK("Melting_Curves/meltCurve_O43657_TSPAN6.pdf", "Melting_Curves/meltCurve_O43657_TSPAN6.pdf")</f>
        <v>Melting_Curves/meltCurve_O43657_TSPAN6.pdf</v>
      </c>
    </row>
    <row r="1366" spans="1:28" x14ac:dyDescent="0.25">
      <c r="A1366" t="s">
        <v>1370</v>
      </c>
      <c r="B1366">
        <v>0.99996721820229495</v>
      </c>
      <c r="C1366">
        <v>0.96301966581265797</v>
      </c>
      <c r="D1366">
        <v>0.90337554938371301</v>
      </c>
      <c r="E1366">
        <v>0.89902288362591698</v>
      </c>
      <c r="F1366">
        <v>0.79937737465360703</v>
      </c>
      <c r="G1366">
        <v>0.60491205131548098</v>
      </c>
      <c r="H1366">
        <v>0.36539747284815799</v>
      </c>
      <c r="I1366">
        <v>0.27759640076309</v>
      </c>
      <c r="J1366">
        <v>0.21640231361437301</v>
      </c>
      <c r="K1366">
        <v>0.165130525759552</v>
      </c>
      <c r="L1366">
        <v>727.65492261946599</v>
      </c>
      <c r="M1366">
        <v>12.5227324304556</v>
      </c>
      <c r="N1366">
        <v>58.687644677348601</v>
      </c>
      <c r="O1366">
        <v>56.684662459160499</v>
      </c>
      <c r="P1366">
        <v>-5.2020914742470101E-2</v>
      </c>
      <c r="Q1366">
        <v>5.8293211424958302E-2</v>
      </c>
      <c r="R1366">
        <v>0.99375894604780701</v>
      </c>
      <c r="S1366" t="s">
        <v>7192</v>
      </c>
      <c r="T1366" t="s">
        <v>11650</v>
      </c>
      <c r="U1366" t="s">
        <v>11650</v>
      </c>
      <c r="V1366" t="s">
        <v>11650</v>
      </c>
      <c r="W1366" t="s">
        <v>12989</v>
      </c>
      <c r="X1366">
        <v>12</v>
      </c>
      <c r="Y1366" t="s">
        <v>18737</v>
      </c>
      <c r="Z1366" t="s">
        <v>24428</v>
      </c>
      <c r="AA1366">
        <v>0.63854912121646978</v>
      </c>
      <c r="AB1366" t="str">
        <f>HYPERLINK("Melting_Curves/meltCurve_O43665_2_RGS10.pdf", "Melting_Curves/meltCurve_O43665_2_RGS10.pdf")</f>
        <v>Melting_Curves/meltCurve_O43665_2_RGS10.pdf</v>
      </c>
    </row>
    <row r="1367" spans="1:28" x14ac:dyDescent="0.25">
      <c r="A1367" t="s">
        <v>1371</v>
      </c>
      <c r="B1367">
        <v>0.99996721820229495</v>
      </c>
      <c r="C1367">
        <v>0.92469635781723702</v>
      </c>
      <c r="D1367">
        <v>0.99526795099524101</v>
      </c>
      <c r="E1367">
        <v>1.2034438723479699</v>
      </c>
      <c r="F1367">
        <v>1.77123412848527</v>
      </c>
      <c r="G1367">
        <v>1.8201200206563</v>
      </c>
      <c r="H1367">
        <v>2.2886769418369299</v>
      </c>
      <c r="I1367">
        <v>2.2293122872853499</v>
      </c>
      <c r="J1367">
        <v>1.9095077244187399</v>
      </c>
      <c r="K1367">
        <v>1.0750051085138099</v>
      </c>
      <c r="L1367">
        <v>12518.8418690577</v>
      </c>
      <c r="M1367">
        <v>250</v>
      </c>
      <c r="O1367">
        <v>50.072163020007203</v>
      </c>
      <c r="P1367">
        <v>0.62409926341870103</v>
      </c>
      <c r="Q1367">
        <v>1.5</v>
      </c>
      <c r="R1367">
        <v>0.35163808744959602</v>
      </c>
      <c r="S1367" t="s">
        <v>7193</v>
      </c>
      <c r="T1367" t="s">
        <v>11650</v>
      </c>
      <c r="U1367" t="s">
        <v>11650</v>
      </c>
      <c r="V1367" t="s">
        <v>11650</v>
      </c>
      <c r="W1367" t="s">
        <v>12990</v>
      </c>
      <c r="X1367">
        <v>6</v>
      </c>
      <c r="Y1367" t="s">
        <v>18738</v>
      </c>
      <c r="Z1367" t="s">
        <v>24429</v>
      </c>
      <c r="AA1367">
        <v>1.3320332679841991</v>
      </c>
      <c r="AB1367" t="str">
        <f>HYPERLINK("Melting_Curves/meltCurve_O43676_NDUFB3.pdf", "Melting_Curves/meltCurve_O43676_NDUFB3.pdf")</f>
        <v>Melting_Curves/meltCurve_O43676_NDUFB3.pdf</v>
      </c>
    </row>
    <row r="1368" spans="1:28" x14ac:dyDescent="0.25">
      <c r="A1368" t="s">
        <v>1372</v>
      </c>
      <c r="B1368">
        <v>0.99996721820229495</v>
      </c>
      <c r="C1368">
        <v>1.10459280769751</v>
      </c>
      <c r="D1368">
        <v>1.11226912087916</v>
      </c>
      <c r="E1368">
        <v>1.1856185521759299</v>
      </c>
      <c r="F1368">
        <v>1.7194893351920699</v>
      </c>
      <c r="G1368">
        <v>3.4213289164804399</v>
      </c>
      <c r="H1368">
        <v>3.2389953233248798</v>
      </c>
      <c r="I1368">
        <v>2.93808471028008</v>
      </c>
      <c r="J1368">
        <v>2.3821162476443698</v>
      </c>
      <c r="K1368">
        <v>0.99989297867462201</v>
      </c>
      <c r="L1368">
        <v>12526.345217120001</v>
      </c>
      <c r="M1368">
        <v>250</v>
      </c>
      <c r="O1368">
        <v>50.102173663516901</v>
      </c>
      <c r="P1368">
        <v>0.62372542460546498</v>
      </c>
      <c r="Q1368">
        <v>1.5</v>
      </c>
      <c r="R1368">
        <v>-0.118980861533523</v>
      </c>
      <c r="S1368" t="s">
        <v>7194</v>
      </c>
      <c r="T1368" t="s">
        <v>11650</v>
      </c>
      <c r="U1368" t="s">
        <v>11650</v>
      </c>
      <c r="V1368" t="s">
        <v>11650</v>
      </c>
      <c r="W1368" t="s">
        <v>12991</v>
      </c>
      <c r="X1368">
        <v>1</v>
      </c>
      <c r="Y1368" t="s">
        <v>18739</v>
      </c>
      <c r="Z1368" t="s">
        <v>24430</v>
      </c>
      <c r="AA1368">
        <v>1.331533018443527</v>
      </c>
      <c r="AB1368" t="str">
        <f>HYPERLINK("Melting_Curves/meltCurve_O43677_NDUFC1.pdf", "Melting_Curves/meltCurve_O43677_NDUFC1.pdf")</f>
        <v>Melting_Curves/meltCurve_O43677_NDUFC1.pdf</v>
      </c>
    </row>
    <row r="1369" spans="1:28" x14ac:dyDescent="0.25">
      <c r="A1369" t="s">
        <v>1373</v>
      </c>
      <c r="B1369">
        <v>0.99996721820229495</v>
      </c>
      <c r="C1369">
        <v>0.85693459304568298</v>
      </c>
      <c r="D1369">
        <v>0.77952856484436595</v>
      </c>
      <c r="E1369">
        <v>0.72072342894137598</v>
      </c>
      <c r="F1369">
        <v>0.74729390345332802</v>
      </c>
      <c r="G1369">
        <v>0.41001022958058397</v>
      </c>
      <c r="H1369">
        <v>0.21275029960342101</v>
      </c>
      <c r="I1369">
        <v>0.253636353602475</v>
      </c>
      <c r="J1369">
        <v>0.25485357595824998</v>
      </c>
      <c r="K1369">
        <v>0.17888570792033701</v>
      </c>
      <c r="L1369">
        <v>463.472777108885</v>
      </c>
      <c r="M1369">
        <v>8.3813949047919003</v>
      </c>
      <c r="N1369">
        <v>55.5655436812551</v>
      </c>
      <c r="O1369">
        <v>52.418658906142099</v>
      </c>
      <c r="P1369">
        <v>-3.9219502446999802E-2</v>
      </c>
      <c r="Q1369">
        <v>1.9789965937635299E-2</v>
      </c>
      <c r="R1369">
        <v>0.94217125140665903</v>
      </c>
      <c r="S1369" t="s">
        <v>7195</v>
      </c>
      <c r="T1369" t="s">
        <v>11650</v>
      </c>
      <c r="U1369" t="s">
        <v>11650</v>
      </c>
      <c r="V1369" t="s">
        <v>11650</v>
      </c>
      <c r="W1369" t="s">
        <v>12992</v>
      </c>
      <c r="X1369">
        <v>4</v>
      </c>
      <c r="Y1369" t="s">
        <v>18740</v>
      </c>
      <c r="Z1369" t="s">
        <v>24431</v>
      </c>
      <c r="AA1369">
        <v>0.54421225862070455</v>
      </c>
      <c r="AB1369" t="str">
        <f>HYPERLINK("Melting_Curves/meltCurve_O43678_NDUFA2.pdf", "Melting_Curves/meltCurve_O43678_NDUFA2.pdf")</f>
        <v>Melting_Curves/meltCurve_O43678_NDUFA2.pdf</v>
      </c>
    </row>
    <row r="1370" spans="1:28" x14ac:dyDescent="0.25">
      <c r="A1370" t="s">
        <v>1374</v>
      </c>
      <c r="B1370">
        <v>0.99996721820229495</v>
      </c>
      <c r="C1370">
        <v>0.99703997011150103</v>
      </c>
      <c r="D1370">
        <v>1.0811810434656</v>
      </c>
      <c r="E1370">
        <v>1.09507193785221</v>
      </c>
      <c r="F1370">
        <v>1.1963101760446</v>
      </c>
      <c r="G1370">
        <v>1.01136506885249</v>
      </c>
      <c r="H1370">
        <v>0.47103116162063702</v>
      </c>
      <c r="I1370">
        <v>0.11420706731939601</v>
      </c>
      <c r="J1370">
        <v>4.5270090992060197E-2</v>
      </c>
      <c r="K1370">
        <v>3.8494208009278899E-2</v>
      </c>
      <c r="L1370">
        <v>3635.1598204546599</v>
      </c>
      <c r="M1370">
        <v>59.792038790191299</v>
      </c>
      <c r="N1370">
        <v>60.900122503904797</v>
      </c>
      <c r="O1370">
        <v>60.728823628583797</v>
      </c>
      <c r="P1370">
        <v>-0.23426256987147301</v>
      </c>
      <c r="Q1370">
        <v>4.82689902450378E-2</v>
      </c>
      <c r="R1370">
        <v>0.97329632856326198</v>
      </c>
      <c r="S1370" t="s">
        <v>7196</v>
      </c>
      <c r="T1370" t="s">
        <v>11650</v>
      </c>
      <c r="U1370" t="s">
        <v>11650</v>
      </c>
      <c r="V1370" t="s">
        <v>11650</v>
      </c>
      <c r="W1370" t="s">
        <v>12993</v>
      </c>
      <c r="X1370">
        <v>8</v>
      </c>
      <c r="Y1370" t="s">
        <v>18741</v>
      </c>
      <c r="Z1370" t="s">
        <v>24432</v>
      </c>
      <c r="AA1370">
        <v>0.709796388043896</v>
      </c>
      <c r="AB1370" t="str">
        <f>HYPERLINK("Melting_Curves/meltCurve_O43681_ASNA1.pdf", "Melting_Curves/meltCurve_O43681_ASNA1.pdf")</f>
        <v>Melting_Curves/meltCurve_O43681_ASNA1.pdf</v>
      </c>
    </row>
    <row r="1371" spans="1:28" x14ac:dyDescent="0.25">
      <c r="A1371" t="s">
        <v>1375</v>
      </c>
      <c r="B1371">
        <v>0.99996721820229495</v>
      </c>
      <c r="C1371">
        <v>1.06614922367982</v>
      </c>
      <c r="D1371">
        <v>1.0113599245929199</v>
      </c>
      <c r="E1371">
        <v>1.02940239056222</v>
      </c>
      <c r="F1371">
        <v>0.76661124647702505</v>
      </c>
      <c r="G1371">
        <v>0.442004186670093</v>
      </c>
      <c r="H1371">
        <v>0.14324097475240699</v>
      </c>
      <c r="I1371">
        <v>0.120786227289032</v>
      </c>
      <c r="J1371">
        <v>6.8772974951088403E-2</v>
      </c>
      <c r="K1371">
        <v>5.2472183550316999E-2</v>
      </c>
      <c r="L1371">
        <v>1399.70499751222</v>
      </c>
      <c r="M1371">
        <v>25.016611394718499</v>
      </c>
      <c r="N1371">
        <v>56.222896953041698</v>
      </c>
      <c r="O1371">
        <v>55.597175160544197</v>
      </c>
      <c r="P1371">
        <v>-0.106083727469982</v>
      </c>
      <c r="Q1371">
        <v>5.6966368759118903E-2</v>
      </c>
      <c r="R1371">
        <v>0.99223290151602495</v>
      </c>
      <c r="S1371" t="s">
        <v>7197</v>
      </c>
      <c r="T1371" t="s">
        <v>11650</v>
      </c>
      <c r="U1371" t="s">
        <v>11650</v>
      </c>
      <c r="V1371" t="s">
        <v>11650</v>
      </c>
      <c r="W1371" t="s">
        <v>12994</v>
      </c>
      <c r="X1371">
        <v>15</v>
      </c>
      <c r="Y1371" t="s">
        <v>18742</v>
      </c>
      <c r="Z1371" t="s">
        <v>24433</v>
      </c>
      <c r="AA1371">
        <v>0.56703047533346573</v>
      </c>
      <c r="AB1371" t="str">
        <f>HYPERLINK("Melting_Curves/meltCurve_O43684_BUB3.pdf", "Melting_Curves/meltCurve_O43684_BUB3.pdf")</f>
        <v>Melting_Curves/meltCurve_O43684_BUB3.pdf</v>
      </c>
    </row>
    <row r="1372" spans="1:28" x14ac:dyDescent="0.25">
      <c r="A1372" t="s">
        <v>1376</v>
      </c>
      <c r="B1372">
        <v>0.99996721820229495</v>
      </c>
      <c r="C1372">
        <v>0.97582352843153997</v>
      </c>
      <c r="D1372">
        <v>1.0288949047060501</v>
      </c>
      <c r="E1372">
        <v>1.4189953258704</v>
      </c>
      <c r="F1372">
        <v>1.6582297107556601</v>
      </c>
      <c r="G1372">
        <v>2.1311602326310601</v>
      </c>
      <c r="H1372">
        <v>0.87624001032661503</v>
      </c>
      <c r="I1372">
        <v>0.214147954273882</v>
      </c>
      <c r="J1372">
        <v>0.13644213777564601</v>
      </c>
      <c r="K1372">
        <v>0.10939070601744801</v>
      </c>
      <c r="L1372">
        <v>5358.62250413322</v>
      </c>
      <c r="M1372">
        <v>85.967066974456102</v>
      </c>
      <c r="N1372">
        <v>62.540844703086002</v>
      </c>
      <c r="O1372">
        <v>62.299726764031398</v>
      </c>
      <c r="P1372">
        <v>-0.30218628991697499</v>
      </c>
      <c r="Q1372">
        <v>0.124030999287762</v>
      </c>
      <c r="R1372">
        <v>0.53212098199633795</v>
      </c>
      <c r="S1372" t="s">
        <v>7198</v>
      </c>
      <c r="T1372" t="s">
        <v>11650</v>
      </c>
      <c r="U1372" t="s">
        <v>11650</v>
      </c>
      <c r="V1372" t="s">
        <v>11650</v>
      </c>
      <c r="W1372" t="s">
        <v>12995</v>
      </c>
      <c r="X1372">
        <v>75</v>
      </c>
      <c r="Y1372" t="s">
        <v>18743</v>
      </c>
      <c r="Z1372" t="s">
        <v>24434</v>
      </c>
      <c r="AA1372">
        <v>0.77695370445314482</v>
      </c>
      <c r="AB1372" t="str">
        <f>HYPERLINK("Melting_Curves/meltCurve_O43707_ACTN4.pdf", "Melting_Curves/meltCurve_O43707_ACTN4.pdf")</f>
        <v>Melting_Curves/meltCurve_O43707_ACTN4.pdf</v>
      </c>
    </row>
    <row r="1373" spans="1:28" x14ac:dyDescent="0.25">
      <c r="A1373" t="s">
        <v>1377</v>
      </c>
      <c r="B1373">
        <v>0.99996721820229495</v>
      </c>
      <c r="C1373">
        <v>0.95640367333407905</v>
      </c>
      <c r="D1373">
        <v>0.89746858925761996</v>
      </c>
      <c r="E1373">
        <v>0.97211109841560495</v>
      </c>
      <c r="F1373">
        <v>1.2817505972560901</v>
      </c>
      <c r="G1373">
        <v>1.31915062671491</v>
      </c>
      <c r="H1373">
        <v>1.0992213964062001</v>
      </c>
      <c r="I1373">
        <v>1.0959434132880499</v>
      </c>
      <c r="J1373">
        <v>1.0983454856569901</v>
      </c>
      <c r="K1373">
        <v>0.82647626235618699</v>
      </c>
      <c r="L1373">
        <v>15000</v>
      </c>
      <c r="M1373">
        <v>212.724789142221</v>
      </c>
      <c r="Q1373">
        <v>0</v>
      </c>
      <c r="R1373">
        <v>9.1536566879979497E-4</v>
      </c>
      <c r="S1373" t="s">
        <v>7199</v>
      </c>
      <c r="T1373" t="s">
        <v>11650</v>
      </c>
      <c r="U1373" t="s">
        <v>11650</v>
      </c>
      <c r="V1373" t="s">
        <v>11650</v>
      </c>
      <c r="W1373" t="s">
        <v>12996</v>
      </c>
      <c r="X1373">
        <v>9</v>
      </c>
      <c r="Y1373" t="s">
        <v>18744</v>
      </c>
      <c r="Z1373" t="s">
        <v>24435</v>
      </c>
      <c r="AA1373">
        <v>0.99794490436601579</v>
      </c>
      <c r="AB1373" t="str">
        <f>HYPERLINK("Melting_Curves/meltCurve_O43715_TRIAP1.pdf", "Melting_Curves/meltCurve_O43715_TRIAP1.pdf")</f>
        <v>Melting_Curves/meltCurve_O43715_TRIAP1.pdf</v>
      </c>
    </row>
    <row r="1374" spans="1:28" x14ac:dyDescent="0.25">
      <c r="A1374" t="s">
        <v>1378</v>
      </c>
      <c r="B1374">
        <v>0.99996721820229495</v>
      </c>
      <c r="C1374">
        <v>1.0665784926019499</v>
      </c>
      <c r="D1374">
        <v>1.0028079601253499</v>
      </c>
      <c r="E1374">
        <v>0.60144022327684599</v>
      </c>
      <c r="F1374">
        <v>0.53389341858325101</v>
      </c>
      <c r="G1374">
        <v>0.44242590584001601</v>
      </c>
      <c r="H1374">
        <v>0.23242892095449499</v>
      </c>
      <c r="I1374">
        <v>0.16891384306891999</v>
      </c>
      <c r="J1374">
        <v>0.117755052445456</v>
      </c>
      <c r="K1374">
        <v>9.1444402790826398E-2</v>
      </c>
      <c r="L1374">
        <v>690.70084225439098</v>
      </c>
      <c r="M1374">
        <v>12.932648077284799</v>
      </c>
      <c r="N1374">
        <v>54.042423209922703</v>
      </c>
      <c r="O1374">
        <v>52.178933207533902</v>
      </c>
      <c r="P1374">
        <v>-5.7606331358794699E-2</v>
      </c>
      <c r="Q1374">
        <v>7.0478026740949704E-2</v>
      </c>
      <c r="R1374">
        <v>0.964580675717292</v>
      </c>
      <c r="S1374" t="s">
        <v>7200</v>
      </c>
      <c r="T1374" t="s">
        <v>11650</v>
      </c>
      <c r="U1374" t="s">
        <v>11650</v>
      </c>
      <c r="V1374" t="s">
        <v>11650</v>
      </c>
      <c r="W1374" t="s">
        <v>12997</v>
      </c>
      <c r="X1374">
        <v>5</v>
      </c>
      <c r="Y1374" t="s">
        <v>18745</v>
      </c>
      <c r="Z1374" t="s">
        <v>24436</v>
      </c>
      <c r="AA1374">
        <v>0.50949424474008442</v>
      </c>
      <c r="AB1374" t="str">
        <f>HYPERLINK("Melting_Curves/meltCurve_O43719_HTATSF1.pdf", "Melting_Curves/meltCurve_O43719_HTATSF1.pdf")</f>
        <v>Melting_Curves/meltCurve_O43719_HTATSF1.pdf</v>
      </c>
    </row>
    <row r="1375" spans="1:28" x14ac:dyDescent="0.25">
      <c r="A1375" t="s">
        <v>1379</v>
      </c>
      <c r="B1375">
        <v>0.99996721820229495</v>
      </c>
      <c r="C1375">
        <v>0.96244724464686604</v>
      </c>
      <c r="D1375">
        <v>0.98681536304747897</v>
      </c>
      <c r="E1375">
        <v>0.61848650309737896</v>
      </c>
      <c r="F1375">
        <v>0.350510043543866</v>
      </c>
      <c r="G1375">
        <v>0.37815271361527297</v>
      </c>
      <c r="H1375">
        <v>0.24775123868263699</v>
      </c>
      <c r="I1375">
        <v>0.192222452982062</v>
      </c>
      <c r="J1375">
        <v>0.145047283188076</v>
      </c>
      <c r="K1375">
        <v>0.115863826272086</v>
      </c>
      <c r="L1375">
        <v>1043.13176214334</v>
      </c>
      <c r="M1375">
        <v>20.610989795913198</v>
      </c>
      <c r="N1375">
        <v>51.737519856002301</v>
      </c>
      <c r="O1375">
        <v>50.141266486209901</v>
      </c>
      <c r="P1375">
        <v>-8.4180580638368196E-2</v>
      </c>
      <c r="Q1375">
        <v>0.180864384725581</v>
      </c>
      <c r="R1375">
        <v>0.97101178412956302</v>
      </c>
      <c r="S1375" t="s">
        <v>7201</v>
      </c>
      <c r="T1375" t="s">
        <v>11650</v>
      </c>
      <c r="U1375" t="s">
        <v>11650</v>
      </c>
      <c r="V1375" t="s">
        <v>11650</v>
      </c>
      <c r="W1375" t="s">
        <v>12998</v>
      </c>
      <c r="X1375">
        <v>5</v>
      </c>
      <c r="Y1375" t="s">
        <v>18746</v>
      </c>
      <c r="Z1375" t="s">
        <v>24437</v>
      </c>
      <c r="AA1375">
        <v>0.48132420126588099</v>
      </c>
      <c r="AB1375" t="str">
        <f>HYPERLINK("Melting_Curves/meltCurve_O43739_2_CYTH3.pdf", "Melting_Curves/meltCurve_O43739_2_CYTH3.pdf")</f>
        <v>Melting_Curves/meltCurve_O43739_2_CYTH3.pdf</v>
      </c>
    </row>
    <row r="1376" spans="1:28" x14ac:dyDescent="0.25">
      <c r="A1376" t="s">
        <v>1380</v>
      </c>
      <c r="B1376">
        <v>0.99996721820229495</v>
      </c>
      <c r="C1376">
        <v>0.99154326918841196</v>
      </c>
      <c r="D1376">
        <v>0.96138835779124898</v>
      </c>
      <c r="E1376">
        <v>0.82170886922993203</v>
      </c>
      <c r="F1376">
        <v>0.92092681728663806</v>
      </c>
      <c r="G1376">
        <v>0.84997772019323303</v>
      </c>
      <c r="H1376">
        <v>0.542343131572527</v>
      </c>
      <c r="I1376">
        <v>0.37133350178673302</v>
      </c>
      <c r="J1376">
        <v>0.30666844341198302</v>
      </c>
      <c r="K1376">
        <v>0.27711033852123501</v>
      </c>
      <c r="L1376">
        <v>1009.10156233703</v>
      </c>
      <c r="M1376">
        <v>16.707164940032801</v>
      </c>
      <c r="N1376">
        <v>62.022780614028299</v>
      </c>
      <c r="O1376">
        <v>59.553911709620003</v>
      </c>
      <c r="P1376">
        <v>-5.77165886008476E-2</v>
      </c>
      <c r="Q1376">
        <v>0.17711445795366701</v>
      </c>
      <c r="R1376">
        <v>0.95959666776576602</v>
      </c>
      <c r="S1376" t="s">
        <v>7202</v>
      </c>
      <c r="T1376" t="s">
        <v>11650</v>
      </c>
      <c r="U1376" t="s">
        <v>11650</v>
      </c>
      <c r="V1376" t="s">
        <v>11650</v>
      </c>
      <c r="W1376" t="s">
        <v>12999</v>
      </c>
      <c r="X1376">
        <v>7</v>
      </c>
      <c r="Y1376" t="s">
        <v>18747</v>
      </c>
      <c r="Z1376" t="s">
        <v>24438</v>
      </c>
      <c r="AA1376">
        <v>0.74208504549707366</v>
      </c>
      <c r="AB1376" t="str">
        <f>HYPERLINK("Melting_Curves/meltCurve_O43752_STX6.pdf", "Melting_Curves/meltCurve_O43752_STX6.pdf")</f>
        <v>Melting_Curves/meltCurve_O43752_STX6.pdf</v>
      </c>
    </row>
    <row r="1377" spans="1:28" x14ac:dyDescent="0.25">
      <c r="A1377" t="s">
        <v>1381</v>
      </c>
      <c r="B1377">
        <v>0.99996721820229495</v>
      </c>
      <c r="C1377">
        <v>1.0897276379424901</v>
      </c>
      <c r="D1377">
        <v>0.86508959253110795</v>
      </c>
      <c r="E1377">
        <v>0.95974697206234205</v>
      </c>
      <c r="F1377">
        <v>1.0406346068203201</v>
      </c>
      <c r="G1377">
        <v>0.79095572088350197</v>
      </c>
      <c r="H1377">
        <v>0.55102096030217596</v>
      </c>
      <c r="I1377">
        <v>0.45078339514848698</v>
      </c>
      <c r="J1377">
        <v>0.49939962912476898</v>
      </c>
      <c r="K1377">
        <v>0.202815152043717</v>
      </c>
      <c r="L1377">
        <v>975.23660117394797</v>
      </c>
      <c r="M1377">
        <v>15.960163173356699</v>
      </c>
      <c r="N1377">
        <v>63.145369963257103</v>
      </c>
      <c r="O1377">
        <v>60.1692763229305</v>
      </c>
      <c r="P1377">
        <v>-5.29552887349874E-2</v>
      </c>
      <c r="Q1377">
        <v>0.20150464855841299</v>
      </c>
      <c r="R1377">
        <v>0.91610968857451902</v>
      </c>
      <c r="S1377" t="s">
        <v>7203</v>
      </c>
      <c r="T1377" t="s">
        <v>11650</v>
      </c>
      <c r="U1377" t="s">
        <v>11650</v>
      </c>
      <c r="V1377" t="s">
        <v>11650</v>
      </c>
      <c r="W1377" t="s">
        <v>13000</v>
      </c>
      <c r="X1377">
        <v>2</v>
      </c>
      <c r="Y1377" t="s">
        <v>18748</v>
      </c>
      <c r="Z1377" t="s">
        <v>24439</v>
      </c>
      <c r="AA1377">
        <v>0.76579565141932993</v>
      </c>
      <c r="AB1377" t="str">
        <f>HYPERLINK("Melting_Curves/meltCurve_O43760_SYNGR2.pdf", "Melting_Curves/meltCurve_O43760_SYNGR2.pdf")</f>
        <v>Melting_Curves/meltCurve_O43760_SYNGR2.pdf</v>
      </c>
    </row>
    <row r="1378" spans="1:28" x14ac:dyDescent="0.25">
      <c r="A1378" t="s">
        <v>1382</v>
      </c>
      <c r="B1378">
        <v>0.99996721820229495</v>
      </c>
      <c r="C1378">
        <v>1.0455824583208999</v>
      </c>
      <c r="D1378">
        <v>1.0234666622094499</v>
      </c>
      <c r="E1378">
        <v>0.96872235299432796</v>
      </c>
      <c r="F1378">
        <v>0.55133909911386203</v>
      </c>
      <c r="G1378">
        <v>0.39978994642437399</v>
      </c>
      <c r="H1378">
        <v>0.250257658745909</v>
      </c>
      <c r="I1378">
        <v>0.20167739586472999</v>
      </c>
      <c r="J1378">
        <v>0.15945957755294901</v>
      </c>
      <c r="K1378">
        <v>0.11492179912732201</v>
      </c>
      <c r="L1378">
        <v>1221.14860435931</v>
      </c>
      <c r="M1378">
        <v>22.6976633202624</v>
      </c>
      <c r="N1378">
        <v>54.749389105186303</v>
      </c>
      <c r="O1378">
        <v>53.388240198291399</v>
      </c>
      <c r="P1378">
        <v>-8.9005976654622496E-2</v>
      </c>
      <c r="Q1378">
        <v>0.16259601081118799</v>
      </c>
      <c r="R1378">
        <v>0.97847169277054302</v>
      </c>
      <c r="S1378" t="s">
        <v>7204</v>
      </c>
      <c r="T1378" t="s">
        <v>11650</v>
      </c>
      <c r="U1378" t="s">
        <v>11650</v>
      </c>
      <c r="V1378" t="s">
        <v>11650</v>
      </c>
      <c r="W1378" t="s">
        <v>13001</v>
      </c>
      <c r="X1378">
        <v>16</v>
      </c>
      <c r="Y1378" t="s">
        <v>18749</v>
      </c>
      <c r="Z1378" t="s">
        <v>24440</v>
      </c>
      <c r="AA1378">
        <v>0.55703081347552563</v>
      </c>
      <c r="AB1378" t="str">
        <f>HYPERLINK("Melting_Curves/meltCurve_O43765_SGTA.pdf", "Melting_Curves/meltCurve_O43765_SGTA.pdf")</f>
        <v>Melting_Curves/meltCurve_O43765_SGTA.pdf</v>
      </c>
    </row>
    <row r="1379" spans="1:28" x14ac:dyDescent="0.25">
      <c r="A1379" t="s">
        <v>1383</v>
      </c>
      <c r="B1379">
        <v>0.99996721820229495</v>
      </c>
      <c r="C1379">
        <v>0.88398939693564704</v>
      </c>
      <c r="D1379">
        <v>0.76173368387805995</v>
      </c>
      <c r="E1379">
        <v>0.80048118733819396</v>
      </c>
      <c r="F1379">
        <v>1.04430672124768</v>
      </c>
      <c r="G1379">
        <v>1.12856909340899</v>
      </c>
      <c r="H1379">
        <v>0.61285252107421495</v>
      </c>
      <c r="I1379">
        <v>0.38294564627922301</v>
      </c>
      <c r="J1379">
        <v>0.23344918518993399</v>
      </c>
      <c r="K1379">
        <v>0.102248099833894</v>
      </c>
      <c r="L1379">
        <v>2285.7016987649999</v>
      </c>
      <c r="M1379">
        <v>36.957052680495401</v>
      </c>
      <c r="N1379">
        <v>62.432415003050401</v>
      </c>
      <c r="O1379">
        <v>61.667260833653501</v>
      </c>
      <c r="P1379">
        <v>-0.12790141285217099</v>
      </c>
      <c r="Q1379">
        <v>0.146327230461017</v>
      </c>
      <c r="R1379">
        <v>0.86615925501814905</v>
      </c>
      <c r="S1379" t="s">
        <v>7205</v>
      </c>
      <c r="T1379" t="s">
        <v>11650</v>
      </c>
      <c r="U1379" t="s">
        <v>11650</v>
      </c>
      <c r="V1379" t="s">
        <v>11650</v>
      </c>
      <c r="W1379" t="s">
        <v>13002</v>
      </c>
      <c r="X1379">
        <v>1</v>
      </c>
      <c r="Y1379" t="s">
        <v>18750</v>
      </c>
      <c r="Z1379" t="s">
        <v>24441</v>
      </c>
      <c r="AA1379">
        <v>0.77142338133147859</v>
      </c>
      <c r="AB1379" t="str">
        <f>HYPERLINK("Melting_Curves/meltCurve_O43766_2_LIAS.pdf", "Melting_Curves/meltCurve_O43766_2_LIAS.pdf")</f>
        <v>Melting_Curves/meltCurve_O43766_2_LIAS.pdf</v>
      </c>
    </row>
    <row r="1380" spans="1:28" x14ac:dyDescent="0.25">
      <c r="A1380" t="s">
        <v>1384</v>
      </c>
      <c r="B1380">
        <v>0.99996721820229495</v>
      </c>
      <c r="C1380">
        <v>1.01855149438364</v>
      </c>
      <c r="D1380">
        <v>0.94116874991806199</v>
      </c>
      <c r="E1380">
        <v>0.94159861489261898</v>
      </c>
      <c r="F1380">
        <v>1.2590233726644899</v>
      </c>
      <c r="G1380">
        <v>1.33169544258869</v>
      </c>
      <c r="H1380">
        <v>0.98720486282485997</v>
      </c>
      <c r="I1380">
        <v>0.99511167642902798</v>
      </c>
      <c r="J1380">
        <v>0.93941456050885097</v>
      </c>
      <c r="K1380">
        <v>0.65211814009505598</v>
      </c>
      <c r="L1380">
        <v>3601.3023100833302</v>
      </c>
      <c r="M1380">
        <v>51.3422117154741</v>
      </c>
      <c r="Q1380">
        <v>0.265737113057957</v>
      </c>
      <c r="R1380">
        <v>0.40251451852533998</v>
      </c>
      <c r="S1380" t="s">
        <v>7206</v>
      </c>
      <c r="T1380" t="s">
        <v>11650</v>
      </c>
      <c r="U1380" t="s">
        <v>11650</v>
      </c>
      <c r="V1380" t="s">
        <v>11650</v>
      </c>
      <c r="W1380" t="s">
        <v>13003</v>
      </c>
      <c r="X1380">
        <v>12</v>
      </c>
      <c r="Y1380" t="s">
        <v>18751</v>
      </c>
      <c r="Z1380" t="s">
        <v>24442</v>
      </c>
      <c r="AA1380">
        <v>0.97953573785673853</v>
      </c>
      <c r="AB1380" t="str">
        <f>HYPERLINK("Melting_Curves/meltCurve_O43768_2_ENSA.pdf", "Melting_Curves/meltCurve_O43768_2_ENSA.pdf")</f>
        <v>Melting_Curves/meltCurve_O43768_2_ENSA.pdf</v>
      </c>
    </row>
    <row r="1381" spans="1:28" x14ac:dyDescent="0.25">
      <c r="A1381" t="s">
        <v>1385</v>
      </c>
      <c r="B1381">
        <v>0.99996721820229495</v>
      </c>
      <c r="C1381">
        <v>0.67690680188512997</v>
      </c>
      <c r="D1381">
        <v>0.91497293454949502</v>
      </c>
      <c r="E1381">
        <v>1.0604938414462499</v>
      </c>
      <c r="F1381">
        <v>1.2604721783526101</v>
      </c>
      <c r="G1381">
        <v>1.2513074464152401</v>
      </c>
      <c r="H1381">
        <v>0.83533158990449397</v>
      </c>
      <c r="I1381">
        <v>0.30822225208950299</v>
      </c>
      <c r="J1381">
        <v>0.122695535743747</v>
      </c>
      <c r="K1381">
        <v>0.12494986487417201</v>
      </c>
      <c r="L1381">
        <v>3796.60240322462</v>
      </c>
      <c r="M1381">
        <v>60.668047853304898</v>
      </c>
      <c r="N1381">
        <v>62.858272004645897</v>
      </c>
      <c r="O1381">
        <v>62.512046348830303</v>
      </c>
      <c r="P1381">
        <v>-0.21404648337007201</v>
      </c>
      <c r="Q1381">
        <v>0.117790740900983</v>
      </c>
      <c r="R1381">
        <v>0.85331849377170199</v>
      </c>
      <c r="S1381" t="s">
        <v>7207</v>
      </c>
      <c r="T1381" t="s">
        <v>11650</v>
      </c>
      <c r="U1381" t="s">
        <v>11650</v>
      </c>
      <c r="V1381" t="s">
        <v>11650</v>
      </c>
      <c r="W1381" t="s">
        <v>13004</v>
      </c>
      <c r="X1381">
        <v>8</v>
      </c>
      <c r="Y1381" t="s">
        <v>18752</v>
      </c>
      <c r="Z1381" t="s">
        <v>24443</v>
      </c>
      <c r="AA1381">
        <v>0.78338594995310384</v>
      </c>
      <c r="AB1381" t="str">
        <f>HYPERLINK("Melting_Curves/meltCurve_O43772_SLC25A20.pdf", "Melting_Curves/meltCurve_O43772_SLC25A20.pdf")</f>
        <v>Melting_Curves/meltCurve_O43772_SLC25A20.pdf</v>
      </c>
    </row>
    <row r="1382" spans="1:28" x14ac:dyDescent="0.25">
      <c r="A1382" t="s">
        <v>1386</v>
      </c>
      <c r="B1382">
        <v>0.99996721820229495</v>
      </c>
      <c r="C1382">
        <v>1.0614797916298799</v>
      </c>
      <c r="D1382">
        <v>1.23639387637965</v>
      </c>
      <c r="E1382">
        <v>1.6397587414703301</v>
      </c>
      <c r="F1382">
        <v>0.74440733508801404</v>
      </c>
      <c r="G1382">
        <v>0.55273537997038302</v>
      </c>
      <c r="H1382">
        <v>0.29742641044558099</v>
      </c>
      <c r="I1382">
        <v>0.194026384416638</v>
      </c>
      <c r="J1382">
        <v>0.14013181383116899</v>
      </c>
      <c r="K1382">
        <v>0.11342062412409901</v>
      </c>
      <c r="L1382">
        <v>1703.0755687307501</v>
      </c>
      <c r="M1382">
        <v>29.965075352789999</v>
      </c>
      <c r="N1382">
        <v>57.509902338974101</v>
      </c>
      <c r="O1382">
        <v>56.584024648228699</v>
      </c>
      <c r="P1382">
        <v>-0.112775533462585</v>
      </c>
      <c r="Q1382">
        <v>0.148174780263648</v>
      </c>
      <c r="R1382">
        <v>0.791102283427354</v>
      </c>
      <c r="S1382" t="s">
        <v>7208</v>
      </c>
      <c r="T1382" t="s">
        <v>11650</v>
      </c>
      <c r="U1382" t="s">
        <v>11650</v>
      </c>
      <c r="V1382" t="s">
        <v>11650</v>
      </c>
      <c r="W1382" t="s">
        <v>12735</v>
      </c>
      <c r="X1382">
        <v>22</v>
      </c>
      <c r="Y1382" t="s">
        <v>18491</v>
      </c>
      <c r="Z1382" t="s">
        <v>24444</v>
      </c>
      <c r="AA1382">
        <v>0.63188936891718994</v>
      </c>
      <c r="AB1382" t="str">
        <f>HYPERLINK("Melting_Curves/meltCurve_O43776_NARS.pdf", "Melting_Curves/meltCurve_O43776_NARS.pdf")</f>
        <v>Melting_Curves/meltCurve_O43776_NARS.pdf</v>
      </c>
    </row>
    <row r="1383" spans="1:28" x14ac:dyDescent="0.25">
      <c r="A1383" t="s">
        <v>1387</v>
      </c>
      <c r="B1383">
        <v>0.99996721820229495</v>
      </c>
      <c r="C1383">
        <v>1.0221902168435</v>
      </c>
      <c r="D1383">
        <v>0.91606155966621605</v>
      </c>
      <c r="E1383">
        <v>0.93297846651110905</v>
      </c>
      <c r="F1383">
        <v>0.96499994926391397</v>
      </c>
      <c r="G1383">
        <v>0.84626258621621397</v>
      </c>
      <c r="H1383">
        <v>0.57795674474648395</v>
      </c>
      <c r="I1383">
        <v>0.55018215353312505</v>
      </c>
      <c r="J1383">
        <v>0.48903758120921198</v>
      </c>
      <c r="K1383">
        <v>0.36674379100075399</v>
      </c>
      <c r="L1383">
        <v>944.44575560794499</v>
      </c>
      <c r="M1383">
        <v>15.6128276028277</v>
      </c>
      <c r="N1383">
        <v>64.868546191383899</v>
      </c>
      <c r="O1383">
        <v>59.525333410022697</v>
      </c>
      <c r="P1383">
        <v>-4.4223514373485401E-2</v>
      </c>
      <c r="Q1383">
        <v>0.32563346445716401</v>
      </c>
      <c r="R1383">
        <v>0.96638590283868697</v>
      </c>
      <c r="S1383" t="s">
        <v>7209</v>
      </c>
      <c r="T1383" t="s">
        <v>11650</v>
      </c>
      <c r="U1383" t="s">
        <v>11650</v>
      </c>
      <c r="V1383" t="s">
        <v>11650</v>
      </c>
      <c r="W1383" t="s">
        <v>13005</v>
      </c>
      <c r="X1383">
        <v>6</v>
      </c>
      <c r="Y1383" t="s">
        <v>18753</v>
      </c>
      <c r="Z1383" t="s">
        <v>24445</v>
      </c>
      <c r="AA1383">
        <v>0.7899323284845432</v>
      </c>
      <c r="AB1383" t="str">
        <f>HYPERLINK("Melting_Curves/meltCurve_O43805_SSNA1.pdf", "Melting_Curves/meltCurve_O43805_SSNA1.pdf")</f>
        <v>Melting_Curves/meltCurve_O43805_SSNA1.pdf</v>
      </c>
    </row>
    <row r="1384" spans="1:28" x14ac:dyDescent="0.25">
      <c r="A1384" t="s">
        <v>1388</v>
      </c>
      <c r="B1384">
        <v>0.99996721820229495</v>
      </c>
      <c r="C1384">
        <v>0.70722961687874397</v>
      </c>
      <c r="D1384">
        <v>0.65254299225006995</v>
      </c>
      <c r="E1384">
        <v>1.3934455196248701</v>
      </c>
      <c r="F1384">
        <v>2.0225387888445998</v>
      </c>
      <c r="G1384">
        <v>0.55887098426946902</v>
      </c>
      <c r="H1384">
        <v>0.28691730660349002</v>
      </c>
      <c r="I1384">
        <v>0.35580880767967998</v>
      </c>
      <c r="J1384">
        <v>0.16469735965358101</v>
      </c>
      <c r="K1384">
        <v>0.12745408192656801</v>
      </c>
      <c r="L1384">
        <v>14232.6124047793</v>
      </c>
      <c r="M1384">
        <v>250</v>
      </c>
      <c r="N1384">
        <v>57.0742900422863</v>
      </c>
      <c r="O1384">
        <v>56.926806465579901</v>
      </c>
      <c r="P1384">
        <v>-0.84130030181722504</v>
      </c>
      <c r="Q1384">
        <v>0.23371936975972801</v>
      </c>
      <c r="R1384">
        <v>0.55514220906810896</v>
      </c>
      <c r="S1384" t="s">
        <v>7210</v>
      </c>
      <c r="T1384" t="s">
        <v>11650</v>
      </c>
      <c r="U1384" t="s">
        <v>11650</v>
      </c>
      <c r="V1384" t="s">
        <v>11650</v>
      </c>
      <c r="W1384" t="s">
        <v>13006</v>
      </c>
      <c r="X1384">
        <v>9</v>
      </c>
      <c r="Y1384" t="s">
        <v>18754</v>
      </c>
      <c r="Z1384" t="s">
        <v>24446</v>
      </c>
      <c r="AA1384">
        <v>0.66624511724364965</v>
      </c>
      <c r="AB1384" t="str">
        <f>HYPERLINK("Melting_Curves/meltCurve_O43809_NUDT21.pdf", "Melting_Curves/meltCurve_O43809_NUDT21.pdf")</f>
        <v>Melting_Curves/meltCurve_O43809_NUDT21.pdf</v>
      </c>
    </row>
    <row r="1385" spans="1:28" x14ac:dyDescent="0.25">
      <c r="A1385" t="s">
        <v>1389</v>
      </c>
      <c r="B1385">
        <v>0.99996721820229495</v>
      </c>
      <c r="C1385">
        <v>1.0144971808785801</v>
      </c>
      <c r="D1385">
        <v>0.96191929031063605</v>
      </c>
      <c r="E1385">
        <v>0.95117394887995699</v>
      </c>
      <c r="F1385">
        <v>1.1057392472680101</v>
      </c>
      <c r="G1385">
        <v>0.90578744024180702</v>
      </c>
      <c r="H1385">
        <v>0.34182698622330099</v>
      </c>
      <c r="I1385">
        <v>0.12978659950410801</v>
      </c>
      <c r="J1385">
        <v>0.103353373130119</v>
      </c>
      <c r="K1385">
        <v>7.7382530721035694E-2</v>
      </c>
      <c r="L1385">
        <v>2769.2712755501502</v>
      </c>
      <c r="M1385">
        <v>46.352180846250299</v>
      </c>
      <c r="N1385">
        <v>59.994105060787298</v>
      </c>
      <c r="O1385">
        <v>59.633262335384103</v>
      </c>
      <c r="P1385">
        <v>-0.17725992051428099</v>
      </c>
      <c r="Q1385">
        <v>8.7803493187767104E-2</v>
      </c>
      <c r="R1385">
        <v>0.99062698235223901</v>
      </c>
      <c r="S1385" t="s">
        <v>7211</v>
      </c>
      <c r="T1385" t="s">
        <v>11650</v>
      </c>
      <c r="U1385" t="s">
        <v>11650</v>
      </c>
      <c r="V1385" t="s">
        <v>11650</v>
      </c>
      <c r="W1385" t="s">
        <v>13007</v>
      </c>
      <c r="X1385">
        <v>16</v>
      </c>
      <c r="Y1385" t="s">
        <v>18755</v>
      </c>
      <c r="Z1385" t="s">
        <v>24447</v>
      </c>
      <c r="AA1385">
        <v>0.69089079825158095</v>
      </c>
      <c r="AB1385" t="str">
        <f>HYPERLINK("Melting_Curves/meltCurve_O43813_LANCL1.pdf", "Melting_Curves/meltCurve_O43813_LANCL1.pdf")</f>
        <v>Melting_Curves/meltCurve_O43813_LANCL1.pdf</v>
      </c>
    </row>
    <row r="1386" spans="1:28" x14ac:dyDescent="0.25">
      <c r="A1386" t="s">
        <v>1390</v>
      </c>
      <c r="B1386">
        <v>0.99996721820229495</v>
      </c>
      <c r="C1386">
        <v>1.0172794498483</v>
      </c>
      <c r="D1386">
        <v>1.0320617771179501</v>
      </c>
      <c r="E1386">
        <v>1.5867510238997</v>
      </c>
      <c r="F1386">
        <v>1.66177040072704</v>
      </c>
      <c r="G1386">
        <v>0.88149429294224302</v>
      </c>
      <c r="H1386">
        <v>0.53454472877760795</v>
      </c>
      <c r="I1386">
        <v>0.47573825869511899</v>
      </c>
      <c r="J1386">
        <v>0.36146630666138502</v>
      </c>
      <c r="K1386">
        <v>0.32112494907210898</v>
      </c>
      <c r="L1386">
        <v>2583.29936358144</v>
      </c>
      <c r="M1386">
        <v>43.312884772257704</v>
      </c>
      <c r="N1386">
        <v>61.550901727030798</v>
      </c>
      <c r="O1386">
        <v>59.516025004136303</v>
      </c>
      <c r="P1386">
        <v>-0.11472342624935999</v>
      </c>
      <c r="Q1386">
        <v>0.36943732512042898</v>
      </c>
      <c r="R1386">
        <v>0.60718659669052499</v>
      </c>
      <c r="S1386" t="s">
        <v>7212</v>
      </c>
      <c r="T1386" t="s">
        <v>11650</v>
      </c>
      <c r="U1386" t="s">
        <v>11650</v>
      </c>
      <c r="V1386" t="s">
        <v>11650</v>
      </c>
      <c r="W1386" t="s">
        <v>13008</v>
      </c>
      <c r="X1386">
        <v>5</v>
      </c>
      <c r="Y1386" t="s">
        <v>18756</v>
      </c>
      <c r="Z1386" t="s">
        <v>24448</v>
      </c>
      <c r="AA1386">
        <v>0.78444877262313539</v>
      </c>
      <c r="AB1386" t="str">
        <f>HYPERLINK("Melting_Curves/meltCurve_O43815_STRN.pdf", "Melting_Curves/meltCurve_O43815_STRN.pdf")</f>
        <v>Melting_Curves/meltCurve_O43815_STRN.pdf</v>
      </c>
    </row>
    <row r="1387" spans="1:28" x14ac:dyDescent="0.25">
      <c r="A1387" t="s">
        <v>1391</v>
      </c>
      <c r="B1387">
        <v>0.99996721820229495</v>
      </c>
      <c r="C1387">
        <v>1.0311836953692</v>
      </c>
      <c r="D1387">
        <v>1.02354751895951</v>
      </c>
      <c r="E1387">
        <v>1.36572489810821</v>
      </c>
      <c r="F1387">
        <v>2.28674684415064</v>
      </c>
      <c r="G1387">
        <v>3.1613073532873801</v>
      </c>
      <c r="H1387">
        <v>1.90247604177138</v>
      </c>
      <c r="I1387">
        <v>0.82994320293374402</v>
      </c>
      <c r="J1387">
        <v>0.462295436933507</v>
      </c>
      <c r="K1387">
        <v>0.32310791416263301</v>
      </c>
      <c r="L1387">
        <v>11049.2875111308</v>
      </c>
      <c r="M1387">
        <v>171.69362323533201</v>
      </c>
      <c r="N1387">
        <v>64.9351212592275</v>
      </c>
      <c r="O1387">
        <v>64.345949708226897</v>
      </c>
      <c r="P1387">
        <v>-0.40541429342451302</v>
      </c>
      <c r="Q1387">
        <v>0.39224846064617902</v>
      </c>
      <c r="R1387">
        <v>-5.5044852346839403E-2</v>
      </c>
      <c r="S1387" t="s">
        <v>7213</v>
      </c>
      <c r="T1387" t="s">
        <v>11650</v>
      </c>
      <c r="U1387" t="s">
        <v>11650</v>
      </c>
      <c r="V1387" t="s">
        <v>11650</v>
      </c>
      <c r="W1387" t="s">
        <v>13009</v>
      </c>
      <c r="X1387">
        <v>7</v>
      </c>
      <c r="Y1387" t="s">
        <v>18757</v>
      </c>
      <c r="Z1387" t="s">
        <v>24449</v>
      </c>
      <c r="AA1387">
        <v>0.88578041371410421</v>
      </c>
      <c r="AB1387" t="str">
        <f>HYPERLINK("Melting_Curves/meltCurve_O43818_RRP9.pdf", "Melting_Curves/meltCurve_O43818_RRP9.pdf")</f>
        <v>Melting_Curves/meltCurve_O43818_RRP9.pdf</v>
      </c>
    </row>
    <row r="1388" spans="1:28" x14ac:dyDescent="0.25">
      <c r="A1388" t="s">
        <v>1392</v>
      </c>
      <c r="B1388">
        <v>0.99996721820229495</v>
      </c>
      <c r="C1388">
        <v>0.88151031399067203</v>
      </c>
      <c r="D1388">
        <v>0.752269682667142</v>
      </c>
      <c r="E1388">
        <v>0.463795688299727</v>
      </c>
      <c r="F1388">
        <v>0.462172262440462</v>
      </c>
      <c r="G1388">
        <v>0.35210372720445898</v>
      </c>
      <c r="H1388">
        <v>0.23950200859961701</v>
      </c>
      <c r="I1388">
        <v>0.16921873561398201</v>
      </c>
      <c r="J1388">
        <v>0.115170310332413</v>
      </c>
      <c r="K1388">
        <v>0.178518137016554</v>
      </c>
      <c r="L1388">
        <v>545.20043637044398</v>
      </c>
      <c r="M1388">
        <v>10.9386792376927</v>
      </c>
      <c r="N1388">
        <v>51.105388246079798</v>
      </c>
      <c r="O1388">
        <v>48.262602258497203</v>
      </c>
      <c r="P1388">
        <v>-4.9964550178569503E-2</v>
      </c>
      <c r="Q1388">
        <v>0.11850851848484301</v>
      </c>
      <c r="R1388">
        <v>0.97777540154368303</v>
      </c>
      <c r="S1388" t="s">
        <v>7214</v>
      </c>
      <c r="T1388" t="s">
        <v>11650</v>
      </c>
      <c r="U1388" t="s">
        <v>11650</v>
      </c>
      <c r="V1388" t="s">
        <v>11650</v>
      </c>
      <c r="W1388" t="s">
        <v>13010</v>
      </c>
      <c r="X1388">
        <v>4</v>
      </c>
      <c r="Y1388" t="s">
        <v>18758</v>
      </c>
      <c r="Z1388" t="s">
        <v>24450</v>
      </c>
      <c r="AA1388">
        <v>0.44317519395949551</v>
      </c>
      <c r="AB1388" t="str">
        <f>HYPERLINK("Melting_Curves/meltCurve_O43819_SCO2.pdf", "Melting_Curves/meltCurve_O43819_SCO2.pdf")</f>
        <v>Melting_Curves/meltCurve_O43819_SCO2.pdf</v>
      </c>
    </row>
    <row r="1389" spans="1:28" x14ac:dyDescent="0.25">
      <c r="A1389" t="s">
        <v>1393</v>
      </c>
      <c r="B1389">
        <v>0.99996721820229495</v>
      </c>
      <c r="C1389">
        <v>1.0427886155177899</v>
      </c>
      <c r="D1389">
        <v>1.1360199981630601</v>
      </c>
      <c r="E1389">
        <v>1.3197648327159399</v>
      </c>
      <c r="F1389">
        <v>2.3098469401996802</v>
      </c>
      <c r="G1389">
        <v>3.6257990774940101</v>
      </c>
      <c r="H1389">
        <v>3.4997037032289899</v>
      </c>
      <c r="I1389">
        <v>2.8399993076539101</v>
      </c>
      <c r="J1389">
        <v>2.7707971328204701</v>
      </c>
      <c r="K1389">
        <v>1.4324516014669499</v>
      </c>
      <c r="L1389">
        <v>2210.5411302705902</v>
      </c>
      <c r="M1389">
        <v>46.873291731555803</v>
      </c>
      <c r="O1389">
        <v>47.074333482816897</v>
      </c>
      <c r="P1389">
        <v>0.124466302925708</v>
      </c>
      <c r="Q1389">
        <v>1.5</v>
      </c>
      <c r="R1389">
        <v>-0.30886109725679201</v>
      </c>
      <c r="S1389" t="s">
        <v>7215</v>
      </c>
      <c r="T1389" t="s">
        <v>11650</v>
      </c>
      <c r="U1389" t="s">
        <v>11650</v>
      </c>
      <c r="V1389" t="s">
        <v>11650</v>
      </c>
      <c r="W1389" t="s">
        <v>13011</v>
      </c>
      <c r="X1389">
        <v>1</v>
      </c>
      <c r="Y1389" t="s">
        <v>18759</v>
      </c>
      <c r="Z1389" t="s">
        <v>24451</v>
      </c>
      <c r="AA1389">
        <v>1.379480770470219</v>
      </c>
      <c r="AB1389" t="str">
        <f>HYPERLINK("Melting_Curves/meltCurve_O43820_4_HYAL3.pdf", "Melting_Curves/meltCurve_O43820_4_HYAL3.pdf")</f>
        <v>Melting_Curves/meltCurve_O43820_4_HYAL3.pdf</v>
      </c>
    </row>
    <row r="1390" spans="1:28" x14ac:dyDescent="0.25">
      <c r="A1390" t="s">
        <v>1394</v>
      </c>
      <c r="B1390">
        <v>0.99996721820229495</v>
      </c>
      <c r="C1390">
        <v>0.69740282772404405</v>
      </c>
      <c r="D1390">
        <v>1.0212837290086101</v>
      </c>
      <c r="E1390">
        <v>1.07427783395737</v>
      </c>
      <c r="F1390">
        <v>2.1991592562398599</v>
      </c>
      <c r="G1390">
        <v>1.93047674377405</v>
      </c>
      <c r="H1390">
        <v>1.42372577215208</v>
      </c>
      <c r="I1390">
        <v>0.94053995768249898</v>
      </c>
      <c r="J1390">
        <v>0.41868992818821499</v>
      </c>
      <c r="K1390">
        <v>0.359645542584488</v>
      </c>
      <c r="L1390">
        <v>6807.9826780332096</v>
      </c>
      <c r="M1390">
        <v>103.98769267211701</v>
      </c>
      <c r="N1390">
        <v>66.286891373856903</v>
      </c>
      <c r="O1390">
        <v>65.444917348733</v>
      </c>
      <c r="P1390">
        <v>-0.25368288583626297</v>
      </c>
      <c r="Q1390">
        <v>0.36137617221391799</v>
      </c>
      <c r="R1390">
        <v>0.198122995938563</v>
      </c>
      <c r="S1390" t="s">
        <v>7216</v>
      </c>
      <c r="T1390" t="s">
        <v>11650</v>
      </c>
      <c r="U1390" t="s">
        <v>11650</v>
      </c>
      <c r="V1390" t="s">
        <v>11650</v>
      </c>
      <c r="W1390" t="s">
        <v>13012</v>
      </c>
      <c r="X1390">
        <v>1</v>
      </c>
      <c r="Y1390" t="s">
        <v>18760</v>
      </c>
      <c r="Z1390" t="s">
        <v>24452</v>
      </c>
      <c r="AA1390">
        <v>0.90395494604640225</v>
      </c>
      <c r="AB1390" t="str">
        <f>HYPERLINK("Melting_Curves/meltCurve_O43826_SLC37A4.pdf", "Melting_Curves/meltCurve_O43826_SLC37A4.pdf")</f>
        <v>Melting_Curves/meltCurve_O43826_SLC37A4.pdf</v>
      </c>
    </row>
    <row r="1391" spans="1:28" x14ac:dyDescent="0.25">
      <c r="A1391" t="s">
        <v>1395</v>
      </c>
      <c r="B1391">
        <v>0.99996721820229495</v>
      </c>
      <c r="C1391">
        <v>1.06971599196397</v>
      </c>
      <c r="D1391">
        <v>1.0488666801645301</v>
      </c>
      <c r="E1391">
        <v>1.17305660758665</v>
      </c>
      <c r="F1391">
        <v>1.1625749977128199</v>
      </c>
      <c r="G1391">
        <v>0.85050643644748802</v>
      </c>
      <c r="H1391">
        <v>0.30397453894917997</v>
      </c>
      <c r="I1391">
        <v>0.178657095257688</v>
      </c>
      <c r="J1391">
        <v>0.128238511565792</v>
      </c>
      <c r="K1391">
        <v>8.0238761706222503E-2</v>
      </c>
      <c r="L1391">
        <v>2582.7931778670099</v>
      </c>
      <c r="M1391">
        <v>43.617606853201202</v>
      </c>
      <c r="N1391">
        <v>59.569134357275303</v>
      </c>
      <c r="O1391">
        <v>59.090384359275802</v>
      </c>
      <c r="P1391">
        <v>-0.163434640718778</v>
      </c>
      <c r="Q1391">
        <v>0.11435727812907499</v>
      </c>
      <c r="R1391">
        <v>0.96513119136886805</v>
      </c>
      <c r="S1391" t="s">
        <v>7217</v>
      </c>
      <c r="T1391" t="s">
        <v>11650</v>
      </c>
      <c r="U1391" t="s">
        <v>11650</v>
      </c>
      <c r="V1391" t="s">
        <v>11650</v>
      </c>
      <c r="W1391" t="s">
        <v>13013</v>
      </c>
      <c r="X1391">
        <v>13</v>
      </c>
      <c r="Y1391" t="s">
        <v>18761</v>
      </c>
      <c r="Z1391" t="s">
        <v>24453</v>
      </c>
      <c r="AA1391">
        <v>0.68456930391684689</v>
      </c>
      <c r="AB1391" t="str">
        <f>HYPERLINK("Melting_Curves/meltCurve_O43837_IDH3B.pdf", "Melting_Curves/meltCurve_O43837_IDH3B.pdf")</f>
        <v>Melting_Curves/meltCurve_O43837_IDH3B.pdf</v>
      </c>
    </row>
    <row r="1392" spans="1:28" x14ac:dyDescent="0.25">
      <c r="A1392" t="s">
        <v>1396</v>
      </c>
      <c r="B1392">
        <v>0.99996721820229495</v>
      </c>
      <c r="C1392">
        <v>1.0905159055159701</v>
      </c>
      <c r="D1392">
        <v>1.0330153247957701</v>
      </c>
      <c r="E1392">
        <v>0.95960146307834004</v>
      </c>
      <c r="F1392">
        <v>1.4371733475519799</v>
      </c>
      <c r="G1392">
        <v>1.2997034587901199</v>
      </c>
      <c r="H1392">
        <v>0.97069081931111401</v>
      </c>
      <c r="I1392">
        <v>1.00495558180439</v>
      </c>
      <c r="J1392">
        <v>0.87854550079522298</v>
      </c>
      <c r="K1392">
        <v>0.66834989961227798</v>
      </c>
      <c r="L1392">
        <v>15000</v>
      </c>
      <c r="M1392">
        <v>223.331907613308</v>
      </c>
      <c r="O1392">
        <v>67.159241283227601</v>
      </c>
      <c r="P1392">
        <v>-0.27575061767591302</v>
      </c>
      <c r="Q1392">
        <v>0.66831077247078496</v>
      </c>
      <c r="R1392">
        <v>0.278522058853025</v>
      </c>
      <c r="S1392" t="s">
        <v>7218</v>
      </c>
      <c r="T1392" t="s">
        <v>11650</v>
      </c>
      <c r="U1392" t="s">
        <v>11650</v>
      </c>
      <c r="V1392" t="s">
        <v>11650</v>
      </c>
      <c r="W1392" t="s">
        <v>13014</v>
      </c>
      <c r="X1392">
        <v>31</v>
      </c>
      <c r="Y1392" t="s">
        <v>18762</v>
      </c>
      <c r="Z1392" t="s">
        <v>24454</v>
      </c>
      <c r="AA1392">
        <v>0.9686995974629482</v>
      </c>
      <c r="AB1392" t="str">
        <f>HYPERLINK("Melting_Curves/meltCurve_O43852_CALU.pdf", "Melting_Curves/meltCurve_O43852_CALU.pdf")</f>
        <v>Melting_Curves/meltCurve_O43852_CALU.pdf</v>
      </c>
    </row>
    <row r="1393" spans="1:28" x14ac:dyDescent="0.25">
      <c r="A1393" t="s">
        <v>1397</v>
      </c>
      <c r="B1393">
        <v>0.99996721820229495</v>
      </c>
      <c r="C1393">
        <v>0.54159149064672996</v>
      </c>
      <c r="D1393">
        <v>0.57922593457501204</v>
      </c>
      <c r="E1393">
        <v>1.3544858544317</v>
      </c>
      <c r="F1393">
        <v>1.5760257648082301</v>
      </c>
      <c r="G1393">
        <v>0.81390612681367502</v>
      </c>
      <c r="H1393">
        <v>1.15627943025739</v>
      </c>
      <c r="I1393">
        <v>1.57015758364683</v>
      </c>
      <c r="J1393">
        <v>0.72125791160184305</v>
      </c>
      <c r="K1393">
        <v>1.70682765539901</v>
      </c>
      <c r="L1393">
        <v>504.57645823359201</v>
      </c>
      <c r="M1393">
        <v>7.9991903762282002</v>
      </c>
      <c r="O1393">
        <v>59.502348112010601</v>
      </c>
      <c r="P1393">
        <v>1.6823371015272499E-2</v>
      </c>
      <c r="Q1393">
        <v>1.5</v>
      </c>
      <c r="R1393">
        <v>0.15980404893883601</v>
      </c>
      <c r="S1393" t="s">
        <v>7219</v>
      </c>
      <c r="T1393" t="s">
        <v>11650</v>
      </c>
      <c r="U1393" t="s">
        <v>11650</v>
      </c>
      <c r="V1393" t="s">
        <v>11650</v>
      </c>
      <c r="W1393" t="s">
        <v>13015</v>
      </c>
      <c r="X1393">
        <v>18</v>
      </c>
      <c r="Y1393" t="s">
        <v>18762</v>
      </c>
      <c r="Z1393" t="s">
        <v>24455</v>
      </c>
      <c r="AA1393">
        <v>1.140257272646199</v>
      </c>
      <c r="AB1393" t="str">
        <f>HYPERLINK("Melting_Curves/meltCurve_O43852_15_CALU.pdf", "Melting_Curves/meltCurve_O43852_15_CALU.pdf")</f>
        <v>Melting_Curves/meltCurve_O43852_15_CALU.pdf</v>
      </c>
    </row>
    <row r="1394" spans="1:28" x14ac:dyDescent="0.25">
      <c r="A1394" t="s">
        <v>1398</v>
      </c>
      <c r="B1394">
        <v>0.99996721820229495</v>
      </c>
      <c r="C1394">
        <v>1.22107206859373</v>
      </c>
      <c r="D1394">
        <v>1.16921341235197</v>
      </c>
      <c r="E1394">
        <v>1.0470180755487599</v>
      </c>
      <c r="F1394">
        <v>1.3546101390257299</v>
      </c>
      <c r="G1394">
        <v>1.5590112979109501</v>
      </c>
      <c r="H1394">
        <v>1.2181740090774</v>
      </c>
      <c r="I1394">
        <v>1.2696258873516699</v>
      </c>
      <c r="J1394">
        <v>1.19788321521505</v>
      </c>
      <c r="K1394">
        <v>0.79223746158341801</v>
      </c>
      <c r="L1394">
        <v>10266.187563674301</v>
      </c>
      <c r="M1394">
        <v>250</v>
      </c>
      <c r="O1394">
        <v>41.062121916212</v>
      </c>
      <c r="P1394">
        <v>0.30929582416824503</v>
      </c>
      <c r="Q1394">
        <v>1.20320548751528</v>
      </c>
      <c r="R1394">
        <v>9.6276826001778906E-2</v>
      </c>
      <c r="S1394" t="s">
        <v>7220</v>
      </c>
      <c r="T1394" t="s">
        <v>11650</v>
      </c>
      <c r="U1394" t="s">
        <v>11650</v>
      </c>
      <c r="V1394" t="s">
        <v>11650</v>
      </c>
      <c r="W1394" t="s">
        <v>13016</v>
      </c>
      <c r="X1394">
        <v>27</v>
      </c>
      <c r="Y1394" t="s">
        <v>18762</v>
      </c>
      <c r="Z1394" t="s">
        <v>24456</v>
      </c>
      <c r="AA1394">
        <v>1.195977391434857</v>
      </c>
      <c r="AB1394" t="str">
        <f>HYPERLINK("Melting_Curves/meltCurve_O43852_2_CALU.pdf", "Melting_Curves/meltCurve_O43852_2_CALU.pdf")</f>
        <v>Melting_Curves/meltCurve_O43852_2_CALU.pdf</v>
      </c>
    </row>
    <row r="1395" spans="1:28" x14ac:dyDescent="0.25">
      <c r="A1395" t="s">
        <v>1399</v>
      </c>
      <c r="B1395">
        <v>0.99996721820229495</v>
      </c>
      <c r="C1395">
        <v>0.77301080401434996</v>
      </c>
      <c r="D1395">
        <v>0.946783886852548</v>
      </c>
      <c r="E1395">
        <v>1.0141121151492001</v>
      </c>
      <c r="F1395">
        <v>1.1529591553146501</v>
      </c>
      <c r="G1395">
        <v>1.1380473652396901</v>
      </c>
      <c r="H1395">
        <v>0.761577732571455</v>
      </c>
      <c r="I1395">
        <v>0.449112627627134</v>
      </c>
      <c r="J1395">
        <v>0.28678382069941</v>
      </c>
      <c r="K1395">
        <v>0.240425786999661</v>
      </c>
      <c r="L1395">
        <v>2748.0641420927</v>
      </c>
      <c r="M1395">
        <v>44.087681215741199</v>
      </c>
      <c r="N1395">
        <v>63.318321986494801</v>
      </c>
      <c r="O1395">
        <v>62.203953347298601</v>
      </c>
      <c r="P1395">
        <v>-0.133169802030361</v>
      </c>
      <c r="Q1395">
        <v>0.248436142629093</v>
      </c>
      <c r="R1395">
        <v>0.90204657516696296</v>
      </c>
      <c r="S1395" t="s">
        <v>7221</v>
      </c>
      <c r="T1395" t="s">
        <v>11650</v>
      </c>
      <c r="U1395" t="s">
        <v>11650</v>
      </c>
      <c r="V1395" t="s">
        <v>11650</v>
      </c>
      <c r="W1395" t="s">
        <v>13017</v>
      </c>
      <c r="X1395">
        <v>11</v>
      </c>
      <c r="Y1395" t="s">
        <v>18763</v>
      </c>
      <c r="Z1395" t="s">
        <v>24457</v>
      </c>
      <c r="AA1395">
        <v>0.81018198480262527</v>
      </c>
      <c r="AB1395" t="str">
        <f>HYPERLINK("Melting_Curves/meltCurve_O43854_2_EDIL3.pdf", "Melting_Curves/meltCurve_O43854_2_EDIL3.pdf")</f>
        <v>Melting_Curves/meltCurve_O43854_2_EDIL3.pdf</v>
      </c>
    </row>
    <row r="1396" spans="1:28" x14ac:dyDescent="0.25">
      <c r="A1396" t="s">
        <v>1400</v>
      </c>
      <c r="B1396">
        <v>0.99996721820229495</v>
      </c>
      <c r="C1396">
        <v>0.94643126212188999</v>
      </c>
      <c r="D1396">
        <v>0.97368318007951804</v>
      </c>
      <c r="E1396">
        <v>1.0659875002441599</v>
      </c>
      <c r="F1396">
        <v>0.9507344951376</v>
      </c>
      <c r="G1396">
        <v>0.79751570000668603</v>
      </c>
      <c r="H1396">
        <v>0.49030901208037397</v>
      </c>
      <c r="I1396">
        <v>0.24626573079817701</v>
      </c>
      <c r="J1396">
        <v>9.0047330991914101E-2</v>
      </c>
      <c r="K1396">
        <v>5.8280657921633602E-2</v>
      </c>
      <c r="L1396">
        <v>1356.2075962956001</v>
      </c>
      <c r="M1396">
        <v>22.3247480405341</v>
      </c>
      <c r="N1396">
        <v>60.749085036592398</v>
      </c>
      <c r="O1396">
        <v>60.2679319715362</v>
      </c>
      <c r="P1396">
        <v>-9.2608199741226693E-2</v>
      </c>
      <c r="Q1396">
        <v>0</v>
      </c>
      <c r="R1396">
        <v>0.99304939633576494</v>
      </c>
      <c r="S1396" t="s">
        <v>7222</v>
      </c>
      <c r="T1396" t="s">
        <v>11650</v>
      </c>
      <c r="U1396" t="s">
        <v>11650</v>
      </c>
      <c r="V1396" t="s">
        <v>11650</v>
      </c>
      <c r="W1396" t="s">
        <v>13018</v>
      </c>
      <c r="X1396">
        <v>26</v>
      </c>
      <c r="Y1396" t="s">
        <v>18764</v>
      </c>
      <c r="Z1396" t="s">
        <v>24458</v>
      </c>
      <c r="AA1396">
        <v>0.69848666462673115</v>
      </c>
      <c r="AB1396" t="str">
        <f>HYPERLINK("Melting_Curves/meltCurve_O43865_AHCYL1.pdf", "Melting_Curves/meltCurve_O43865_AHCYL1.pdf")</f>
        <v>Melting_Curves/meltCurve_O43865_AHCYL1.pdf</v>
      </c>
    </row>
    <row r="1397" spans="1:28" x14ac:dyDescent="0.25">
      <c r="A1397" t="s">
        <v>1401</v>
      </c>
      <c r="B1397">
        <v>0.99996721820229495</v>
      </c>
      <c r="C1397">
        <v>0.87607087603934097</v>
      </c>
      <c r="D1397">
        <v>0.70485252247227803</v>
      </c>
      <c r="E1397">
        <v>0.64098716863843597</v>
      </c>
      <c r="F1397">
        <v>0.67365767848304503</v>
      </c>
      <c r="G1397">
        <v>0.64405984846644404</v>
      </c>
      <c r="H1397">
        <v>0.49817551777084501</v>
      </c>
      <c r="I1397">
        <v>0.312339699767264</v>
      </c>
      <c r="J1397">
        <v>0.25801661959509098</v>
      </c>
      <c r="K1397">
        <v>0.25879064097681898</v>
      </c>
      <c r="L1397">
        <v>325.85693583296398</v>
      </c>
      <c r="M1397">
        <v>5.6185616885143004</v>
      </c>
      <c r="N1397">
        <v>57.996504069323997</v>
      </c>
      <c r="O1397">
        <v>51.899546454253901</v>
      </c>
      <c r="P1397">
        <v>-2.7175213714795601E-2</v>
      </c>
      <c r="Q1397">
        <v>0</v>
      </c>
      <c r="R1397">
        <v>0.91364456568560104</v>
      </c>
      <c r="S1397" t="s">
        <v>7223</v>
      </c>
      <c r="T1397" t="s">
        <v>11650</v>
      </c>
      <c r="U1397" t="s">
        <v>11650</v>
      </c>
      <c r="V1397" t="s">
        <v>11650</v>
      </c>
      <c r="W1397" t="s">
        <v>13019</v>
      </c>
      <c r="X1397">
        <v>11</v>
      </c>
      <c r="Y1397" t="s">
        <v>18765</v>
      </c>
      <c r="Z1397" t="s">
        <v>24459</v>
      </c>
      <c r="AA1397">
        <v>0.58816090853299452</v>
      </c>
      <c r="AB1397" t="str">
        <f>HYPERLINK("Melting_Curves/meltCurve_O43896_KIF1C.pdf", "Melting_Curves/meltCurve_O43896_KIF1C.pdf")</f>
        <v>Melting_Curves/meltCurve_O43896_KIF1C.pdf</v>
      </c>
    </row>
    <row r="1398" spans="1:28" x14ac:dyDescent="0.25">
      <c r="A1398" t="s">
        <v>1402</v>
      </c>
      <c r="B1398">
        <v>0.99996721820229495</v>
      </c>
      <c r="C1398">
        <v>0.85931349371476595</v>
      </c>
      <c r="D1398">
        <v>0.84871709614080404</v>
      </c>
      <c r="E1398">
        <v>1.0217173834809901</v>
      </c>
      <c r="F1398">
        <v>1.3409437451611399</v>
      </c>
      <c r="G1398">
        <v>0.82451894792699898</v>
      </c>
      <c r="H1398">
        <v>0.77770441763828702</v>
      </c>
      <c r="I1398">
        <v>0.44327126436408498</v>
      </c>
      <c r="J1398">
        <v>0.31722103623367198</v>
      </c>
      <c r="K1398">
        <v>0.32489997958345701</v>
      </c>
      <c r="L1398">
        <v>2011.0705009943199</v>
      </c>
      <c r="M1398">
        <v>32.469901004164299</v>
      </c>
      <c r="N1398">
        <v>63.559063881392802</v>
      </c>
      <c r="O1398">
        <v>61.702941091009301</v>
      </c>
      <c r="P1398">
        <v>-9.44922339289508E-2</v>
      </c>
      <c r="Q1398">
        <v>0.28174452899979102</v>
      </c>
      <c r="R1398">
        <v>0.81028890219801597</v>
      </c>
      <c r="S1398" t="s">
        <v>7224</v>
      </c>
      <c r="T1398" t="s">
        <v>11650</v>
      </c>
      <c r="U1398" t="s">
        <v>11650</v>
      </c>
      <c r="V1398" t="s">
        <v>11650</v>
      </c>
      <c r="W1398" t="s">
        <v>13020</v>
      </c>
      <c r="X1398">
        <v>1</v>
      </c>
      <c r="Y1398" t="s">
        <v>18766</v>
      </c>
      <c r="Z1398" t="s">
        <v>24460</v>
      </c>
      <c r="AA1398">
        <v>0.81015688056669066</v>
      </c>
      <c r="AB1398" t="str">
        <f>HYPERLINK("Melting_Curves/meltCurve_O43915_FIGF.pdf", "Melting_Curves/meltCurve_O43915_FIGF.pdf")</f>
        <v>Melting_Curves/meltCurve_O43915_FIGF.pdf</v>
      </c>
    </row>
    <row r="1399" spans="1:28" x14ac:dyDescent="0.25">
      <c r="A1399" t="s">
        <v>1403</v>
      </c>
      <c r="B1399">
        <v>0.99996721820229495</v>
      </c>
      <c r="C1399">
        <v>1.0983926284644601</v>
      </c>
      <c r="D1399">
        <v>1.134093843644</v>
      </c>
      <c r="E1399">
        <v>1.21874690868311</v>
      </c>
      <c r="F1399">
        <v>1.65450081951717</v>
      </c>
      <c r="G1399">
        <v>2.2637543322238498</v>
      </c>
      <c r="H1399">
        <v>1.46180725863165</v>
      </c>
      <c r="I1399">
        <v>1.4028978015145399</v>
      </c>
      <c r="J1399">
        <v>0.61819081867077696</v>
      </c>
      <c r="K1399">
        <v>0.43473243151505903</v>
      </c>
      <c r="L1399">
        <v>15000</v>
      </c>
      <c r="M1399">
        <v>224.61231343114699</v>
      </c>
      <c r="N1399">
        <v>67.392365631109996</v>
      </c>
      <c r="O1399">
        <v>66.776419419236902</v>
      </c>
      <c r="P1399">
        <v>-0.47539611793509201</v>
      </c>
      <c r="Q1399">
        <v>0.434665708721169</v>
      </c>
      <c r="R1399">
        <v>-2.38946363579591E-2</v>
      </c>
      <c r="S1399" t="s">
        <v>7225</v>
      </c>
      <c r="T1399" t="s">
        <v>11650</v>
      </c>
      <c r="U1399" t="s">
        <v>11650</v>
      </c>
      <c r="V1399" t="s">
        <v>11650</v>
      </c>
      <c r="W1399" t="s">
        <v>13021</v>
      </c>
      <c r="X1399">
        <v>3</v>
      </c>
      <c r="Y1399" t="s">
        <v>18767</v>
      </c>
      <c r="Z1399" t="s">
        <v>24461</v>
      </c>
      <c r="AA1399">
        <v>0.93943536486348755</v>
      </c>
      <c r="AB1399" t="str">
        <f>HYPERLINK("Melting_Curves/meltCurve_O43920_NDUFS5.pdf", "Melting_Curves/meltCurve_O43920_NDUFS5.pdf")</f>
        <v>Melting_Curves/meltCurve_O43920_NDUFS5.pdf</v>
      </c>
    </row>
    <row r="1400" spans="1:28" x14ac:dyDescent="0.25">
      <c r="A1400" t="s">
        <v>1404</v>
      </c>
      <c r="B1400">
        <v>0.99996721820229495</v>
      </c>
      <c r="C1400">
        <v>1.53563842556324</v>
      </c>
      <c r="D1400">
        <v>1.1328445420212301</v>
      </c>
      <c r="E1400">
        <v>0.97307515871040995</v>
      </c>
      <c r="F1400">
        <v>0.804290887212044</v>
      </c>
      <c r="G1400">
        <v>0.558045324782936</v>
      </c>
      <c r="H1400">
        <v>0.367481499529277</v>
      </c>
      <c r="I1400">
        <v>0.27632827282470701</v>
      </c>
      <c r="J1400">
        <v>0.22343971483424499</v>
      </c>
      <c r="K1400">
        <v>0.175553199790976</v>
      </c>
      <c r="L1400">
        <v>1158.2582050958999</v>
      </c>
      <c r="M1400">
        <v>20.4512454326366</v>
      </c>
      <c r="N1400">
        <v>57.982157702431401</v>
      </c>
      <c r="O1400">
        <v>56.1019370606584</v>
      </c>
      <c r="P1400">
        <v>-7.3903210220901197E-2</v>
      </c>
      <c r="Q1400">
        <v>0.189097851096518</v>
      </c>
      <c r="R1400">
        <v>0.83371152246586699</v>
      </c>
      <c r="S1400" t="s">
        <v>7226</v>
      </c>
      <c r="T1400" t="s">
        <v>11650</v>
      </c>
      <c r="U1400" t="s">
        <v>11650</v>
      </c>
      <c r="V1400" t="s">
        <v>11650</v>
      </c>
      <c r="W1400" t="s">
        <v>13022</v>
      </c>
      <c r="X1400">
        <v>2</v>
      </c>
      <c r="Y1400" t="s">
        <v>18768</v>
      </c>
      <c r="Z1400" t="s">
        <v>24462</v>
      </c>
      <c r="AA1400">
        <v>0.6486000265094416</v>
      </c>
      <c r="AB1400" t="str">
        <f>HYPERLINK("Melting_Curves/meltCurve_O43924_PDE6D.pdf", "Melting_Curves/meltCurve_O43924_PDE6D.pdf")</f>
        <v>Melting_Curves/meltCurve_O43924_PDE6D.pdf</v>
      </c>
    </row>
    <row r="1401" spans="1:28" x14ac:dyDescent="0.25">
      <c r="A1401" t="s">
        <v>1405</v>
      </c>
      <c r="B1401">
        <v>0.99996721820229495</v>
      </c>
      <c r="C1401">
        <v>0.98002053566864999</v>
      </c>
      <c r="D1401">
        <v>0.99872605966950201</v>
      </c>
      <c r="E1401">
        <v>1.15296315745842</v>
      </c>
      <c r="F1401">
        <v>1.35693026504242</v>
      </c>
      <c r="G1401">
        <v>1.4057186015557099</v>
      </c>
      <c r="H1401">
        <v>1.1017629467222001</v>
      </c>
      <c r="I1401">
        <v>0.93838667569155498</v>
      </c>
      <c r="J1401">
        <v>0.806588309284482</v>
      </c>
      <c r="K1401">
        <v>0.70284681662970605</v>
      </c>
      <c r="L1401">
        <v>3569.9153783137699</v>
      </c>
      <c r="M1401">
        <v>53.868760010101497</v>
      </c>
      <c r="O1401">
        <v>66.179466227536494</v>
      </c>
      <c r="P1401">
        <v>-6.3331071082709398E-2</v>
      </c>
      <c r="Q1401">
        <v>0.68878334636503202</v>
      </c>
      <c r="R1401">
        <v>0.24919757023619801</v>
      </c>
      <c r="S1401" t="s">
        <v>7227</v>
      </c>
      <c r="T1401" t="s">
        <v>11650</v>
      </c>
      <c r="U1401" t="s">
        <v>11650</v>
      </c>
      <c r="V1401" t="s">
        <v>11650</v>
      </c>
      <c r="W1401" t="s">
        <v>13023</v>
      </c>
      <c r="X1401">
        <v>9</v>
      </c>
      <c r="Y1401" t="s">
        <v>18769</v>
      </c>
      <c r="Z1401" t="s">
        <v>24463</v>
      </c>
      <c r="AA1401">
        <v>0.96127630998731961</v>
      </c>
      <c r="AB1401" t="str">
        <f>HYPERLINK("Melting_Curves/meltCurve_O60220_TIMM8A.pdf", "Melting_Curves/meltCurve_O60220_TIMM8A.pdf")</f>
        <v>Melting_Curves/meltCurve_O60220_TIMM8A.pdf</v>
      </c>
    </row>
    <row r="1402" spans="1:28" x14ac:dyDescent="0.25">
      <c r="A1402" t="s">
        <v>1406</v>
      </c>
      <c r="B1402">
        <v>0.99996721820229495</v>
      </c>
      <c r="C1402">
        <v>1.1708924690182201</v>
      </c>
      <c r="D1402">
        <v>1.1314165297950101</v>
      </c>
      <c r="E1402">
        <v>1.2700330498940899</v>
      </c>
      <c r="F1402">
        <v>1.6333173879137799</v>
      </c>
      <c r="G1402">
        <v>2.0118335541924099</v>
      </c>
      <c r="H1402">
        <v>1.2981068973732499</v>
      </c>
      <c r="I1402">
        <v>1.08833656189092</v>
      </c>
      <c r="J1402">
        <v>0.70912636315510702</v>
      </c>
      <c r="K1402">
        <v>0.34937303497142702</v>
      </c>
      <c r="L1402">
        <v>15000</v>
      </c>
      <c r="M1402">
        <v>223.66786086880299</v>
      </c>
      <c r="N1402">
        <v>67.425281673634302</v>
      </c>
      <c r="O1402">
        <v>67.058359165248007</v>
      </c>
      <c r="P1402">
        <v>-0.542575699593981</v>
      </c>
      <c r="Q1402">
        <v>0.349316642817316</v>
      </c>
      <c r="R1402">
        <v>0.12366287368076299</v>
      </c>
      <c r="S1402" t="s">
        <v>7228</v>
      </c>
      <c r="T1402" t="s">
        <v>11650</v>
      </c>
      <c r="U1402" t="s">
        <v>11650</v>
      </c>
      <c r="V1402" t="s">
        <v>11650</v>
      </c>
      <c r="W1402" t="s">
        <v>13024</v>
      </c>
      <c r="X1402">
        <v>3</v>
      </c>
      <c r="Y1402" t="s">
        <v>18770</v>
      </c>
      <c r="Z1402" t="s">
        <v>24464</v>
      </c>
      <c r="AA1402">
        <v>0.93640891173568452</v>
      </c>
      <c r="AB1402" t="str">
        <f>HYPERLINK("Melting_Curves/meltCurve_O60234_GMFG.pdf", "Melting_Curves/meltCurve_O60234_GMFG.pdf")</f>
        <v>Melting_Curves/meltCurve_O60234_GMFG.pdf</v>
      </c>
    </row>
    <row r="1403" spans="1:28" x14ac:dyDescent="0.25">
      <c r="A1403" t="s">
        <v>1407</v>
      </c>
      <c r="B1403">
        <v>0.99996721820229495</v>
      </c>
      <c r="C1403">
        <v>0.93281508494157805</v>
      </c>
      <c r="D1403">
        <v>0.91693390286870702</v>
      </c>
      <c r="E1403">
        <v>0.89074646829012605</v>
      </c>
      <c r="F1403">
        <v>0.98899617597750999</v>
      </c>
      <c r="G1403">
        <v>0.64081047047622397</v>
      </c>
      <c r="H1403">
        <v>0.34424336277103701</v>
      </c>
      <c r="I1403">
        <v>0.331013681040771</v>
      </c>
      <c r="J1403">
        <v>0.217560982210452</v>
      </c>
      <c r="K1403">
        <v>0.22733770678571799</v>
      </c>
      <c r="L1403">
        <v>1622.62731121978</v>
      </c>
      <c r="M1403">
        <v>28.2679603934073</v>
      </c>
      <c r="N1403">
        <v>58.715983162786301</v>
      </c>
      <c r="O1403">
        <v>57.116675595552003</v>
      </c>
      <c r="P1403">
        <v>-9.47226445518905E-2</v>
      </c>
      <c r="Q1403">
        <v>0.23444099181411099</v>
      </c>
      <c r="R1403">
        <v>0.97159621253202999</v>
      </c>
      <c r="S1403" t="s">
        <v>7229</v>
      </c>
      <c r="T1403" t="s">
        <v>11650</v>
      </c>
      <c r="U1403" t="s">
        <v>11650</v>
      </c>
      <c r="V1403" t="s">
        <v>11650</v>
      </c>
      <c r="W1403" t="s">
        <v>13025</v>
      </c>
      <c r="X1403">
        <v>2</v>
      </c>
      <c r="Y1403" t="s">
        <v>18771</v>
      </c>
      <c r="Z1403" t="s">
        <v>24465</v>
      </c>
      <c r="AA1403">
        <v>0.68412492061622376</v>
      </c>
      <c r="AB1403" t="str">
        <f>HYPERLINK("Melting_Curves/meltCurve_O60239_SH3BP5.pdf", "Melting_Curves/meltCurve_O60239_SH3BP5.pdf")</f>
        <v>Melting_Curves/meltCurve_O60239_SH3BP5.pdf</v>
      </c>
    </row>
    <row r="1404" spans="1:28" x14ac:dyDescent="0.25">
      <c r="A1404" t="s">
        <v>1408</v>
      </c>
      <c r="B1404">
        <v>0.99996721820229495</v>
      </c>
      <c r="C1404">
        <v>1.01047963623996</v>
      </c>
      <c r="D1404">
        <v>1.04419409595756</v>
      </c>
      <c r="E1404">
        <v>1.3031345229120901</v>
      </c>
      <c r="F1404">
        <v>2.0827094842741101</v>
      </c>
      <c r="G1404">
        <v>2.7250184042690799</v>
      </c>
      <c r="H1404">
        <v>1.9020322575980699</v>
      </c>
      <c r="I1404">
        <v>0.78304872605659903</v>
      </c>
      <c r="J1404">
        <v>0.35245462035397401</v>
      </c>
      <c r="K1404">
        <v>0.23354712009084799</v>
      </c>
      <c r="L1404">
        <v>15000</v>
      </c>
      <c r="M1404">
        <v>233.55987410092001</v>
      </c>
      <c r="N1404">
        <v>64.466747234942403</v>
      </c>
      <c r="O1404">
        <v>64.218646107449501</v>
      </c>
      <c r="P1404">
        <v>-0.64285476391340002</v>
      </c>
      <c r="Q1404">
        <v>0.29297331000889698</v>
      </c>
      <c r="R1404">
        <v>8.2141481013994003E-2</v>
      </c>
      <c r="S1404" t="s">
        <v>7230</v>
      </c>
      <c r="T1404" t="s">
        <v>11650</v>
      </c>
      <c r="U1404" t="s">
        <v>11650</v>
      </c>
      <c r="V1404" t="s">
        <v>11650</v>
      </c>
      <c r="W1404" t="s">
        <v>13026</v>
      </c>
      <c r="X1404">
        <v>7</v>
      </c>
      <c r="Y1404" t="s">
        <v>18772</v>
      </c>
      <c r="Z1404" t="s">
        <v>24466</v>
      </c>
      <c r="AA1404">
        <v>0.86395002994206316</v>
      </c>
      <c r="AB1404" t="str">
        <f>HYPERLINK("Melting_Curves/meltCurve_O60256_PRPSAP2.pdf", "Melting_Curves/meltCurve_O60256_PRPSAP2.pdf")</f>
        <v>Melting_Curves/meltCurve_O60256_PRPSAP2.pdf</v>
      </c>
    </row>
    <row r="1405" spans="1:28" x14ac:dyDescent="0.25">
      <c r="A1405" t="s">
        <v>1409</v>
      </c>
      <c r="B1405">
        <v>0.99996721820229495</v>
      </c>
      <c r="C1405">
        <v>0.91337861029051304</v>
      </c>
      <c r="D1405">
        <v>0.92778500143179699</v>
      </c>
      <c r="E1405">
        <v>1.0668844855275901</v>
      </c>
      <c r="F1405">
        <v>1.24721149199762</v>
      </c>
      <c r="G1405">
        <v>1.25898144006517</v>
      </c>
      <c r="H1405">
        <v>1.0090635344107399</v>
      </c>
      <c r="I1405">
        <v>0.70180165815670903</v>
      </c>
      <c r="J1405">
        <v>0.55720221489866695</v>
      </c>
      <c r="K1405">
        <v>0.44380164321783699</v>
      </c>
      <c r="L1405">
        <v>4325.6454331700797</v>
      </c>
      <c r="M1405">
        <v>67.814435061078498</v>
      </c>
      <c r="N1405">
        <v>67.384950918532894</v>
      </c>
      <c r="O1405">
        <v>63.7310995704173</v>
      </c>
      <c r="P1405">
        <v>-0.136566349849398</v>
      </c>
      <c r="Q1405">
        <v>0.48662721480711502</v>
      </c>
      <c r="R1405">
        <v>0.77211754744025796</v>
      </c>
      <c r="S1405" t="s">
        <v>7231</v>
      </c>
      <c r="T1405" t="s">
        <v>11650</v>
      </c>
      <c r="U1405" t="s">
        <v>11650</v>
      </c>
      <c r="V1405" t="s">
        <v>11650</v>
      </c>
      <c r="W1405" t="s">
        <v>13027</v>
      </c>
      <c r="X1405">
        <v>1</v>
      </c>
      <c r="Y1405" t="s">
        <v>18773</v>
      </c>
      <c r="Z1405" t="s">
        <v>24467</v>
      </c>
      <c r="AA1405">
        <v>0.89440648951943347</v>
      </c>
      <c r="AB1405" t="str">
        <f>HYPERLINK("Melting_Curves/meltCurve_O60262_GNG7.pdf", "Melting_Curves/meltCurve_O60262_GNG7.pdf")</f>
        <v>Melting_Curves/meltCurve_O60262_GNG7.pdf</v>
      </c>
    </row>
    <row r="1406" spans="1:28" x14ac:dyDescent="0.25">
      <c r="A1406" t="s">
        <v>1410</v>
      </c>
      <c r="B1406">
        <v>0.99996721820229495</v>
      </c>
      <c r="C1406">
        <v>0.95900706756404497</v>
      </c>
      <c r="D1406">
        <v>1.0386257256628999</v>
      </c>
      <c r="E1406">
        <v>1.42727995118481</v>
      </c>
      <c r="F1406">
        <v>0.81821289847462897</v>
      </c>
      <c r="G1406">
        <v>0.72855781043420897</v>
      </c>
      <c r="H1406">
        <v>0.50400036709746499</v>
      </c>
      <c r="I1406">
        <v>0.35137327923627798</v>
      </c>
      <c r="J1406">
        <v>0.25505085120512699</v>
      </c>
      <c r="K1406">
        <v>0.22370292818641699</v>
      </c>
      <c r="L1406">
        <v>1298.3295579670801</v>
      </c>
      <c r="M1406">
        <v>21.9535545796173</v>
      </c>
      <c r="N1406">
        <v>60.6416676314415</v>
      </c>
      <c r="O1406">
        <v>58.655683767667398</v>
      </c>
      <c r="P1406">
        <v>-7.3949712279324606E-2</v>
      </c>
      <c r="Q1406">
        <v>0.20970000102945699</v>
      </c>
      <c r="R1406">
        <v>0.84499380039793004</v>
      </c>
      <c r="S1406" t="s">
        <v>7232</v>
      </c>
      <c r="T1406" t="s">
        <v>11650</v>
      </c>
      <c r="U1406" t="s">
        <v>11650</v>
      </c>
      <c r="V1406" t="s">
        <v>11650</v>
      </c>
      <c r="W1406" t="s">
        <v>13028</v>
      </c>
      <c r="X1406">
        <v>48</v>
      </c>
      <c r="Y1406" t="s">
        <v>18774</v>
      </c>
      <c r="Z1406" t="s">
        <v>24468</v>
      </c>
      <c r="AA1406">
        <v>0.72119768304665088</v>
      </c>
      <c r="AB1406" t="str">
        <f>HYPERLINK("Melting_Curves/meltCurve_O60271_4_SPAG9.pdf", "Melting_Curves/meltCurve_O60271_4_SPAG9.pdf")</f>
        <v>Melting_Curves/meltCurve_O60271_4_SPAG9.pdf</v>
      </c>
    </row>
    <row r="1407" spans="1:28" x14ac:dyDescent="0.25">
      <c r="A1407" t="s">
        <v>1411</v>
      </c>
      <c r="B1407">
        <v>0.99996721820229495</v>
      </c>
      <c r="C1407">
        <v>0.97474877947180005</v>
      </c>
      <c r="D1407">
        <v>1.2630756638110701</v>
      </c>
      <c r="E1407">
        <v>1.5241448698512801</v>
      </c>
      <c r="F1407">
        <v>0.59261468422823504</v>
      </c>
      <c r="G1407">
        <v>0.65574113311388404</v>
      </c>
      <c r="H1407">
        <v>0.33490147699559802</v>
      </c>
      <c r="I1407">
        <v>0.18523663915893901</v>
      </c>
      <c r="J1407">
        <v>6.8794746763000098E-2</v>
      </c>
      <c r="K1407">
        <v>7.7882818608327103E-2</v>
      </c>
      <c r="L1407">
        <v>1228.5272355960799</v>
      </c>
      <c r="M1407">
        <v>21.121807704345699</v>
      </c>
      <c r="N1407">
        <v>58.446006758959903</v>
      </c>
      <c r="O1407">
        <v>57.650084668226498</v>
      </c>
      <c r="P1407">
        <v>-8.7158783277688806E-2</v>
      </c>
      <c r="Q1407">
        <v>4.8456474626841599E-2</v>
      </c>
      <c r="R1407">
        <v>0.79947344609517201</v>
      </c>
      <c r="S1407" t="s">
        <v>7233</v>
      </c>
      <c r="T1407" t="s">
        <v>11650</v>
      </c>
      <c r="U1407" t="s">
        <v>11650</v>
      </c>
      <c r="V1407" t="s">
        <v>11650</v>
      </c>
      <c r="W1407" t="s">
        <v>13029</v>
      </c>
      <c r="X1407">
        <v>37</v>
      </c>
      <c r="Y1407" t="s">
        <v>18774</v>
      </c>
      <c r="Z1407" t="s">
        <v>24469</v>
      </c>
      <c r="AA1407">
        <v>0.63464225801365437</v>
      </c>
      <c r="AB1407" t="str">
        <f>HYPERLINK("Melting_Curves/meltCurve_O60271_9_SPAG9.pdf", "Melting_Curves/meltCurve_O60271_9_SPAG9.pdf")</f>
        <v>Melting_Curves/meltCurve_O60271_9_SPAG9.pdf</v>
      </c>
    </row>
    <row r="1408" spans="1:28" x14ac:dyDescent="0.25">
      <c r="A1408" t="s">
        <v>1412</v>
      </c>
      <c r="B1408">
        <v>0.99996721820229495</v>
      </c>
      <c r="C1408">
        <v>0.933530754073017</v>
      </c>
      <c r="D1408">
        <v>0.97122075320182999</v>
      </c>
      <c r="E1408">
        <v>1.04108105221974</v>
      </c>
      <c r="F1408">
        <v>0.47846896876311001</v>
      </c>
      <c r="G1408">
        <v>0.35293390721323598</v>
      </c>
      <c r="H1408">
        <v>0.220926368904934</v>
      </c>
      <c r="I1408">
        <v>0.15976475067389601</v>
      </c>
      <c r="J1408">
        <v>0.122777417943294</v>
      </c>
      <c r="K1408">
        <v>9.8818457192238807E-2</v>
      </c>
      <c r="L1408">
        <v>13218.4222358608</v>
      </c>
      <c r="M1408">
        <v>250</v>
      </c>
      <c r="N1408">
        <v>52.975699312621501</v>
      </c>
      <c r="O1408">
        <v>52.870305058103398</v>
      </c>
      <c r="P1408">
        <v>-0.95629747656632902</v>
      </c>
      <c r="Q1408">
        <v>0.19104416705452101</v>
      </c>
      <c r="R1408">
        <v>0.96693932472914002</v>
      </c>
      <c r="S1408" t="s">
        <v>7234</v>
      </c>
      <c r="T1408" t="s">
        <v>11650</v>
      </c>
      <c r="U1408" t="s">
        <v>11650</v>
      </c>
      <c r="V1408" t="s">
        <v>11650</v>
      </c>
      <c r="W1408" t="s">
        <v>13030</v>
      </c>
      <c r="X1408">
        <v>33</v>
      </c>
      <c r="Y1408" t="s">
        <v>18775</v>
      </c>
      <c r="Z1408" t="s">
        <v>24470</v>
      </c>
      <c r="AA1408">
        <v>0.53826075750042213</v>
      </c>
      <c r="AB1408" t="str">
        <f>HYPERLINK("Melting_Curves/meltCurve_O60313_2_OPA1.pdf", "Melting_Curves/meltCurve_O60313_2_OPA1.pdf")</f>
        <v>Melting_Curves/meltCurve_O60313_2_OPA1.pdf</v>
      </c>
    </row>
    <row r="1409" spans="1:28" x14ac:dyDescent="0.25">
      <c r="A1409" t="s">
        <v>1413</v>
      </c>
      <c r="B1409">
        <v>0.99996721820229495</v>
      </c>
      <c r="C1409">
        <v>0.97438285589083296</v>
      </c>
      <c r="D1409">
        <v>0.82263364618538204</v>
      </c>
      <c r="E1409">
        <v>0.37195280214116799</v>
      </c>
      <c r="F1409">
        <v>0.28056365058010402</v>
      </c>
      <c r="G1409">
        <v>0.214161694648207</v>
      </c>
      <c r="H1409">
        <v>0.121341749669721</v>
      </c>
      <c r="I1409">
        <v>8.7309226048407601E-2</v>
      </c>
      <c r="J1409">
        <v>5.8434724933955302E-2</v>
      </c>
      <c r="K1409">
        <v>3.8519416409125602E-2</v>
      </c>
      <c r="L1409">
        <v>968.77507083259297</v>
      </c>
      <c r="M1409">
        <v>19.8329037022833</v>
      </c>
      <c r="N1409">
        <v>49.314776565211702</v>
      </c>
      <c r="O1409">
        <v>48.358389450650897</v>
      </c>
      <c r="P1409">
        <v>-9.3740143661415198E-2</v>
      </c>
      <c r="Q1409">
        <v>8.5767896384570705E-2</v>
      </c>
      <c r="R1409">
        <v>0.98683770907421997</v>
      </c>
      <c r="S1409" t="s">
        <v>7235</v>
      </c>
      <c r="T1409" t="s">
        <v>11650</v>
      </c>
      <c r="U1409" t="s">
        <v>11650</v>
      </c>
      <c r="V1409" t="s">
        <v>11650</v>
      </c>
      <c r="W1409" t="s">
        <v>13031</v>
      </c>
      <c r="X1409">
        <v>7</v>
      </c>
      <c r="Y1409" t="s">
        <v>18776</v>
      </c>
      <c r="Z1409" t="s">
        <v>24471</v>
      </c>
      <c r="AA1409">
        <v>0.36841850617055211</v>
      </c>
      <c r="AB1409" t="str">
        <f>HYPERLINK("Melting_Curves/meltCurve_O60331_4_PIP5K1C.pdf", "Melting_Curves/meltCurve_O60331_4_PIP5K1C.pdf")</f>
        <v>Melting_Curves/meltCurve_O60331_4_PIP5K1C.pdf</v>
      </c>
    </row>
    <row r="1410" spans="1:28" x14ac:dyDescent="0.25">
      <c r="A1410" t="s">
        <v>1414</v>
      </c>
      <c r="B1410">
        <v>0.99996721820229495</v>
      </c>
      <c r="C1410">
        <v>0.88493335760852099</v>
      </c>
      <c r="D1410">
        <v>0.86718610422812403</v>
      </c>
      <c r="E1410">
        <v>0.81239925252947998</v>
      </c>
      <c r="F1410">
        <v>0.22454667219823299</v>
      </c>
      <c r="G1410">
        <v>0.21096689662750301</v>
      </c>
      <c r="H1410">
        <v>0.103753789964</v>
      </c>
      <c r="I1410">
        <v>0.105886535704742</v>
      </c>
      <c r="J1410">
        <v>6.7362766992333095E-2</v>
      </c>
      <c r="K1410">
        <v>5.2317569406621703E-2</v>
      </c>
      <c r="L1410">
        <v>2664.8052762041002</v>
      </c>
      <c r="M1410">
        <v>52.027557025070301</v>
      </c>
      <c r="N1410">
        <v>51.452359091178003</v>
      </c>
      <c r="O1410">
        <v>51.143610389424801</v>
      </c>
      <c r="P1410">
        <v>-0.227601736146195</v>
      </c>
      <c r="Q1410">
        <v>0.10506149249242799</v>
      </c>
      <c r="R1410">
        <v>0.96888287488863101</v>
      </c>
      <c r="S1410" t="s">
        <v>7236</v>
      </c>
      <c r="T1410" t="s">
        <v>11650</v>
      </c>
      <c r="U1410" t="s">
        <v>11650</v>
      </c>
      <c r="V1410" t="s">
        <v>11650</v>
      </c>
      <c r="W1410" t="s">
        <v>13032</v>
      </c>
      <c r="X1410">
        <v>10</v>
      </c>
      <c r="Y1410" t="s">
        <v>18777</v>
      </c>
      <c r="Z1410" t="s">
        <v>24472</v>
      </c>
      <c r="AA1410">
        <v>0.44160857207801069</v>
      </c>
      <c r="AB1410" t="str">
        <f>HYPERLINK("Melting_Curves/meltCurve_O60333_2_KIF1B.pdf", "Melting_Curves/meltCurve_O60333_2_KIF1B.pdf")</f>
        <v>Melting_Curves/meltCurve_O60333_2_KIF1B.pdf</v>
      </c>
    </row>
    <row r="1411" spans="1:28" x14ac:dyDescent="0.25">
      <c r="A1411" t="s">
        <v>1415</v>
      </c>
      <c r="B1411">
        <v>0.99996721820229495</v>
      </c>
      <c r="C1411">
        <v>1.02632784048172</v>
      </c>
      <c r="D1411">
        <v>0.98432515005404497</v>
      </c>
      <c r="E1411">
        <v>0.79626250181402702</v>
      </c>
      <c r="F1411">
        <v>0.56806620817633302</v>
      </c>
      <c r="G1411">
        <v>0.52991928357653295</v>
      </c>
      <c r="H1411">
        <v>0.31750283637795901</v>
      </c>
      <c r="I1411">
        <v>0.22325955068957301</v>
      </c>
      <c r="J1411">
        <v>0.18869118512330399</v>
      </c>
      <c r="K1411">
        <v>0.140813710428076</v>
      </c>
      <c r="L1411">
        <v>670.93703607975203</v>
      </c>
      <c r="M1411">
        <v>12.144043593692</v>
      </c>
      <c r="N1411">
        <v>56.152369974093197</v>
      </c>
      <c r="O1411">
        <v>53.814175066771902</v>
      </c>
      <c r="P1411">
        <v>-5.1418455744772898E-2</v>
      </c>
      <c r="Q1411">
        <v>8.8803035444944098E-2</v>
      </c>
      <c r="R1411">
        <v>0.98253886355585895</v>
      </c>
      <c r="S1411" t="s">
        <v>7237</v>
      </c>
      <c r="T1411" t="s">
        <v>11650</v>
      </c>
      <c r="U1411" t="s">
        <v>11650</v>
      </c>
      <c r="V1411" t="s">
        <v>11650</v>
      </c>
      <c r="W1411" t="s">
        <v>13033</v>
      </c>
      <c r="X1411">
        <v>8</v>
      </c>
      <c r="Y1411" t="s">
        <v>18778</v>
      </c>
      <c r="Z1411" t="s">
        <v>24473</v>
      </c>
      <c r="AA1411">
        <v>0.57249756023944787</v>
      </c>
      <c r="AB1411" t="str">
        <f>HYPERLINK("Melting_Curves/meltCurve_O60343_2_TBC1D4.pdf", "Melting_Curves/meltCurve_O60343_2_TBC1D4.pdf")</f>
        <v>Melting_Curves/meltCurve_O60343_2_TBC1D4.pdf</v>
      </c>
    </row>
    <row r="1412" spans="1:28" x14ac:dyDescent="0.25">
      <c r="A1412" t="s">
        <v>1416</v>
      </c>
      <c r="B1412">
        <v>0.99996721820229495</v>
      </c>
      <c r="C1412">
        <v>0.84950599660546999</v>
      </c>
      <c r="D1412">
        <v>0.87767105103473497</v>
      </c>
      <c r="E1412">
        <v>0.84249136240406997</v>
      </c>
      <c r="F1412">
        <v>1.41320076883154</v>
      </c>
      <c r="G1412">
        <v>0.92980306495870302</v>
      </c>
      <c r="H1412">
        <v>0.60898472131368298</v>
      </c>
      <c r="I1412">
        <v>0.39241977285173302</v>
      </c>
      <c r="J1412">
        <v>0.29785316442084703</v>
      </c>
      <c r="K1412">
        <v>0.30937581609751502</v>
      </c>
      <c r="L1412">
        <v>2505.63328767744</v>
      </c>
      <c r="M1412">
        <v>41.298711590362402</v>
      </c>
      <c r="N1412">
        <v>62.0634100459975</v>
      </c>
      <c r="O1412">
        <v>60.529266496569903</v>
      </c>
      <c r="P1412">
        <v>-0.119052561846599</v>
      </c>
      <c r="Q1412">
        <v>0.30204615974469801</v>
      </c>
      <c r="R1412">
        <v>0.78860794826389802</v>
      </c>
      <c r="S1412" t="s">
        <v>7238</v>
      </c>
      <c r="T1412" t="s">
        <v>11650</v>
      </c>
      <c r="U1412" t="s">
        <v>11650</v>
      </c>
      <c r="V1412" t="s">
        <v>11650</v>
      </c>
      <c r="W1412" t="s">
        <v>13034</v>
      </c>
      <c r="X1412">
        <v>3</v>
      </c>
      <c r="Y1412" t="s">
        <v>18779</v>
      </c>
      <c r="Z1412" t="s">
        <v>24474</v>
      </c>
      <c r="AA1412">
        <v>0.78550812643516599</v>
      </c>
      <c r="AB1412" t="str">
        <f>HYPERLINK("Melting_Curves/meltCurve_O60353_2_FZD6.pdf", "Melting_Curves/meltCurve_O60353_2_FZD6.pdf")</f>
        <v>Melting_Curves/meltCurve_O60353_2_FZD6.pdf</v>
      </c>
    </row>
    <row r="1413" spans="1:28" x14ac:dyDescent="0.25">
      <c r="A1413" t="s">
        <v>1417</v>
      </c>
      <c r="B1413">
        <v>0.99996721820229495</v>
      </c>
      <c r="C1413">
        <v>0.53661451666255799</v>
      </c>
      <c r="D1413">
        <v>0.53433703448375103</v>
      </c>
      <c r="E1413">
        <v>0.60891792669762201</v>
      </c>
      <c r="F1413">
        <v>0.61874383397739596</v>
      </c>
      <c r="G1413">
        <v>0.37780687438677002</v>
      </c>
      <c r="H1413">
        <v>0.13314299139884</v>
      </c>
      <c r="I1413">
        <v>0.28274364603475</v>
      </c>
      <c r="J1413">
        <v>0</v>
      </c>
      <c r="K1413">
        <v>0.24846373983054301</v>
      </c>
      <c r="L1413">
        <v>302.763020327552</v>
      </c>
      <c r="M1413">
        <v>5.9724185835041297</v>
      </c>
      <c r="N1413">
        <v>50.6935367649223</v>
      </c>
      <c r="O1413">
        <v>45.885026346021</v>
      </c>
      <c r="P1413">
        <v>-3.2647249966224097E-2</v>
      </c>
      <c r="Q1413">
        <v>0</v>
      </c>
      <c r="R1413">
        <v>0.74049023370476996</v>
      </c>
      <c r="S1413" t="s">
        <v>7239</v>
      </c>
      <c r="T1413" t="s">
        <v>11650</v>
      </c>
      <c r="U1413" t="s">
        <v>11650</v>
      </c>
      <c r="V1413" t="s">
        <v>11650</v>
      </c>
      <c r="W1413" t="s">
        <v>13035</v>
      </c>
      <c r="X1413">
        <v>1</v>
      </c>
      <c r="Y1413" t="s">
        <v>18780</v>
      </c>
      <c r="Z1413" t="s">
        <v>24475</v>
      </c>
      <c r="AA1413">
        <v>0.42843030266757232</v>
      </c>
      <c r="AB1413" t="str">
        <f>HYPERLINK("Melting_Curves/meltCurve_O60356_NUPR1.pdf", "Melting_Curves/meltCurve_O60356_NUPR1.pdf")</f>
        <v>Melting_Curves/meltCurve_O60356_NUPR1.pdf</v>
      </c>
    </row>
    <row r="1414" spans="1:28" x14ac:dyDescent="0.25">
      <c r="A1414" t="s">
        <v>1418</v>
      </c>
      <c r="B1414">
        <v>0.99996721820229495</v>
      </c>
      <c r="C1414">
        <v>0.97640511680005604</v>
      </c>
      <c r="D1414">
        <v>1.1838650753517299</v>
      </c>
      <c r="E1414">
        <v>1.2455581607855599</v>
      </c>
      <c r="F1414">
        <v>1.60467185839658</v>
      </c>
      <c r="G1414">
        <v>2.38104818642709</v>
      </c>
      <c r="H1414">
        <v>2.0913621655230599</v>
      </c>
      <c r="I1414">
        <v>1.24189369850495</v>
      </c>
      <c r="J1414">
        <v>0.70590096334954699</v>
      </c>
      <c r="K1414">
        <v>0.36033564240062399</v>
      </c>
      <c r="L1414">
        <v>15000</v>
      </c>
      <c r="M1414">
        <v>223.71902531898601</v>
      </c>
      <c r="N1414">
        <v>67.432675556688494</v>
      </c>
      <c r="O1414">
        <v>67.043025032518997</v>
      </c>
      <c r="P1414">
        <v>-0.53367823436560902</v>
      </c>
      <c r="Q1414">
        <v>0.36027960355583999</v>
      </c>
      <c r="R1414">
        <v>-8.4981121977380794E-2</v>
      </c>
      <c r="S1414" t="s">
        <v>7240</v>
      </c>
      <c r="T1414" t="s">
        <v>11650</v>
      </c>
      <c r="U1414" t="s">
        <v>11650</v>
      </c>
      <c r="V1414" t="s">
        <v>11650</v>
      </c>
      <c r="W1414" t="s">
        <v>13036</v>
      </c>
      <c r="X1414">
        <v>14</v>
      </c>
      <c r="Y1414" t="s">
        <v>18781</v>
      </c>
      <c r="Z1414" t="s">
        <v>24476</v>
      </c>
      <c r="AA1414">
        <v>0.93715322766132259</v>
      </c>
      <c r="AB1414" t="str">
        <f>HYPERLINK("Melting_Curves/meltCurve_O60361_NME2P1.pdf", "Melting_Curves/meltCurve_O60361_NME2P1.pdf")</f>
        <v>Melting_Curves/meltCurve_O60361_NME2P1.pdf</v>
      </c>
    </row>
    <row r="1415" spans="1:28" x14ac:dyDescent="0.25">
      <c r="A1415" t="s">
        <v>1419</v>
      </c>
      <c r="B1415">
        <v>0.99996721820229495</v>
      </c>
      <c r="C1415">
        <v>0.95369513002908501</v>
      </c>
      <c r="D1415">
        <v>1.04819656927988</v>
      </c>
      <c r="E1415">
        <v>0.84173280928440297</v>
      </c>
      <c r="F1415">
        <v>0.55051740124690396</v>
      </c>
      <c r="G1415">
        <v>0.34430492987795902</v>
      </c>
      <c r="H1415">
        <v>0.21287891066753001</v>
      </c>
      <c r="I1415">
        <v>7.4796387037844594E-2</v>
      </c>
      <c r="J1415">
        <v>3.6510880703222399E-2</v>
      </c>
      <c r="K1415">
        <v>3.0019267917547599E-2</v>
      </c>
      <c r="L1415">
        <v>909.95902230927595</v>
      </c>
      <c r="M1415">
        <v>16.724635957049401</v>
      </c>
      <c r="N1415">
        <v>54.515251922110899</v>
      </c>
      <c r="O1415">
        <v>53.648292480093801</v>
      </c>
      <c r="P1415">
        <v>-7.6683681175965204E-2</v>
      </c>
      <c r="Q1415">
        <v>1.61394303707619E-2</v>
      </c>
      <c r="R1415">
        <v>0.98812322839303601</v>
      </c>
      <c r="S1415" t="s">
        <v>7241</v>
      </c>
      <c r="T1415" t="s">
        <v>11650</v>
      </c>
      <c r="U1415" t="s">
        <v>11650</v>
      </c>
      <c r="V1415" t="s">
        <v>11650</v>
      </c>
      <c r="W1415" t="s">
        <v>13037</v>
      </c>
      <c r="X1415">
        <v>5</v>
      </c>
      <c r="Y1415" t="s">
        <v>18782</v>
      </c>
      <c r="Z1415" t="s">
        <v>24477</v>
      </c>
      <c r="AA1415">
        <v>0.50587618260999734</v>
      </c>
      <c r="AB1415" t="str">
        <f>HYPERLINK("Melting_Curves/meltCurve_O60427_FADS1.pdf", "Melting_Curves/meltCurve_O60427_FADS1.pdf")</f>
        <v>Melting_Curves/meltCurve_O60427_FADS1.pdf</v>
      </c>
    </row>
    <row r="1416" spans="1:28" x14ac:dyDescent="0.25">
      <c r="A1416" t="s">
        <v>1420</v>
      </c>
      <c r="B1416">
        <v>0.99996721820229495</v>
      </c>
      <c r="C1416">
        <v>1.0447949690029099</v>
      </c>
      <c r="D1416">
        <v>1.0609933910424501</v>
      </c>
      <c r="E1416">
        <v>0.971447322987254</v>
      </c>
      <c r="F1416">
        <v>0.98783130251699602</v>
      </c>
      <c r="G1416">
        <v>0.57410016570391298</v>
      </c>
      <c r="H1416">
        <v>0.23965784846794499</v>
      </c>
      <c r="I1416">
        <v>0.126346522429893</v>
      </c>
      <c r="J1416">
        <v>8.0161484207795994E-2</v>
      </c>
      <c r="K1416">
        <v>7.5571095719773801E-2</v>
      </c>
      <c r="L1416">
        <v>1784.98917486698</v>
      </c>
      <c r="M1416">
        <v>31.056175657556899</v>
      </c>
      <c r="N1416">
        <v>57.808568569483903</v>
      </c>
      <c r="O1416">
        <v>57.2394064558369</v>
      </c>
      <c r="P1416">
        <v>-0.12455087153187</v>
      </c>
      <c r="Q1416">
        <v>8.1770062362165705E-2</v>
      </c>
      <c r="R1416">
        <v>0.99409022165268901</v>
      </c>
      <c r="S1416" t="s">
        <v>7242</v>
      </c>
      <c r="T1416" t="s">
        <v>11650</v>
      </c>
      <c r="U1416" t="s">
        <v>11650</v>
      </c>
      <c r="V1416" t="s">
        <v>11650</v>
      </c>
      <c r="W1416" t="s">
        <v>13038</v>
      </c>
      <c r="X1416">
        <v>15</v>
      </c>
      <c r="Y1416" t="s">
        <v>18783</v>
      </c>
      <c r="Z1416" t="s">
        <v>24478</v>
      </c>
      <c r="AA1416">
        <v>0.62241064899245824</v>
      </c>
      <c r="AB1416" t="str">
        <f>HYPERLINK("Melting_Curves/meltCurve_O60443_DFNA5.pdf", "Melting_Curves/meltCurve_O60443_DFNA5.pdf")</f>
        <v>Melting_Curves/meltCurve_O60443_DFNA5.pdf</v>
      </c>
    </row>
    <row r="1417" spans="1:28" x14ac:dyDescent="0.25">
      <c r="A1417" t="s">
        <v>1421</v>
      </c>
      <c r="B1417">
        <v>0.99996721820229495</v>
      </c>
      <c r="C1417">
        <v>0.99947150044772004</v>
      </c>
      <c r="D1417">
        <v>1.03744650347585</v>
      </c>
      <c r="E1417">
        <v>1.1510807219693999</v>
      </c>
      <c r="F1417">
        <v>1.4543979044353701</v>
      </c>
      <c r="G1417">
        <v>1.6816626900452101</v>
      </c>
      <c r="H1417">
        <v>1.10126773390462</v>
      </c>
      <c r="I1417">
        <v>0.76948869871723602</v>
      </c>
      <c r="J1417">
        <v>0.56676190310347097</v>
      </c>
      <c r="K1417">
        <v>0.45428982302414</v>
      </c>
      <c r="L1417">
        <v>6505.1905693299796</v>
      </c>
      <c r="M1417">
        <v>101.46998177078299</v>
      </c>
      <c r="O1417">
        <v>64.084616133257597</v>
      </c>
      <c r="P1417">
        <v>-0.195453755189572</v>
      </c>
      <c r="Q1417">
        <v>0.50623511305506796</v>
      </c>
      <c r="R1417">
        <v>0.425706977073179</v>
      </c>
      <c r="S1417" t="s">
        <v>7243</v>
      </c>
      <c r="T1417" t="s">
        <v>11650</v>
      </c>
      <c r="U1417" t="s">
        <v>11650</v>
      </c>
      <c r="V1417" t="s">
        <v>11650</v>
      </c>
      <c r="W1417" t="s">
        <v>13039</v>
      </c>
      <c r="X1417">
        <v>2</v>
      </c>
      <c r="Y1417" t="s">
        <v>18784</v>
      </c>
      <c r="Z1417" t="s">
        <v>24479</v>
      </c>
      <c r="AA1417">
        <v>0.90338451434477585</v>
      </c>
      <c r="AB1417" t="str">
        <f>HYPERLINK("Melting_Curves/meltCurve_O60449_3_LY75.pdf", "Melting_Curves/meltCurve_O60449_3_LY75.pdf")</f>
        <v>Melting_Curves/meltCurve_O60449_3_LY75.pdf</v>
      </c>
    </row>
    <row r="1418" spans="1:28" x14ac:dyDescent="0.25">
      <c r="A1418" t="s">
        <v>1422</v>
      </c>
      <c r="B1418">
        <v>0.99996721820229495</v>
      </c>
      <c r="C1418">
        <v>0.96667483441354995</v>
      </c>
      <c r="D1418">
        <v>1.0417250685114301</v>
      </c>
      <c r="E1418">
        <v>1.2347166610268501</v>
      </c>
      <c r="F1418">
        <v>1.2116434634393201</v>
      </c>
      <c r="G1418">
        <v>0.59905138585325901</v>
      </c>
      <c r="H1418">
        <v>0.33298647309104901</v>
      </c>
      <c r="I1418">
        <v>0.21215989972000801</v>
      </c>
      <c r="J1418">
        <v>0.166180612877117</v>
      </c>
      <c r="K1418">
        <v>0.12737833313060401</v>
      </c>
      <c r="L1418">
        <v>4174.4015992633203</v>
      </c>
      <c r="M1418">
        <v>73.220836584330499</v>
      </c>
      <c r="N1418">
        <v>57.430372448276401</v>
      </c>
      <c r="O1418">
        <v>56.968636295753001</v>
      </c>
      <c r="P1418">
        <v>-0.25479847621177398</v>
      </c>
      <c r="Q1418">
        <v>0.20702800169069899</v>
      </c>
      <c r="R1418">
        <v>0.930544854731436</v>
      </c>
      <c r="S1418" t="s">
        <v>7244</v>
      </c>
      <c r="T1418" t="s">
        <v>11650</v>
      </c>
      <c r="U1418" t="s">
        <v>11650</v>
      </c>
      <c r="V1418" t="s">
        <v>11650</v>
      </c>
      <c r="W1418" t="s">
        <v>13040</v>
      </c>
      <c r="X1418">
        <v>5</v>
      </c>
      <c r="Y1418" t="s">
        <v>18785</v>
      </c>
      <c r="Z1418" t="s">
        <v>24480</v>
      </c>
      <c r="AA1418">
        <v>0.65759968631066001</v>
      </c>
      <c r="AB1418" t="str">
        <f>HYPERLINK("Melting_Curves/meltCurve_O60476_MAN1A2.pdf", "Melting_Curves/meltCurve_O60476_MAN1A2.pdf")</f>
        <v>Melting_Curves/meltCurve_O60476_MAN1A2.pdf</v>
      </c>
    </row>
    <row r="1419" spans="1:28" x14ac:dyDescent="0.25">
      <c r="A1419" t="s">
        <v>1423</v>
      </c>
      <c r="B1419">
        <v>0.99996721820229495</v>
      </c>
      <c r="C1419">
        <v>0.78411928418685495</v>
      </c>
      <c r="D1419">
        <v>0.49668032879281399</v>
      </c>
      <c r="E1419">
        <v>0.25898395195639101</v>
      </c>
      <c r="F1419">
        <v>0.18699472783474599</v>
      </c>
      <c r="G1419">
        <v>0.13561369617392699</v>
      </c>
      <c r="H1419">
        <v>7.5619642941210402E-2</v>
      </c>
      <c r="I1419">
        <v>4.5476657457288197E-2</v>
      </c>
      <c r="J1419">
        <v>3.3375539894581203E-2</v>
      </c>
      <c r="K1419">
        <v>2.8804353549441299E-2</v>
      </c>
      <c r="L1419">
        <v>762.10779455999705</v>
      </c>
      <c r="M1419">
        <v>16.5318147148819</v>
      </c>
      <c r="N1419">
        <v>46.412506631768899</v>
      </c>
      <c r="O1419">
        <v>45.4407670629856</v>
      </c>
      <c r="P1419">
        <v>-8.6160201311461002E-2</v>
      </c>
      <c r="Q1419">
        <v>5.2756000942070502E-2</v>
      </c>
      <c r="R1419">
        <v>0.989345000127275</v>
      </c>
      <c r="S1419" t="s">
        <v>7245</v>
      </c>
      <c r="T1419" t="s">
        <v>11650</v>
      </c>
      <c r="U1419" t="s">
        <v>11650</v>
      </c>
      <c r="V1419" t="s">
        <v>11650</v>
      </c>
      <c r="W1419" t="s">
        <v>13041</v>
      </c>
      <c r="X1419">
        <v>28</v>
      </c>
      <c r="Y1419" t="s">
        <v>18786</v>
      </c>
      <c r="Z1419" t="s">
        <v>24481</v>
      </c>
      <c r="AA1419">
        <v>0.26762424651510269</v>
      </c>
      <c r="AB1419" t="str">
        <f>HYPERLINK("Melting_Curves/meltCurve_O60488_2_ACSL4.pdf", "Melting_Curves/meltCurve_O60488_2_ACSL4.pdf")</f>
        <v>Melting_Curves/meltCurve_O60488_2_ACSL4.pdf</v>
      </c>
    </row>
    <row r="1420" spans="1:28" x14ac:dyDescent="0.25">
      <c r="A1420" t="s">
        <v>1424</v>
      </c>
      <c r="B1420">
        <v>0.99996721820229495</v>
      </c>
      <c r="C1420">
        <v>0.96768838524608403</v>
      </c>
      <c r="D1420">
        <v>0.64258819166279901</v>
      </c>
      <c r="E1420">
        <v>0.26761396310771202</v>
      </c>
      <c r="F1420">
        <v>0.24576844378394899</v>
      </c>
      <c r="G1420">
        <v>0.213294576050652</v>
      </c>
      <c r="H1420">
        <v>0.13422142604027101</v>
      </c>
      <c r="I1420">
        <v>0.10548226793159</v>
      </c>
      <c r="J1420">
        <v>9.2997823246135494E-2</v>
      </c>
      <c r="K1420">
        <v>7.5196524449269206E-2</v>
      </c>
      <c r="L1420">
        <v>1111.59420485991</v>
      </c>
      <c r="M1420">
        <v>23.683395804200501</v>
      </c>
      <c r="N1420">
        <v>47.525101495474303</v>
      </c>
      <c r="O1420">
        <v>46.604805716709699</v>
      </c>
      <c r="P1420">
        <v>-0.110875996001447</v>
      </c>
      <c r="Q1420">
        <v>0.12727586896995499</v>
      </c>
      <c r="R1420">
        <v>0.98447385680292399</v>
      </c>
      <c r="S1420" t="s">
        <v>7246</v>
      </c>
      <c r="T1420" t="s">
        <v>11650</v>
      </c>
      <c r="U1420" t="s">
        <v>11650</v>
      </c>
      <c r="V1420" t="s">
        <v>11650</v>
      </c>
      <c r="W1420" t="s">
        <v>13042</v>
      </c>
      <c r="X1420">
        <v>18</v>
      </c>
      <c r="Y1420" t="s">
        <v>18787</v>
      </c>
      <c r="Z1420" t="s">
        <v>24482</v>
      </c>
      <c r="AA1420">
        <v>0.33783434424418057</v>
      </c>
      <c r="AB1420" t="str">
        <f>HYPERLINK("Melting_Curves/meltCurve_O60493_SNX3.pdf", "Melting_Curves/meltCurve_O60493_SNX3.pdf")</f>
        <v>Melting_Curves/meltCurve_O60493_SNX3.pdf</v>
      </c>
    </row>
    <row r="1421" spans="1:28" x14ac:dyDescent="0.25">
      <c r="A1421" t="s">
        <v>1425</v>
      </c>
      <c r="B1421">
        <v>0.99996721820229495</v>
      </c>
      <c r="C1421">
        <v>0.92124264722397498</v>
      </c>
      <c r="D1421">
        <v>1.0219070228768901</v>
      </c>
      <c r="E1421">
        <v>1.23234754377699</v>
      </c>
      <c r="F1421">
        <v>1.08136445907773</v>
      </c>
      <c r="G1421">
        <v>0.43500786073356101</v>
      </c>
      <c r="H1421">
        <v>0.18480986865708199</v>
      </c>
      <c r="I1421">
        <v>0.112942085463846</v>
      </c>
      <c r="J1421">
        <v>8.4717637745906502E-2</v>
      </c>
      <c r="K1421">
        <v>7.9274823515465206E-2</v>
      </c>
      <c r="L1421">
        <v>8296.0252882477798</v>
      </c>
      <c r="M1421">
        <v>146.11398207777299</v>
      </c>
      <c r="N1421">
        <v>56.879943411515796</v>
      </c>
      <c r="O1421">
        <v>56.767120076270999</v>
      </c>
      <c r="P1421">
        <v>-0.56920708581961799</v>
      </c>
      <c r="Q1421">
        <v>0.11542340112579801</v>
      </c>
      <c r="R1421">
        <v>0.96361956738332799</v>
      </c>
      <c r="S1421" t="s">
        <v>7247</v>
      </c>
      <c r="T1421" t="s">
        <v>11650</v>
      </c>
      <c r="U1421" t="s">
        <v>11650</v>
      </c>
      <c r="V1421" t="s">
        <v>11650</v>
      </c>
      <c r="W1421" t="s">
        <v>13043</v>
      </c>
      <c r="X1421">
        <v>23</v>
      </c>
      <c r="Y1421" t="s">
        <v>18788</v>
      </c>
      <c r="Z1421" t="s">
        <v>24483</v>
      </c>
      <c r="AA1421">
        <v>0.61038881587371596</v>
      </c>
      <c r="AB1421" t="str">
        <f>HYPERLINK("Melting_Curves/meltCurve_O60502_MGEA5.pdf", "Melting_Curves/meltCurve_O60502_MGEA5.pdf")</f>
        <v>Melting_Curves/meltCurve_O60502_MGEA5.pdf</v>
      </c>
    </row>
    <row r="1422" spans="1:28" x14ac:dyDescent="0.25">
      <c r="A1422" t="s">
        <v>1426</v>
      </c>
      <c r="B1422">
        <v>0.99996721820229495</v>
      </c>
      <c r="C1422">
        <v>0.71790503998963895</v>
      </c>
      <c r="D1422">
        <v>0.97275183920950703</v>
      </c>
      <c r="E1422">
        <v>0.95131237151046899</v>
      </c>
      <c r="F1422">
        <v>0.51568561167108196</v>
      </c>
      <c r="G1422">
        <v>0.46065140346213701</v>
      </c>
      <c r="H1422">
        <v>0.27277939420708402</v>
      </c>
      <c r="I1422">
        <v>0.17694847262008301</v>
      </c>
      <c r="J1422">
        <v>0.116017297428546</v>
      </c>
      <c r="K1422">
        <v>9.2651507541148703E-2</v>
      </c>
      <c r="L1422">
        <v>650.28387048725995</v>
      </c>
      <c r="M1422">
        <v>11.673374093286901</v>
      </c>
      <c r="N1422">
        <v>55.714128016341697</v>
      </c>
      <c r="O1422">
        <v>54.1471264938451</v>
      </c>
      <c r="P1422">
        <v>-5.3868334580183301E-2</v>
      </c>
      <c r="Q1422">
        <v>7.9161567683353504E-4</v>
      </c>
      <c r="R1422">
        <v>0.90778711092195097</v>
      </c>
      <c r="S1422" t="s">
        <v>7248</v>
      </c>
      <c r="T1422" t="s">
        <v>11650</v>
      </c>
      <c r="U1422" t="s">
        <v>11650</v>
      </c>
      <c r="V1422" t="s">
        <v>11650</v>
      </c>
      <c r="W1422" t="s">
        <v>13044</v>
      </c>
      <c r="X1422">
        <v>4</v>
      </c>
      <c r="Y1422" t="s">
        <v>18789</v>
      </c>
      <c r="Z1422" t="s">
        <v>24484</v>
      </c>
      <c r="AA1422">
        <v>0.54551622550679579</v>
      </c>
      <c r="AB1422" t="str">
        <f>HYPERLINK("Melting_Curves/meltCurve_O60503_ADCY9.pdf", "Melting_Curves/meltCurve_O60503_ADCY9.pdf")</f>
        <v>Melting_Curves/meltCurve_O60503_ADCY9.pdf</v>
      </c>
    </row>
    <row r="1423" spans="1:28" x14ac:dyDescent="0.25">
      <c r="A1423" t="s">
        <v>1427</v>
      </c>
      <c r="B1423">
        <v>0.99996721820229495</v>
      </c>
      <c r="C1423">
        <v>1.1251700699514999</v>
      </c>
      <c r="D1423">
        <v>0.99342889221109798</v>
      </c>
      <c r="E1423">
        <v>0.76249922142565396</v>
      </c>
      <c r="F1423">
        <v>0.55557774915672098</v>
      </c>
      <c r="G1423">
        <v>0.41790335429377101</v>
      </c>
      <c r="H1423">
        <v>0.26108230085842199</v>
      </c>
      <c r="I1423">
        <v>0.17411045253402099</v>
      </c>
      <c r="J1423">
        <v>0.122291251295794</v>
      </c>
      <c r="K1423">
        <v>0.10190360193676</v>
      </c>
      <c r="L1423">
        <v>815.17659996893804</v>
      </c>
      <c r="M1423">
        <v>15.101283726468001</v>
      </c>
      <c r="N1423">
        <v>54.734311897244297</v>
      </c>
      <c r="O1423">
        <v>53.060562840057301</v>
      </c>
      <c r="P1423">
        <v>-6.4478199089757396E-2</v>
      </c>
      <c r="Q1423">
        <v>9.3874821868977401E-2</v>
      </c>
      <c r="R1423">
        <v>0.978007822707051</v>
      </c>
      <c r="S1423" t="s">
        <v>7249</v>
      </c>
      <c r="T1423" t="s">
        <v>11650</v>
      </c>
      <c r="U1423" t="s">
        <v>11650</v>
      </c>
      <c r="V1423" t="s">
        <v>11650</v>
      </c>
      <c r="W1423" t="s">
        <v>13045</v>
      </c>
      <c r="X1423">
        <v>14</v>
      </c>
      <c r="Y1423" t="s">
        <v>18790</v>
      </c>
      <c r="Z1423" t="s">
        <v>24485</v>
      </c>
      <c r="AA1423">
        <v>0.53460304312180962</v>
      </c>
      <c r="AB1423" t="str">
        <f>HYPERLINK("Melting_Curves/meltCurve_O60504_2_SORBS3.pdf", "Melting_Curves/meltCurve_O60504_2_SORBS3.pdf")</f>
        <v>Melting_Curves/meltCurve_O60504_2_SORBS3.pdf</v>
      </c>
    </row>
    <row r="1424" spans="1:28" x14ac:dyDescent="0.25">
      <c r="A1424" t="s">
        <v>1428</v>
      </c>
      <c r="B1424">
        <v>0.99996721820229495</v>
      </c>
      <c r="C1424">
        <v>1.0130023766735901</v>
      </c>
      <c r="D1424">
        <v>1.0643183622499499</v>
      </c>
      <c r="E1424">
        <v>1.64385043656968</v>
      </c>
      <c r="F1424">
        <v>1.1612331989296201</v>
      </c>
      <c r="G1424">
        <v>0.60003497187149601</v>
      </c>
      <c r="H1424">
        <v>0.33711379609672598</v>
      </c>
      <c r="I1424">
        <v>0.26455938430160703</v>
      </c>
      <c r="J1424">
        <v>0.113399123073109</v>
      </c>
      <c r="K1424">
        <v>0.11261819796415599</v>
      </c>
      <c r="L1424">
        <v>2688.56161281705</v>
      </c>
      <c r="M1424">
        <v>46.934519237695902</v>
      </c>
      <c r="N1424">
        <v>57.869763409285497</v>
      </c>
      <c r="O1424">
        <v>57.179543120727402</v>
      </c>
      <c r="P1424">
        <v>-0.16636832444754801</v>
      </c>
      <c r="Q1424">
        <v>0.18926585212128999</v>
      </c>
      <c r="R1424">
        <v>0.80238826037947397</v>
      </c>
      <c r="S1424" t="s">
        <v>7250</v>
      </c>
      <c r="T1424" t="s">
        <v>11650</v>
      </c>
      <c r="U1424" t="s">
        <v>11650</v>
      </c>
      <c r="V1424" t="s">
        <v>11650</v>
      </c>
      <c r="W1424" t="s">
        <v>13046</v>
      </c>
      <c r="X1424">
        <v>7</v>
      </c>
      <c r="Y1424" t="s">
        <v>18791</v>
      </c>
      <c r="Z1424" t="s">
        <v>24486</v>
      </c>
      <c r="AA1424">
        <v>0.65865279607075644</v>
      </c>
      <c r="AB1424" t="str">
        <f>HYPERLINK("Melting_Curves/meltCurve_O60506_4_SYNCRIP.pdf", "Melting_Curves/meltCurve_O60506_4_SYNCRIP.pdf")</f>
        <v>Melting_Curves/meltCurve_O60506_4_SYNCRIP.pdf</v>
      </c>
    </row>
    <row r="1425" spans="1:28" x14ac:dyDescent="0.25">
      <c r="A1425" t="s">
        <v>1429</v>
      </c>
      <c r="B1425">
        <v>0.99996721820229495</v>
      </c>
      <c r="C1425">
        <v>0.79573589866016403</v>
      </c>
      <c r="D1425">
        <v>0.993693034233883</v>
      </c>
      <c r="E1425">
        <v>1.1443944846398799</v>
      </c>
      <c r="F1425">
        <v>0.81249581469979604</v>
      </c>
      <c r="G1425">
        <v>0.60471923137939398</v>
      </c>
      <c r="H1425">
        <v>0.27372741151031799</v>
      </c>
      <c r="I1425">
        <v>0.168564659348306</v>
      </c>
      <c r="J1425">
        <v>0.12547770105662301</v>
      </c>
      <c r="K1425">
        <v>0.103339346923302</v>
      </c>
      <c r="L1425">
        <v>1369.6305453074201</v>
      </c>
      <c r="M1425">
        <v>23.845156221071498</v>
      </c>
      <c r="N1425">
        <v>57.950262507890699</v>
      </c>
      <c r="O1425">
        <v>57.039145783862999</v>
      </c>
      <c r="P1425">
        <v>-9.4591540474043806E-2</v>
      </c>
      <c r="Q1425">
        <v>9.4938898731547497E-2</v>
      </c>
      <c r="R1425">
        <v>0.94723285140400804</v>
      </c>
      <c r="S1425" t="s">
        <v>7251</v>
      </c>
      <c r="T1425" t="s">
        <v>11650</v>
      </c>
      <c r="U1425" t="s">
        <v>11650</v>
      </c>
      <c r="V1425" t="s">
        <v>11650</v>
      </c>
      <c r="W1425" t="s">
        <v>13047</v>
      </c>
      <c r="X1425">
        <v>2</v>
      </c>
      <c r="Y1425" t="s">
        <v>18792</v>
      </c>
      <c r="Z1425" t="s">
        <v>24487</v>
      </c>
      <c r="AA1425">
        <v>0.6296547612924851</v>
      </c>
      <c r="AB1425" t="str">
        <f>HYPERLINK("Melting_Curves/meltCurve_O60507_TPST1.pdf", "Melting_Curves/meltCurve_O60507_TPST1.pdf")</f>
        <v>Melting_Curves/meltCurve_O60507_TPST1.pdf</v>
      </c>
    </row>
    <row r="1426" spans="1:28" x14ac:dyDescent="0.25">
      <c r="A1426" t="s">
        <v>1430</v>
      </c>
      <c r="B1426">
        <v>0.99996721820229495</v>
      </c>
      <c r="C1426">
        <v>0.83256140996746597</v>
      </c>
      <c r="D1426">
        <v>0.931405627700154</v>
      </c>
      <c r="E1426">
        <v>0.76090062664417202</v>
      </c>
      <c r="F1426">
        <v>0.39229451937083099</v>
      </c>
      <c r="G1426">
        <v>0.24508144962829301</v>
      </c>
      <c r="H1426">
        <v>0.17705999389448299</v>
      </c>
      <c r="I1426">
        <v>0.10428017006422401</v>
      </c>
      <c r="J1426">
        <v>4.7084523665441198E-2</v>
      </c>
      <c r="K1426">
        <v>5.6454301816814698E-2</v>
      </c>
      <c r="L1426">
        <v>854.881205269578</v>
      </c>
      <c r="M1426">
        <v>16.378288024074099</v>
      </c>
      <c r="N1426">
        <v>52.534263590589603</v>
      </c>
      <c r="O1426">
        <v>51.436489940476697</v>
      </c>
      <c r="P1426">
        <v>-7.5626167452228901E-2</v>
      </c>
      <c r="Q1426">
        <v>5.00433037895733E-2</v>
      </c>
      <c r="R1426">
        <v>0.97433221925128899</v>
      </c>
      <c r="S1426" t="s">
        <v>7252</v>
      </c>
      <c r="T1426" t="s">
        <v>11650</v>
      </c>
      <c r="U1426" t="s">
        <v>11650</v>
      </c>
      <c r="V1426" t="s">
        <v>11650</v>
      </c>
      <c r="W1426" t="s">
        <v>13048</v>
      </c>
      <c r="X1426">
        <v>3</v>
      </c>
      <c r="Y1426" t="s">
        <v>18793</v>
      </c>
      <c r="Z1426" t="s">
        <v>24488</v>
      </c>
      <c r="AA1426">
        <v>0.45463852444302572</v>
      </c>
      <c r="AB1426" t="str">
        <f>HYPERLINK("Melting_Curves/meltCurve_O60513_B4GALT4.pdf", "Melting_Curves/meltCurve_O60513_B4GALT4.pdf")</f>
        <v>Melting_Curves/meltCurve_O60513_B4GALT4.pdf</v>
      </c>
    </row>
    <row r="1427" spans="1:28" x14ac:dyDescent="0.25">
      <c r="A1427" t="s">
        <v>1431</v>
      </c>
      <c r="B1427">
        <v>0.99996721820229495</v>
      </c>
      <c r="C1427">
        <v>0.83218741203744695</v>
      </c>
      <c r="D1427">
        <v>0.57937497061329801</v>
      </c>
      <c r="E1427">
        <v>0.481695823869838</v>
      </c>
      <c r="F1427">
        <v>0.37078672976444899</v>
      </c>
      <c r="G1427">
        <v>0.40947156261109902</v>
      </c>
      <c r="H1427">
        <v>0.33283426097493302</v>
      </c>
      <c r="I1427">
        <v>0.19121333356172701</v>
      </c>
      <c r="J1427">
        <v>0</v>
      </c>
      <c r="K1427">
        <v>0.110551593469155</v>
      </c>
      <c r="L1427">
        <v>382.28335720031203</v>
      </c>
      <c r="M1427">
        <v>7.5382227356531599</v>
      </c>
      <c r="N1427">
        <v>50.7126640855627</v>
      </c>
      <c r="O1427">
        <v>47.512222377894098</v>
      </c>
      <c r="P1427">
        <v>-3.9720616044968501E-2</v>
      </c>
      <c r="Q1427">
        <v>0</v>
      </c>
      <c r="R1427">
        <v>0.91501764897311499</v>
      </c>
      <c r="S1427" t="s">
        <v>7253</v>
      </c>
      <c r="T1427" t="s">
        <v>11650</v>
      </c>
      <c r="U1427" t="s">
        <v>11650</v>
      </c>
      <c r="V1427" t="s">
        <v>11650</v>
      </c>
      <c r="W1427" t="s">
        <v>13049</v>
      </c>
      <c r="X1427">
        <v>2</v>
      </c>
      <c r="Y1427" t="s">
        <v>18794</v>
      </c>
      <c r="Z1427" t="s">
        <v>24489</v>
      </c>
      <c r="AA1427">
        <v>0.41568035420452698</v>
      </c>
      <c r="AB1427" t="str">
        <f>HYPERLINK("Melting_Curves/meltCurve_O60524_4_NEMF.pdf", "Melting_Curves/meltCurve_O60524_4_NEMF.pdf")</f>
        <v>Melting_Curves/meltCurve_O60524_4_NEMF.pdf</v>
      </c>
    </row>
    <row r="1428" spans="1:28" x14ac:dyDescent="0.25">
      <c r="A1428" t="s">
        <v>1432</v>
      </c>
      <c r="B1428">
        <v>0.99996721820229495</v>
      </c>
      <c r="C1428">
        <v>1.1139390190570899</v>
      </c>
      <c r="D1428">
        <v>1.3130977327751401</v>
      </c>
      <c r="E1428">
        <v>1.4183191128597901</v>
      </c>
      <c r="F1428">
        <v>1.20891396027452</v>
      </c>
      <c r="G1428">
        <v>0.65942200296320497</v>
      </c>
      <c r="H1428">
        <v>0.29829307338038702</v>
      </c>
      <c r="I1428">
        <v>0.19558610499322701</v>
      </c>
      <c r="J1428">
        <v>0.12809128798788499</v>
      </c>
      <c r="K1428">
        <v>0.102013592931498</v>
      </c>
      <c r="L1428">
        <v>2456.2241044431098</v>
      </c>
      <c r="M1428">
        <v>42.445240451219398</v>
      </c>
      <c r="N1428">
        <v>58.360322872426998</v>
      </c>
      <c r="O1428">
        <v>57.7400702087212</v>
      </c>
      <c r="P1428">
        <v>-0.15612483171974401</v>
      </c>
      <c r="Q1428">
        <v>0.15046846700474401</v>
      </c>
      <c r="R1428">
        <v>0.86053132080707895</v>
      </c>
      <c r="S1428" t="s">
        <v>7254</v>
      </c>
      <c r="T1428" t="s">
        <v>11650</v>
      </c>
      <c r="U1428" t="s">
        <v>11650</v>
      </c>
      <c r="V1428" t="s">
        <v>11650</v>
      </c>
      <c r="W1428" t="s">
        <v>13050</v>
      </c>
      <c r="X1428">
        <v>13</v>
      </c>
      <c r="Y1428" t="s">
        <v>18795</v>
      </c>
      <c r="Z1428" t="s">
        <v>24490</v>
      </c>
      <c r="AA1428">
        <v>0.65942883500070215</v>
      </c>
      <c r="AB1428" t="str">
        <f>HYPERLINK("Melting_Curves/meltCurve_O60547_2_GMDS.pdf", "Melting_Curves/meltCurve_O60547_2_GMDS.pdf")</f>
        <v>Melting_Curves/meltCurve_O60547_2_GMDS.pdf</v>
      </c>
    </row>
    <row r="1429" spans="1:28" x14ac:dyDescent="0.25">
      <c r="A1429" t="s">
        <v>1433</v>
      </c>
      <c r="B1429">
        <v>0.99996721820229495</v>
      </c>
      <c r="C1429">
        <v>1.0863544513702801</v>
      </c>
      <c r="D1429">
        <v>0.88771064084915596</v>
      </c>
      <c r="E1429">
        <v>0.80151196263934299</v>
      </c>
      <c r="F1429">
        <v>0.57379211433215704</v>
      </c>
      <c r="G1429">
        <v>0.64498719187881504</v>
      </c>
      <c r="H1429">
        <v>0.40540785858665301</v>
      </c>
      <c r="I1429">
        <v>0.340492512967912</v>
      </c>
      <c r="J1429">
        <v>0.196868437951039</v>
      </c>
      <c r="K1429">
        <v>0.21759504564474499</v>
      </c>
      <c r="L1429">
        <v>509.44456749015598</v>
      </c>
      <c r="M1429">
        <v>8.8183966890524399</v>
      </c>
      <c r="N1429">
        <v>58.179021710689</v>
      </c>
      <c r="O1429">
        <v>55.031059560066502</v>
      </c>
      <c r="P1429">
        <v>-3.8889243784322299E-2</v>
      </c>
      <c r="Q1429">
        <v>3.00101333539665E-2</v>
      </c>
      <c r="R1429">
        <v>0.94959521238991795</v>
      </c>
      <c r="S1429" t="s">
        <v>7255</v>
      </c>
      <c r="T1429" t="s">
        <v>11650</v>
      </c>
      <c r="U1429" t="s">
        <v>11650</v>
      </c>
      <c r="V1429" t="s">
        <v>11650</v>
      </c>
      <c r="W1429" t="s">
        <v>13051</v>
      </c>
      <c r="X1429">
        <v>10</v>
      </c>
      <c r="Y1429" t="s">
        <v>18796</v>
      </c>
      <c r="Z1429" t="s">
        <v>24491</v>
      </c>
      <c r="AA1429">
        <v>0.61278949640012392</v>
      </c>
      <c r="AB1429" t="str">
        <f>HYPERLINK("Melting_Curves/meltCurve_O60551_NMT2.pdf", "Melting_Curves/meltCurve_O60551_NMT2.pdf")</f>
        <v>Melting_Curves/meltCurve_O60551_NMT2.pdf</v>
      </c>
    </row>
    <row r="1430" spans="1:28" x14ac:dyDescent="0.25">
      <c r="A1430" t="s">
        <v>1434</v>
      </c>
      <c r="B1430">
        <v>0.99996721820229495</v>
      </c>
      <c r="C1430">
        <v>1.1474963295641301</v>
      </c>
      <c r="D1430">
        <v>1.08057979463778</v>
      </c>
      <c r="E1430">
        <v>1.0788797987554499</v>
      </c>
      <c r="F1430">
        <v>1.2434838605425</v>
      </c>
      <c r="G1430">
        <v>1.27554038401688</v>
      </c>
      <c r="H1430">
        <v>0.797872375731004</v>
      </c>
      <c r="I1430">
        <v>0.570783298704718</v>
      </c>
      <c r="J1430">
        <v>0.39692330165588302</v>
      </c>
      <c r="K1430">
        <v>0.33817625109531302</v>
      </c>
      <c r="L1430">
        <v>2687.5451759120601</v>
      </c>
      <c r="M1430">
        <v>42.831963370841301</v>
      </c>
      <c r="N1430">
        <v>64.542869724412796</v>
      </c>
      <c r="O1430">
        <v>62.609950253342497</v>
      </c>
      <c r="P1430">
        <v>-0.111469669940484</v>
      </c>
      <c r="Q1430">
        <v>0.34823457027426002</v>
      </c>
      <c r="R1430">
        <v>0.834927433074653</v>
      </c>
      <c r="S1430" t="s">
        <v>7256</v>
      </c>
      <c r="T1430" t="s">
        <v>11650</v>
      </c>
      <c r="U1430" t="s">
        <v>11650</v>
      </c>
      <c r="V1430" t="s">
        <v>11650</v>
      </c>
      <c r="W1430" t="s">
        <v>13052</v>
      </c>
      <c r="X1430">
        <v>1</v>
      </c>
      <c r="Y1430" t="s">
        <v>18797</v>
      </c>
      <c r="Z1430" t="s">
        <v>24492</v>
      </c>
      <c r="AA1430">
        <v>0.84438023487529312</v>
      </c>
      <c r="AB1430" t="str">
        <f>HYPERLINK("Melting_Curves/meltCurve_O60565_2_GREM1.pdf", "Melting_Curves/meltCurve_O60565_2_GREM1.pdf")</f>
        <v>Melting_Curves/meltCurve_O60565_2_GREM1.pdf</v>
      </c>
    </row>
    <row r="1431" spans="1:28" x14ac:dyDescent="0.25">
      <c r="A1431" t="s">
        <v>1435</v>
      </c>
      <c r="B1431">
        <v>0.99996721820229495</v>
      </c>
      <c r="C1431">
        <v>1.0244752021557899</v>
      </c>
      <c r="D1431">
        <v>1.2604164124738899</v>
      </c>
      <c r="E1431">
        <v>1.9683321615232601</v>
      </c>
      <c r="F1431">
        <v>1.8557938868094599</v>
      </c>
      <c r="G1431">
        <v>0.88224524365765999</v>
      </c>
      <c r="H1431">
        <v>0.43090592946251199</v>
      </c>
      <c r="I1431">
        <v>0.229685218846054</v>
      </c>
      <c r="J1431">
        <v>0.16017355487079901</v>
      </c>
      <c r="K1431">
        <v>0.146967399405179</v>
      </c>
      <c r="L1431">
        <v>2773.4245140501398</v>
      </c>
      <c r="M1431">
        <v>46.226944707477699</v>
      </c>
      <c r="N1431">
        <v>60.505183873709001</v>
      </c>
      <c r="O1431">
        <v>59.883892828319802</v>
      </c>
      <c r="P1431">
        <v>-0.161880103569704</v>
      </c>
      <c r="Q1431">
        <v>0.161181949264559</v>
      </c>
      <c r="R1431">
        <v>0.56306000029930703</v>
      </c>
      <c r="S1431" t="s">
        <v>7257</v>
      </c>
      <c r="T1431" t="s">
        <v>11650</v>
      </c>
      <c r="U1431" t="s">
        <v>11650</v>
      </c>
      <c r="V1431" t="s">
        <v>11650</v>
      </c>
      <c r="W1431" t="s">
        <v>13053</v>
      </c>
      <c r="X1431">
        <v>20</v>
      </c>
      <c r="Y1431" t="s">
        <v>18798</v>
      </c>
      <c r="Z1431" t="s">
        <v>24493</v>
      </c>
      <c r="AA1431">
        <v>0.72280692187297724</v>
      </c>
      <c r="AB1431" t="str">
        <f>HYPERLINK("Melting_Curves/meltCurve_O60568_PLOD3.pdf", "Melting_Curves/meltCurve_O60568_PLOD3.pdf")</f>
        <v>Melting_Curves/meltCurve_O60568_PLOD3.pdf</v>
      </c>
    </row>
    <row r="1432" spans="1:28" x14ac:dyDescent="0.25">
      <c r="A1432" t="s">
        <v>1436</v>
      </c>
      <c r="B1432">
        <v>0.99996721820229495</v>
      </c>
      <c r="C1432">
        <v>1.0482769268376799</v>
      </c>
      <c r="D1432">
        <v>1.25319995070003</v>
      </c>
      <c r="E1432">
        <v>1.6642534015858801</v>
      </c>
      <c r="F1432">
        <v>1.10173901754457</v>
      </c>
      <c r="G1432">
        <v>0.67582909519166301</v>
      </c>
      <c r="H1432">
        <v>0.46595077588483702</v>
      </c>
      <c r="I1432">
        <v>0.45482855300147501</v>
      </c>
      <c r="J1432">
        <v>0.46642898363613999</v>
      </c>
      <c r="K1432">
        <v>0.38081969227247298</v>
      </c>
      <c r="L1432">
        <v>12921.450738138299</v>
      </c>
      <c r="M1432">
        <v>227.01882791805099</v>
      </c>
      <c r="N1432">
        <v>57.4632647781781</v>
      </c>
      <c r="O1432">
        <v>56.913554048879298</v>
      </c>
      <c r="P1432">
        <v>-0.55643568431882195</v>
      </c>
      <c r="Q1432">
        <v>0.44200695979233501</v>
      </c>
      <c r="R1432">
        <v>0.68335003847390297</v>
      </c>
      <c r="S1432" t="s">
        <v>7258</v>
      </c>
      <c r="T1432" t="s">
        <v>11650</v>
      </c>
      <c r="U1432" t="s">
        <v>11650</v>
      </c>
      <c r="V1432" t="s">
        <v>11650</v>
      </c>
      <c r="W1432" t="s">
        <v>13054</v>
      </c>
      <c r="X1432">
        <v>4</v>
      </c>
      <c r="Y1432" t="s">
        <v>18799</v>
      </c>
      <c r="Z1432" t="s">
        <v>24494</v>
      </c>
      <c r="AA1432">
        <v>0.75674486596481727</v>
      </c>
      <c r="AB1432" t="str">
        <f>HYPERLINK("Melting_Curves/meltCurve_O60613_SEP15.pdf", "Melting_Curves/meltCurve_O60613_SEP15.pdf")</f>
        <v>Melting_Curves/meltCurve_O60613_SEP15.pdf</v>
      </c>
    </row>
    <row r="1433" spans="1:28" x14ac:dyDescent="0.25">
      <c r="A1433" t="s">
        <v>1437</v>
      </c>
      <c r="B1433">
        <v>0.99996721820229495</v>
      </c>
      <c r="C1433">
        <v>0.80440875840103498</v>
      </c>
      <c r="D1433">
        <v>0.81470173288298897</v>
      </c>
      <c r="E1433">
        <v>0.77537748177662902</v>
      </c>
      <c r="F1433">
        <v>0.90913467208132503</v>
      </c>
      <c r="G1433">
        <v>0.90571961937661305</v>
      </c>
      <c r="H1433">
        <v>0.673109032043544</v>
      </c>
      <c r="I1433">
        <v>0.59898264234416798</v>
      </c>
      <c r="J1433">
        <v>0.51311978127191504</v>
      </c>
      <c r="K1433">
        <v>0.41536936179932699</v>
      </c>
      <c r="L1433">
        <v>335.71566243746298</v>
      </c>
      <c r="M1433">
        <v>4.8456410570498099</v>
      </c>
      <c r="N1433">
        <v>69.281991882765894</v>
      </c>
      <c r="O1433">
        <v>60.0160174367564</v>
      </c>
      <c r="P1433">
        <v>-2.0322434200275099E-2</v>
      </c>
      <c r="Q1433">
        <v>0</v>
      </c>
      <c r="R1433">
        <v>0.73257863728302497</v>
      </c>
      <c r="S1433" t="s">
        <v>7259</v>
      </c>
      <c r="T1433" t="s">
        <v>11650</v>
      </c>
      <c r="U1433" t="s">
        <v>11650</v>
      </c>
      <c r="V1433" t="s">
        <v>11650</v>
      </c>
      <c r="W1433" t="s">
        <v>13055</v>
      </c>
      <c r="X1433">
        <v>2</v>
      </c>
      <c r="Y1433" t="s">
        <v>18800</v>
      </c>
      <c r="Z1433" t="s">
        <v>24495</v>
      </c>
      <c r="AA1433">
        <v>0.76160371282834805</v>
      </c>
      <c r="AB1433" t="str">
        <f>HYPERLINK("Melting_Curves/meltCurve_O60637_3_TSPAN3.pdf", "Melting_Curves/meltCurve_O60637_3_TSPAN3.pdf")</f>
        <v>Melting_Curves/meltCurve_O60637_3_TSPAN3.pdf</v>
      </c>
    </row>
    <row r="1434" spans="1:28" x14ac:dyDescent="0.25">
      <c r="A1434" t="s">
        <v>1438</v>
      </c>
      <c r="B1434">
        <v>0.99996721820229495</v>
      </c>
      <c r="C1434">
        <v>1.11553449318278</v>
      </c>
      <c r="D1434">
        <v>1.1007136524386001</v>
      </c>
      <c r="E1434">
        <v>1.15962427792176</v>
      </c>
      <c r="F1434">
        <v>1.50953915330191</v>
      </c>
      <c r="G1434">
        <v>1.55469571981578</v>
      </c>
      <c r="H1434">
        <v>0.81404269832094101</v>
      </c>
      <c r="I1434">
        <v>0.37617755870893799</v>
      </c>
      <c r="J1434">
        <v>0.19326959801045701</v>
      </c>
      <c r="K1434">
        <v>0.177977499230589</v>
      </c>
      <c r="L1434">
        <v>3615.0473802586498</v>
      </c>
      <c r="M1434">
        <v>57.785792012952498</v>
      </c>
      <c r="N1434">
        <v>63.051858816554301</v>
      </c>
      <c r="O1434">
        <v>62.484677440652497</v>
      </c>
      <c r="P1434">
        <v>-0.189215668196933</v>
      </c>
      <c r="Q1434">
        <v>0.18159321538148199</v>
      </c>
      <c r="R1434">
        <v>0.72599442467434905</v>
      </c>
      <c r="S1434" t="s">
        <v>7260</v>
      </c>
      <c r="T1434" t="s">
        <v>11650</v>
      </c>
      <c r="U1434" t="s">
        <v>11650</v>
      </c>
      <c r="V1434" t="s">
        <v>11650</v>
      </c>
      <c r="W1434" t="s">
        <v>13056</v>
      </c>
      <c r="X1434">
        <v>17</v>
      </c>
      <c r="Y1434" t="s">
        <v>18801</v>
      </c>
      <c r="Z1434" t="s">
        <v>24496</v>
      </c>
      <c r="AA1434">
        <v>0.79862587911453431</v>
      </c>
      <c r="AB1434" t="str">
        <f>HYPERLINK("Melting_Curves/meltCurve_O60664_2_PLIN3.pdf", "Melting_Curves/meltCurve_O60664_2_PLIN3.pdf")</f>
        <v>Melting_Curves/meltCurve_O60664_2_PLIN3.pdf</v>
      </c>
    </row>
    <row r="1435" spans="1:28" x14ac:dyDescent="0.25">
      <c r="A1435" t="s">
        <v>1439</v>
      </c>
      <c r="B1435">
        <v>0.99996721820229495</v>
      </c>
      <c r="C1435">
        <v>1.1447405082772899</v>
      </c>
      <c r="D1435">
        <v>0.95237774134752295</v>
      </c>
      <c r="E1435">
        <v>0.78113618574446997</v>
      </c>
      <c r="F1435">
        <v>0.717030631180547</v>
      </c>
      <c r="G1435">
        <v>0.51849286601609501</v>
      </c>
      <c r="H1435">
        <v>0.29474416060444703</v>
      </c>
      <c r="I1435">
        <v>0.21848614354488299</v>
      </c>
      <c r="J1435">
        <v>9.2602644083374194E-2</v>
      </c>
      <c r="K1435">
        <v>0.121445505016991</v>
      </c>
      <c r="L1435">
        <v>714.51609596836602</v>
      </c>
      <c r="M1435">
        <v>12.595093242856599</v>
      </c>
      <c r="N1435">
        <v>56.844186664555998</v>
      </c>
      <c r="O1435">
        <v>55.356614309954701</v>
      </c>
      <c r="P1435">
        <v>-5.6180539885482203E-2</v>
      </c>
      <c r="Q1435">
        <v>1.2522061664632499E-2</v>
      </c>
      <c r="R1435">
        <v>0.97482221532666702</v>
      </c>
      <c r="S1435" t="s">
        <v>7261</v>
      </c>
      <c r="T1435" t="s">
        <v>11650</v>
      </c>
      <c r="U1435" t="s">
        <v>11650</v>
      </c>
      <c r="V1435" t="s">
        <v>11650</v>
      </c>
      <c r="W1435" t="s">
        <v>13057</v>
      </c>
      <c r="X1435">
        <v>1</v>
      </c>
      <c r="Y1435" t="s">
        <v>18802</v>
      </c>
      <c r="Z1435" t="s">
        <v>24497</v>
      </c>
      <c r="AA1435">
        <v>0.58068012798511548</v>
      </c>
      <c r="AB1435" t="str">
        <f>HYPERLINK("Melting_Curves/meltCurve_O60671_RAD1.pdf", "Melting_Curves/meltCurve_O60671_RAD1.pdf")</f>
        <v>Melting_Curves/meltCurve_O60671_RAD1.pdf</v>
      </c>
    </row>
    <row r="1436" spans="1:28" x14ac:dyDescent="0.25">
      <c r="A1436" t="s">
        <v>1440</v>
      </c>
      <c r="B1436">
        <v>0.99996721820229495</v>
      </c>
      <c r="C1436">
        <v>1.0863222978306399</v>
      </c>
      <c r="D1436">
        <v>1.30298031991094</v>
      </c>
      <c r="E1436">
        <v>1.8343439824902701</v>
      </c>
      <c r="F1436">
        <v>1.8523826036762401</v>
      </c>
      <c r="G1436">
        <v>1.0611799234125401</v>
      </c>
      <c r="H1436">
        <v>0.39323815990913502</v>
      </c>
      <c r="I1436">
        <v>0.241395511986043</v>
      </c>
      <c r="J1436">
        <v>0.17219178259037199</v>
      </c>
      <c r="K1436">
        <v>0.14885223194015501</v>
      </c>
      <c r="L1436">
        <v>7089.4052808390197</v>
      </c>
      <c r="M1436">
        <v>117.29394188495</v>
      </c>
      <c r="N1436">
        <v>60.6835330042991</v>
      </c>
      <c r="O1436">
        <v>60.423794913000698</v>
      </c>
      <c r="P1436">
        <v>-0.39459477121291597</v>
      </c>
      <c r="Q1436">
        <v>0.18690044973827699</v>
      </c>
      <c r="R1436">
        <v>0.59695289882741898</v>
      </c>
      <c r="S1436" t="s">
        <v>7262</v>
      </c>
      <c r="T1436" t="s">
        <v>11650</v>
      </c>
      <c r="U1436" t="s">
        <v>11650</v>
      </c>
      <c r="V1436" t="s">
        <v>11650</v>
      </c>
      <c r="W1436" t="s">
        <v>13058</v>
      </c>
      <c r="X1436">
        <v>26</v>
      </c>
      <c r="Y1436" t="s">
        <v>18803</v>
      </c>
      <c r="Z1436" t="s">
        <v>24498</v>
      </c>
      <c r="AA1436">
        <v>0.74132123685131446</v>
      </c>
      <c r="AB1436" t="str">
        <f>HYPERLINK("Melting_Curves/meltCurve_O60701_UGDH.pdf", "Melting_Curves/meltCurve_O60701_UGDH.pdf")</f>
        <v>Melting_Curves/meltCurve_O60701_UGDH.pdf</v>
      </c>
    </row>
    <row r="1437" spans="1:28" x14ac:dyDescent="0.25">
      <c r="A1437" t="s">
        <v>1441</v>
      </c>
      <c r="B1437">
        <v>0.99996721820229495</v>
      </c>
      <c r="C1437">
        <v>0.96338317767374604</v>
      </c>
      <c r="D1437">
        <v>0.95133896595855505</v>
      </c>
      <c r="E1437">
        <v>0.83897263808796696</v>
      </c>
      <c r="F1437">
        <v>1.0806858805134401</v>
      </c>
      <c r="G1437">
        <v>0.476448891655742</v>
      </c>
      <c r="H1437">
        <v>0.166210135664181</v>
      </c>
      <c r="I1437">
        <v>0.126953876436776</v>
      </c>
      <c r="J1437">
        <v>0.112765889603695</v>
      </c>
      <c r="K1437">
        <v>0.104325741746218</v>
      </c>
      <c r="L1437">
        <v>9723.6071868752406</v>
      </c>
      <c r="M1437">
        <v>170.99547182606301</v>
      </c>
      <c r="N1437">
        <v>56.9628179934709</v>
      </c>
      <c r="O1437">
        <v>56.8569242182134</v>
      </c>
      <c r="P1437">
        <v>-0.65595804944790403</v>
      </c>
      <c r="Q1437">
        <v>0.12756146872745799</v>
      </c>
      <c r="R1437">
        <v>0.97615887077045604</v>
      </c>
      <c r="S1437" t="s">
        <v>7263</v>
      </c>
      <c r="T1437" t="s">
        <v>11650</v>
      </c>
      <c r="U1437" t="s">
        <v>11650</v>
      </c>
      <c r="V1437" t="s">
        <v>11650</v>
      </c>
      <c r="W1437" t="s">
        <v>13059</v>
      </c>
      <c r="X1437">
        <v>4</v>
      </c>
      <c r="Y1437" t="s">
        <v>18804</v>
      </c>
      <c r="Z1437" t="s">
        <v>24499</v>
      </c>
      <c r="AA1437">
        <v>0.61819492546400556</v>
      </c>
      <c r="AB1437" t="str">
        <f>HYPERLINK("Melting_Curves/meltCurve_O60704_TPST2.pdf", "Melting_Curves/meltCurve_O60704_TPST2.pdf")</f>
        <v>Melting_Curves/meltCurve_O60704_TPST2.pdf</v>
      </c>
    </row>
    <row r="1438" spans="1:28" x14ac:dyDescent="0.25">
      <c r="A1438" t="s">
        <v>1442</v>
      </c>
      <c r="B1438">
        <v>0.99996721820229495</v>
      </c>
      <c r="C1438">
        <v>0.98081552551242401</v>
      </c>
      <c r="D1438">
        <v>0.73924150718903703</v>
      </c>
      <c r="E1438">
        <v>0.47358787594637902</v>
      </c>
      <c r="F1438">
        <v>0.371276669534431</v>
      </c>
      <c r="G1438">
        <v>0.44314963507170901</v>
      </c>
      <c r="H1438">
        <v>0.25840174277678202</v>
      </c>
      <c r="I1438">
        <v>0.21127850683921301</v>
      </c>
      <c r="J1438">
        <v>0.159253521568681</v>
      </c>
      <c r="K1438">
        <v>0.12971897687444101</v>
      </c>
      <c r="L1438">
        <v>644.07140158611298</v>
      </c>
      <c r="M1438">
        <v>13.0869247815563</v>
      </c>
      <c r="N1438">
        <v>50.860607733012301</v>
      </c>
      <c r="O1438">
        <v>48.108258541265897</v>
      </c>
      <c r="P1438">
        <v>-5.6278412540905903E-2</v>
      </c>
      <c r="Q1438">
        <v>0.17261187177958401</v>
      </c>
      <c r="R1438">
        <v>0.95327663285536002</v>
      </c>
      <c r="S1438" t="s">
        <v>7264</v>
      </c>
      <c r="T1438" t="s">
        <v>11650</v>
      </c>
      <c r="U1438" t="s">
        <v>11650</v>
      </c>
      <c r="V1438" t="s">
        <v>11650</v>
      </c>
      <c r="W1438" t="s">
        <v>13060</v>
      </c>
      <c r="X1438">
        <v>2</v>
      </c>
      <c r="Y1438" t="s">
        <v>18805</v>
      </c>
      <c r="Z1438" t="s">
        <v>24500</v>
      </c>
      <c r="AA1438">
        <v>0.45265702309651429</v>
      </c>
      <c r="AB1438" t="str">
        <f>HYPERLINK("Melting_Curves/meltCurve_O60711_LPXN.pdf", "Melting_Curves/meltCurve_O60711_LPXN.pdf")</f>
        <v>Melting_Curves/meltCurve_O60711_LPXN.pdf</v>
      </c>
    </row>
    <row r="1439" spans="1:28" x14ac:dyDescent="0.25">
      <c r="A1439" t="s">
        <v>1443</v>
      </c>
      <c r="B1439">
        <v>0.99996721820229495</v>
      </c>
      <c r="C1439">
        <v>0.97294956755093098</v>
      </c>
      <c r="D1439">
        <v>0.90745994606681102</v>
      </c>
      <c r="E1439">
        <v>0.94336965877764101</v>
      </c>
      <c r="F1439">
        <v>0.43438651377176102</v>
      </c>
      <c r="G1439">
        <v>0.35025244968970498</v>
      </c>
      <c r="H1439">
        <v>0.195040021410221</v>
      </c>
      <c r="I1439">
        <v>0.13645383813170101</v>
      </c>
      <c r="J1439">
        <v>0.12349003715432</v>
      </c>
      <c r="K1439">
        <v>7.2184580935730297E-2</v>
      </c>
      <c r="L1439">
        <v>1182.2290225480499</v>
      </c>
      <c r="M1439">
        <v>22.308206591167501</v>
      </c>
      <c r="N1439">
        <v>53.651134794869499</v>
      </c>
      <c r="O1439">
        <v>52.574912439991799</v>
      </c>
      <c r="P1439">
        <v>-9.3420228072542702E-2</v>
      </c>
      <c r="Q1439">
        <v>0.119345336200534</v>
      </c>
      <c r="R1439">
        <v>0.96738729832631998</v>
      </c>
      <c r="S1439" t="s">
        <v>7265</v>
      </c>
      <c r="T1439" t="s">
        <v>11650</v>
      </c>
      <c r="U1439" t="s">
        <v>11650</v>
      </c>
      <c r="V1439" t="s">
        <v>11650</v>
      </c>
      <c r="W1439" t="s">
        <v>13061</v>
      </c>
      <c r="X1439">
        <v>34</v>
      </c>
      <c r="Y1439" t="s">
        <v>18806</v>
      </c>
      <c r="Z1439" t="s">
        <v>24501</v>
      </c>
      <c r="AA1439">
        <v>0.51082274211542322</v>
      </c>
      <c r="AB1439" t="str">
        <f>HYPERLINK("Melting_Curves/meltCurve_O60716_5_CTNND1.pdf", "Melting_Curves/meltCurve_O60716_5_CTNND1.pdf")</f>
        <v>Melting_Curves/meltCurve_O60716_5_CTNND1.pdf</v>
      </c>
    </row>
    <row r="1440" spans="1:28" x14ac:dyDescent="0.25">
      <c r="A1440" t="s">
        <v>1444</v>
      </c>
      <c r="B1440">
        <v>0.99996721820229495</v>
      </c>
      <c r="C1440">
        <v>0.90966882588197295</v>
      </c>
      <c r="D1440">
        <v>0.88784024682228602</v>
      </c>
      <c r="E1440">
        <v>0.73241876693566099</v>
      </c>
      <c r="F1440">
        <v>0.32377046437718199</v>
      </c>
      <c r="G1440">
        <v>0.18179220110572999</v>
      </c>
      <c r="H1440">
        <v>0.111212182266948</v>
      </c>
      <c r="I1440">
        <v>9.1495374329700105E-2</v>
      </c>
      <c r="J1440">
        <v>7.2094341421949995E-2</v>
      </c>
      <c r="K1440">
        <v>4.9286169799663999E-2</v>
      </c>
      <c r="L1440">
        <v>1125.5704806050901</v>
      </c>
      <c r="M1440">
        <v>21.917195357459899</v>
      </c>
      <c r="N1440">
        <v>51.700006447397598</v>
      </c>
      <c r="O1440">
        <v>50.933798740036501</v>
      </c>
      <c r="P1440">
        <v>-0.10027226497906</v>
      </c>
      <c r="Q1440">
        <v>6.7922548220031798E-2</v>
      </c>
      <c r="R1440">
        <v>0.98824957269096503</v>
      </c>
      <c r="S1440" t="s">
        <v>7266</v>
      </c>
      <c r="T1440" t="s">
        <v>11650</v>
      </c>
      <c r="U1440" t="s">
        <v>11650</v>
      </c>
      <c r="V1440" t="s">
        <v>11650</v>
      </c>
      <c r="W1440" t="s">
        <v>11778</v>
      </c>
      <c r="X1440">
        <v>30</v>
      </c>
      <c r="Y1440" t="s">
        <v>17539</v>
      </c>
      <c r="Z1440" t="s">
        <v>24502</v>
      </c>
      <c r="AA1440">
        <v>0.43162412362190278</v>
      </c>
      <c r="AB1440" t="str">
        <f>HYPERLINK("Melting_Curves/meltCurve_O60749_SNX2.pdf", "Melting_Curves/meltCurve_O60749_SNX2.pdf")</f>
        <v>Melting_Curves/meltCurve_O60749_SNX2.pdf</v>
      </c>
    </row>
    <row r="1441" spans="1:28" x14ac:dyDescent="0.25">
      <c r="A1441" t="s">
        <v>1445</v>
      </c>
      <c r="B1441">
        <v>0.99996721820229495</v>
      </c>
      <c r="C1441">
        <v>1.05495962031055</v>
      </c>
      <c r="D1441">
        <v>1.1554251534589399</v>
      </c>
      <c r="E1441">
        <v>1.25329227163212</v>
      </c>
      <c r="F1441">
        <v>0.39888608409371201</v>
      </c>
      <c r="G1441">
        <v>0.31610533438599903</v>
      </c>
      <c r="H1441">
        <v>0.187581751531844</v>
      </c>
      <c r="I1441">
        <v>0.127309875978039</v>
      </c>
      <c r="J1441">
        <v>9.4050732514129501E-2</v>
      </c>
      <c r="K1441">
        <v>7.9168730271738805E-2</v>
      </c>
      <c r="L1441">
        <v>13200.904663073299</v>
      </c>
      <c r="M1441">
        <v>250</v>
      </c>
      <c r="N1441">
        <v>52.885716308012903</v>
      </c>
      <c r="O1441">
        <v>52.8002395529534</v>
      </c>
      <c r="P1441">
        <v>-0.993315608369289</v>
      </c>
      <c r="Q1441">
        <v>0.16084316752039099</v>
      </c>
      <c r="R1441">
        <v>0.93979611969370003</v>
      </c>
      <c r="S1441" t="s">
        <v>7267</v>
      </c>
      <c r="T1441" t="s">
        <v>11650</v>
      </c>
      <c r="U1441" t="s">
        <v>11650</v>
      </c>
      <c r="V1441" t="s">
        <v>11650</v>
      </c>
      <c r="W1441" t="s">
        <v>13062</v>
      </c>
      <c r="X1441">
        <v>42</v>
      </c>
      <c r="Y1441" t="s">
        <v>18807</v>
      </c>
      <c r="Z1441" t="s">
        <v>24503</v>
      </c>
      <c r="AA1441">
        <v>0.51906240087326105</v>
      </c>
      <c r="AB1441" t="str">
        <f>HYPERLINK("Melting_Curves/meltCurve_O60763_USO1.pdf", "Melting_Curves/meltCurve_O60763_USO1.pdf")</f>
        <v>Melting_Curves/meltCurve_O60763_USO1.pdf</v>
      </c>
    </row>
    <row r="1442" spans="1:28" x14ac:dyDescent="0.25">
      <c r="A1442" t="s">
        <v>1446</v>
      </c>
      <c r="B1442">
        <v>0.99996721820229495</v>
      </c>
      <c r="C1442">
        <v>0.97012701948082303</v>
      </c>
      <c r="D1442">
        <v>0.934236549092751</v>
      </c>
      <c r="E1442">
        <v>1.0718661456704</v>
      </c>
      <c r="F1442">
        <v>1.5660740461084299</v>
      </c>
      <c r="G1442">
        <v>1.81064509871525</v>
      </c>
      <c r="H1442">
        <v>1.2564539532060599</v>
      </c>
      <c r="I1442">
        <v>1.15802185626856</v>
      </c>
      <c r="J1442">
        <v>1.1487094717216599</v>
      </c>
      <c r="K1442">
        <v>0.96024239851677295</v>
      </c>
      <c r="L1442">
        <v>12561.284156003199</v>
      </c>
      <c r="M1442">
        <v>250</v>
      </c>
      <c r="O1442">
        <v>50.241920816526502</v>
      </c>
      <c r="P1442">
        <v>0.393957675108281</v>
      </c>
      <c r="Q1442">
        <v>1.3166910475640301</v>
      </c>
      <c r="R1442">
        <v>0.33965804592249599</v>
      </c>
      <c r="S1442" t="s">
        <v>7268</v>
      </c>
      <c r="T1442" t="s">
        <v>11650</v>
      </c>
      <c r="U1442" t="s">
        <v>11650</v>
      </c>
      <c r="V1442" t="s">
        <v>11650</v>
      </c>
      <c r="W1442" t="s">
        <v>13063</v>
      </c>
      <c r="X1442">
        <v>9</v>
      </c>
      <c r="Y1442" t="s">
        <v>18808</v>
      </c>
      <c r="Z1442" t="s">
        <v>24504</v>
      </c>
      <c r="AA1442">
        <v>1.208511686930579</v>
      </c>
      <c r="AB1442" t="str">
        <f>HYPERLINK("Melting_Curves/meltCurve_O60828_PQBP1.pdf", "Melting_Curves/meltCurve_O60828_PQBP1.pdf")</f>
        <v>Melting_Curves/meltCurve_O60828_PQBP1.pdf</v>
      </c>
    </row>
    <row r="1443" spans="1:28" x14ac:dyDescent="0.25">
      <c r="A1443" t="s">
        <v>1447</v>
      </c>
      <c r="B1443">
        <v>0.99996721820229495</v>
      </c>
      <c r="C1443">
        <v>0.633877549237303</v>
      </c>
      <c r="D1443">
        <v>0.59661954492921099</v>
      </c>
      <c r="E1443">
        <v>1.26137666419323</v>
      </c>
      <c r="F1443">
        <v>2.2191794085866601</v>
      </c>
      <c r="G1443">
        <v>1.0606728512841399</v>
      </c>
      <c r="H1443">
        <v>1.5530824164391901</v>
      </c>
      <c r="I1443">
        <v>1.2376385401923899</v>
      </c>
      <c r="J1443">
        <v>0.40491637906579597</v>
      </c>
      <c r="K1443">
        <v>0.14237069696100901</v>
      </c>
      <c r="L1443">
        <v>15000</v>
      </c>
      <c r="M1443">
        <v>224.69826197411601</v>
      </c>
      <c r="N1443">
        <v>66.855848107517403</v>
      </c>
      <c r="O1443">
        <v>66.750901990061493</v>
      </c>
      <c r="P1443">
        <v>-0.72179246730732705</v>
      </c>
      <c r="Q1443">
        <v>0.14231114887886401</v>
      </c>
      <c r="R1443">
        <v>0.32922869144926498</v>
      </c>
      <c r="S1443" t="s">
        <v>7269</v>
      </c>
      <c r="T1443" t="s">
        <v>11650</v>
      </c>
      <c r="U1443" t="s">
        <v>11650</v>
      </c>
      <c r="V1443" t="s">
        <v>11650</v>
      </c>
      <c r="W1443" t="s">
        <v>13064</v>
      </c>
      <c r="X1443">
        <v>1</v>
      </c>
      <c r="Y1443" t="s">
        <v>18809</v>
      </c>
      <c r="Z1443" t="s">
        <v>24505</v>
      </c>
      <c r="AA1443">
        <v>0.90738480453317538</v>
      </c>
      <c r="AB1443" t="str">
        <f>HYPERLINK("Melting_Curves/meltCurve_O60830_TIMM17B.pdf", "Melting_Curves/meltCurve_O60830_TIMM17B.pdf")</f>
        <v>Melting_Curves/meltCurve_O60830_TIMM17B.pdf</v>
      </c>
    </row>
    <row r="1444" spans="1:28" x14ac:dyDescent="0.25">
      <c r="A1444" t="s">
        <v>1448</v>
      </c>
      <c r="B1444">
        <v>0.99996721820229495</v>
      </c>
      <c r="C1444">
        <v>0.846426613703949</v>
      </c>
      <c r="D1444">
        <v>0.90965980029202398</v>
      </c>
      <c r="E1444">
        <v>0.86617774013876503</v>
      </c>
      <c r="F1444">
        <v>1.0933005526804001</v>
      </c>
      <c r="G1444">
        <v>0.95194048419401001</v>
      </c>
      <c r="H1444">
        <v>0.67812704130274004</v>
      </c>
      <c r="I1444">
        <v>0.54023419967363895</v>
      </c>
      <c r="J1444">
        <v>0.39569179264541099</v>
      </c>
      <c r="K1444">
        <v>0.281303768525693</v>
      </c>
      <c r="L1444">
        <v>1444.13550670007</v>
      </c>
      <c r="M1444">
        <v>23.132727837759798</v>
      </c>
      <c r="N1444">
        <v>64.302329201777596</v>
      </c>
      <c r="O1444">
        <v>61.967308528245098</v>
      </c>
      <c r="P1444">
        <v>-7.0442251783407905E-2</v>
      </c>
      <c r="Q1444">
        <v>0.24521860436067899</v>
      </c>
      <c r="R1444">
        <v>0.90327267912467901</v>
      </c>
      <c r="S1444" t="s">
        <v>7270</v>
      </c>
      <c r="T1444" t="s">
        <v>11650</v>
      </c>
      <c r="U1444" t="s">
        <v>11650</v>
      </c>
      <c r="V1444" t="s">
        <v>11650</v>
      </c>
      <c r="W1444" t="s">
        <v>13065</v>
      </c>
      <c r="X1444">
        <v>6</v>
      </c>
      <c r="Y1444" t="s">
        <v>18810</v>
      </c>
      <c r="Z1444" t="s">
        <v>24506</v>
      </c>
      <c r="AA1444">
        <v>0.81191331289851476</v>
      </c>
      <c r="AB1444" t="str">
        <f>HYPERLINK("Melting_Curves/meltCurve_O60831_PRAF2.pdf", "Melting_Curves/meltCurve_O60831_PRAF2.pdf")</f>
        <v>Melting_Curves/meltCurve_O60831_PRAF2.pdf</v>
      </c>
    </row>
    <row r="1445" spans="1:28" x14ac:dyDescent="0.25">
      <c r="A1445" t="s">
        <v>1449</v>
      </c>
      <c r="B1445">
        <v>0.99996721820229495</v>
      </c>
      <c r="C1445">
        <v>0.94067979324835505</v>
      </c>
      <c r="D1445">
        <v>0.84043000319577399</v>
      </c>
      <c r="E1445">
        <v>0.90199968066312097</v>
      </c>
      <c r="F1445">
        <v>0.49589093370507598</v>
      </c>
      <c r="G1445">
        <v>0.44141864708756301</v>
      </c>
      <c r="H1445">
        <v>0.30328687880409699</v>
      </c>
      <c r="I1445">
        <v>0.220637923450094</v>
      </c>
      <c r="J1445">
        <v>0.17308918112487801</v>
      </c>
      <c r="K1445">
        <v>0.155085882584518</v>
      </c>
      <c r="L1445">
        <v>657.66787814100996</v>
      </c>
      <c r="M1445">
        <v>12.1436353193334</v>
      </c>
      <c r="N1445">
        <v>55.192533999955003</v>
      </c>
      <c r="O1445">
        <v>52.751549513908401</v>
      </c>
      <c r="P1445">
        <v>-5.1702011558069201E-2</v>
      </c>
      <c r="Q1445">
        <v>0.10183943263037799</v>
      </c>
      <c r="R1445">
        <v>0.96253416476668396</v>
      </c>
      <c r="S1445" t="s">
        <v>7271</v>
      </c>
      <c r="T1445" t="s">
        <v>11650</v>
      </c>
      <c r="U1445" t="s">
        <v>11650</v>
      </c>
      <c r="V1445" t="s">
        <v>11650</v>
      </c>
      <c r="W1445" t="s">
        <v>13066</v>
      </c>
      <c r="X1445">
        <v>27</v>
      </c>
      <c r="Y1445" t="s">
        <v>18811</v>
      </c>
      <c r="Z1445" t="s">
        <v>24507</v>
      </c>
      <c r="AA1445">
        <v>0.54854962393792639</v>
      </c>
      <c r="AB1445" t="str">
        <f>HYPERLINK("Melting_Curves/meltCurve_O60841_EIF5B.pdf", "Melting_Curves/meltCurve_O60841_EIF5B.pdf")</f>
        <v>Melting_Curves/meltCurve_O60841_EIF5B.pdf</v>
      </c>
    </row>
    <row r="1446" spans="1:28" x14ac:dyDescent="0.25">
      <c r="A1446" t="s">
        <v>1450</v>
      </c>
      <c r="B1446">
        <v>0.99996721820229495</v>
      </c>
      <c r="C1446">
        <v>0.90108810942364603</v>
      </c>
      <c r="D1446">
        <v>0.87328218693343995</v>
      </c>
      <c r="E1446">
        <v>0.84231216359780903</v>
      </c>
      <c r="F1446">
        <v>0.97432736626526095</v>
      </c>
      <c r="G1446">
        <v>1.0773899049033</v>
      </c>
      <c r="H1446">
        <v>0.88397401537581</v>
      </c>
      <c r="I1446">
        <v>0.93416008382682802</v>
      </c>
      <c r="J1446">
        <v>1.0742428789588601</v>
      </c>
      <c r="K1446">
        <v>0.73452871629295202</v>
      </c>
      <c r="L1446">
        <v>10246.522960582801</v>
      </c>
      <c r="M1446">
        <v>250</v>
      </c>
      <c r="O1446">
        <v>40.983469017370602</v>
      </c>
      <c r="P1446">
        <v>-0.11940707471169899</v>
      </c>
      <c r="Q1446">
        <v>0.921700541766305</v>
      </c>
      <c r="R1446">
        <v>5.4329209883882998E-2</v>
      </c>
      <c r="S1446" t="s">
        <v>7272</v>
      </c>
      <c r="T1446" t="s">
        <v>11650</v>
      </c>
      <c r="U1446" t="s">
        <v>11650</v>
      </c>
      <c r="V1446" t="s">
        <v>11650</v>
      </c>
      <c r="W1446" t="s">
        <v>13067</v>
      </c>
      <c r="X1446">
        <v>15</v>
      </c>
      <c r="Y1446" t="s">
        <v>18812</v>
      </c>
      <c r="Z1446" t="s">
        <v>24508</v>
      </c>
      <c r="AA1446">
        <v>0.92428070642818705</v>
      </c>
      <c r="AB1446" t="str">
        <f>HYPERLINK("Melting_Curves/meltCurve_O60869_EDF1.pdf", "Melting_Curves/meltCurve_O60869_EDF1.pdf")</f>
        <v>Melting_Curves/meltCurve_O60869_EDF1.pdf</v>
      </c>
    </row>
    <row r="1447" spans="1:28" x14ac:dyDescent="0.25">
      <c r="A1447" t="s">
        <v>1451</v>
      </c>
      <c r="B1447">
        <v>0.99996721820229495</v>
      </c>
      <c r="C1447">
        <v>1.0089921013846801</v>
      </c>
      <c r="D1447">
        <v>1.1970950584562801</v>
      </c>
      <c r="E1447">
        <v>1.8364587691510601</v>
      </c>
      <c r="F1447">
        <v>1.71871398688038</v>
      </c>
      <c r="G1447">
        <v>1.13914069096968</v>
      </c>
      <c r="H1447">
        <v>0.35645703245996502</v>
      </c>
      <c r="I1447">
        <v>0.25393484136493499</v>
      </c>
      <c r="J1447">
        <v>0.15278162253455399</v>
      </c>
      <c r="K1447">
        <v>0.128699321924194</v>
      </c>
      <c r="L1447">
        <v>9388.44191364783</v>
      </c>
      <c r="M1447">
        <v>155.19255024965099</v>
      </c>
      <c r="N1447">
        <v>60.667923520979301</v>
      </c>
      <c r="O1447">
        <v>60.485391103409299</v>
      </c>
      <c r="P1447">
        <v>-0.52702835776230605</v>
      </c>
      <c r="Q1447">
        <v>0.178375007464636</v>
      </c>
      <c r="R1447">
        <v>0.64116241418223996</v>
      </c>
      <c r="S1447" t="s">
        <v>7273</v>
      </c>
      <c r="T1447" t="s">
        <v>11650</v>
      </c>
      <c r="U1447" t="s">
        <v>11650</v>
      </c>
      <c r="V1447" t="s">
        <v>11650</v>
      </c>
      <c r="W1447" t="s">
        <v>13068</v>
      </c>
      <c r="X1447">
        <v>10</v>
      </c>
      <c r="Y1447" t="s">
        <v>18813</v>
      </c>
      <c r="Z1447" t="s">
        <v>24509</v>
      </c>
      <c r="AA1447">
        <v>0.73992036277326911</v>
      </c>
      <c r="AB1447" t="str">
        <f>HYPERLINK("Melting_Curves/meltCurve_O60884_DNAJA2.pdf", "Melting_Curves/meltCurve_O60884_DNAJA2.pdf")</f>
        <v>Melting_Curves/meltCurve_O60884_DNAJA2.pdf</v>
      </c>
    </row>
    <row r="1448" spans="1:28" x14ac:dyDescent="0.25">
      <c r="A1448" t="s">
        <v>1452</v>
      </c>
      <c r="B1448">
        <v>0.99996721820229495</v>
      </c>
      <c r="C1448">
        <v>0.956482451373873</v>
      </c>
      <c r="D1448">
        <v>0.56245517408658396</v>
      </c>
      <c r="E1448">
        <v>0.412204517521918</v>
      </c>
      <c r="F1448">
        <v>0.407693100061986</v>
      </c>
      <c r="G1448">
        <v>0.35481670177025398</v>
      </c>
      <c r="H1448">
        <v>0.29396693630141602</v>
      </c>
      <c r="I1448">
        <v>0.29479609498878701</v>
      </c>
      <c r="J1448">
        <v>0.18292453232678699</v>
      </c>
      <c r="K1448">
        <v>0.173389034395416</v>
      </c>
      <c r="L1448">
        <v>862.50034792512997</v>
      </c>
      <c r="M1448">
        <v>18.601707744516499</v>
      </c>
      <c r="N1448">
        <v>48.284861178236902</v>
      </c>
      <c r="O1448">
        <v>45.840848144320198</v>
      </c>
      <c r="P1448">
        <v>-7.49530418054936E-2</v>
      </c>
      <c r="Q1448">
        <v>0.26119444056753099</v>
      </c>
      <c r="R1448">
        <v>0.94058603438335597</v>
      </c>
      <c r="S1448" t="s">
        <v>7274</v>
      </c>
      <c r="T1448" t="s">
        <v>11650</v>
      </c>
      <c r="U1448" t="s">
        <v>11650</v>
      </c>
      <c r="V1448" t="s">
        <v>11650</v>
      </c>
      <c r="W1448" t="s">
        <v>13069</v>
      </c>
      <c r="X1448">
        <v>7</v>
      </c>
      <c r="Y1448" t="s">
        <v>18814</v>
      </c>
      <c r="Z1448" t="s">
        <v>24510</v>
      </c>
      <c r="AA1448">
        <v>0.43111958949100748</v>
      </c>
      <c r="AB1448" t="str">
        <f>HYPERLINK("Melting_Curves/meltCurve_O60885_BRD4.pdf", "Melting_Curves/meltCurve_O60885_BRD4.pdf")</f>
        <v>Melting_Curves/meltCurve_O60885_BRD4.pdf</v>
      </c>
    </row>
    <row r="1449" spans="1:28" x14ac:dyDescent="0.25">
      <c r="A1449" t="s">
        <v>1453</v>
      </c>
      <c r="B1449">
        <v>0.99996721820229495</v>
      </c>
      <c r="C1449">
        <v>0.88361281658998003</v>
      </c>
      <c r="D1449">
        <v>0.78536450296106497</v>
      </c>
      <c r="E1449">
        <v>0.59816990796843095</v>
      </c>
      <c r="F1449">
        <v>0.52740785747688701</v>
      </c>
      <c r="G1449">
        <v>0.51865207163809002</v>
      </c>
      <c r="H1449">
        <v>0.36417945676344199</v>
      </c>
      <c r="I1449">
        <v>0.27306523063251698</v>
      </c>
      <c r="J1449">
        <v>0.22767485055880199</v>
      </c>
      <c r="K1449">
        <v>0.17234133073768801</v>
      </c>
      <c r="L1449">
        <v>376.02359998751001</v>
      </c>
      <c r="M1449">
        <v>6.8544207780700797</v>
      </c>
      <c r="N1449">
        <v>55.023489325307402</v>
      </c>
      <c r="O1449">
        <v>50.758477864522703</v>
      </c>
      <c r="P1449">
        <v>-3.3483596881987099E-2</v>
      </c>
      <c r="Q1449">
        <v>1.0168506245683001E-2</v>
      </c>
      <c r="R1449">
        <v>0.97527015633840397</v>
      </c>
      <c r="S1449" t="s">
        <v>7275</v>
      </c>
      <c r="T1449" t="s">
        <v>11650</v>
      </c>
      <c r="U1449" t="s">
        <v>11650</v>
      </c>
      <c r="V1449" t="s">
        <v>11650</v>
      </c>
      <c r="W1449" t="s">
        <v>13070</v>
      </c>
      <c r="X1449">
        <v>4</v>
      </c>
      <c r="Y1449" t="s">
        <v>18815</v>
      </c>
      <c r="Z1449" t="s">
        <v>24511</v>
      </c>
      <c r="AA1449">
        <v>0.52837549376508819</v>
      </c>
      <c r="AB1449" t="str">
        <f>HYPERLINK("Melting_Curves/meltCurve_O60888_3_CUTA.pdf", "Melting_Curves/meltCurve_O60888_3_CUTA.pdf")</f>
        <v>Melting_Curves/meltCurve_O60888_3_CUTA.pdf</v>
      </c>
    </row>
    <row r="1450" spans="1:28" x14ac:dyDescent="0.25">
      <c r="A1450" t="s">
        <v>1454</v>
      </c>
      <c r="B1450">
        <v>0.99996721820229495</v>
      </c>
      <c r="C1450">
        <v>0.88372501513898205</v>
      </c>
      <c r="D1450">
        <v>0.92554525220725103</v>
      </c>
      <c r="E1450">
        <v>1.2543519681737301</v>
      </c>
      <c r="F1450">
        <v>1.5162267228275801</v>
      </c>
      <c r="G1450">
        <v>1.51949395130208</v>
      </c>
      <c r="H1450">
        <v>0.87418837087752799</v>
      </c>
      <c r="I1450">
        <v>0.60428265750768495</v>
      </c>
      <c r="J1450">
        <v>0.57023964979195296</v>
      </c>
      <c r="K1450">
        <v>0.445987800426626</v>
      </c>
      <c r="L1450">
        <v>3721.0751157682998</v>
      </c>
      <c r="M1450">
        <v>59.644462671943103</v>
      </c>
      <c r="O1450">
        <v>62.317587123993903</v>
      </c>
      <c r="P1450">
        <v>-0.118354124279134</v>
      </c>
      <c r="Q1450">
        <v>0.50536630089922996</v>
      </c>
      <c r="R1450">
        <v>0.50343173688575005</v>
      </c>
      <c r="S1450" t="s">
        <v>7276</v>
      </c>
      <c r="T1450" t="s">
        <v>11650</v>
      </c>
      <c r="U1450" t="s">
        <v>11650</v>
      </c>
      <c r="V1450" t="s">
        <v>11650</v>
      </c>
      <c r="W1450" t="s">
        <v>13071</v>
      </c>
      <c r="X1450">
        <v>13</v>
      </c>
      <c r="Y1450" t="s">
        <v>18816</v>
      </c>
      <c r="Z1450" t="s">
        <v>24512</v>
      </c>
      <c r="AA1450">
        <v>0.87540901061870025</v>
      </c>
      <c r="AB1450" t="str">
        <f>HYPERLINK("Melting_Curves/meltCurve_O60925_PFDN1.pdf", "Melting_Curves/meltCurve_O60925_PFDN1.pdf")</f>
        <v>Melting_Curves/meltCurve_O60925_PFDN1.pdf</v>
      </c>
    </row>
    <row r="1451" spans="1:28" x14ac:dyDescent="0.25">
      <c r="A1451" t="s">
        <v>1455</v>
      </c>
      <c r="B1451">
        <v>0.99996721820229495</v>
      </c>
      <c r="C1451">
        <v>0.961172156163555</v>
      </c>
      <c r="D1451">
        <v>0.91015143201248006</v>
      </c>
      <c r="E1451">
        <v>1.0404216380409601</v>
      </c>
      <c r="F1451">
        <v>1.2721234062500599</v>
      </c>
      <c r="G1451">
        <v>1.32565366421699</v>
      </c>
      <c r="H1451">
        <v>0.99163223174315696</v>
      </c>
      <c r="I1451">
        <v>0.88305738392682998</v>
      </c>
      <c r="J1451">
        <v>0.80179372845236296</v>
      </c>
      <c r="K1451">
        <v>0.59097037442572298</v>
      </c>
      <c r="L1451">
        <v>2061.1762370285601</v>
      </c>
      <c r="M1451">
        <v>30.233910593643099</v>
      </c>
      <c r="O1451">
        <v>67.878149205642899</v>
      </c>
      <c r="P1451">
        <v>-6.5540840240290998E-2</v>
      </c>
      <c r="Q1451">
        <v>0.41142078800825199</v>
      </c>
      <c r="R1451">
        <v>0.52074980618744404</v>
      </c>
      <c r="S1451" t="s">
        <v>7277</v>
      </c>
      <c r="T1451" t="s">
        <v>11650</v>
      </c>
      <c r="U1451" t="s">
        <v>11650</v>
      </c>
      <c r="V1451" t="s">
        <v>11650</v>
      </c>
      <c r="W1451" t="s">
        <v>13072</v>
      </c>
      <c r="X1451">
        <v>8</v>
      </c>
      <c r="Y1451" t="s">
        <v>18817</v>
      </c>
      <c r="Z1451" t="s">
        <v>24513</v>
      </c>
      <c r="AA1451">
        <v>0.95013017643432307</v>
      </c>
      <c r="AB1451" t="str">
        <f>HYPERLINK("Melting_Curves/meltCurve_O60927_PPP1R11.pdf", "Melting_Curves/meltCurve_O60927_PPP1R11.pdf")</f>
        <v>Melting_Curves/meltCurve_O60927_PPP1R11.pdf</v>
      </c>
    </row>
    <row r="1452" spans="1:28" x14ac:dyDescent="0.25">
      <c r="A1452" t="s">
        <v>1456</v>
      </c>
      <c r="B1452">
        <v>0.99996721820229495</v>
      </c>
      <c r="C1452">
        <v>0.98551020916513399</v>
      </c>
      <c r="D1452">
        <v>0.71591402077270705</v>
      </c>
      <c r="E1452">
        <v>0.39178413787161098</v>
      </c>
      <c r="F1452">
        <v>0.37594267333206799</v>
      </c>
      <c r="G1452">
        <v>0.35469976017587601</v>
      </c>
      <c r="H1452">
        <v>0.248735598670865</v>
      </c>
      <c r="I1452">
        <v>0.16780947646500999</v>
      </c>
      <c r="J1452">
        <v>0.11187876645849799</v>
      </c>
      <c r="K1452">
        <v>6.9307149508697E-2</v>
      </c>
      <c r="L1452">
        <v>682.47991439834402</v>
      </c>
      <c r="M1452">
        <v>13.996417347527601</v>
      </c>
      <c r="N1452">
        <v>49.918273963548202</v>
      </c>
      <c r="O1452">
        <v>47.798037544467597</v>
      </c>
      <c r="P1452">
        <v>-6.3072040405874705E-2</v>
      </c>
      <c r="Q1452">
        <v>0.13854548267158501</v>
      </c>
      <c r="R1452">
        <v>0.954107110967645</v>
      </c>
      <c r="S1452" t="s">
        <v>7278</v>
      </c>
      <c r="T1452" t="s">
        <v>11650</v>
      </c>
      <c r="U1452" t="s">
        <v>11650</v>
      </c>
      <c r="V1452" t="s">
        <v>11650</v>
      </c>
      <c r="W1452" t="s">
        <v>13073</v>
      </c>
      <c r="X1452">
        <v>2</v>
      </c>
      <c r="Y1452" t="s">
        <v>18818</v>
      </c>
      <c r="Z1452" t="s">
        <v>24514</v>
      </c>
      <c r="AA1452">
        <v>0.41455563267722928</v>
      </c>
      <c r="AB1452" t="str">
        <f>HYPERLINK("Melting_Curves/meltCurve_O60934_NBN.pdf", "Melting_Curves/meltCurve_O60934_NBN.pdf")</f>
        <v>Melting_Curves/meltCurve_O60934_NBN.pdf</v>
      </c>
    </row>
    <row r="1453" spans="1:28" x14ac:dyDescent="0.25">
      <c r="A1453" t="s">
        <v>1457</v>
      </c>
      <c r="B1453">
        <v>0.99996721820229495</v>
      </c>
      <c r="C1453">
        <v>0.84961531664188705</v>
      </c>
      <c r="D1453">
        <v>0.90649428484097105</v>
      </c>
      <c r="E1453">
        <v>1.08957683238519</v>
      </c>
      <c r="F1453">
        <v>0.39429210762932798</v>
      </c>
      <c r="G1453">
        <v>0.29472727689297901</v>
      </c>
      <c r="H1453">
        <v>0.19082819479935201</v>
      </c>
      <c r="I1453">
        <v>0.16982000853318099</v>
      </c>
      <c r="J1453">
        <v>0.107980195692523</v>
      </c>
      <c r="K1453">
        <v>0.12098294484256999</v>
      </c>
      <c r="L1453">
        <v>13195.699184520299</v>
      </c>
      <c r="M1453">
        <v>250</v>
      </c>
      <c r="N1453">
        <v>52.8751281621945</v>
      </c>
      <c r="O1453">
        <v>52.779395644699399</v>
      </c>
      <c r="P1453">
        <v>-0.97473165161406605</v>
      </c>
      <c r="Q1453">
        <v>0.176867674565165</v>
      </c>
      <c r="R1453">
        <v>0.95733283976787698</v>
      </c>
      <c r="S1453" t="s">
        <v>7279</v>
      </c>
      <c r="T1453" t="s">
        <v>11650</v>
      </c>
      <c r="U1453" t="s">
        <v>11650</v>
      </c>
      <c r="V1453" t="s">
        <v>11650</v>
      </c>
      <c r="W1453" t="s">
        <v>13074</v>
      </c>
      <c r="X1453">
        <v>9</v>
      </c>
      <c r="Y1453" t="s">
        <v>18819</v>
      </c>
      <c r="Z1453" t="s">
        <v>24515</v>
      </c>
      <c r="AA1453">
        <v>0.52767503059024956</v>
      </c>
      <c r="AB1453" t="str">
        <f>HYPERLINK("Melting_Curves/meltCurve_O75027_ABCB7.pdf", "Melting_Curves/meltCurve_O75027_ABCB7.pdf")</f>
        <v>Melting_Curves/meltCurve_O75027_ABCB7.pdf</v>
      </c>
    </row>
    <row r="1454" spans="1:28" x14ac:dyDescent="0.25">
      <c r="A1454" t="s">
        <v>1458</v>
      </c>
      <c r="B1454">
        <v>0.99996721820229495</v>
      </c>
      <c r="C1454">
        <v>1.03002490043046</v>
      </c>
      <c r="D1454">
        <v>1.4612824033532399</v>
      </c>
      <c r="E1454">
        <v>5.4104828533064397</v>
      </c>
      <c r="F1454">
        <v>6.6334621417541104</v>
      </c>
      <c r="G1454">
        <v>6.9088529526160496</v>
      </c>
      <c r="H1454">
        <v>6.1404318161399498</v>
      </c>
      <c r="I1454">
        <v>3.5616877727458802</v>
      </c>
      <c r="J1454">
        <v>2.1691890584731301</v>
      </c>
      <c r="K1454">
        <v>2.7990451998621801</v>
      </c>
      <c r="S1454" t="s">
        <v>7280</v>
      </c>
      <c r="T1454" t="s">
        <v>11650</v>
      </c>
      <c r="U1454" t="s">
        <v>11651</v>
      </c>
      <c r="V1454" t="s">
        <v>11650</v>
      </c>
      <c r="W1454" t="s">
        <v>13075</v>
      </c>
      <c r="X1454">
        <v>1</v>
      </c>
      <c r="Y1454" t="s">
        <v>18820</v>
      </c>
      <c r="Z1454" t="s">
        <v>24516</v>
      </c>
      <c r="AB1454" t="str">
        <f>HYPERLINK("Melting_Curves/meltCurve_O75037_3_KIF21B.pdf", "Melting_Curves/meltCurve_O75037_3_KIF21B.pdf")</f>
        <v>Melting_Curves/meltCurve_O75037_3_KIF21B.pdf</v>
      </c>
    </row>
    <row r="1455" spans="1:28" x14ac:dyDescent="0.25">
      <c r="A1455" t="s">
        <v>1459</v>
      </c>
      <c r="B1455">
        <v>0.99996721820229495</v>
      </c>
      <c r="C1455">
        <v>0.93765585539025598</v>
      </c>
      <c r="D1455">
        <v>0.808267910654208</v>
      </c>
      <c r="E1455">
        <v>0.70585371257544105</v>
      </c>
      <c r="F1455">
        <v>0.50552677883736197</v>
      </c>
      <c r="G1455">
        <v>0.341103116503156</v>
      </c>
      <c r="H1455">
        <v>0.21644461101138099</v>
      </c>
      <c r="I1455">
        <v>0.178996671902134</v>
      </c>
      <c r="J1455">
        <v>0.145167235155304</v>
      </c>
      <c r="K1455">
        <v>0.116059262428429</v>
      </c>
      <c r="L1455">
        <v>596.78705461957497</v>
      </c>
      <c r="M1455">
        <v>11.327002292241</v>
      </c>
      <c r="N1455">
        <v>53.321458656220003</v>
      </c>
      <c r="O1455">
        <v>51.125052995837301</v>
      </c>
      <c r="P1455">
        <v>-5.1912965935338097E-2</v>
      </c>
      <c r="Q1455">
        <v>6.3034152370130006E-2</v>
      </c>
      <c r="R1455">
        <v>0.99636512751386397</v>
      </c>
      <c r="S1455" t="s">
        <v>7281</v>
      </c>
      <c r="T1455" t="s">
        <v>11650</v>
      </c>
      <c r="U1455" t="s">
        <v>11650</v>
      </c>
      <c r="V1455" t="s">
        <v>11650</v>
      </c>
      <c r="W1455" t="s">
        <v>13076</v>
      </c>
      <c r="X1455">
        <v>13</v>
      </c>
      <c r="Y1455" t="s">
        <v>18821</v>
      </c>
      <c r="Z1455" t="s">
        <v>24517</v>
      </c>
      <c r="AA1455">
        <v>0.48845346398633033</v>
      </c>
      <c r="AB1455" t="str">
        <f>HYPERLINK("Melting_Curves/meltCurve_O75044_SRGAP2.pdf", "Melting_Curves/meltCurve_O75044_SRGAP2.pdf")</f>
        <v>Melting_Curves/meltCurve_O75044_SRGAP2.pdf</v>
      </c>
    </row>
    <row r="1456" spans="1:28" x14ac:dyDescent="0.25">
      <c r="A1456" t="s">
        <v>1460</v>
      </c>
      <c r="B1456">
        <v>0.99996721820229495</v>
      </c>
      <c r="C1456">
        <v>0.69317854476539997</v>
      </c>
      <c r="D1456">
        <v>0.82509651877632795</v>
      </c>
      <c r="E1456">
        <v>0.78696404247643303</v>
      </c>
      <c r="F1456">
        <v>0.433191529530839</v>
      </c>
      <c r="G1456">
        <v>0.340512193818376</v>
      </c>
      <c r="H1456">
        <v>0.25338579519374699</v>
      </c>
      <c r="I1456">
        <v>0.16855273089981701</v>
      </c>
      <c r="J1456">
        <v>0.15301712874318299</v>
      </c>
      <c r="K1456">
        <v>0.112271010196323</v>
      </c>
      <c r="L1456">
        <v>455.59336247825001</v>
      </c>
      <c r="M1456">
        <v>8.5678979724653903</v>
      </c>
      <c r="N1456">
        <v>53.174461015161199</v>
      </c>
      <c r="O1456">
        <v>50.515386782038298</v>
      </c>
      <c r="P1456">
        <v>-4.2439499021597299E-2</v>
      </c>
      <c r="Q1456">
        <v>0</v>
      </c>
      <c r="R1456">
        <v>0.92387634322891299</v>
      </c>
      <c r="S1456" t="s">
        <v>7282</v>
      </c>
      <c r="T1456" t="s">
        <v>11650</v>
      </c>
      <c r="U1456" t="s">
        <v>11650</v>
      </c>
      <c r="V1456" t="s">
        <v>11650</v>
      </c>
      <c r="W1456" t="s">
        <v>13077</v>
      </c>
      <c r="X1456">
        <v>9</v>
      </c>
      <c r="Y1456" t="s">
        <v>18822</v>
      </c>
      <c r="Z1456" t="s">
        <v>24518</v>
      </c>
      <c r="AA1456">
        <v>0.4769734217352643</v>
      </c>
      <c r="AB1456" t="str">
        <f>HYPERLINK("Melting_Curves/meltCurve_O75063_FAM20B.pdf", "Melting_Curves/meltCurve_O75063_FAM20B.pdf")</f>
        <v>Melting_Curves/meltCurve_O75063_FAM20B.pdf</v>
      </c>
    </row>
    <row r="1457" spans="1:28" x14ac:dyDescent="0.25">
      <c r="A1457" t="s">
        <v>1461</v>
      </c>
      <c r="B1457">
        <v>0.99996721820229495</v>
      </c>
      <c r="C1457">
        <v>1.12600403374345</v>
      </c>
      <c r="D1457">
        <v>1.2327944939734601</v>
      </c>
      <c r="E1457">
        <v>1.4961428485361701</v>
      </c>
      <c r="F1457">
        <v>2.15547284041571</v>
      </c>
      <c r="G1457">
        <v>2.27865352767434</v>
      </c>
      <c r="H1457">
        <v>1.51984080108634</v>
      </c>
      <c r="I1457">
        <v>1.0508552979938801</v>
      </c>
      <c r="J1457">
        <v>0.69397213728659801</v>
      </c>
      <c r="K1457">
        <v>0.84413457909237</v>
      </c>
      <c r="L1457">
        <v>2764.88771384652</v>
      </c>
      <c r="M1457">
        <v>41.703573108210598</v>
      </c>
      <c r="O1457">
        <v>66.146684229064107</v>
      </c>
      <c r="P1457">
        <v>-3.9019974775981799E-2</v>
      </c>
      <c r="Q1457">
        <v>0.752439696688188</v>
      </c>
      <c r="R1457">
        <v>-0.42791043830220299</v>
      </c>
      <c r="S1457" t="s">
        <v>7283</v>
      </c>
      <c r="T1457" t="s">
        <v>11650</v>
      </c>
      <c r="U1457" t="s">
        <v>11650</v>
      </c>
      <c r="V1457" t="s">
        <v>11650</v>
      </c>
      <c r="W1457" t="s">
        <v>13078</v>
      </c>
      <c r="X1457">
        <v>3</v>
      </c>
      <c r="Y1457" t="s">
        <v>18823</v>
      </c>
      <c r="Z1457" t="s">
        <v>24519</v>
      </c>
      <c r="AA1457">
        <v>0.96888355835774476</v>
      </c>
      <c r="AB1457" t="str">
        <f>HYPERLINK("Melting_Curves/meltCurve_O75071_EFCAB14.pdf", "Melting_Curves/meltCurve_O75071_EFCAB14.pdf")</f>
        <v>Melting_Curves/meltCurve_O75071_EFCAB14.pdf</v>
      </c>
    </row>
    <row r="1458" spans="1:28" x14ac:dyDescent="0.25">
      <c r="A1458" t="s">
        <v>1462</v>
      </c>
      <c r="B1458">
        <v>0.99996721820229495</v>
      </c>
      <c r="C1458">
        <v>0.95785868848935496</v>
      </c>
      <c r="D1458">
        <v>1.0375212473030899</v>
      </c>
      <c r="E1458">
        <v>1.0511761446412899</v>
      </c>
      <c r="F1458">
        <v>0.58221474449865296</v>
      </c>
      <c r="G1458">
        <v>0.27935456401796599</v>
      </c>
      <c r="H1458">
        <v>0.148059047202969</v>
      </c>
      <c r="I1458">
        <v>8.9719285826941095E-2</v>
      </c>
      <c r="J1458">
        <v>6.7526312900052995E-2</v>
      </c>
      <c r="K1458">
        <v>5.5584127225834203E-2</v>
      </c>
      <c r="L1458">
        <v>1712.17581918008</v>
      </c>
      <c r="M1458">
        <v>31.811735688289701</v>
      </c>
      <c r="N1458">
        <v>54.1623164801032</v>
      </c>
      <c r="O1458">
        <v>53.610796767072898</v>
      </c>
      <c r="P1458">
        <v>-0.134913422483326</v>
      </c>
      <c r="Q1458">
        <v>9.0552144184275304E-2</v>
      </c>
      <c r="R1458">
        <v>0.982651805934595</v>
      </c>
      <c r="S1458" t="s">
        <v>7284</v>
      </c>
      <c r="T1458" t="s">
        <v>11650</v>
      </c>
      <c r="U1458" t="s">
        <v>11650</v>
      </c>
      <c r="V1458" t="s">
        <v>11650</v>
      </c>
      <c r="W1458" t="s">
        <v>13079</v>
      </c>
      <c r="X1458">
        <v>37</v>
      </c>
      <c r="Y1458" t="s">
        <v>18824</v>
      </c>
      <c r="Z1458" t="s">
        <v>24520</v>
      </c>
      <c r="AA1458">
        <v>0.51488808129344066</v>
      </c>
      <c r="AB1458" t="str">
        <f>HYPERLINK("Melting_Curves/meltCurve_O75083_WDR1.pdf", "Melting_Curves/meltCurve_O75083_WDR1.pdf")</f>
        <v>Melting_Curves/meltCurve_O75083_WDR1.pdf</v>
      </c>
    </row>
    <row r="1459" spans="1:28" x14ac:dyDescent="0.25">
      <c r="A1459" t="s">
        <v>1463</v>
      </c>
      <c r="B1459">
        <v>0.99996721820229495</v>
      </c>
      <c r="C1459">
        <v>0.88052359874389996</v>
      </c>
      <c r="D1459">
        <v>0.96666595632035701</v>
      </c>
      <c r="E1459">
        <v>1.1298305230615899</v>
      </c>
      <c r="F1459">
        <v>1.5225729097907801</v>
      </c>
      <c r="G1459">
        <v>1.5557054621723501</v>
      </c>
      <c r="H1459">
        <v>1.04389014042148</v>
      </c>
      <c r="I1459">
        <v>0.57532201215879597</v>
      </c>
      <c r="J1459">
        <v>0.31222303985189898</v>
      </c>
      <c r="K1459">
        <v>0.28357492735593798</v>
      </c>
      <c r="L1459">
        <v>15000</v>
      </c>
      <c r="M1459">
        <v>234.800738333136</v>
      </c>
      <c r="N1459">
        <v>64.131359560839897</v>
      </c>
      <c r="O1459">
        <v>63.879321377764597</v>
      </c>
      <c r="P1459">
        <v>-0.645183572053601</v>
      </c>
      <c r="Q1459">
        <v>0.29789166825894198</v>
      </c>
      <c r="R1459">
        <v>0.643548261771138</v>
      </c>
      <c r="S1459" t="s">
        <v>7285</v>
      </c>
      <c r="T1459" t="s">
        <v>11650</v>
      </c>
      <c r="U1459" t="s">
        <v>11650</v>
      </c>
      <c r="V1459" t="s">
        <v>11650</v>
      </c>
      <c r="W1459" t="s">
        <v>13080</v>
      </c>
      <c r="X1459">
        <v>9</v>
      </c>
      <c r="Y1459" t="s">
        <v>18825</v>
      </c>
      <c r="Z1459" t="s">
        <v>24521</v>
      </c>
      <c r="AA1459">
        <v>0.85695172210394099</v>
      </c>
      <c r="AB1459" t="str">
        <f>HYPERLINK("Melting_Curves/meltCurve_O75084_FZD7.pdf", "Melting_Curves/meltCurve_O75084_FZD7.pdf")</f>
        <v>Melting_Curves/meltCurve_O75084_FZD7.pdf</v>
      </c>
    </row>
    <row r="1460" spans="1:28" x14ac:dyDescent="0.25">
      <c r="A1460" t="s">
        <v>1464</v>
      </c>
      <c r="B1460">
        <v>0.99996721820229495</v>
      </c>
      <c r="C1460">
        <v>0.68639142056931102</v>
      </c>
      <c r="D1460">
        <v>0.78345501500677495</v>
      </c>
      <c r="E1460">
        <v>0.98903037287300599</v>
      </c>
      <c r="F1460">
        <v>0.65059965366457295</v>
      </c>
      <c r="G1460">
        <v>0.54880501084644595</v>
      </c>
      <c r="H1460">
        <v>0.54200675857185499</v>
      </c>
      <c r="I1460">
        <v>0.32283005335195197</v>
      </c>
      <c r="J1460">
        <v>0.23024206464371999</v>
      </c>
      <c r="K1460">
        <v>0.38839895924977103</v>
      </c>
      <c r="L1460">
        <v>347.25262335717298</v>
      </c>
      <c r="M1460">
        <v>5.8174381238748296</v>
      </c>
      <c r="N1460">
        <v>59.691683761386798</v>
      </c>
      <c r="O1460">
        <v>53.7720478515308</v>
      </c>
      <c r="P1460">
        <v>-2.71445175895875E-2</v>
      </c>
      <c r="Q1460">
        <v>0</v>
      </c>
      <c r="R1460">
        <v>0.76503872500417902</v>
      </c>
      <c r="S1460" t="s">
        <v>7286</v>
      </c>
      <c r="T1460" t="s">
        <v>11650</v>
      </c>
      <c r="U1460" t="s">
        <v>11650</v>
      </c>
      <c r="V1460" t="s">
        <v>11650</v>
      </c>
      <c r="W1460" t="s">
        <v>13081</v>
      </c>
      <c r="X1460">
        <v>1</v>
      </c>
      <c r="Y1460" t="s">
        <v>18826</v>
      </c>
      <c r="Z1460" t="s">
        <v>24522</v>
      </c>
      <c r="AA1460">
        <v>0.62438766380369304</v>
      </c>
      <c r="AB1460" t="str">
        <f>HYPERLINK("Melting_Curves/meltCurve_O75095_2_MEGF6.pdf", "Melting_Curves/meltCurve_O75095_2_MEGF6.pdf")</f>
        <v>Melting_Curves/meltCurve_O75095_2_MEGF6.pdf</v>
      </c>
    </row>
    <row r="1461" spans="1:28" x14ac:dyDescent="0.25">
      <c r="A1461" t="s">
        <v>1465</v>
      </c>
      <c r="B1461">
        <v>0.99996721820229495</v>
      </c>
      <c r="C1461">
        <v>0.71473438132287703</v>
      </c>
      <c r="D1461">
        <v>1.07629622722206</v>
      </c>
      <c r="E1461">
        <v>1.3281388386834101</v>
      </c>
      <c r="F1461">
        <v>1.8572666920316201</v>
      </c>
      <c r="G1461">
        <v>2.08806606069147</v>
      </c>
      <c r="H1461">
        <v>1.5037106986416</v>
      </c>
      <c r="I1461">
        <v>0.71412386940442796</v>
      </c>
      <c r="J1461">
        <v>0.26753969492195701</v>
      </c>
      <c r="K1461">
        <v>0.31156296735802802</v>
      </c>
      <c r="L1461">
        <v>15000</v>
      </c>
      <c r="M1461">
        <v>233.97938214668699</v>
      </c>
      <c r="N1461">
        <v>64.346176596835207</v>
      </c>
      <c r="O1461">
        <v>64.103522792642707</v>
      </c>
      <c r="P1461">
        <v>-0.64830182400662595</v>
      </c>
      <c r="Q1461">
        <v>0.28953680455159098</v>
      </c>
      <c r="R1461">
        <v>0.300408901084321</v>
      </c>
      <c r="S1461" t="s">
        <v>7287</v>
      </c>
      <c r="T1461" t="s">
        <v>11650</v>
      </c>
      <c r="U1461" t="s">
        <v>11650</v>
      </c>
      <c r="V1461" t="s">
        <v>11650</v>
      </c>
      <c r="W1461" t="s">
        <v>13082</v>
      </c>
      <c r="X1461">
        <v>7</v>
      </c>
      <c r="Y1461" t="s">
        <v>18827</v>
      </c>
      <c r="Z1461" t="s">
        <v>24523</v>
      </c>
      <c r="AA1461">
        <v>0.86056132293559051</v>
      </c>
      <c r="AB1461" t="str">
        <f>HYPERLINK("Melting_Curves/meltCurve_O75110_ATP9A.pdf", "Melting_Curves/meltCurve_O75110_ATP9A.pdf")</f>
        <v>Melting_Curves/meltCurve_O75110_ATP9A.pdf</v>
      </c>
    </row>
    <row r="1462" spans="1:28" x14ac:dyDescent="0.25">
      <c r="A1462" t="s">
        <v>1466</v>
      </c>
      <c r="B1462">
        <v>0.99996721820229495</v>
      </c>
      <c r="C1462">
        <v>1.0404648068935001</v>
      </c>
      <c r="D1462">
        <v>0.92943367985467895</v>
      </c>
      <c r="E1462">
        <v>0.59549934885928102</v>
      </c>
      <c r="F1462">
        <v>0.36813409077142401</v>
      </c>
      <c r="G1462">
        <v>0.306860342452415</v>
      </c>
      <c r="H1462">
        <v>0.19690700714234499</v>
      </c>
      <c r="I1462">
        <v>6.8071773283181702E-2</v>
      </c>
      <c r="J1462">
        <v>3.7594432993203801E-2</v>
      </c>
      <c r="K1462">
        <v>5.3208905166050001E-2</v>
      </c>
      <c r="L1462">
        <v>826.961491999244</v>
      </c>
      <c r="M1462">
        <v>16.069299941164701</v>
      </c>
      <c r="N1462">
        <v>51.871915068370903</v>
      </c>
      <c r="O1462">
        <v>50.685019274267198</v>
      </c>
      <c r="P1462">
        <v>-7.4542414013741204E-2</v>
      </c>
      <c r="Q1462">
        <v>5.9600197031045701E-2</v>
      </c>
      <c r="R1462">
        <v>0.98080119532324195</v>
      </c>
      <c r="S1462" t="s">
        <v>7288</v>
      </c>
      <c r="T1462" t="s">
        <v>11650</v>
      </c>
      <c r="U1462" t="s">
        <v>11650</v>
      </c>
      <c r="V1462" t="s">
        <v>11650</v>
      </c>
      <c r="W1462" t="s">
        <v>13083</v>
      </c>
      <c r="X1462">
        <v>10</v>
      </c>
      <c r="Y1462" t="s">
        <v>18828</v>
      </c>
      <c r="Z1462" t="s">
        <v>24524</v>
      </c>
      <c r="AA1462">
        <v>0.43803766264191141</v>
      </c>
      <c r="AB1462" t="str">
        <f>HYPERLINK("Melting_Curves/meltCurve_O75113_N4BP1.pdf", "Melting_Curves/meltCurve_O75113_N4BP1.pdf")</f>
        <v>Melting_Curves/meltCurve_O75113_N4BP1.pdf</v>
      </c>
    </row>
    <row r="1463" spans="1:28" x14ac:dyDescent="0.25">
      <c r="A1463" t="s">
        <v>1467</v>
      </c>
      <c r="B1463">
        <v>0.99996721820229495</v>
      </c>
      <c r="C1463">
        <v>0.90728460316472803</v>
      </c>
      <c r="D1463">
        <v>1.04913351351213</v>
      </c>
      <c r="E1463">
        <v>0.91355535368345198</v>
      </c>
      <c r="F1463">
        <v>0.50206225711814301</v>
      </c>
      <c r="G1463">
        <v>0.35952935788683199</v>
      </c>
      <c r="H1463">
        <v>0.206782592240805</v>
      </c>
      <c r="I1463">
        <v>0.14293716196605999</v>
      </c>
      <c r="J1463">
        <v>0.111931294300189</v>
      </c>
      <c r="K1463">
        <v>9.56606988428019E-2</v>
      </c>
      <c r="L1463">
        <v>1183.3016215658799</v>
      </c>
      <c r="M1463">
        <v>22.158091128906602</v>
      </c>
      <c r="N1463">
        <v>54.0873460711096</v>
      </c>
      <c r="O1463">
        <v>52.973435514067504</v>
      </c>
      <c r="P1463">
        <v>-9.1785471108367295E-2</v>
      </c>
      <c r="Q1463">
        <v>0.12229150787097701</v>
      </c>
      <c r="R1463">
        <v>0.97605507382604695</v>
      </c>
      <c r="S1463" t="s">
        <v>7289</v>
      </c>
      <c r="T1463" t="s">
        <v>11650</v>
      </c>
      <c r="U1463" t="s">
        <v>11650</v>
      </c>
      <c r="V1463" t="s">
        <v>11650</v>
      </c>
      <c r="W1463" t="s">
        <v>13084</v>
      </c>
      <c r="X1463">
        <v>44</v>
      </c>
      <c r="Y1463" t="s">
        <v>18829</v>
      </c>
      <c r="Z1463" t="s">
        <v>24525</v>
      </c>
      <c r="AA1463">
        <v>0.52449600195318047</v>
      </c>
      <c r="AB1463" t="str">
        <f>HYPERLINK("Melting_Curves/meltCurve_O75116_ROCK2.pdf", "Melting_Curves/meltCurve_O75116_ROCK2.pdf")</f>
        <v>Melting_Curves/meltCurve_O75116_ROCK2.pdf</v>
      </c>
    </row>
    <row r="1464" spans="1:28" x14ac:dyDescent="0.25">
      <c r="A1464" t="s">
        <v>1468</v>
      </c>
      <c r="B1464">
        <v>0.99996721820229495</v>
      </c>
      <c r="C1464">
        <v>1.05109486457917</v>
      </c>
      <c r="D1464">
        <v>1.01793596937345</v>
      </c>
      <c r="E1464">
        <v>0.91978495731834198</v>
      </c>
      <c r="F1464">
        <v>0.33210251965854698</v>
      </c>
      <c r="G1464">
        <v>0.25170220314070402</v>
      </c>
      <c r="H1464">
        <v>0.143068505276751</v>
      </c>
      <c r="I1464">
        <v>9.6887278298828497E-2</v>
      </c>
      <c r="J1464">
        <v>7.4179021860416403E-2</v>
      </c>
      <c r="K1464">
        <v>5.54392888868631E-2</v>
      </c>
      <c r="L1464">
        <v>2861.76258227272</v>
      </c>
      <c r="M1464">
        <v>55.083575700453899</v>
      </c>
      <c r="N1464">
        <v>52.216577228896803</v>
      </c>
      <c r="O1464">
        <v>51.884747684946099</v>
      </c>
      <c r="P1464">
        <v>-0.233210712822989</v>
      </c>
      <c r="Q1464">
        <v>0.121329723177142</v>
      </c>
      <c r="R1464">
        <v>0.985121128955184</v>
      </c>
      <c r="S1464" t="s">
        <v>7290</v>
      </c>
      <c r="T1464" t="s">
        <v>11650</v>
      </c>
      <c r="U1464" t="s">
        <v>11650</v>
      </c>
      <c r="V1464" t="s">
        <v>11650</v>
      </c>
      <c r="W1464" t="s">
        <v>13085</v>
      </c>
      <c r="X1464">
        <v>33</v>
      </c>
      <c r="Y1464" t="s">
        <v>18830</v>
      </c>
      <c r="Z1464" t="s">
        <v>24526</v>
      </c>
      <c r="AA1464">
        <v>0.47308164416599913</v>
      </c>
      <c r="AB1464" t="str">
        <f>HYPERLINK("Melting_Curves/meltCurve_O75131_CPNE3.pdf", "Melting_Curves/meltCurve_O75131_CPNE3.pdf")</f>
        <v>Melting_Curves/meltCurve_O75131_CPNE3.pdf</v>
      </c>
    </row>
    <row r="1465" spans="1:28" x14ac:dyDescent="0.25">
      <c r="A1465" t="s">
        <v>1469</v>
      </c>
      <c r="B1465">
        <v>0.99996721820229495</v>
      </c>
      <c r="C1465">
        <v>0.97347092961904502</v>
      </c>
      <c r="D1465">
        <v>0.91782222363080701</v>
      </c>
      <c r="E1465">
        <v>0.90757737646335002</v>
      </c>
      <c r="F1465">
        <v>1.1312881499134499</v>
      </c>
      <c r="G1465">
        <v>1.2413320203852101</v>
      </c>
      <c r="H1465">
        <v>1.1094028637233799</v>
      </c>
      <c r="I1465">
        <v>1.04944003289465</v>
      </c>
      <c r="J1465">
        <v>0.74640638505065804</v>
      </c>
      <c r="K1465">
        <v>0.43699607713343402</v>
      </c>
      <c r="L1465">
        <v>15000</v>
      </c>
      <c r="M1465">
        <v>223.68147515214</v>
      </c>
      <c r="N1465">
        <v>67.686219648066597</v>
      </c>
      <c r="O1465">
        <v>67.054278393217601</v>
      </c>
      <c r="P1465">
        <v>-0.46956066891833498</v>
      </c>
      <c r="Q1465">
        <v>0.43694838486684201</v>
      </c>
      <c r="R1465">
        <v>0.77155214152759799</v>
      </c>
      <c r="S1465" t="s">
        <v>7291</v>
      </c>
      <c r="T1465" t="s">
        <v>11650</v>
      </c>
      <c r="U1465" t="s">
        <v>11650</v>
      </c>
      <c r="V1465" t="s">
        <v>11650</v>
      </c>
      <c r="W1465" t="s">
        <v>13086</v>
      </c>
      <c r="X1465">
        <v>7</v>
      </c>
      <c r="Y1465" t="s">
        <v>18831</v>
      </c>
      <c r="Z1465" t="s">
        <v>24527</v>
      </c>
      <c r="AA1465">
        <v>0.94489651845580902</v>
      </c>
      <c r="AB1465" t="str">
        <f>HYPERLINK("Melting_Curves/meltCurve_O75143_2_ATG13.pdf", "Melting_Curves/meltCurve_O75143_2_ATG13.pdf")</f>
        <v>Melting_Curves/meltCurve_O75143_2_ATG13.pdf</v>
      </c>
    </row>
    <row r="1466" spans="1:28" x14ac:dyDescent="0.25">
      <c r="A1466" t="s">
        <v>1470</v>
      </c>
      <c r="B1466">
        <v>0.99996721820229495</v>
      </c>
      <c r="C1466">
        <v>0.97793480855367299</v>
      </c>
      <c r="D1466">
        <v>1.0365272606732301</v>
      </c>
      <c r="E1466">
        <v>1.15159220254117</v>
      </c>
      <c r="F1466">
        <v>0.38895044385531102</v>
      </c>
      <c r="G1466">
        <v>0.38544536119008199</v>
      </c>
      <c r="H1466">
        <v>0.225813251311936</v>
      </c>
      <c r="I1466">
        <v>0.19737868948755399</v>
      </c>
      <c r="J1466">
        <v>0.105813565998994</v>
      </c>
      <c r="K1466">
        <v>0.144278380400755</v>
      </c>
      <c r="L1466">
        <v>13184.3931715365</v>
      </c>
      <c r="M1466">
        <v>250</v>
      </c>
      <c r="N1466">
        <v>52.8540056240751</v>
      </c>
      <c r="O1466">
        <v>52.734197848146003</v>
      </c>
      <c r="P1466">
        <v>-0.93423043475051104</v>
      </c>
      <c r="Q1466">
        <v>0.211745719865542</v>
      </c>
      <c r="R1466">
        <v>0.95627653199391605</v>
      </c>
      <c r="S1466" t="s">
        <v>7292</v>
      </c>
      <c r="T1466" t="s">
        <v>11650</v>
      </c>
      <c r="U1466" t="s">
        <v>11650</v>
      </c>
      <c r="V1466" t="s">
        <v>11650</v>
      </c>
      <c r="W1466" t="s">
        <v>13087</v>
      </c>
      <c r="X1466">
        <v>8</v>
      </c>
      <c r="Y1466" t="s">
        <v>18832</v>
      </c>
      <c r="Z1466" t="s">
        <v>24528</v>
      </c>
      <c r="AA1466">
        <v>0.54650021526469805</v>
      </c>
      <c r="AB1466" t="str">
        <f>HYPERLINK("Melting_Curves/meltCurve_O75146_HIP1R.pdf", "Melting_Curves/meltCurve_O75146_HIP1R.pdf")</f>
        <v>Melting_Curves/meltCurve_O75146_HIP1R.pdf</v>
      </c>
    </row>
    <row r="1467" spans="1:28" x14ac:dyDescent="0.25">
      <c r="A1467" t="s">
        <v>1471</v>
      </c>
      <c r="B1467">
        <v>0.99996721820229495</v>
      </c>
      <c r="C1467">
        <v>0.80617714951608699</v>
      </c>
      <c r="D1467">
        <v>0.56527316207765299</v>
      </c>
      <c r="E1467">
        <v>0.43244827146720599</v>
      </c>
      <c r="F1467">
        <v>0.45446302293517798</v>
      </c>
      <c r="G1467">
        <v>0.48048830691871502</v>
      </c>
      <c r="H1467">
        <v>0.29564092907007</v>
      </c>
      <c r="I1467">
        <v>0.44071468688205701</v>
      </c>
      <c r="J1467">
        <v>0.30748228003734301</v>
      </c>
      <c r="K1467">
        <v>0.21557477859233501</v>
      </c>
      <c r="L1467">
        <v>828.18868540657195</v>
      </c>
      <c r="M1467">
        <v>18.438770485649201</v>
      </c>
      <c r="N1467">
        <v>48.0704379064303</v>
      </c>
      <c r="O1467">
        <v>44.397309464526799</v>
      </c>
      <c r="P1467">
        <v>-6.7395879751497495E-2</v>
      </c>
      <c r="Q1467">
        <v>0.35091952585458602</v>
      </c>
      <c r="R1467">
        <v>0.89327955995310204</v>
      </c>
      <c r="S1467" t="s">
        <v>7293</v>
      </c>
      <c r="T1467" t="s">
        <v>11650</v>
      </c>
      <c r="U1467" t="s">
        <v>11650</v>
      </c>
      <c r="V1467" t="s">
        <v>11650</v>
      </c>
      <c r="W1467" t="s">
        <v>13088</v>
      </c>
      <c r="X1467">
        <v>1</v>
      </c>
      <c r="Y1467" t="s">
        <v>18833</v>
      </c>
      <c r="Z1467" t="s">
        <v>24529</v>
      </c>
      <c r="AA1467">
        <v>0.4706563288824232</v>
      </c>
      <c r="AB1467" t="str">
        <f>HYPERLINK("Melting_Curves/meltCurve_O75150_3_RNF40.pdf", "Melting_Curves/meltCurve_O75150_3_RNF40.pdf")</f>
        <v>Melting_Curves/meltCurve_O75150_3_RNF40.pdf</v>
      </c>
    </row>
    <row r="1468" spans="1:28" x14ac:dyDescent="0.25">
      <c r="A1468" t="s">
        <v>1472</v>
      </c>
      <c r="B1468">
        <v>0.99996721820229495</v>
      </c>
      <c r="C1468">
        <v>1.1657118290500901</v>
      </c>
      <c r="D1468">
        <v>1.14769945040248</v>
      </c>
      <c r="E1468">
        <v>0.80721723486480701</v>
      </c>
      <c r="F1468">
        <v>1.08406074391759</v>
      </c>
      <c r="G1468">
        <v>0.62441502902556301</v>
      </c>
      <c r="H1468">
        <v>0.347505279804603</v>
      </c>
      <c r="I1468">
        <v>0.20562763536207301</v>
      </c>
      <c r="J1468">
        <v>0.124711004507535</v>
      </c>
      <c r="K1468">
        <v>0.11003044547751401</v>
      </c>
      <c r="L1468">
        <v>1544.4676367091899</v>
      </c>
      <c r="M1468">
        <v>26.517210454699001</v>
      </c>
      <c r="N1468">
        <v>58.808726280551603</v>
      </c>
      <c r="O1468">
        <v>57.915752575741102</v>
      </c>
      <c r="P1468">
        <v>-0.101599267072053</v>
      </c>
      <c r="Q1468">
        <v>0.112405069009112</v>
      </c>
      <c r="R1468">
        <v>0.936601790620473</v>
      </c>
      <c r="S1468" t="s">
        <v>7294</v>
      </c>
      <c r="T1468" t="s">
        <v>11650</v>
      </c>
      <c r="U1468" t="s">
        <v>11650</v>
      </c>
      <c r="V1468" t="s">
        <v>11650</v>
      </c>
      <c r="W1468" t="s">
        <v>13089</v>
      </c>
      <c r="X1468">
        <v>9</v>
      </c>
      <c r="Y1468" t="s">
        <v>18834</v>
      </c>
      <c r="Z1468" t="s">
        <v>24530</v>
      </c>
      <c r="AA1468">
        <v>0.65920739258347916</v>
      </c>
      <c r="AB1468" t="str">
        <f>HYPERLINK("Melting_Curves/meltCurve_O75155_CAND2.pdf", "Melting_Curves/meltCurve_O75155_CAND2.pdf")</f>
        <v>Melting_Curves/meltCurve_O75155_CAND2.pdf</v>
      </c>
    </row>
    <row r="1469" spans="1:28" x14ac:dyDescent="0.25">
      <c r="A1469" t="s">
        <v>1473</v>
      </c>
      <c r="B1469">
        <v>0.99996721820229495</v>
      </c>
      <c r="C1469">
        <v>0.95502983122194396</v>
      </c>
      <c r="D1469">
        <v>0.955135082689199</v>
      </c>
      <c r="E1469">
        <v>1.00197649940665</v>
      </c>
      <c r="F1469">
        <v>1.1456086786003301</v>
      </c>
      <c r="G1469">
        <v>1.14541082193712</v>
      </c>
      <c r="H1469">
        <v>0.84223515987650399</v>
      </c>
      <c r="I1469">
        <v>0.79212157522083604</v>
      </c>
      <c r="J1469">
        <v>0.69553271898982905</v>
      </c>
      <c r="K1469">
        <v>0.54662897568676905</v>
      </c>
      <c r="L1469">
        <v>1634.87124910323</v>
      </c>
      <c r="M1469">
        <v>25.181405789862701</v>
      </c>
      <c r="O1469">
        <v>64.518469349070699</v>
      </c>
      <c r="P1469">
        <v>-4.8899089004153497E-2</v>
      </c>
      <c r="Q1469">
        <v>0.498859990820128</v>
      </c>
      <c r="R1469">
        <v>0.82010781478960204</v>
      </c>
      <c r="S1469" t="s">
        <v>7295</v>
      </c>
      <c r="T1469" t="s">
        <v>11650</v>
      </c>
      <c r="U1469" t="s">
        <v>11650</v>
      </c>
      <c r="V1469" t="s">
        <v>11650</v>
      </c>
      <c r="W1469" t="s">
        <v>13090</v>
      </c>
      <c r="X1469">
        <v>17</v>
      </c>
      <c r="Y1469" t="s">
        <v>18835</v>
      </c>
      <c r="Z1469" t="s">
        <v>24531</v>
      </c>
      <c r="AA1469">
        <v>0.91271221691068338</v>
      </c>
      <c r="AB1469" t="str">
        <f>HYPERLINK("Melting_Curves/meltCurve_O75157_2_TSC22D2.pdf", "Melting_Curves/meltCurve_O75157_2_TSC22D2.pdf")</f>
        <v>Melting_Curves/meltCurve_O75157_2_TSC22D2.pdf</v>
      </c>
    </row>
    <row r="1470" spans="1:28" x14ac:dyDescent="0.25">
      <c r="A1470" t="s">
        <v>1474</v>
      </c>
      <c r="B1470">
        <v>0.99996721820229495</v>
      </c>
      <c r="C1470">
        <v>1.10425642248811</v>
      </c>
      <c r="D1470">
        <v>1.23542529395735</v>
      </c>
      <c r="E1470">
        <v>1.5723247939688501</v>
      </c>
      <c r="F1470">
        <v>1.29960863596511</v>
      </c>
      <c r="G1470">
        <v>1.24158604467054</v>
      </c>
      <c r="H1470">
        <v>0.65686752220427302</v>
      </c>
      <c r="I1470">
        <v>0.293285479411933</v>
      </c>
      <c r="J1470">
        <v>0.14552063403245699</v>
      </c>
      <c r="K1470">
        <v>7.4567017141427896E-2</v>
      </c>
      <c r="L1470">
        <v>3062.0451020235801</v>
      </c>
      <c r="M1470">
        <v>49.525135155966097</v>
      </c>
      <c r="N1470">
        <v>62.144943744275601</v>
      </c>
      <c r="O1470">
        <v>61.7275458543631</v>
      </c>
      <c r="P1470">
        <v>-0.17820196174130101</v>
      </c>
      <c r="Q1470">
        <v>0.11156549649462701</v>
      </c>
      <c r="R1470">
        <v>0.78323628223679798</v>
      </c>
      <c r="S1470" t="s">
        <v>7296</v>
      </c>
      <c r="T1470" t="s">
        <v>11650</v>
      </c>
      <c r="U1470" t="s">
        <v>11650</v>
      </c>
      <c r="V1470" t="s">
        <v>11650</v>
      </c>
      <c r="W1470" t="s">
        <v>13091</v>
      </c>
      <c r="X1470">
        <v>4</v>
      </c>
      <c r="Y1470" t="s">
        <v>18836</v>
      </c>
      <c r="Z1470" t="s">
        <v>24532</v>
      </c>
      <c r="AA1470">
        <v>0.7603103182240456</v>
      </c>
      <c r="AB1470" t="str">
        <f>HYPERLINK("Melting_Curves/meltCurve_O75165_DNAJC13.pdf", "Melting_Curves/meltCurve_O75165_DNAJC13.pdf")</f>
        <v>Melting_Curves/meltCurve_O75165_DNAJC13.pdf</v>
      </c>
    </row>
    <row r="1471" spans="1:28" x14ac:dyDescent="0.25">
      <c r="A1471" t="s">
        <v>1475</v>
      </c>
      <c r="B1471">
        <v>0.99996721820229495</v>
      </c>
      <c r="C1471">
        <v>1.03404905650615</v>
      </c>
      <c r="D1471">
        <v>1.05617867831947</v>
      </c>
      <c r="E1471">
        <v>1.1561222770147801</v>
      </c>
      <c r="F1471">
        <v>1.70529705212243</v>
      </c>
      <c r="G1471">
        <v>1.21599587482243</v>
      </c>
      <c r="H1471">
        <v>0.50104586240232496</v>
      </c>
      <c r="I1471">
        <v>0.41557943725350699</v>
      </c>
      <c r="J1471">
        <v>0.35882181946340103</v>
      </c>
      <c r="K1471">
        <v>0.22911055416363299</v>
      </c>
      <c r="L1471">
        <v>9357.8192188229696</v>
      </c>
      <c r="M1471">
        <v>154.50206633215899</v>
      </c>
      <c r="N1471">
        <v>61.003919210846902</v>
      </c>
      <c r="O1471">
        <v>60.557452803422798</v>
      </c>
      <c r="P1471">
        <v>-0.42454123101503999</v>
      </c>
      <c r="Q1471">
        <v>0.33440022091919902</v>
      </c>
      <c r="R1471">
        <v>0.70334070537975402</v>
      </c>
      <c r="S1471" t="s">
        <v>7297</v>
      </c>
      <c r="T1471" t="s">
        <v>11650</v>
      </c>
      <c r="U1471" t="s">
        <v>11650</v>
      </c>
      <c r="V1471" t="s">
        <v>11650</v>
      </c>
      <c r="W1471" t="s">
        <v>13092</v>
      </c>
      <c r="X1471">
        <v>13</v>
      </c>
      <c r="Y1471" t="s">
        <v>18837</v>
      </c>
      <c r="Z1471" t="s">
        <v>24533</v>
      </c>
      <c r="AA1471">
        <v>0.7909118433989818</v>
      </c>
      <c r="AB1471" t="str">
        <f>HYPERLINK("Melting_Curves/meltCurve_O75170_4_PPP6R2.pdf", "Melting_Curves/meltCurve_O75170_4_PPP6R2.pdf")</f>
        <v>Melting_Curves/meltCurve_O75170_4_PPP6R2.pdf</v>
      </c>
    </row>
    <row r="1472" spans="1:28" x14ac:dyDescent="0.25">
      <c r="A1472" t="s">
        <v>1476</v>
      </c>
      <c r="B1472">
        <v>0.99996721820229495</v>
      </c>
      <c r="C1472">
        <v>1.0061918353575601</v>
      </c>
      <c r="D1472">
        <v>0.97176568541349795</v>
      </c>
      <c r="E1472">
        <v>1.0105614857827701</v>
      </c>
      <c r="F1472">
        <v>0.97275556499003102</v>
      </c>
      <c r="G1472">
        <v>0.69915612502382696</v>
      </c>
      <c r="H1472">
        <v>0.38740706374522799</v>
      </c>
      <c r="I1472">
        <v>0.32498180345538402</v>
      </c>
      <c r="J1472">
        <v>0.219306187101663</v>
      </c>
      <c r="K1472">
        <v>0.177326843543162</v>
      </c>
      <c r="L1472">
        <v>1436.3752066043901</v>
      </c>
      <c r="M1472">
        <v>24.584338562819799</v>
      </c>
      <c r="N1472">
        <v>59.5872594967189</v>
      </c>
      <c r="O1472">
        <v>58.043964150638402</v>
      </c>
      <c r="P1472">
        <v>-8.5740093317122804E-2</v>
      </c>
      <c r="Q1472">
        <v>0.19027744223867499</v>
      </c>
      <c r="R1472">
        <v>0.99476664269596704</v>
      </c>
      <c r="S1472" t="s">
        <v>7298</v>
      </c>
      <c r="T1472" t="s">
        <v>11650</v>
      </c>
      <c r="U1472" t="s">
        <v>11650</v>
      </c>
      <c r="V1472" t="s">
        <v>11650</v>
      </c>
      <c r="W1472" t="s">
        <v>13093</v>
      </c>
      <c r="X1472">
        <v>7</v>
      </c>
      <c r="Y1472" t="s">
        <v>18838</v>
      </c>
      <c r="Z1472" t="s">
        <v>24534</v>
      </c>
      <c r="AA1472">
        <v>0.69466329781296787</v>
      </c>
      <c r="AB1472" t="str">
        <f>HYPERLINK("Melting_Curves/meltCurve_O75175_2_CNOT3.pdf", "Melting_Curves/meltCurve_O75175_2_CNOT3.pdf")</f>
        <v>Melting_Curves/meltCurve_O75175_2_CNOT3.pdf</v>
      </c>
    </row>
    <row r="1473" spans="1:28" x14ac:dyDescent="0.25">
      <c r="A1473" t="s">
        <v>1477</v>
      </c>
      <c r="B1473">
        <v>0.99996721820229495</v>
      </c>
      <c r="C1473">
        <v>0.94426941728015601</v>
      </c>
      <c r="D1473">
        <v>0.79686365882344901</v>
      </c>
      <c r="E1473">
        <v>1.13249580657433</v>
      </c>
      <c r="F1473">
        <v>1.06044467337851</v>
      </c>
      <c r="G1473">
        <v>0.69913618067245098</v>
      </c>
      <c r="H1473">
        <v>0.68071574589341399</v>
      </c>
      <c r="I1473">
        <v>0.368319918936864</v>
      </c>
      <c r="J1473">
        <v>0.22502589252849001</v>
      </c>
      <c r="K1473">
        <v>0.18533589159237299</v>
      </c>
      <c r="L1473">
        <v>1126.3997988572501</v>
      </c>
      <c r="M1473">
        <v>18.219334169432699</v>
      </c>
      <c r="N1473">
        <v>62.324000258753003</v>
      </c>
      <c r="O1473">
        <v>61.094048310556602</v>
      </c>
      <c r="P1473">
        <v>-6.9492516387719305E-2</v>
      </c>
      <c r="Q1473">
        <v>6.7939715016604105E-2</v>
      </c>
      <c r="R1473">
        <v>0.90366907460453905</v>
      </c>
      <c r="S1473" t="s">
        <v>7299</v>
      </c>
      <c r="T1473" t="s">
        <v>11650</v>
      </c>
      <c r="U1473" t="s">
        <v>11650</v>
      </c>
      <c r="V1473" t="s">
        <v>11650</v>
      </c>
      <c r="W1473" t="s">
        <v>13094</v>
      </c>
      <c r="X1473">
        <v>1</v>
      </c>
      <c r="Y1473" t="s">
        <v>18839</v>
      </c>
      <c r="Z1473" t="s">
        <v>24535</v>
      </c>
      <c r="AA1473">
        <v>0.74826023095338989</v>
      </c>
      <c r="AB1473" t="str">
        <f>HYPERLINK("Melting_Curves/meltCurve_O75177_SS18L1.pdf", "Melting_Curves/meltCurve_O75177_SS18L1.pdf")</f>
        <v>Melting_Curves/meltCurve_O75177_SS18L1.pdf</v>
      </c>
    </row>
    <row r="1474" spans="1:28" x14ac:dyDescent="0.25">
      <c r="A1474" t="s">
        <v>1478</v>
      </c>
      <c r="B1474">
        <v>0.99996721820229495</v>
      </c>
      <c r="C1474">
        <v>1.05158751725417</v>
      </c>
      <c r="D1474">
        <v>1.0572300951412099</v>
      </c>
      <c r="E1474">
        <v>0.810812963236343</v>
      </c>
      <c r="F1474">
        <v>0.62460625418147098</v>
      </c>
      <c r="G1474">
        <v>0.61783842269119904</v>
      </c>
      <c r="H1474">
        <v>0.42771838457236799</v>
      </c>
      <c r="I1474">
        <v>0.28651082734271299</v>
      </c>
      <c r="J1474">
        <v>0.16824234074580699</v>
      </c>
      <c r="K1474">
        <v>0.119141702176949</v>
      </c>
      <c r="L1474">
        <v>617.62946241780003</v>
      </c>
      <c r="M1474">
        <v>10.607220123493301</v>
      </c>
      <c r="N1474">
        <v>58.2272642755267</v>
      </c>
      <c r="O1474">
        <v>56.272039815552901</v>
      </c>
      <c r="P1474">
        <v>-4.7143005606201202E-2</v>
      </c>
      <c r="Q1474">
        <v>0</v>
      </c>
      <c r="R1474">
        <v>0.96482160626387503</v>
      </c>
      <c r="S1474" t="s">
        <v>7300</v>
      </c>
      <c r="T1474" t="s">
        <v>11650</v>
      </c>
      <c r="U1474" t="s">
        <v>11650</v>
      </c>
      <c r="V1474" t="s">
        <v>11650</v>
      </c>
      <c r="W1474" t="s">
        <v>13095</v>
      </c>
      <c r="X1474">
        <v>10</v>
      </c>
      <c r="Y1474" t="s">
        <v>18840</v>
      </c>
      <c r="Z1474" t="s">
        <v>24536</v>
      </c>
      <c r="AA1474">
        <v>0.61733061892939933</v>
      </c>
      <c r="AB1474" t="str">
        <f>HYPERLINK("Melting_Curves/meltCurve_O75179_2_ANKRD17.pdf", "Melting_Curves/meltCurve_O75179_2_ANKRD17.pdf")</f>
        <v>Melting_Curves/meltCurve_O75179_2_ANKRD17.pdf</v>
      </c>
    </row>
    <row r="1475" spans="1:28" x14ac:dyDescent="0.25">
      <c r="A1475" t="s">
        <v>1479</v>
      </c>
      <c r="B1475">
        <v>0.99996721820229495</v>
      </c>
      <c r="C1475">
        <v>0.50392551926343598</v>
      </c>
      <c r="D1475">
        <v>0.37919955142709399</v>
      </c>
      <c r="E1475">
        <v>0.83860134251290597</v>
      </c>
      <c r="F1475">
        <v>0.27383939926399198</v>
      </c>
      <c r="G1475">
        <v>0.20436915243426601</v>
      </c>
      <c r="H1475">
        <v>0.14912264132427799</v>
      </c>
      <c r="I1475">
        <v>8.3359396288323701E-2</v>
      </c>
      <c r="J1475">
        <v>5.9076818767847199E-2</v>
      </c>
      <c r="K1475">
        <v>7.16235086725905E-2</v>
      </c>
      <c r="L1475">
        <v>360.97393284263597</v>
      </c>
      <c r="M1475">
        <v>7.5035590929926101</v>
      </c>
      <c r="N1475">
        <v>48.107029124229904</v>
      </c>
      <c r="O1475">
        <v>45.045806149934698</v>
      </c>
      <c r="P1475">
        <v>-4.1703826361343399E-2</v>
      </c>
      <c r="Q1475">
        <v>0</v>
      </c>
      <c r="R1475">
        <v>0.69982743168903705</v>
      </c>
      <c r="S1475" t="s">
        <v>7301</v>
      </c>
      <c r="T1475" t="s">
        <v>11650</v>
      </c>
      <c r="U1475" t="s">
        <v>11650</v>
      </c>
      <c r="V1475" t="s">
        <v>11650</v>
      </c>
      <c r="W1475" t="s">
        <v>13096</v>
      </c>
      <c r="X1475">
        <v>4</v>
      </c>
      <c r="Y1475" t="s">
        <v>18841</v>
      </c>
      <c r="Z1475" t="s">
        <v>24537</v>
      </c>
      <c r="AA1475">
        <v>0.34805925230487339</v>
      </c>
      <c r="AB1475" t="str">
        <f>HYPERLINK("Melting_Curves/meltCurve_O75191_XYLB.pdf", "Melting_Curves/meltCurve_O75191_XYLB.pdf")</f>
        <v>Melting_Curves/meltCurve_O75191_XYLB.pdf</v>
      </c>
    </row>
    <row r="1476" spans="1:28" x14ac:dyDescent="0.25">
      <c r="A1476" t="s">
        <v>1480</v>
      </c>
      <c r="B1476">
        <v>0.99996721820229495</v>
      </c>
      <c r="C1476">
        <v>0.94161717051267602</v>
      </c>
      <c r="D1476">
        <v>0.87971216750584602</v>
      </c>
      <c r="E1476">
        <v>0.80333435373359996</v>
      </c>
      <c r="F1476">
        <v>0.62892894471792005</v>
      </c>
      <c r="G1476">
        <v>0.58426429537535196</v>
      </c>
      <c r="H1476">
        <v>0.35491848669223602</v>
      </c>
      <c r="I1476">
        <v>0.21708143902303301</v>
      </c>
      <c r="J1476">
        <v>0.209339550955324</v>
      </c>
      <c r="K1476">
        <v>0.134389631397383</v>
      </c>
      <c r="L1476">
        <v>538.11237795070201</v>
      </c>
      <c r="M1476">
        <v>9.4252685327418408</v>
      </c>
      <c r="N1476">
        <v>57.092526600111697</v>
      </c>
      <c r="O1476">
        <v>54.699486264413103</v>
      </c>
      <c r="P1476">
        <v>-4.3103770676387702E-2</v>
      </c>
      <c r="Q1476">
        <v>0</v>
      </c>
      <c r="R1476">
        <v>0.98693547185156105</v>
      </c>
      <c r="S1476" t="s">
        <v>7302</v>
      </c>
      <c r="T1476" t="s">
        <v>11650</v>
      </c>
      <c r="U1476" t="s">
        <v>11650</v>
      </c>
      <c r="V1476" t="s">
        <v>11650</v>
      </c>
      <c r="W1476" t="s">
        <v>13097</v>
      </c>
      <c r="X1476">
        <v>4</v>
      </c>
      <c r="Y1476" t="s">
        <v>18842</v>
      </c>
      <c r="Z1476" t="s">
        <v>24538</v>
      </c>
      <c r="AA1476">
        <v>0.58424100647066246</v>
      </c>
      <c r="AB1476" t="str">
        <f>HYPERLINK("Melting_Curves/meltCurve_O75208_COQ9.pdf", "Melting_Curves/meltCurve_O75208_COQ9.pdf")</f>
        <v>Melting_Curves/meltCurve_O75208_COQ9.pdf</v>
      </c>
    </row>
    <row r="1477" spans="1:28" x14ac:dyDescent="0.25">
      <c r="A1477" t="s">
        <v>1481</v>
      </c>
      <c r="B1477">
        <v>0.99996721820229495</v>
      </c>
      <c r="C1477">
        <v>1.04533136834345</v>
      </c>
      <c r="D1477">
        <v>1.01630463891266</v>
      </c>
      <c r="E1477">
        <v>0.97778151157926196</v>
      </c>
      <c r="F1477">
        <v>1.01305458655027</v>
      </c>
      <c r="G1477">
        <v>0.81461754573570899</v>
      </c>
      <c r="H1477">
        <v>0.21551910812450201</v>
      </c>
      <c r="I1477">
        <v>0.12632332847729499</v>
      </c>
      <c r="J1477">
        <v>9.3488021297171695E-2</v>
      </c>
      <c r="K1477">
        <v>7.5190468214835507E-2</v>
      </c>
      <c r="L1477">
        <v>2752.1382363275202</v>
      </c>
      <c r="M1477">
        <v>46.919075493372802</v>
      </c>
      <c r="N1477">
        <v>58.907138599107299</v>
      </c>
      <c r="O1477">
        <v>58.550869709490698</v>
      </c>
      <c r="P1477">
        <v>-0.18224946472451201</v>
      </c>
      <c r="Q1477">
        <v>9.0275957338990701E-2</v>
      </c>
      <c r="R1477">
        <v>0.99789067178235902</v>
      </c>
      <c r="S1477" t="s">
        <v>7303</v>
      </c>
      <c r="T1477" t="s">
        <v>11650</v>
      </c>
      <c r="U1477" t="s">
        <v>11650</v>
      </c>
      <c r="V1477" t="s">
        <v>11650</v>
      </c>
      <c r="W1477" t="s">
        <v>13098</v>
      </c>
      <c r="X1477">
        <v>17</v>
      </c>
      <c r="Y1477" t="s">
        <v>18843</v>
      </c>
      <c r="Z1477" t="s">
        <v>24539</v>
      </c>
      <c r="AA1477">
        <v>0.65868394428766874</v>
      </c>
      <c r="AB1477" t="str">
        <f>HYPERLINK("Melting_Curves/meltCurve_O75223_GGCT.pdf", "Melting_Curves/meltCurve_O75223_GGCT.pdf")</f>
        <v>Melting_Curves/meltCurve_O75223_GGCT.pdf</v>
      </c>
    </row>
    <row r="1478" spans="1:28" x14ac:dyDescent="0.25">
      <c r="A1478" t="s">
        <v>1482</v>
      </c>
      <c r="B1478">
        <v>0.99996721820229495</v>
      </c>
      <c r="C1478">
        <v>1.1114053113239599</v>
      </c>
      <c r="D1478">
        <v>1.1109325327408499</v>
      </c>
      <c r="E1478">
        <v>1.07152014295954</v>
      </c>
      <c r="F1478">
        <v>1.23854866139367</v>
      </c>
      <c r="G1478">
        <v>1.0691562704070099</v>
      </c>
      <c r="H1478">
        <v>0.55512838521360097</v>
      </c>
      <c r="I1478">
        <v>0.33342960895673301</v>
      </c>
      <c r="J1478">
        <v>0.27173241375872798</v>
      </c>
      <c r="K1478">
        <v>0.13504181125583301</v>
      </c>
      <c r="L1478">
        <v>3179.1406212591</v>
      </c>
      <c r="M1478">
        <v>52.262265317644697</v>
      </c>
      <c r="N1478">
        <v>61.516580308256401</v>
      </c>
      <c r="O1478">
        <v>60.741661450025703</v>
      </c>
      <c r="P1478">
        <v>-0.16759563390490201</v>
      </c>
      <c r="Q1478">
        <v>0.22085062189534899</v>
      </c>
      <c r="R1478">
        <v>0.93062055317005399</v>
      </c>
      <c r="S1478" t="s">
        <v>7304</v>
      </c>
      <c r="T1478" t="s">
        <v>11650</v>
      </c>
      <c r="U1478" t="s">
        <v>11650</v>
      </c>
      <c r="V1478" t="s">
        <v>11650</v>
      </c>
      <c r="W1478" t="s">
        <v>13099</v>
      </c>
      <c r="X1478">
        <v>2</v>
      </c>
      <c r="Y1478" t="s">
        <v>18844</v>
      </c>
      <c r="Z1478" t="s">
        <v>24540</v>
      </c>
      <c r="AA1478">
        <v>0.76372153575822377</v>
      </c>
      <c r="AB1478" t="str">
        <f>HYPERLINK("Melting_Curves/meltCurve_O75298_2_RTN2.pdf", "Melting_Curves/meltCurve_O75298_2_RTN2.pdf")</f>
        <v>Melting_Curves/meltCurve_O75298_2_RTN2.pdf</v>
      </c>
    </row>
    <row r="1479" spans="1:28" x14ac:dyDescent="0.25">
      <c r="A1479" t="s">
        <v>1483</v>
      </c>
      <c r="B1479">
        <v>0.99996721820229495</v>
      </c>
      <c r="C1479">
        <v>0.99270186107971403</v>
      </c>
      <c r="D1479">
        <v>0.94435241973778095</v>
      </c>
      <c r="E1479">
        <v>0.94145225047750503</v>
      </c>
      <c r="F1479">
        <v>0.61783180226435297</v>
      </c>
      <c r="G1479">
        <v>0.36341999206706699</v>
      </c>
      <c r="H1479">
        <v>0.212460138946374</v>
      </c>
      <c r="I1479">
        <v>0.15447100885465001</v>
      </c>
      <c r="J1479">
        <v>0.116961589605851</v>
      </c>
      <c r="K1479">
        <v>9.9569062063505201E-2</v>
      </c>
      <c r="L1479">
        <v>1131.04097964371</v>
      </c>
      <c r="M1479">
        <v>20.823215731769601</v>
      </c>
      <c r="N1479">
        <v>54.965028730070102</v>
      </c>
      <c r="O1479">
        <v>53.822849821843299</v>
      </c>
      <c r="P1479">
        <v>-8.6186530152057295E-2</v>
      </c>
      <c r="Q1479">
        <v>0.10894148842106501</v>
      </c>
      <c r="R1479">
        <v>0.99332813679506604</v>
      </c>
      <c r="S1479" t="s">
        <v>7305</v>
      </c>
      <c r="T1479" t="s">
        <v>11650</v>
      </c>
      <c r="U1479" t="s">
        <v>11650</v>
      </c>
      <c r="V1479" t="s">
        <v>11650</v>
      </c>
      <c r="W1479" t="s">
        <v>13100</v>
      </c>
      <c r="X1479">
        <v>21</v>
      </c>
      <c r="Y1479" t="s">
        <v>18845</v>
      </c>
      <c r="Z1479" t="s">
        <v>24541</v>
      </c>
      <c r="AA1479">
        <v>0.54545734784511124</v>
      </c>
      <c r="AB1479" t="str">
        <f>HYPERLINK("Melting_Curves/meltCurve_O75312_ZNF259.pdf", "Melting_Curves/meltCurve_O75312_ZNF259.pdf")</f>
        <v>Melting_Curves/meltCurve_O75312_ZNF259.pdf</v>
      </c>
    </row>
    <row r="1480" spans="1:28" x14ac:dyDescent="0.25">
      <c r="A1480" t="s">
        <v>1484</v>
      </c>
      <c r="B1480">
        <v>0.99996721820229495</v>
      </c>
      <c r="C1480">
        <v>1.03110440969599</v>
      </c>
      <c r="D1480">
        <v>1.1548478586206301</v>
      </c>
      <c r="E1480">
        <v>1.5500695882142399</v>
      </c>
      <c r="F1480">
        <v>1.1764835735766701</v>
      </c>
      <c r="G1480">
        <v>0.54551891219955095</v>
      </c>
      <c r="H1480">
        <v>0.27601040443118102</v>
      </c>
      <c r="I1480">
        <v>0.171162691584239</v>
      </c>
      <c r="J1480">
        <v>0.11625224018984801</v>
      </c>
      <c r="K1480">
        <v>9.2425767530756403E-2</v>
      </c>
      <c r="L1480">
        <v>5485.1231545996898</v>
      </c>
      <c r="M1480">
        <v>96.397614742558901</v>
      </c>
      <c r="N1480">
        <v>57.135668316887603</v>
      </c>
      <c r="O1480">
        <v>56.876550846401898</v>
      </c>
      <c r="P1480">
        <v>-0.35445520615100001</v>
      </c>
      <c r="Q1480">
        <v>0.163456977694036</v>
      </c>
      <c r="R1480">
        <v>0.85140474280032896</v>
      </c>
      <c r="S1480" t="s">
        <v>7306</v>
      </c>
      <c r="T1480" t="s">
        <v>11650</v>
      </c>
      <c r="U1480" t="s">
        <v>11650</v>
      </c>
      <c r="V1480" t="s">
        <v>11650</v>
      </c>
      <c r="W1480" t="s">
        <v>13101</v>
      </c>
      <c r="X1480">
        <v>14</v>
      </c>
      <c r="Y1480" t="s">
        <v>18846</v>
      </c>
      <c r="Z1480" t="s">
        <v>24542</v>
      </c>
      <c r="AA1480">
        <v>0.63530072326810483</v>
      </c>
      <c r="AB1480" t="str">
        <f>HYPERLINK("Melting_Curves/meltCurve_O75323_GBAS.pdf", "Melting_Curves/meltCurve_O75323_GBAS.pdf")</f>
        <v>Melting_Curves/meltCurve_O75323_GBAS.pdf</v>
      </c>
    </row>
    <row r="1481" spans="1:28" x14ac:dyDescent="0.25">
      <c r="A1481" t="s">
        <v>1485</v>
      </c>
      <c r="B1481">
        <v>0.99996721820229495</v>
      </c>
      <c r="C1481">
        <v>0.93735831433519501</v>
      </c>
      <c r="D1481">
        <v>0.99664192759669601</v>
      </c>
      <c r="E1481">
        <v>1.13930454963289</v>
      </c>
      <c r="F1481">
        <v>1.1547727468701701</v>
      </c>
      <c r="G1481">
        <v>0.69820307232878198</v>
      </c>
      <c r="H1481">
        <v>0.41037125640658001</v>
      </c>
      <c r="I1481">
        <v>0.25644004888192101</v>
      </c>
      <c r="J1481">
        <v>0.17645801216347601</v>
      </c>
      <c r="K1481">
        <v>0.16645826985613901</v>
      </c>
      <c r="L1481">
        <v>1838.7155715910901</v>
      </c>
      <c r="M1481">
        <v>31.321836307355898</v>
      </c>
      <c r="N1481">
        <v>59.543763573801897</v>
      </c>
      <c r="O1481">
        <v>58.466211360874503</v>
      </c>
      <c r="P1481">
        <v>-0.110018489945147</v>
      </c>
      <c r="Q1481">
        <v>0.17855014126612401</v>
      </c>
      <c r="R1481">
        <v>0.95587438783711898</v>
      </c>
      <c r="S1481" t="s">
        <v>7307</v>
      </c>
      <c r="T1481" t="s">
        <v>11650</v>
      </c>
      <c r="U1481" t="s">
        <v>11650</v>
      </c>
      <c r="V1481" t="s">
        <v>11650</v>
      </c>
      <c r="W1481" t="s">
        <v>13102</v>
      </c>
      <c r="X1481">
        <v>12</v>
      </c>
      <c r="Y1481" t="s">
        <v>18847</v>
      </c>
      <c r="Z1481" t="s">
        <v>24543</v>
      </c>
      <c r="AA1481">
        <v>0.69565987445669752</v>
      </c>
      <c r="AB1481" t="str">
        <f>HYPERLINK("Melting_Curves/meltCurve_O75326_SEMA7A.pdf", "Melting_Curves/meltCurve_O75326_SEMA7A.pdf")</f>
        <v>Melting_Curves/meltCurve_O75326_SEMA7A.pdf</v>
      </c>
    </row>
    <row r="1482" spans="1:28" x14ac:dyDescent="0.25">
      <c r="A1482" t="s">
        <v>1486</v>
      </c>
      <c r="B1482">
        <v>0.99996721820229495</v>
      </c>
      <c r="C1482">
        <v>1.1164640887827</v>
      </c>
      <c r="D1482">
        <v>0.96485890329674495</v>
      </c>
      <c r="E1482">
        <v>0.68353637954069402</v>
      </c>
      <c r="F1482">
        <v>0.47909794802989603</v>
      </c>
      <c r="G1482">
        <v>0.20536623609070601</v>
      </c>
      <c r="H1482">
        <v>6.9175701696581798E-2</v>
      </c>
      <c r="I1482">
        <v>6.1236066994065801E-2</v>
      </c>
      <c r="J1482">
        <v>3.2014038818873401E-2</v>
      </c>
      <c r="K1482">
        <v>3.0627812604520899E-2</v>
      </c>
      <c r="L1482">
        <v>1029.1875092308901</v>
      </c>
      <c r="M1482">
        <v>19.634521330149099</v>
      </c>
      <c r="N1482">
        <v>52.555533409303997</v>
      </c>
      <c r="O1482">
        <v>51.882598251279802</v>
      </c>
      <c r="P1482">
        <v>-9.2231654064793001E-2</v>
      </c>
      <c r="Q1482">
        <v>2.5176068413547401E-2</v>
      </c>
      <c r="R1482">
        <v>0.98870603927480605</v>
      </c>
      <c r="S1482" t="s">
        <v>7308</v>
      </c>
      <c r="T1482" t="s">
        <v>11650</v>
      </c>
      <c r="U1482" t="s">
        <v>11650</v>
      </c>
      <c r="V1482" t="s">
        <v>11650</v>
      </c>
      <c r="W1482" t="s">
        <v>13103</v>
      </c>
      <c r="X1482">
        <v>12</v>
      </c>
      <c r="Y1482" t="s">
        <v>18848</v>
      </c>
      <c r="Z1482" t="s">
        <v>24544</v>
      </c>
      <c r="AA1482">
        <v>0.44256797805949322</v>
      </c>
      <c r="AB1482" t="str">
        <f>HYPERLINK("Melting_Curves/meltCurve_O75340_PDCD6.pdf", "Melting_Curves/meltCurve_O75340_PDCD6.pdf")</f>
        <v>Melting_Curves/meltCurve_O75340_PDCD6.pdf</v>
      </c>
    </row>
    <row r="1483" spans="1:28" x14ac:dyDescent="0.25">
      <c r="A1483" t="s">
        <v>1487</v>
      </c>
      <c r="B1483">
        <v>0.99996721820229495</v>
      </c>
      <c r="C1483">
        <v>0.95783243032982102</v>
      </c>
      <c r="D1483">
        <v>0.96640627118054201</v>
      </c>
      <c r="E1483">
        <v>1.0402705882455601</v>
      </c>
      <c r="F1483">
        <v>1.4581792749423801</v>
      </c>
      <c r="G1483">
        <v>1.2233265756029199</v>
      </c>
      <c r="H1483">
        <v>0.83262819366108398</v>
      </c>
      <c r="I1483">
        <v>0.75782614827820105</v>
      </c>
      <c r="J1483">
        <v>0.70057271515238595</v>
      </c>
      <c r="K1483">
        <v>0.383340077738552</v>
      </c>
      <c r="L1483">
        <v>1426.82936381851</v>
      </c>
      <c r="M1483">
        <v>20.767297435007801</v>
      </c>
      <c r="N1483">
        <v>68.705587220493001</v>
      </c>
      <c r="O1483">
        <v>68.078040839170001</v>
      </c>
      <c r="P1483">
        <v>-7.6264973103583003E-2</v>
      </c>
      <c r="Q1483">
        <v>0</v>
      </c>
      <c r="R1483">
        <v>0.62274068910075098</v>
      </c>
      <c r="S1483" t="s">
        <v>7309</v>
      </c>
      <c r="T1483" t="s">
        <v>11650</v>
      </c>
      <c r="U1483" t="s">
        <v>11650</v>
      </c>
      <c r="V1483" t="s">
        <v>11650</v>
      </c>
      <c r="W1483" t="s">
        <v>13104</v>
      </c>
      <c r="X1483">
        <v>21</v>
      </c>
      <c r="Y1483" t="s">
        <v>18849</v>
      </c>
      <c r="Z1483" t="s">
        <v>24545</v>
      </c>
      <c r="AA1483">
        <v>0.907493646891816</v>
      </c>
      <c r="AB1483" t="str">
        <f>HYPERLINK("Melting_Curves/meltCurve_O75347_TBCA.pdf", "Melting_Curves/meltCurve_O75347_TBCA.pdf")</f>
        <v>Melting_Curves/meltCurve_O75347_TBCA.pdf</v>
      </c>
    </row>
    <row r="1484" spans="1:28" x14ac:dyDescent="0.25">
      <c r="A1484" t="s">
        <v>1488</v>
      </c>
      <c r="B1484">
        <v>0.99996721820229495</v>
      </c>
      <c r="C1484">
        <v>1.05488920747777</v>
      </c>
      <c r="D1484">
        <v>1.1374144835989599</v>
      </c>
      <c r="E1484">
        <v>1.3751058164377301</v>
      </c>
      <c r="F1484">
        <v>1.5049886355247799</v>
      </c>
      <c r="G1484">
        <v>2.0500719916283501</v>
      </c>
      <c r="H1484">
        <v>1.21576555523407</v>
      </c>
      <c r="I1484">
        <v>0.99431312716032005</v>
      </c>
      <c r="J1484">
        <v>0.92014481381980395</v>
      </c>
      <c r="K1484">
        <v>0.70761779338610598</v>
      </c>
      <c r="L1484">
        <v>6120.6722520786998</v>
      </c>
      <c r="M1484">
        <v>90.299708786539696</v>
      </c>
      <c r="O1484">
        <v>67.748526224259706</v>
      </c>
      <c r="P1484">
        <v>-0.10299607342381099</v>
      </c>
      <c r="Q1484">
        <v>0.69090347212404601</v>
      </c>
      <c r="R1484">
        <v>-0.229429930394485</v>
      </c>
      <c r="S1484" t="s">
        <v>7310</v>
      </c>
      <c r="T1484" t="s">
        <v>11650</v>
      </c>
      <c r="U1484" t="s">
        <v>11650</v>
      </c>
      <c r="V1484" t="s">
        <v>11650</v>
      </c>
      <c r="W1484" t="s">
        <v>13105</v>
      </c>
      <c r="X1484">
        <v>4</v>
      </c>
      <c r="Y1484" t="s">
        <v>18850</v>
      </c>
      <c r="Z1484" t="s">
        <v>24546</v>
      </c>
      <c r="AA1484">
        <v>0.97695744756981917</v>
      </c>
      <c r="AB1484" t="str">
        <f>HYPERLINK("Melting_Curves/meltCurve_O75348_ATP6V1G1.pdf", "Melting_Curves/meltCurve_O75348_ATP6V1G1.pdf")</f>
        <v>Melting_Curves/meltCurve_O75348_ATP6V1G1.pdf</v>
      </c>
    </row>
    <row r="1485" spans="1:28" x14ac:dyDescent="0.25">
      <c r="A1485" t="s">
        <v>1489</v>
      </c>
      <c r="B1485">
        <v>0.99996721820229495</v>
      </c>
      <c r="C1485">
        <v>1.03756080445855</v>
      </c>
      <c r="D1485">
        <v>0.87759607940364803</v>
      </c>
      <c r="E1485">
        <v>0.59729698748964799</v>
      </c>
      <c r="F1485">
        <v>0.24892852381109001</v>
      </c>
      <c r="G1485">
        <v>0.19122912560173999</v>
      </c>
      <c r="H1485">
        <v>0.11693866380435999</v>
      </c>
      <c r="I1485">
        <v>7.7688411554590803E-2</v>
      </c>
      <c r="J1485">
        <v>6.2537952062230007E-2</v>
      </c>
      <c r="K1485">
        <v>5.1439759853262303E-2</v>
      </c>
      <c r="L1485">
        <v>1153.3363648126001</v>
      </c>
      <c r="M1485">
        <v>22.923962876305701</v>
      </c>
      <c r="N1485">
        <v>50.679804012695399</v>
      </c>
      <c r="O1485">
        <v>49.933221083881399</v>
      </c>
      <c r="P1485">
        <v>-0.105966253755467</v>
      </c>
      <c r="Q1485">
        <v>7.67502045667314E-2</v>
      </c>
      <c r="R1485">
        <v>0.99248391491827903</v>
      </c>
      <c r="S1485" t="s">
        <v>7311</v>
      </c>
      <c r="T1485" t="s">
        <v>11650</v>
      </c>
      <c r="U1485" t="s">
        <v>11650</v>
      </c>
      <c r="V1485" t="s">
        <v>11650</v>
      </c>
      <c r="W1485" t="s">
        <v>13106</v>
      </c>
      <c r="X1485">
        <v>17</v>
      </c>
      <c r="Y1485" t="s">
        <v>18851</v>
      </c>
      <c r="Z1485" t="s">
        <v>24547</v>
      </c>
      <c r="AA1485">
        <v>0.40391826760494232</v>
      </c>
      <c r="AB1485" t="str">
        <f>HYPERLINK("Melting_Curves/meltCurve_O75351_VPS4B.pdf", "Melting_Curves/meltCurve_O75351_VPS4B.pdf")</f>
        <v>Melting_Curves/meltCurve_O75351_VPS4B.pdf</v>
      </c>
    </row>
    <row r="1486" spans="1:28" x14ac:dyDescent="0.25">
      <c r="A1486" t="s">
        <v>1490</v>
      </c>
      <c r="B1486">
        <v>0.99996721820229495</v>
      </c>
      <c r="C1486">
        <v>1.2111392733130799</v>
      </c>
      <c r="D1486">
        <v>1.21418316874856</v>
      </c>
      <c r="E1486">
        <v>1.1743926976896299</v>
      </c>
      <c r="F1486">
        <v>0.70288682511054601</v>
      </c>
      <c r="G1486">
        <v>0.692213389168988</v>
      </c>
      <c r="H1486">
        <v>0.44363484870463499</v>
      </c>
      <c r="I1486">
        <v>0.23892604641527199</v>
      </c>
      <c r="J1486">
        <v>0.16296053733377</v>
      </c>
      <c r="K1486">
        <v>0.147678615885901</v>
      </c>
      <c r="L1486">
        <v>1050.0295196448401</v>
      </c>
      <c r="M1486">
        <v>17.848138962239599</v>
      </c>
      <c r="N1486">
        <v>59.4628479524265</v>
      </c>
      <c r="O1486">
        <v>58.107690027693998</v>
      </c>
      <c r="P1486">
        <v>-7.0162905493057107E-2</v>
      </c>
      <c r="Q1486">
        <v>8.6336947766021604E-2</v>
      </c>
      <c r="R1486">
        <v>0.89741371025032202</v>
      </c>
      <c r="S1486" t="s">
        <v>7312</v>
      </c>
      <c r="T1486" t="s">
        <v>11650</v>
      </c>
      <c r="U1486" t="s">
        <v>11650</v>
      </c>
      <c r="V1486" t="s">
        <v>11650</v>
      </c>
      <c r="W1486" t="s">
        <v>13107</v>
      </c>
      <c r="X1486">
        <v>4</v>
      </c>
      <c r="Y1486" t="s">
        <v>18852</v>
      </c>
      <c r="Z1486" t="s">
        <v>24548</v>
      </c>
      <c r="AA1486">
        <v>0.66986332344531596</v>
      </c>
      <c r="AB1486" t="str">
        <f>HYPERLINK("Melting_Curves/meltCurve_O75356_ENTPD5.pdf", "Melting_Curves/meltCurve_O75356_ENTPD5.pdf")</f>
        <v>Melting_Curves/meltCurve_O75356_ENTPD5.pdf</v>
      </c>
    </row>
    <row r="1487" spans="1:28" x14ac:dyDescent="0.25">
      <c r="A1487" t="s">
        <v>1491</v>
      </c>
      <c r="B1487">
        <v>0.99996721820229495</v>
      </c>
      <c r="C1487">
        <v>1.0645448383368099</v>
      </c>
      <c r="D1487">
        <v>0.97624225772586004</v>
      </c>
      <c r="E1487">
        <v>0.90828734606229999</v>
      </c>
      <c r="F1487">
        <v>0.81482962762201705</v>
      </c>
      <c r="G1487">
        <v>0.80182612716442803</v>
      </c>
      <c r="H1487">
        <v>0.463918549703843</v>
      </c>
      <c r="I1487">
        <v>0.41779351219765698</v>
      </c>
      <c r="J1487">
        <v>0.38722832946506502</v>
      </c>
      <c r="K1487">
        <v>0.27927416040478398</v>
      </c>
      <c r="L1487">
        <v>755.39734409154596</v>
      </c>
      <c r="M1487">
        <v>12.675297016192699</v>
      </c>
      <c r="N1487">
        <v>61.8571509828027</v>
      </c>
      <c r="O1487">
        <v>58.171043830961203</v>
      </c>
      <c r="P1487">
        <v>-4.4382902430325298E-2</v>
      </c>
      <c r="Q1487">
        <v>0.18540872658850199</v>
      </c>
      <c r="R1487">
        <v>0.96968274776223495</v>
      </c>
      <c r="S1487" t="s">
        <v>7313</v>
      </c>
      <c r="T1487" t="s">
        <v>11650</v>
      </c>
      <c r="U1487" t="s">
        <v>11650</v>
      </c>
      <c r="V1487" t="s">
        <v>11650</v>
      </c>
      <c r="W1487" t="s">
        <v>13108</v>
      </c>
      <c r="X1487">
        <v>15</v>
      </c>
      <c r="Y1487" t="s">
        <v>18853</v>
      </c>
      <c r="Z1487" t="s">
        <v>24549</v>
      </c>
      <c r="AA1487">
        <v>0.72232891426203827</v>
      </c>
      <c r="AB1487" t="str">
        <f>HYPERLINK("Melting_Curves/meltCurve_O75368_SH3BGRL.pdf", "Melting_Curves/meltCurve_O75368_SH3BGRL.pdf")</f>
        <v>Melting_Curves/meltCurve_O75368_SH3BGRL.pdf</v>
      </c>
    </row>
    <row r="1488" spans="1:28" x14ac:dyDescent="0.25">
      <c r="A1488" t="s">
        <v>1492</v>
      </c>
      <c r="B1488">
        <v>0.99996721820229495</v>
      </c>
      <c r="C1488">
        <v>0.94799228809609004</v>
      </c>
      <c r="D1488">
        <v>1.0077240026085801</v>
      </c>
      <c r="E1488">
        <v>1.3065751770949501</v>
      </c>
      <c r="F1488">
        <v>0.86525362464019795</v>
      </c>
      <c r="G1488">
        <v>0.51440192415385999</v>
      </c>
      <c r="H1488">
        <v>0.26264616258800999</v>
      </c>
      <c r="I1488">
        <v>0.15879011691853501</v>
      </c>
      <c r="J1488">
        <v>0.10916300623146601</v>
      </c>
      <c r="K1488">
        <v>8.8766034513805894E-2</v>
      </c>
      <c r="L1488">
        <v>1756.07017016296</v>
      </c>
      <c r="M1488">
        <v>30.9126995925213</v>
      </c>
      <c r="N1488">
        <v>57.305465522184903</v>
      </c>
      <c r="O1488">
        <v>56.5712605895121</v>
      </c>
      <c r="P1488">
        <v>-0.120517148429843</v>
      </c>
      <c r="Q1488">
        <v>0.11780367764298</v>
      </c>
      <c r="R1488">
        <v>0.93889819567131905</v>
      </c>
      <c r="S1488" t="s">
        <v>7314</v>
      </c>
      <c r="T1488" t="s">
        <v>11650</v>
      </c>
      <c r="U1488" t="s">
        <v>11650</v>
      </c>
      <c r="V1488" t="s">
        <v>11650</v>
      </c>
      <c r="W1488" t="s">
        <v>13109</v>
      </c>
      <c r="X1488">
        <v>111</v>
      </c>
      <c r="Y1488" t="s">
        <v>18854</v>
      </c>
      <c r="Z1488" t="s">
        <v>24550</v>
      </c>
      <c r="AA1488">
        <v>0.61762479968535022</v>
      </c>
      <c r="AB1488" t="str">
        <f>HYPERLINK("Melting_Curves/meltCurve_O75369_8_FLNB.pdf", "Melting_Curves/meltCurve_O75369_8_FLNB.pdf")</f>
        <v>Melting_Curves/meltCurve_O75369_8_FLNB.pdf</v>
      </c>
    </row>
    <row r="1489" spans="1:28" x14ac:dyDescent="0.25">
      <c r="A1489" t="s">
        <v>1493</v>
      </c>
      <c r="B1489">
        <v>0.99996721820229495</v>
      </c>
      <c r="C1489">
        <v>0.87668381153450803</v>
      </c>
      <c r="D1489">
        <v>0.78091221241394504</v>
      </c>
      <c r="E1489">
        <v>0.73267059404426405</v>
      </c>
      <c r="F1489">
        <v>0.83989387363783397</v>
      </c>
      <c r="G1489">
        <v>0.70583929309138904</v>
      </c>
      <c r="H1489">
        <v>0.50710852228669401</v>
      </c>
      <c r="I1489">
        <v>0.44485856167597498</v>
      </c>
      <c r="J1489">
        <v>0.40411898467288199</v>
      </c>
      <c r="K1489">
        <v>0.35321785669577699</v>
      </c>
      <c r="L1489">
        <v>331.24975062412301</v>
      </c>
      <c r="M1489">
        <v>5.2839821876381503</v>
      </c>
      <c r="N1489">
        <v>62.689415022840201</v>
      </c>
      <c r="O1489">
        <v>55.395909637639598</v>
      </c>
      <c r="P1489">
        <v>-2.3967235532391901E-2</v>
      </c>
      <c r="Q1489">
        <v>0</v>
      </c>
      <c r="R1489">
        <v>0.91661344423543001</v>
      </c>
      <c r="S1489" t="s">
        <v>7315</v>
      </c>
      <c r="T1489" t="s">
        <v>11650</v>
      </c>
      <c r="U1489" t="s">
        <v>11650</v>
      </c>
      <c r="V1489" t="s">
        <v>11650</v>
      </c>
      <c r="W1489" t="s">
        <v>13110</v>
      </c>
      <c r="X1489">
        <v>4</v>
      </c>
      <c r="Y1489" t="s">
        <v>18855</v>
      </c>
      <c r="Z1489" t="s">
        <v>24551</v>
      </c>
      <c r="AA1489">
        <v>0.67195500334505454</v>
      </c>
      <c r="AB1489" t="str">
        <f>HYPERLINK("Melting_Curves/meltCurve_O75376_2_NCOR1.pdf", "Melting_Curves/meltCurve_O75376_2_NCOR1.pdf")</f>
        <v>Melting_Curves/meltCurve_O75376_2_NCOR1.pdf</v>
      </c>
    </row>
    <row r="1490" spans="1:28" x14ac:dyDescent="0.25">
      <c r="A1490" t="s">
        <v>1494</v>
      </c>
      <c r="B1490">
        <v>0.99996721820229495</v>
      </c>
      <c r="C1490">
        <v>0.95798032920985599</v>
      </c>
      <c r="D1490">
        <v>0.931565845717228</v>
      </c>
      <c r="E1490">
        <v>0.90383423040781297</v>
      </c>
      <c r="F1490">
        <v>1.20899652219374</v>
      </c>
      <c r="G1490">
        <v>1.3138870258339901</v>
      </c>
      <c r="H1490">
        <v>0.98726157182085394</v>
      </c>
      <c r="I1490">
        <v>0.74282901324157002</v>
      </c>
      <c r="J1490">
        <v>0.59521018222491995</v>
      </c>
      <c r="K1490">
        <v>0.52993569387945905</v>
      </c>
      <c r="L1490">
        <v>4124.0737850667902</v>
      </c>
      <c r="M1490">
        <v>64.669706962829494</v>
      </c>
      <c r="O1490">
        <v>63.710442702266597</v>
      </c>
      <c r="P1490">
        <v>-0.11411149139027101</v>
      </c>
      <c r="Q1490">
        <v>0.550324768322487</v>
      </c>
      <c r="R1490">
        <v>0.70517790467859798</v>
      </c>
      <c r="S1490" t="s">
        <v>7316</v>
      </c>
      <c r="T1490" t="s">
        <v>11650</v>
      </c>
      <c r="U1490" t="s">
        <v>11650</v>
      </c>
      <c r="V1490" t="s">
        <v>11650</v>
      </c>
      <c r="W1490" t="s">
        <v>13111</v>
      </c>
      <c r="X1490">
        <v>8</v>
      </c>
      <c r="Y1490" t="s">
        <v>18856</v>
      </c>
      <c r="Z1490" t="s">
        <v>24552</v>
      </c>
      <c r="AA1490">
        <v>0.9073335807542634</v>
      </c>
      <c r="AB1490" t="str">
        <f>HYPERLINK("Melting_Curves/meltCurve_O75379_VAMP4.pdf", "Melting_Curves/meltCurve_O75379_VAMP4.pdf")</f>
        <v>Melting_Curves/meltCurve_O75379_VAMP4.pdf</v>
      </c>
    </row>
    <row r="1491" spans="1:28" x14ac:dyDescent="0.25">
      <c r="A1491" t="s">
        <v>1495</v>
      </c>
      <c r="B1491">
        <v>0.99996721820229495</v>
      </c>
      <c r="C1491">
        <v>0.96618339068093395</v>
      </c>
      <c r="D1491">
        <v>1.02923234726193</v>
      </c>
      <c r="E1491">
        <v>1.36321686299126</v>
      </c>
      <c r="F1491">
        <v>2.6991796157995398</v>
      </c>
      <c r="G1491">
        <v>3.0869978827067599</v>
      </c>
      <c r="H1491">
        <v>2.48826025278884</v>
      </c>
      <c r="I1491">
        <v>2.7227497634040101</v>
      </c>
      <c r="J1491">
        <v>2.7088327512125199</v>
      </c>
      <c r="K1491">
        <v>1.8114697115934399</v>
      </c>
      <c r="L1491">
        <v>12451.169017595999</v>
      </c>
      <c r="M1491">
        <v>250</v>
      </c>
      <c r="O1491">
        <v>49.801488839922001</v>
      </c>
      <c r="P1491">
        <v>0.62749128040046198</v>
      </c>
      <c r="Q1491">
        <v>1.5</v>
      </c>
      <c r="R1491">
        <v>-0.25128581537414801</v>
      </c>
      <c r="S1491" t="s">
        <v>7317</v>
      </c>
      <c r="T1491" t="s">
        <v>11650</v>
      </c>
      <c r="U1491" t="s">
        <v>11650</v>
      </c>
      <c r="V1491" t="s">
        <v>11650</v>
      </c>
      <c r="W1491" t="s">
        <v>13112</v>
      </c>
      <c r="X1491">
        <v>7</v>
      </c>
      <c r="Y1491" t="s">
        <v>18857</v>
      </c>
      <c r="Z1491" t="s">
        <v>24553</v>
      </c>
      <c r="AA1491">
        <v>1.336545028944603</v>
      </c>
      <c r="AB1491" t="str">
        <f>HYPERLINK("Melting_Curves/meltCurve_O75380_NDUFS6.pdf", "Melting_Curves/meltCurve_O75380_NDUFS6.pdf")</f>
        <v>Melting_Curves/meltCurve_O75380_NDUFS6.pdf</v>
      </c>
    </row>
    <row r="1492" spans="1:28" x14ac:dyDescent="0.25">
      <c r="A1492" t="s">
        <v>1496</v>
      </c>
      <c r="B1492">
        <v>0.99996721820229495</v>
      </c>
      <c r="C1492">
        <v>0.84137168169617305</v>
      </c>
      <c r="D1492">
        <v>0.84513480482058301</v>
      </c>
      <c r="E1492">
        <v>0.77405156823451204</v>
      </c>
      <c r="F1492">
        <v>0.89131461739461304</v>
      </c>
      <c r="G1492">
        <v>1.0147423903350501</v>
      </c>
      <c r="H1492">
        <v>0.75481752796273605</v>
      </c>
      <c r="I1492">
        <v>0.71954462601779801</v>
      </c>
      <c r="J1492">
        <v>0.56473290760569606</v>
      </c>
      <c r="K1492">
        <v>0.46580056692274302</v>
      </c>
      <c r="L1492">
        <v>411.22271950052198</v>
      </c>
      <c r="M1492">
        <v>5.71798421340681</v>
      </c>
      <c r="O1492">
        <v>64.575595153879206</v>
      </c>
      <c r="P1492">
        <v>-2.2221839904248499E-2</v>
      </c>
      <c r="Q1492">
        <v>0</v>
      </c>
      <c r="R1492">
        <v>0.61777505988443604</v>
      </c>
      <c r="S1492" t="s">
        <v>7318</v>
      </c>
      <c r="T1492" t="s">
        <v>11650</v>
      </c>
      <c r="U1492" t="s">
        <v>11650</v>
      </c>
      <c r="V1492" t="s">
        <v>11650</v>
      </c>
      <c r="W1492" t="s">
        <v>13113</v>
      </c>
      <c r="X1492">
        <v>4</v>
      </c>
      <c r="Y1492" t="s">
        <v>18858</v>
      </c>
      <c r="Z1492" t="s">
        <v>24554</v>
      </c>
      <c r="AA1492">
        <v>0.82041241709821644</v>
      </c>
      <c r="AB1492" t="str">
        <f>HYPERLINK("Melting_Curves/meltCurve_O75381_2_PEX14.pdf", "Melting_Curves/meltCurve_O75381_2_PEX14.pdf")</f>
        <v>Melting_Curves/meltCurve_O75381_2_PEX14.pdf</v>
      </c>
    </row>
    <row r="1493" spans="1:28" x14ac:dyDescent="0.25">
      <c r="A1493" t="s">
        <v>1497</v>
      </c>
      <c r="B1493">
        <v>0.99996721820229495</v>
      </c>
      <c r="C1493">
        <v>1.1727453093451401</v>
      </c>
      <c r="D1493">
        <v>1.0358610782903299</v>
      </c>
      <c r="E1493">
        <v>0.67294953006650504</v>
      </c>
      <c r="F1493">
        <v>0.54596582761573198</v>
      </c>
      <c r="G1493">
        <v>0.56426311759911196</v>
      </c>
      <c r="H1493">
        <v>0.26360465110367898</v>
      </c>
      <c r="I1493">
        <v>9.81560835789754E-2</v>
      </c>
      <c r="J1493">
        <v>0.19657348124649801</v>
      </c>
      <c r="K1493">
        <v>0.12898614169143799</v>
      </c>
      <c r="L1493">
        <v>724.39356072937005</v>
      </c>
      <c r="M1493">
        <v>13.2928774350871</v>
      </c>
      <c r="N1493">
        <v>55.273338563082199</v>
      </c>
      <c r="O1493">
        <v>53.305873304135801</v>
      </c>
      <c r="P1493">
        <v>-5.7029660568155699E-2</v>
      </c>
      <c r="Q1493">
        <v>8.5367922372854094E-2</v>
      </c>
      <c r="R1493">
        <v>0.92657325723943995</v>
      </c>
      <c r="S1493" t="s">
        <v>7319</v>
      </c>
      <c r="T1493" t="s">
        <v>11650</v>
      </c>
      <c r="U1493" t="s">
        <v>11650</v>
      </c>
      <c r="V1493" t="s">
        <v>11650</v>
      </c>
      <c r="W1493" t="s">
        <v>13114</v>
      </c>
      <c r="X1493">
        <v>1</v>
      </c>
      <c r="Y1493" t="s">
        <v>18859</v>
      </c>
      <c r="Z1493" t="s">
        <v>24555</v>
      </c>
      <c r="AA1493">
        <v>0.54802260616086118</v>
      </c>
      <c r="AB1493" t="str">
        <f>HYPERLINK("Melting_Curves/meltCurve_O75386_TULP3.pdf", "Melting_Curves/meltCurve_O75386_TULP3.pdf")</f>
        <v>Melting_Curves/meltCurve_O75386_TULP3.pdf</v>
      </c>
    </row>
    <row r="1494" spans="1:28" x14ac:dyDescent="0.25">
      <c r="A1494" t="s">
        <v>1498</v>
      </c>
      <c r="B1494">
        <v>0.99996721820229495</v>
      </c>
      <c r="C1494">
        <v>1.0419221849587701</v>
      </c>
      <c r="D1494">
        <v>0.92059421772376104</v>
      </c>
      <c r="E1494">
        <v>0.880316851796622</v>
      </c>
      <c r="F1494">
        <v>1.0014430807949299</v>
      </c>
      <c r="G1494">
        <v>0.71059792963623203</v>
      </c>
      <c r="H1494">
        <v>0.58060828501010098</v>
      </c>
      <c r="I1494">
        <v>0.64197722687361103</v>
      </c>
      <c r="J1494">
        <v>0.572246072918977</v>
      </c>
      <c r="K1494">
        <v>0.47354665917683803</v>
      </c>
      <c r="S1494" t="s">
        <v>7320</v>
      </c>
      <c r="T1494" t="s">
        <v>11650</v>
      </c>
      <c r="U1494" t="s">
        <v>11651</v>
      </c>
      <c r="V1494" t="s">
        <v>11650</v>
      </c>
      <c r="W1494" t="s">
        <v>13115</v>
      </c>
      <c r="X1494">
        <v>7</v>
      </c>
      <c r="Y1494" t="s">
        <v>18860</v>
      </c>
      <c r="Z1494" t="s">
        <v>24556</v>
      </c>
      <c r="AB1494" t="str">
        <f>HYPERLINK("Melting_Curves/meltCurve_O75391_SPAG7.pdf", "Melting_Curves/meltCurve_O75391_SPAG7.pdf")</f>
        <v>Melting_Curves/meltCurve_O75391_SPAG7.pdf</v>
      </c>
    </row>
    <row r="1495" spans="1:28" x14ac:dyDescent="0.25">
      <c r="A1495" t="s">
        <v>1499</v>
      </c>
      <c r="B1495">
        <v>0.99996721820229495</v>
      </c>
      <c r="C1495">
        <v>0.79184454986587804</v>
      </c>
      <c r="D1495">
        <v>0.87263492270144505</v>
      </c>
      <c r="E1495">
        <v>0.84929855287459</v>
      </c>
      <c r="F1495">
        <v>0.40367376718114201</v>
      </c>
      <c r="G1495">
        <v>0.216655150267864</v>
      </c>
      <c r="H1495">
        <v>0.107819903241106</v>
      </c>
      <c r="I1495">
        <v>7.4706495208253801E-2</v>
      </c>
      <c r="J1495">
        <v>5.8082427526477298E-2</v>
      </c>
      <c r="K1495">
        <v>4.8097740394131998E-2</v>
      </c>
      <c r="L1495">
        <v>1060.1411670607299</v>
      </c>
      <c r="M1495">
        <v>20.2128572061821</v>
      </c>
      <c r="N1495">
        <v>52.7052498097243</v>
      </c>
      <c r="O1495">
        <v>51.943572354952103</v>
      </c>
      <c r="P1495">
        <v>-9.2729946089580406E-2</v>
      </c>
      <c r="Q1495">
        <v>4.6829512415590802E-2</v>
      </c>
      <c r="R1495">
        <v>0.95579151066064905</v>
      </c>
      <c r="S1495" t="s">
        <v>7321</v>
      </c>
      <c r="T1495" t="s">
        <v>11650</v>
      </c>
      <c r="U1495" t="s">
        <v>11650</v>
      </c>
      <c r="V1495" t="s">
        <v>11650</v>
      </c>
      <c r="W1495" t="s">
        <v>13116</v>
      </c>
      <c r="X1495">
        <v>12</v>
      </c>
      <c r="Y1495" t="s">
        <v>18861</v>
      </c>
      <c r="Z1495" t="s">
        <v>24557</v>
      </c>
      <c r="AA1495">
        <v>0.45527732554396338</v>
      </c>
      <c r="AB1495" t="str">
        <f>HYPERLINK("Melting_Curves/meltCurve_O75396_SEC22B.pdf", "Melting_Curves/meltCurve_O75396_SEC22B.pdf")</f>
        <v>Melting_Curves/meltCurve_O75396_SEC22B.pdf</v>
      </c>
    </row>
    <row r="1496" spans="1:28" x14ac:dyDescent="0.25">
      <c r="A1496" t="s">
        <v>1500</v>
      </c>
      <c r="B1496">
        <v>0.99996721820229495</v>
      </c>
      <c r="C1496">
        <v>1.0934720668747799</v>
      </c>
      <c r="D1496">
        <v>0.98672648470839697</v>
      </c>
      <c r="E1496">
        <v>0.67098790357764004</v>
      </c>
      <c r="F1496">
        <v>0.533763135688193</v>
      </c>
      <c r="G1496">
        <v>0.81408860314717402</v>
      </c>
      <c r="H1496">
        <v>0.57917874162246297</v>
      </c>
      <c r="I1496">
        <v>0.59035038866291401</v>
      </c>
      <c r="J1496">
        <v>0.53604176954649696</v>
      </c>
      <c r="K1496">
        <v>0.424041767084468</v>
      </c>
      <c r="L1496">
        <v>12435.963258571999</v>
      </c>
      <c r="M1496">
        <v>250</v>
      </c>
      <c r="O1496">
        <v>49.740669787302203</v>
      </c>
      <c r="P1496">
        <v>-0.52826817557530803</v>
      </c>
      <c r="Q1496">
        <v>0.57957739465661395</v>
      </c>
      <c r="R1496">
        <v>0.81293552587120699</v>
      </c>
      <c r="S1496" t="s">
        <v>7322</v>
      </c>
      <c r="T1496" t="s">
        <v>11650</v>
      </c>
      <c r="U1496" t="s">
        <v>11650</v>
      </c>
      <c r="V1496" t="s">
        <v>11650</v>
      </c>
      <c r="W1496" t="s">
        <v>13117</v>
      </c>
      <c r="X1496">
        <v>4</v>
      </c>
      <c r="Y1496" t="s">
        <v>18862</v>
      </c>
      <c r="Z1496" t="s">
        <v>24558</v>
      </c>
      <c r="AA1496">
        <v>0.71616530004412282</v>
      </c>
      <c r="AB1496" t="str">
        <f>HYPERLINK("Melting_Curves/meltCurve_O75400_2_PRPF40A.pdf", "Melting_Curves/meltCurve_O75400_2_PRPF40A.pdf")</f>
        <v>Melting_Curves/meltCurve_O75400_2_PRPF40A.pdf</v>
      </c>
    </row>
    <row r="1497" spans="1:28" x14ac:dyDescent="0.25">
      <c r="A1497" t="s">
        <v>1501</v>
      </c>
      <c r="B1497">
        <v>0.99996721820229495</v>
      </c>
      <c r="C1497">
        <v>1.25015017419902</v>
      </c>
      <c r="D1497">
        <v>1.06992486094779</v>
      </c>
      <c r="E1497">
        <v>0.94615982278400101</v>
      </c>
      <c r="F1497">
        <v>1.3600538712219099</v>
      </c>
      <c r="G1497">
        <v>1.6905509347308201</v>
      </c>
      <c r="H1497">
        <v>1.2106468606477201</v>
      </c>
      <c r="I1497">
        <v>1.0601732630962899</v>
      </c>
      <c r="J1497">
        <v>0.70969450840020398</v>
      </c>
      <c r="K1497">
        <v>0.72211387208148803</v>
      </c>
      <c r="L1497">
        <v>15000</v>
      </c>
      <c r="M1497">
        <v>228.12128364303999</v>
      </c>
      <c r="O1497">
        <v>65.749442297794801</v>
      </c>
      <c r="P1497">
        <v>-0.24808015405710099</v>
      </c>
      <c r="Q1497">
        <v>0.71399193483114198</v>
      </c>
      <c r="R1497">
        <v>7.3324184445997906E-2</v>
      </c>
      <c r="S1497" t="s">
        <v>7323</v>
      </c>
      <c r="T1497" t="s">
        <v>11650</v>
      </c>
      <c r="U1497" t="s">
        <v>11650</v>
      </c>
      <c r="V1497" t="s">
        <v>11650</v>
      </c>
      <c r="W1497" t="s">
        <v>13118</v>
      </c>
      <c r="X1497">
        <v>2</v>
      </c>
      <c r="Y1497" t="s">
        <v>18863</v>
      </c>
      <c r="Z1497" t="s">
        <v>24559</v>
      </c>
      <c r="AA1497">
        <v>0.95956469040112391</v>
      </c>
      <c r="AB1497" t="str">
        <f>HYPERLINK("Melting_Curves/meltCurve_O75420_GIGYF1.pdf", "Melting_Curves/meltCurve_O75420_GIGYF1.pdf")</f>
        <v>Melting_Curves/meltCurve_O75420_GIGYF1.pdf</v>
      </c>
    </row>
    <row r="1498" spans="1:28" x14ac:dyDescent="0.25">
      <c r="A1498" t="s">
        <v>1502</v>
      </c>
      <c r="B1498">
        <v>0.99996721820229495</v>
      </c>
      <c r="C1498">
        <v>0.88836425700025801</v>
      </c>
      <c r="D1498">
        <v>0.84679969265842003</v>
      </c>
      <c r="E1498">
        <v>0.69921873458771</v>
      </c>
      <c r="F1498">
        <v>0.65864571580713105</v>
      </c>
      <c r="G1498">
        <v>0.57365183010674103</v>
      </c>
      <c r="H1498">
        <v>0.36399125367670099</v>
      </c>
      <c r="I1498">
        <v>0.33145657586021998</v>
      </c>
      <c r="J1498">
        <v>0.21765890254770001</v>
      </c>
      <c r="K1498">
        <v>0.18569089264557401</v>
      </c>
      <c r="L1498">
        <v>424.36702770282801</v>
      </c>
      <c r="M1498">
        <v>7.4235459257352696</v>
      </c>
      <c r="N1498">
        <v>57.164998060975499</v>
      </c>
      <c r="O1498">
        <v>53.456793432383101</v>
      </c>
      <c r="P1498">
        <v>-3.47693502819829E-2</v>
      </c>
      <c r="Q1498">
        <v>0</v>
      </c>
      <c r="R1498">
        <v>0.98406885207657002</v>
      </c>
      <c r="S1498" t="s">
        <v>7324</v>
      </c>
      <c r="T1498" t="s">
        <v>11650</v>
      </c>
      <c r="U1498" t="s">
        <v>11650</v>
      </c>
      <c r="V1498" t="s">
        <v>11650</v>
      </c>
      <c r="W1498" t="s">
        <v>13119</v>
      </c>
      <c r="X1498">
        <v>3</v>
      </c>
      <c r="Y1498" t="s">
        <v>18864</v>
      </c>
      <c r="Z1498" t="s">
        <v>24560</v>
      </c>
      <c r="AA1498">
        <v>0.58077035850719605</v>
      </c>
      <c r="AB1498" t="str">
        <f>HYPERLINK("Melting_Curves/meltCurve_O75427_LRCH4.pdf", "Melting_Curves/meltCurve_O75427_LRCH4.pdf")</f>
        <v>Melting_Curves/meltCurve_O75427_LRCH4.pdf</v>
      </c>
    </row>
    <row r="1499" spans="1:28" x14ac:dyDescent="0.25">
      <c r="A1499" t="s">
        <v>1503</v>
      </c>
      <c r="B1499">
        <v>0.99996721820229495</v>
      </c>
      <c r="C1499">
        <v>1.05188680860693</v>
      </c>
      <c r="D1499">
        <v>1.1440838229977599</v>
      </c>
      <c r="E1499">
        <v>1.3497196202381001</v>
      </c>
      <c r="F1499">
        <v>1.43385144804501</v>
      </c>
      <c r="G1499">
        <v>0.960626746689348</v>
      </c>
      <c r="H1499">
        <v>0.29184084549255801</v>
      </c>
      <c r="I1499">
        <v>0.17676673103978899</v>
      </c>
      <c r="J1499">
        <v>0.137168218770367</v>
      </c>
      <c r="K1499">
        <v>0.112459776516902</v>
      </c>
      <c r="L1499">
        <v>3969.9407663464899</v>
      </c>
      <c r="M1499">
        <v>66.588920192271701</v>
      </c>
      <c r="N1499">
        <v>59.909641342076803</v>
      </c>
      <c r="O1499">
        <v>59.564938494193903</v>
      </c>
      <c r="P1499">
        <v>-0.24086168369611199</v>
      </c>
      <c r="Q1499">
        <v>0.13818051840999099</v>
      </c>
      <c r="R1499">
        <v>0.86563766448734103</v>
      </c>
      <c r="S1499" t="s">
        <v>7325</v>
      </c>
      <c r="T1499" t="s">
        <v>11650</v>
      </c>
      <c r="U1499" t="s">
        <v>11650</v>
      </c>
      <c r="V1499" t="s">
        <v>11650</v>
      </c>
      <c r="W1499" t="s">
        <v>13120</v>
      </c>
      <c r="X1499">
        <v>15</v>
      </c>
      <c r="Y1499" t="s">
        <v>18865</v>
      </c>
      <c r="Z1499" t="s">
        <v>24561</v>
      </c>
      <c r="AA1499">
        <v>0.70304417157088084</v>
      </c>
      <c r="AB1499" t="str">
        <f>HYPERLINK("Melting_Curves/meltCurve_O75436_VPS26A.pdf", "Melting_Curves/meltCurve_O75436_VPS26A.pdf")</f>
        <v>Melting_Curves/meltCurve_O75436_VPS26A.pdf</v>
      </c>
    </row>
    <row r="1500" spans="1:28" x14ac:dyDescent="0.25">
      <c r="A1500" t="s">
        <v>1504</v>
      </c>
      <c r="B1500">
        <v>0.99996721820229495</v>
      </c>
      <c r="C1500">
        <v>0.81375781192207297</v>
      </c>
      <c r="D1500">
        <v>0.847622591578579</v>
      </c>
      <c r="E1500">
        <v>0.76491262601034005</v>
      </c>
      <c r="F1500">
        <v>0.826563252562037</v>
      </c>
      <c r="G1500">
        <v>0.53854203469709505</v>
      </c>
      <c r="H1500">
        <v>0.60505327087049299</v>
      </c>
      <c r="I1500">
        <v>2.19435262400965</v>
      </c>
      <c r="J1500">
        <v>2.2307859872416902</v>
      </c>
      <c r="K1500">
        <v>1.3287235028334301</v>
      </c>
      <c r="L1500">
        <v>5225.0885679901703</v>
      </c>
      <c r="M1500">
        <v>83.932808841349996</v>
      </c>
      <c r="O1500">
        <v>62.217917367332802</v>
      </c>
      <c r="P1500">
        <v>0.16862670248852599</v>
      </c>
      <c r="Q1500">
        <v>1.5</v>
      </c>
      <c r="R1500">
        <v>0.50683564865512298</v>
      </c>
      <c r="S1500" t="s">
        <v>7326</v>
      </c>
      <c r="T1500" t="s">
        <v>11650</v>
      </c>
      <c r="U1500" t="s">
        <v>11650</v>
      </c>
      <c r="V1500" t="s">
        <v>11650</v>
      </c>
      <c r="W1500" t="s">
        <v>13121</v>
      </c>
      <c r="X1500">
        <v>4</v>
      </c>
      <c r="Y1500" t="s">
        <v>18866</v>
      </c>
      <c r="Z1500" t="s">
        <v>24562</v>
      </c>
      <c r="AA1500">
        <v>1.128628805925739</v>
      </c>
      <c r="AB1500" t="str">
        <f>HYPERLINK("Melting_Curves/meltCurve_O75438_NDUFB1.pdf", "Melting_Curves/meltCurve_O75438_NDUFB1.pdf")</f>
        <v>Melting_Curves/meltCurve_O75438_NDUFB1.pdf</v>
      </c>
    </row>
    <row r="1501" spans="1:28" x14ac:dyDescent="0.25">
      <c r="A1501" t="s">
        <v>1505</v>
      </c>
      <c r="B1501">
        <v>0.99996721820229495</v>
      </c>
      <c r="C1501">
        <v>0.97509905887450898</v>
      </c>
      <c r="D1501">
        <v>0.99286364227575097</v>
      </c>
      <c r="E1501">
        <v>1.0351415844968199</v>
      </c>
      <c r="F1501">
        <v>0.59419579390558197</v>
      </c>
      <c r="G1501">
        <v>0.35445968830931401</v>
      </c>
      <c r="H1501">
        <v>0.212617269435879</v>
      </c>
      <c r="I1501">
        <v>0.160511451458414</v>
      </c>
      <c r="J1501">
        <v>0.124568128223709</v>
      </c>
      <c r="K1501">
        <v>0.10193235047096499</v>
      </c>
      <c r="L1501">
        <v>1456.0507516073401</v>
      </c>
      <c r="M1501">
        <v>26.9514678062746</v>
      </c>
      <c r="N1501">
        <v>54.6896276927421</v>
      </c>
      <c r="O1501">
        <v>53.730115156155499</v>
      </c>
      <c r="P1501">
        <v>-0.10788830858092099</v>
      </c>
      <c r="Q1501">
        <v>0.13966935629601701</v>
      </c>
      <c r="R1501">
        <v>0.98109174262628196</v>
      </c>
      <c r="S1501" t="s">
        <v>7327</v>
      </c>
      <c r="T1501" t="s">
        <v>11650</v>
      </c>
      <c r="U1501" t="s">
        <v>11650</v>
      </c>
      <c r="V1501" t="s">
        <v>11650</v>
      </c>
      <c r="W1501" t="s">
        <v>13122</v>
      </c>
      <c r="X1501">
        <v>18</v>
      </c>
      <c r="Y1501" t="s">
        <v>18867</v>
      </c>
      <c r="Z1501" t="s">
        <v>24563</v>
      </c>
      <c r="AA1501">
        <v>0.54880169075157825</v>
      </c>
      <c r="AB1501" t="str">
        <f>HYPERLINK("Melting_Curves/meltCurve_O75439_PMPCB.pdf", "Melting_Curves/meltCurve_O75439_PMPCB.pdf")</f>
        <v>Melting_Curves/meltCurve_O75439_PMPCB.pdf</v>
      </c>
    </row>
    <row r="1502" spans="1:28" x14ac:dyDescent="0.25">
      <c r="A1502" t="s">
        <v>1506</v>
      </c>
      <c r="B1502">
        <v>0.99996721820229495</v>
      </c>
      <c r="C1502">
        <v>0.873744421171188</v>
      </c>
      <c r="D1502">
        <v>0.822529215262784</v>
      </c>
      <c r="E1502">
        <v>0.55191066235687902</v>
      </c>
      <c r="F1502">
        <v>0.38691538904898798</v>
      </c>
      <c r="G1502">
        <v>0.32335980042604701</v>
      </c>
      <c r="H1502">
        <v>0.13235883110331201</v>
      </c>
      <c r="I1502">
        <v>7.8357854134629895E-2</v>
      </c>
      <c r="J1502">
        <v>0</v>
      </c>
      <c r="K1502">
        <v>2.4126591727372401E-2</v>
      </c>
      <c r="L1502">
        <v>601.00564732815099</v>
      </c>
      <c r="M1502">
        <v>11.702388836494601</v>
      </c>
      <c r="N1502">
        <v>51.3575181976761</v>
      </c>
      <c r="O1502">
        <v>49.9265981301509</v>
      </c>
      <c r="P1502">
        <v>-5.8613537169633897E-2</v>
      </c>
      <c r="Q1502">
        <v>0</v>
      </c>
      <c r="R1502">
        <v>0.98751517789797905</v>
      </c>
      <c r="S1502" t="s">
        <v>7328</v>
      </c>
      <c r="T1502" t="s">
        <v>11650</v>
      </c>
      <c r="U1502" t="s">
        <v>11650</v>
      </c>
      <c r="V1502" t="s">
        <v>11650</v>
      </c>
      <c r="W1502" t="s">
        <v>13123</v>
      </c>
      <c r="X1502">
        <v>1</v>
      </c>
      <c r="Y1502" t="s">
        <v>18868</v>
      </c>
      <c r="Z1502" t="s">
        <v>24564</v>
      </c>
      <c r="AA1502">
        <v>0.41160075236690902</v>
      </c>
      <c r="AB1502" t="str">
        <f>HYPERLINK("Melting_Curves/meltCurve_O75460_ERN1.pdf", "Melting_Curves/meltCurve_O75460_ERN1.pdf")</f>
        <v>Melting_Curves/meltCurve_O75460_ERN1.pdf</v>
      </c>
    </row>
    <row r="1503" spans="1:28" x14ac:dyDescent="0.25">
      <c r="A1503" t="s">
        <v>1507</v>
      </c>
      <c r="B1503">
        <v>0.99996721820229495</v>
      </c>
      <c r="C1503">
        <v>1.0402948807933501</v>
      </c>
      <c r="D1503">
        <v>0.99444630483070395</v>
      </c>
      <c r="E1503">
        <v>0.84945263929524695</v>
      </c>
      <c r="F1503">
        <v>1.0491688085265301</v>
      </c>
      <c r="G1503">
        <v>0.94161587799222501</v>
      </c>
      <c r="H1503">
        <v>0.71758416094418098</v>
      </c>
      <c r="I1503">
        <v>0.67160510595011702</v>
      </c>
      <c r="J1503">
        <v>0.78939148932705105</v>
      </c>
      <c r="K1503">
        <v>0.73355666647643303</v>
      </c>
      <c r="L1503">
        <v>14323.927540286901</v>
      </c>
      <c r="M1503">
        <v>250</v>
      </c>
      <c r="O1503">
        <v>57.292043626548903</v>
      </c>
      <c r="P1503">
        <v>-0.29668785946607301</v>
      </c>
      <c r="Q1503">
        <v>0.72803433976217002</v>
      </c>
      <c r="R1503">
        <v>0.81812270747696503</v>
      </c>
      <c r="S1503" t="s">
        <v>7329</v>
      </c>
      <c r="T1503" t="s">
        <v>11650</v>
      </c>
      <c r="U1503" t="s">
        <v>11650</v>
      </c>
      <c r="V1503" t="s">
        <v>11650</v>
      </c>
      <c r="W1503" t="s">
        <v>13124</v>
      </c>
      <c r="X1503">
        <v>4</v>
      </c>
      <c r="Y1503" t="s">
        <v>18869</v>
      </c>
      <c r="Z1503" t="s">
        <v>24565</v>
      </c>
      <c r="AA1503">
        <v>0.8848563278554773</v>
      </c>
      <c r="AB1503" t="str">
        <f>HYPERLINK("Melting_Curves/meltCurve_O75475_PSIP1.pdf", "Melting_Curves/meltCurve_O75475_PSIP1.pdf")</f>
        <v>Melting_Curves/meltCurve_O75475_PSIP1.pdf</v>
      </c>
    </row>
    <row r="1504" spans="1:28" x14ac:dyDescent="0.25">
      <c r="A1504" t="s">
        <v>1508</v>
      </c>
      <c r="B1504">
        <v>0.99996721820229495</v>
      </c>
      <c r="C1504">
        <v>0.81684645190234195</v>
      </c>
      <c r="D1504">
        <v>0.86823626117688502</v>
      </c>
      <c r="E1504">
        <v>1.1322035903690899</v>
      </c>
      <c r="F1504">
        <v>1.3244948557939999</v>
      </c>
      <c r="G1504">
        <v>0.94087384005005703</v>
      </c>
      <c r="H1504">
        <v>0.40234826275847801</v>
      </c>
      <c r="I1504">
        <v>0.213056129575767</v>
      </c>
      <c r="J1504">
        <v>0.15095523026864599</v>
      </c>
      <c r="K1504">
        <v>0.10728379679666</v>
      </c>
      <c r="L1504">
        <v>2951.8885738972099</v>
      </c>
      <c r="M1504">
        <v>49.165291109305898</v>
      </c>
      <c r="N1504">
        <v>60.442699885139199</v>
      </c>
      <c r="O1504">
        <v>59.941012188979101</v>
      </c>
      <c r="P1504">
        <v>-0.17642408319101299</v>
      </c>
      <c r="Q1504">
        <v>0.13963464582044299</v>
      </c>
      <c r="R1504">
        <v>0.89862972854973799</v>
      </c>
      <c r="S1504" t="s">
        <v>7330</v>
      </c>
      <c r="T1504" t="s">
        <v>11650</v>
      </c>
      <c r="U1504" t="s">
        <v>11650</v>
      </c>
      <c r="V1504" t="s">
        <v>11650</v>
      </c>
      <c r="W1504" t="s">
        <v>13125</v>
      </c>
      <c r="X1504">
        <v>10</v>
      </c>
      <c r="Y1504" t="s">
        <v>18870</v>
      </c>
      <c r="Z1504" t="s">
        <v>24566</v>
      </c>
      <c r="AA1504">
        <v>0.71667257504915249</v>
      </c>
      <c r="AB1504" t="str">
        <f>HYPERLINK("Melting_Curves/meltCurve_O75489_NDUFS3.pdf", "Melting_Curves/meltCurve_O75489_NDUFS3.pdf")</f>
        <v>Melting_Curves/meltCurve_O75489_NDUFS3.pdf</v>
      </c>
    </row>
    <row r="1505" spans="1:28" x14ac:dyDescent="0.25">
      <c r="A1505" t="s">
        <v>1509</v>
      </c>
      <c r="B1505">
        <v>0.99996721820229495</v>
      </c>
      <c r="C1505">
        <v>1.0772920449291701</v>
      </c>
      <c r="D1505">
        <v>1.0610159539533901</v>
      </c>
      <c r="E1505">
        <v>1.0436732864196201</v>
      </c>
      <c r="F1505">
        <v>1.02398205227835</v>
      </c>
      <c r="G1505">
        <v>0.83064745238139603</v>
      </c>
      <c r="H1505">
        <v>0.29848561734168699</v>
      </c>
      <c r="I1505">
        <v>0.21639223579227701</v>
      </c>
      <c r="J1505">
        <v>0.17980123783933399</v>
      </c>
      <c r="K1505">
        <v>0.15461961410896899</v>
      </c>
      <c r="L1505">
        <v>2659.8676728176802</v>
      </c>
      <c r="M1505">
        <v>45.300605935436103</v>
      </c>
      <c r="N1505">
        <v>59.278407230642301</v>
      </c>
      <c r="O1505">
        <v>58.601862812747498</v>
      </c>
      <c r="P1505">
        <v>-0.159495832909721</v>
      </c>
      <c r="Q1505">
        <v>0.174691734481699</v>
      </c>
      <c r="R1505">
        <v>0.99137257490146302</v>
      </c>
      <c r="S1505" t="s">
        <v>7331</v>
      </c>
      <c r="T1505" t="s">
        <v>11650</v>
      </c>
      <c r="U1505" t="s">
        <v>11650</v>
      </c>
      <c r="V1505" t="s">
        <v>11650</v>
      </c>
      <c r="W1505" t="s">
        <v>13126</v>
      </c>
      <c r="X1505">
        <v>8</v>
      </c>
      <c r="Y1505" t="s">
        <v>18871</v>
      </c>
      <c r="Z1505" t="s">
        <v>24567</v>
      </c>
      <c r="AA1505">
        <v>0.69214355438755826</v>
      </c>
      <c r="AB1505" t="str">
        <f>HYPERLINK("Melting_Curves/meltCurve_O75503_CLN5.pdf", "Melting_Curves/meltCurve_O75503_CLN5.pdf")</f>
        <v>Melting_Curves/meltCurve_O75503_CLN5.pdf</v>
      </c>
    </row>
    <row r="1506" spans="1:28" x14ac:dyDescent="0.25">
      <c r="A1506" t="s">
        <v>1510</v>
      </c>
      <c r="B1506">
        <v>0.99996721820229495</v>
      </c>
      <c r="C1506">
        <v>1.0398760887573799</v>
      </c>
      <c r="D1506">
        <v>0.99349450015046303</v>
      </c>
      <c r="E1506">
        <v>1.01372717765984</v>
      </c>
      <c r="F1506">
        <v>1.4456617772253499</v>
      </c>
      <c r="G1506">
        <v>1.5393540843576801</v>
      </c>
      <c r="H1506">
        <v>1.2170831461042599</v>
      </c>
      <c r="I1506">
        <v>1.15431820953216</v>
      </c>
      <c r="J1506">
        <v>1.0829376642744699</v>
      </c>
      <c r="K1506">
        <v>0.72751874457305099</v>
      </c>
      <c r="L1506">
        <v>15000</v>
      </c>
      <c r="M1506">
        <v>213.303590518074</v>
      </c>
      <c r="Q1506">
        <v>0</v>
      </c>
      <c r="R1506">
        <v>-0.147414094811888</v>
      </c>
      <c r="S1506" t="s">
        <v>7332</v>
      </c>
      <c r="T1506" t="s">
        <v>11650</v>
      </c>
      <c r="U1506" t="s">
        <v>11650</v>
      </c>
      <c r="V1506" t="s">
        <v>11650</v>
      </c>
      <c r="W1506" t="s">
        <v>13127</v>
      </c>
      <c r="X1506">
        <v>5</v>
      </c>
      <c r="Y1506" t="s">
        <v>18872</v>
      </c>
      <c r="Z1506" t="s">
        <v>24568</v>
      </c>
      <c r="AA1506">
        <v>0.99657072457557638</v>
      </c>
      <c r="AB1506" t="str">
        <f>HYPERLINK("Melting_Curves/meltCurve_O75506_HSBP1.pdf", "Melting_Curves/meltCurve_O75506_HSBP1.pdf")</f>
        <v>Melting_Curves/meltCurve_O75506_HSBP1.pdf</v>
      </c>
    </row>
    <row r="1507" spans="1:28" x14ac:dyDescent="0.25">
      <c r="A1507" t="s">
        <v>1511</v>
      </c>
      <c r="B1507">
        <v>0.99996721820229495</v>
      </c>
      <c r="C1507">
        <v>1.0009644044389701</v>
      </c>
      <c r="D1507">
        <v>0.89883820162055394</v>
      </c>
      <c r="E1507">
        <v>0.796772285530289</v>
      </c>
      <c r="F1507">
        <v>0.54383629812991996</v>
      </c>
      <c r="G1507">
        <v>0.39107948203762899</v>
      </c>
      <c r="H1507">
        <v>0.159754910652044</v>
      </c>
      <c r="I1507">
        <v>9.5956717687072896E-2</v>
      </c>
      <c r="J1507">
        <v>6.8302433027927198E-2</v>
      </c>
      <c r="K1507">
        <v>6.4242738809093605E-2</v>
      </c>
      <c r="L1507">
        <v>755.26954909440997</v>
      </c>
      <c r="M1507">
        <v>13.9120014799055</v>
      </c>
      <c r="N1507">
        <v>54.327700710462203</v>
      </c>
      <c r="O1507">
        <v>53.204258533155397</v>
      </c>
      <c r="P1507">
        <v>-6.5057774931096296E-2</v>
      </c>
      <c r="Q1507">
        <v>4.9224470773685898E-3</v>
      </c>
      <c r="R1507">
        <v>0.99488150006938603</v>
      </c>
      <c r="S1507" t="s">
        <v>7333</v>
      </c>
      <c r="T1507" t="s">
        <v>11650</v>
      </c>
      <c r="U1507" t="s">
        <v>11650</v>
      </c>
      <c r="V1507" t="s">
        <v>11650</v>
      </c>
      <c r="W1507" t="s">
        <v>13128</v>
      </c>
      <c r="X1507">
        <v>17</v>
      </c>
      <c r="Y1507" t="s">
        <v>18873</v>
      </c>
      <c r="Z1507" t="s">
        <v>24569</v>
      </c>
      <c r="AA1507">
        <v>0.50076236659240236</v>
      </c>
      <c r="AB1507" t="str">
        <f>HYPERLINK("Melting_Curves/meltCurve_O75521_2_ECI2.pdf", "Melting_Curves/meltCurve_O75521_2_ECI2.pdf")</f>
        <v>Melting_Curves/meltCurve_O75521_2_ECI2.pdf</v>
      </c>
    </row>
    <row r="1508" spans="1:28" x14ac:dyDescent="0.25">
      <c r="A1508" t="s">
        <v>1512</v>
      </c>
      <c r="B1508">
        <v>0.99996721820229495</v>
      </c>
      <c r="C1508">
        <v>1.0499802707563901</v>
      </c>
      <c r="D1508">
        <v>2.91021218646764</v>
      </c>
      <c r="E1508">
        <v>4.2607532057836996</v>
      </c>
      <c r="F1508">
        <v>3.08451499288602</v>
      </c>
      <c r="G1508">
        <v>3.7086209642929799</v>
      </c>
      <c r="H1508">
        <v>2.39876020666023</v>
      </c>
      <c r="I1508">
        <v>3.0258240462706598</v>
      </c>
      <c r="J1508">
        <v>2.0641315176966599</v>
      </c>
      <c r="K1508">
        <v>1.64664859275116</v>
      </c>
      <c r="L1508">
        <v>10819.2745288805</v>
      </c>
      <c r="M1508">
        <v>250</v>
      </c>
      <c r="O1508">
        <v>43.274346677843297</v>
      </c>
      <c r="P1508">
        <v>0.72213714028159603</v>
      </c>
      <c r="Q1508">
        <v>1.5</v>
      </c>
      <c r="R1508">
        <v>-0.92680492189967301</v>
      </c>
      <c r="S1508" t="s">
        <v>7334</v>
      </c>
      <c r="T1508" t="s">
        <v>11650</v>
      </c>
      <c r="U1508" t="s">
        <v>11650</v>
      </c>
      <c r="V1508" t="s">
        <v>11650</v>
      </c>
      <c r="W1508" t="s">
        <v>13129</v>
      </c>
      <c r="X1508">
        <v>5</v>
      </c>
      <c r="Y1508" t="s">
        <v>18874</v>
      </c>
      <c r="Z1508" t="s">
        <v>24570</v>
      </c>
      <c r="AA1508">
        <v>1.4453437227546939</v>
      </c>
      <c r="AB1508" t="str">
        <f>HYPERLINK("Melting_Curves/meltCurve_O75531_BANF1.pdf", "Melting_Curves/meltCurve_O75531_BANF1.pdf")</f>
        <v>Melting_Curves/meltCurve_O75531_BANF1.pdf</v>
      </c>
    </row>
    <row r="1509" spans="1:28" x14ac:dyDescent="0.25">
      <c r="A1509" t="s">
        <v>1513</v>
      </c>
      <c r="B1509">
        <v>0.99996721820229495</v>
      </c>
      <c r="C1509">
        <v>0.90306624095480603</v>
      </c>
      <c r="D1509">
        <v>0.841190105850111</v>
      </c>
      <c r="E1509">
        <v>1.0222710569378199</v>
      </c>
      <c r="F1509">
        <v>1.15022146853622</v>
      </c>
      <c r="G1509">
        <v>1.04179643461849</v>
      </c>
      <c r="H1509">
        <v>0.79437379990006896</v>
      </c>
      <c r="I1509">
        <v>1.0680914898081999</v>
      </c>
      <c r="J1509">
        <v>0.59896594833317796</v>
      </c>
      <c r="K1509">
        <v>0.537008336039417</v>
      </c>
      <c r="L1509">
        <v>15000</v>
      </c>
      <c r="M1509">
        <v>225.74489829554099</v>
      </c>
      <c r="O1509">
        <v>66.441473308514603</v>
      </c>
      <c r="P1509">
        <v>-0.39334184544683498</v>
      </c>
      <c r="Q1509">
        <v>0.53692490281470295</v>
      </c>
      <c r="R1509">
        <v>0.71466384727381904</v>
      </c>
      <c r="S1509" t="s">
        <v>7335</v>
      </c>
      <c r="T1509" t="s">
        <v>11650</v>
      </c>
      <c r="U1509" t="s">
        <v>11650</v>
      </c>
      <c r="V1509" t="s">
        <v>11650</v>
      </c>
      <c r="W1509" t="s">
        <v>13130</v>
      </c>
      <c r="X1509">
        <v>10</v>
      </c>
      <c r="Y1509" t="s">
        <v>18875</v>
      </c>
      <c r="Z1509" t="s">
        <v>24571</v>
      </c>
      <c r="AA1509">
        <v>0.94521777797264328</v>
      </c>
      <c r="AB1509" t="str">
        <f>HYPERLINK("Melting_Curves/meltCurve_O75533_SF3B1.pdf", "Melting_Curves/meltCurve_O75533_SF3B1.pdf")</f>
        <v>Melting_Curves/meltCurve_O75533_SF3B1.pdf</v>
      </c>
    </row>
    <row r="1510" spans="1:28" x14ac:dyDescent="0.25">
      <c r="A1510" t="s">
        <v>1514</v>
      </c>
      <c r="B1510">
        <v>0.99996721820229495</v>
      </c>
      <c r="C1510">
        <v>1.0250048530175799</v>
      </c>
      <c r="D1510">
        <v>0.81654167936367605</v>
      </c>
      <c r="E1510">
        <v>0.46275698929077402</v>
      </c>
      <c r="F1510">
        <v>0.50818609160950901</v>
      </c>
      <c r="G1510">
        <v>0.48723084136918199</v>
      </c>
      <c r="H1510">
        <v>0.32745068289659801</v>
      </c>
      <c r="I1510">
        <v>0.22569338427892499</v>
      </c>
      <c r="J1510">
        <v>0.180906281889499</v>
      </c>
      <c r="K1510">
        <v>0.13901006665334101</v>
      </c>
      <c r="L1510">
        <v>530.43274906187105</v>
      </c>
      <c r="M1510">
        <v>10.293796656466</v>
      </c>
      <c r="N1510">
        <v>53.117451422140398</v>
      </c>
      <c r="O1510">
        <v>49.698312471046997</v>
      </c>
      <c r="P1510">
        <v>-4.4942296156001801E-2</v>
      </c>
      <c r="Q1510">
        <v>0.13245448672615201</v>
      </c>
      <c r="R1510">
        <v>0.93156633027323399</v>
      </c>
      <c r="S1510" t="s">
        <v>7336</v>
      </c>
      <c r="T1510" t="s">
        <v>11650</v>
      </c>
      <c r="U1510" t="s">
        <v>11650</v>
      </c>
      <c r="V1510" t="s">
        <v>11650</v>
      </c>
      <c r="W1510" t="s">
        <v>13131</v>
      </c>
      <c r="X1510">
        <v>26</v>
      </c>
      <c r="Y1510" t="s">
        <v>18876</v>
      </c>
      <c r="Z1510" t="s">
        <v>24572</v>
      </c>
      <c r="AA1510">
        <v>0.49913838999708787</v>
      </c>
      <c r="AB1510" t="str">
        <f>HYPERLINK("Melting_Curves/meltCurve_O75534_CSDE1.pdf", "Melting_Curves/meltCurve_O75534_CSDE1.pdf")</f>
        <v>Melting_Curves/meltCurve_O75534_CSDE1.pdf</v>
      </c>
    </row>
    <row r="1511" spans="1:28" x14ac:dyDescent="0.25">
      <c r="A1511" t="s">
        <v>1515</v>
      </c>
      <c r="B1511">
        <v>0.99996721820229495</v>
      </c>
      <c r="C1511">
        <v>0.96223170396313995</v>
      </c>
      <c r="D1511">
        <v>0.98175249518574004</v>
      </c>
      <c r="E1511">
        <v>1.0199583017273901</v>
      </c>
      <c r="F1511">
        <v>1.1659478034002799</v>
      </c>
      <c r="G1511">
        <v>1.0901815672203301</v>
      </c>
      <c r="H1511">
        <v>0.50077065837002099</v>
      </c>
      <c r="I1511">
        <v>0.19138706410648301</v>
      </c>
      <c r="J1511">
        <v>9.5948776310541897E-2</v>
      </c>
      <c r="K1511">
        <v>6.6964590656162795E-2</v>
      </c>
      <c r="L1511">
        <v>3923.2809638823401</v>
      </c>
      <c r="M1511">
        <v>64.482789712429494</v>
      </c>
      <c r="N1511">
        <v>61.059929144767501</v>
      </c>
      <c r="O1511">
        <v>60.783859671055502</v>
      </c>
      <c r="P1511">
        <v>-0.23798492443883201</v>
      </c>
      <c r="Q1511">
        <v>0.102666753272758</v>
      </c>
      <c r="R1511">
        <v>0.97496075670535698</v>
      </c>
      <c r="S1511" t="s">
        <v>7337</v>
      </c>
      <c r="T1511" t="s">
        <v>11650</v>
      </c>
      <c r="U1511" t="s">
        <v>11650</v>
      </c>
      <c r="V1511" t="s">
        <v>11650</v>
      </c>
      <c r="W1511" t="s">
        <v>13132</v>
      </c>
      <c r="X1511">
        <v>7</v>
      </c>
      <c r="Y1511" t="s">
        <v>18877</v>
      </c>
      <c r="Z1511" t="s">
        <v>24573</v>
      </c>
      <c r="AA1511">
        <v>0.72751921871058967</v>
      </c>
      <c r="AB1511" t="str">
        <f>HYPERLINK("Melting_Curves/meltCurve_O75600_GCAT.pdf", "Melting_Curves/meltCurve_O75600_GCAT.pdf")</f>
        <v>Melting_Curves/meltCurve_O75600_GCAT.pdf</v>
      </c>
    </row>
    <row r="1512" spans="1:28" x14ac:dyDescent="0.25">
      <c r="A1512" t="s">
        <v>1516</v>
      </c>
      <c r="B1512">
        <v>0.99996721820229495</v>
      </c>
      <c r="C1512">
        <v>1.0040574458667499</v>
      </c>
      <c r="D1512">
        <v>1.0009454789116301</v>
      </c>
      <c r="E1512">
        <v>1.1285661583547399</v>
      </c>
      <c r="F1512">
        <v>1.0861362550015801</v>
      </c>
      <c r="G1512">
        <v>1.1074722641510699</v>
      </c>
      <c r="H1512">
        <v>0.812866966744069</v>
      </c>
      <c r="I1512">
        <v>0.81293516525812703</v>
      </c>
      <c r="J1512">
        <v>0.41673627396213703</v>
      </c>
      <c r="K1512">
        <v>0.319555136328395</v>
      </c>
      <c r="L1512">
        <v>2028.8184533693</v>
      </c>
      <c r="M1512">
        <v>31.0118562635292</v>
      </c>
      <c r="N1512">
        <v>66.580892744811294</v>
      </c>
      <c r="O1512">
        <v>65.150510993451604</v>
      </c>
      <c r="P1512">
        <v>-9.4161717567021894E-2</v>
      </c>
      <c r="Q1512">
        <v>0.20873499883843</v>
      </c>
      <c r="R1512">
        <v>0.92043986091110797</v>
      </c>
      <c r="S1512" t="s">
        <v>7338</v>
      </c>
      <c r="T1512" t="s">
        <v>11650</v>
      </c>
      <c r="U1512" t="s">
        <v>11650</v>
      </c>
      <c r="V1512" t="s">
        <v>11650</v>
      </c>
      <c r="W1512" t="s">
        <v>13133</v>
      </c>
      <c r="X1512">
        <v>1</v>
      </c>
      <c r="Y1512" t="s">
        <v>18878</v>
      </c>
      <c r="Z1512" t="s">
        <v>24574</v>
      </c>
      <c r="AA1512">
        <v>0.87671079767438065</v>
      </c>
      <c r="AB1512" t="str">
        <f>HYPERLINK("Melting_Curves/meltCurve_O75607_NPM3.pdf", "Melting_Curves/meltCurve_O75607_NPM3.pdf")</f>
        <v>Melting_Curves/meltCurve_O75607_NPM3.pdf</v>
      </c>
    </row>
    <row r="1513" spans="1:28" x14ac:dyDescent="0.25">
      <c r="A1513" t="s">
        <v>1517</v>
      </c>
      <c r="B1513">
        <v>0.99996721820229495</v>
      </c>
      <c r="C1513">
        <v>1.02719190304069</v>
      </c>
      <c r="D1513">
        <v>0.99406429949615305</v>
      </c>
      <c r="E1513">
        <v>0.87345894533383495</v>
      </c>
      <c r="F1513">
        <v>1.0031945940067699</v>
      </c>
      <c r="G1513">
        <v>0.728848215093723</v>
      </c>
      <c r="H1513">
        <v>0.228894059951258</v>
      </c>
      <c r="I1513">
        <v>0.13066515188855099</v>
      </c>
      <c r="J1513">
        <v>0.100965421393669</v>
      </c>
      <c r="K1513">
        <v>6.52041752962121E-2</v>
      </c>
      <c r="L1513">
        <v>2160.4920733756899</v>
      </c>
      <c r="M1513">
        <v>37.034496600039901</v>
      </c>
      <c r="N1513">
        <v>58.624282007360698</v>
      </c>
      <c r="O1513">
        <v>58.167978926270401</v>
      </c>
      <c r="P1513">
        <v>-0.14597434121330999</v>
      </c>
      <c r="Q1513">
        <v>8.2908240152944998E-2</v>
      </c>
      <c r="R1513">
        <v>0.98925001325114204</v>
      </c>
      <c r="S1513" t="s">
        <v>7339</v>
      </c>
      <c r="T1513" t="s">
        <v>11650</v>
      </c>
      <c r="U1513" t="s">
        <v>11650</v>
      </c>
      <c r="V1513" t="s">
        <v>11650</v>
      </c>
      <c r="W1513" t="s">
        <v>13134</v>
      </c>
      <c r="X1513">
        <v>6</v>
      </c>
      <c r="Y1513" t="s">
        <v>18879</v>
      </c>
      <c r="Z1513" t="s">
        <v>24575</v>
      </c>
      <c r="AA1513">
        <v>0.64764059725530387</v>
      </c>
      <c r="AB1513" t="str">
        <f>HYPERLINK("Melting_Curves/meltCurve_O75608_2_LYPLA1.pdf", "Melting_Curves/meltCurve_O75608_2_LYPLA1.pdf")</f>
        <v>Melting_Curves/meltCurve_O75608_2_LYPLA1.pdf</v>
      </c>
    </row>
    <row r="1514" spans="1:28" x14ac:dyDescent="0.25">
      <c r="A1514" t="s">
        <v>1518</v>
      </c>
      <c r="B1514">
        <v>0.99996721820229495</v>
      </c>
      <c r="C1514">
        <v>0.76915714076267006</v>
      </c>
      <c r="D1514">
        <v>1.27594156071494</v>
      </c>
      <c r="E1514">
        <v>2.1775390747596499</v>
      </c>
      <c r="F1514">
        <v>1.5892131233012401</v>
      </c>
      <c r="G1514">
        <v>0.86567096728807302</v>
      </c>
      <c r="H1514">
        <v>0.4371686634659</v>
      </c>
      <c r="I1514">
        <v>5.7891479916538001E-2</v>
      </c>
      <c r="J1514">
        <v>1.9570984790173499E-2</v>
      </c>
      <c r="K1514">
        <v>2.6054603147445499E-2</v>
      </c>
      <c r="L1514">
        <v>2669.2260462761701</v>
      </c>
      <c r="M1514">
        <v>44.1119923717905</v>
      </c>
      <c r="N1514">
        <v>60.525713361822397</v>
      </c>
      <c r="O1514">
        <v>60.386250295356298</v>
      </c>
      <c r="P1514">
        <v>-0.18159901008315199</v>
      </c>
      <c r="Q1514">
        <v>5.6157248639735896E-3</v>
      </c>
      <c r="R1514">
        <v>0.599682852364262</v>
      </c>
      <c r="S1514" t="s">
        <v>7340</v>
      </c>
      <c r="T1514" t="s">
        <v>11650</v>
      </c>
      <c r="U1514" t="s">
        <v>11650</v>
      </c>
      <c r="V1514" t="s">
        <v>11650</v>
      </c>
      <c r="W1514" t="s">
        <v>13135</v>
      </c>
      <c r="X1514">
        <v>1</v>
      </c>
      <c r="Y1514" t="s">
        <v>18880</v>
      </c>
      <c r="Z1514" t="s">
        <v>24576</v>
      </c>
      <c r="AA1514">
        <v>0.68870320640907789</v>
      </c>
      <c r="AB1514" t="str">
        <f>HYPERLINK("Melting_Curves/meltCurve_O75635_2_SERPINB7.pdf", "Melting_Curves/meltCurve_O75635_2_SERPINB7.pdf")</f>
        <v>Melting_Curves/meltCurve_O75635_2_SERPINB7.pdf</v>
      </c>
    </row>
    <row r="1515" spans="1:28" x14ac:dyDescent="0.25">
      <c r="A1515" t="s">
        <v>1519</v>
      </c>
      <c r="B1515">
        <v>0.99996721820229495</v>
      </c>
      <c r="C1515">
        <v>1.0386450090300301</v>
      </c>
      <c r="D1515">
        <v>1.0165394943832999</v>
      </c>
      <c r="E1515">
        <v>0.92089295894135703</v>
      </c>
      <c r="F1515">
        <v>0.53565218416956395</v>
      </c>
      <c r="G1515">
        <v>0.372939516818107</v>
      </c>
      <c r="H1515">
        <v>0.220695507575804</v>
      </c>
      <c r="I1515">
        <v>0.17187109781078899</v>
      </c>
      <c r="J1515">
        <v>0.16145440284040799</v>
      </c>
      <c r="K1515">
        <v>0.103888629869913</v>
      </c>
      <c r="L1515">
        <v>1207.89199432448</v>
      </c>
      <c r="M1515">
        <v>22.581896101018799</v>
      </c>
      <c r="N1515">
        <v>54.335722980076497</v>
      </c>
      <c r="O1515">
        <v>53.075228067828299</v>
      </c>
      <c r="P1515">
        <v>-9.0598668079252306E-2</v>
      </c>
      <c r="Q1515">
        <v>0.148264936884029</v>
      </c>
      <c r="R1515">
        <v>0.98573308758911804</v>
      </c>
      <c r="S1515" t="s">
        <v>7341</v>
      </c>
      <c r="T1515" t="s">
        <v>11650</v>
      </c>
      <c r="U1515" t="s">
        <v>11650</v>
      </c>
      <c r="V1515" t="s">
        <v>11650</v>
      </c>
      <c r="W1515" t="s">
        <v>13136</v>
      </c>
      <c r="X1515">
        <v>1</v>
      </c>
      <c r="Y1515" t="s">
        <v>18881</v>
      </c>
      <c r="Z1515" t="s">
        <v>24577</v>
      </c>
      <c r="AA1515">
        <v>0.54070483103547695</v>
      </c>
      <c r="AB1515" t="str">
        <f>HYPERLINK("Melting_Curves/meltCurve_O75648_TRMU.pdf", "Melting_Curves/meltCurve_O75648_TRMU.pdf")</f>
        <v>Melting_Curves/meltCurve_O75648_TRMU.pdf</v>
      </c>
    </row>
    <row r="1516" spans="1:28" x14ac:dyDescent="0.25">
      <c r="A1516" t="s">
        <v>1520</v>
      </c>
      <c r="B1516">
        <v>0.99996721820229495</v>
      </c>
      <c r="C1516">
        <v>1.0850051748045499</v>
      </c>
      <c r="D1516">
        <v>1.0410393118724599</v>
      </c>
      <c r="E1516">
        <v>0.90332487975795195</v>
      </c>
      <c r="F1516">
        <v>0.47481436441029901</v>
      </c>
      <c r="G1516">
        <v>0.31895743372712199</v>
      </c>
      <c r="H1516">
        <v>0.197249444160502</v>
      </c>
      <c r="I1516">
        <v>0.13539508027201699</v>
      </c>
      <c r="J1516">
        <v>0.122786044120666</v>
      </c>
      <c r="K1516">
        <v>9.69076189245964E-2</v>
      </c>
      <c r="L1516">
        <v>1478.8489796363599</v>
      </c>
      <c r="M1516">
        <v>28.027363227034598</v>
      </c>
      <c r="N1516">
        <v>53.402771282145302</v>
      </c>
      <c r="O1516">
        <v>52.4980528687515</v>
      </c>
      <c r="P1516">
        <v>-0.11447289753521001</v>
      </c>
      <c r="Q1516">
        <v>0.142330691782313</v>
      </c>
      <c r="R1516">
        <v>0.98188971461463703</v>
      </c>
      <c r="S1516" t="s">
        <v>7342</v>
      </c>
      <c r="T1516" t="s">
        <v>11650</v>
      </c>
      <c r="U1516" t="s">
        <v>11650</v>
      </c>
      <c r="V1516" t="s">
        <v>11650</v>
      </c>
      <c r="W1516" t="s">
        <v>13137</v>
      </c>
      <c r="X1516">
        <v>12</v>
      </c>
      <c r="Y1516" t="s">
        <v>18882</v>
      </c>
      <c r="Z1516" t="s">
        <v>24578</v>
      </c>
      <c r="AA1516">
        <v>0.51358525589101811</v>
      </c>
      <c r="AB1516" t="str">
        <f>HYPERLINK("Melting_Curves/meltCurve_O75663_TIPRL.pdf", "Melting_Curves/meltCurve_O75663_TIPRL.pdf")</f>
        <v>Melting_Curves/meltCurve_O75663_TIPRL.pdf</v>
      </c>
    </row>
    <row r="1517" spans="1:28" x14ac:dyDescent="0.25">
      <c r="A1517" t="s">
        <v>1521</v>
      </c>
      <c r="B1517">
        <v>0.99996721820229495</v>
      </c>
      <c r="C1517">
        <v>1.0556360056657801</v>
      </c>
      <c r="D1517">
        <v>1.0432519700360701</v>
      </c>
      <c r="E1517">
        <v>0.92928763834283601</v>
      </c>
      <c r="F1517">
        <v>0.49593178103949498</v>
      </c>
      <c r="G1517">
        <v>0.36996167478819098</v>
      </c>
      <c r="H1517">
        <v>0.22385362060384401</v>
      </c>
      <c r="I1517">
        <v>0.14710057725364101</v>
      </c>
      <c r="J1517">
        <v>0.10485306909138301</v>
      </c>
      <c r="K1517">
        <v>7.8699573781936899E-2</v>
      </c>
      <c r="L1517">
        <v>1173.0694342112299</v>
      </c>
      <c r="M1517">
        <v>21.9126908444895</v>
      </c>
      <c r="N1517">
        <v>54.2059974737777</v>
      </c>
      <c r="O1517">
        <v>53.093925783803101</v>
      </c>
      <c r="P1517">
        <v>-9.0905451231859696E-2</v>
      </c>
      <c r="Q1517">
        <v>0.11897304539527601</v>
      </c>
      <c r="R1517">
        <v>0.97636127637430803</v>
      </c>
      <c r="S1517" t="s">
        <v>7343</v>
      </c>
      <c r="T1517" t="s">
        <v>11650</v>
      </c>
      <c r="U1517" t="s">
        <v>11650</v>
      </c>
      <c r="V1517" t="s">
        <v>11650</v>
      </c>
      <c r="W1517" t="s">
        <v>13138</v>
      </c>
      <c r="X1517">
        <v>13</v>
      </c>
      <c r="Y1517" t="s">
        <v>18883</v>
      </c>
      <c r="Z1517" t="s">
        <v>24579</v>
      </c>
      <c r="AA1517">
        <v>0.52674394518206979</v>
      </c>
      <c r="AB1517" t="str">
        <f>HYPERLINK("Melting_Curves/meltCurve_O75688_PPM1B.pdf", "Melting_Curves/meltCurve_O75688_PPM1B.pdf")</f>
        <v>Melting_Curves/meltCurve_O75688_PPM1B.pdf</v>
      </c>
    </row>
    <row r="1518" spans="1:28" x14ac:dyDescent="0.25">
      <c r="A1518" t="s">
        <v>1522</v>
      </c>
      <c r="B1518">
        <v>0.99996721820229495</v>
      </c>
      <c r="C1518">
        <v>0.91407927016087898</v>
      </c>
      <c r="D1518">
        <v>0.76070185101311305</v>
      </c>
      <c r="E1518">
        <v>0.52856120632982695</v>
      </c>
      <c r="F1518">
        <v>0.26512816846707299</v>
      </c>
      <c r="G1518">
        <v>0.11160477113405</v>
      </c>
      <c r="H1518">
        <v>4.7331176524331699E-2</v>
      </c>
      <c r="I1518">
        <v>1.9598086491219201E-2</v>
      </c>
      <c r="J1518">
        <v>2.44366065106736E-2</v>
      </c>
      <c r="K1518">
        <v>8.1809738333642607E-3</v>
      </c>
      <c r="L1518">
        <v>782.61983668393395</v>
      </c>
      <c r="M1518">
        <v>15.7005929669676</v>
      </c>
      <c r="N1518">
        <v>49.8465114904266</v>
      </c>
      <c r="O1518">
        <v>49.058888494333502</v>
      </c>
      <c r="P1518">
        <v>-8.0015667742142596E-2</v>
      </c>
      <c r="Q1518">
        <v>0</v>
      </c>
      <c r="R1518">
        <v>0.99748307422779803</v>
      </c>
      <c r="S1518" t="s">
        <v>7344</v>
      </c>
      <c r="T1518" t="s">
        <v>11650</v>
      </c>
      <c r="U1518" t="s">
        <v>11650</v>
      </c>
      <c r="V1518" t="s">
        <v>11650</v>
      </c>
      <c r="W1518" t="s">
        <v>13139</v>
      </c>
      <c r="X1518">
        <v>1</v>
      </c>
      <c r="Y1518" t="s">
        <v>18884</v>
      </c>
      <c r="Z1518" t="s">
        <v>24580</v>
      </c>
      <c r="AA1518">
        <v>0.35028546777182729</v>
      </c>
      <c r="AB1518" t="str">
        <f>HYPERLINK("Melting_Curves/meltCurve_O75689_ADAP1.pdf", "Melting_Curves/meltCurve_O75689_ADAP1.pdf")</f>
        <v>Melting_Curves/meltCurve_O75689_ADAP1.pdf</v>
      </c>
    </row>
    <row r="1519" spans="1:28" x14ac:dyDescent="0.25">
      <c r="A1519" t="s">
        <v>1523</v>
      </c>
      <c r="B1519">
        <v>0.99996721820229495</v>
      </c>
      <c r="C1519">
        <v>0.74992612217494303</v>
      </c>
      <c r="D1519">
        <v>0.96924492629788095</v>
      </c>
      <c r="E1519">
        <v>1.0515574843070301</v>
      </c>
      <c r="F1519">
        <v>0.54767129233483003</v>
      </c>
      <c r="G1519">
        <v>0.25500453450672</v>
      </c>
      <c r="H1519">
        <v>0.15704160990801799</v>
      </c>
      <c r="I1519">
        <v>9.2009941324602898E-2</v>
      </c>
      <c r="J1519">
        <v>5.8909044307189698E-2</v>
      </c>
      <c r="K1519">
        <v>6.4046331951435304E-2</v>
      </c>
      <c r="L1519">
        <v>2132.9259645731299</v>
      </c>
      <c r="M1519">
        <v>40.039273867831</v>
      </c>
      <c r="N1519">
        <v>53.595025347171401</v>
      </c>
      <c r="O1519">
        <v>53.138479459353803</v>
      </c>
      <c r="P1519">
        <v>-0.16811418780402401</v>
      </c>
      <c r="Q1519">
        <v>0.107544865880162</v>
      </c>
      <c r="R1519">
        <v>0.94089893212977804</v>
      </c>
      <c r="S1519" t="s">
        <v>7345</v>
      </c>
      <c r="T1519" t="s">
        <v>11650</v>
      </c>
      <c r="U1519" t="s">
        <v>11650</v>
      </c>
      <c r="V1519" t="s">
        <v>11650</v>
      </c>
      <c r="W1519" t="s">
        <v>13140</v>
      </c>
      <c r="X1519">
        <v>10</v>
      </c>
      <c r="Y1519" t="s">
        <v>18885</v>
      </c>
      <c r="Z1519" t="s">
        <v>24581</v>
      </c>
      <c r="AA1519">
        <v>0.50560825264520548</v>
      </c>
      <c r="AB1519" t="str">
        <f>HYPERLINK("Melting_Curves/meltCurve_O75695_RP2.pdf", "Melting_Curves/meltCurve_O75695_RP2.pdf")</f>
        <v>Melting_Curves/meltCurve_O75695_RP2.pdf</v>
      </c>
    </row>
    <row r="1520" spans="1:28" x14ac:dyDescent="0.25">
      <c r="A1520" t="s">
        <v>1524</v>
      </c>
      <c r="B1520">
        <v>0.99996721820229495</v>
      </c>
      <c r="C1520">
        <v>0.94099961030806401</v>
      </c>
      <c r="D1520">
        <v>1.0279474422168999</v>
      </c>
      <c r="E1520">
        <v>0.81622417859208096</v>
      </c>
      <c r="F1520">
        <v>0.44520444247881302</v>
      </c>
      <c r="G1520">
        <v>0.39193757506139398</v>
      </c>
      <c r="H1520">
        <v>0.25559997406754997</v>
      </c>
      <c r="I1520">
        <v>0.13081430663678001</v>
      </c>
      <c r="J1520">
        <v>7.9295459459971698E-2</v>
      </c>
      <c r="K1520">
        <v>8.3657009866180895E-2</v>
      </c>
      <c r="L1520">
        <v>850.02194806744797</v>
      </c>
      <c r="M1520">
        <v>15.905626983879699</v>
      </c>
      <c r="N1520">
        <v>54.030984905902898</v>
      </c>
      <c r="O1520">
        <v>52.618235338209601</v>
      </c>
      <c r="P1520">
        <v>-6.9557682132752194E-2</v>
      </c>
      <c r="Q1520">
        <v>7.9644278828405496E-2</v>
      </c>
      <c r="R1520">
        <v>0.97251880059099005</v>
      </c>
      <c r="S1520" t="s">
        <v>7346</v>
      </c>
      <c r="T1520" t="s">
        <v>11650</v>
      </c>
      <c r="U1520" t="s">
        <v>11650</v>
      </c>
      <c r="V1520" t="s">
        <v>11650</v>
      </c>
      <c r="W1520" t="s">
        <v>13141</v>
      </c>
      <c r="X1520">
        <v>9</v>
      </c>
      <c r="Y1520" t="s">
        <v>18886</v>
      </c>
      <c r="Z1520" t="s">
        <v>24582</v>
      </c>
      <c r="AA1520">
        <v>0.50993972574360158</v>
      </c>
      <c r="AB1520" t="str">
        <f>HYPERLINK("Melting_Curves/meltCurve_O75718_CRTAP.pdf", "Melting_Curves/meltCurve_O75718_CRTAP.pdf")</f>
        <v>Melting_Curves/meltCurve_O75718_CRTAP.pdf</v>
      </c>
    </row>
    <row r="1521" spans="1:28" x14ac:dyDescent="0.25">
      <c r="A1521" t="s">
        <v>1525</v>
      </c>
      <c r="B1521">
        <v>0.99996721820229495</v>
      </c>
      <c r="C1521">
        <v>0.845807497229356</v>
      </c>
      <c r="D1521">
        <v>0.94478692953034504</v>
      </c>
      <c r="E1521">
        <v>1.50950210055807</v>
      </c>
      <c r="F1521">
        <v>2.2614511164609499</v>
      </c>
      <c r="G1521">
        <v>1.8907866221132199</v>
      </c>
      <c r="H1521">
        <v>1.80436571186865</v>
      </c>
      <c r="I1521">
        <v>0.76709891843369005</v>
      </c>
      <c r="J1521">
        <v>0.27561292683080202</v>
      </c>
      <c r="K1521">
        <v>0.16687521548898501</v>
      </c>
      <c r="L1521">
        <v>15000</v>
      </c>
      <c r="M1521">
        <v>233.52300323269901</v>
      </c>
      <c r="N1521">
        <v>64.3945851728066</v>
      </c>
      <c r="O1521">
        <v>64.228782677550797</v>
      </c>
      <c r="P1521">
        <v>-0.70787764432807998</v>
      </c>
      <c r="Q1521">
        <v>0.22121377845876899</v>
      </c>
      <c r="R1521">
        <v>0.24042744968611801</v>
      </c>
      <c r="S1521" t="s">
        <v>7347</v>
      </c>
      <c r="T1521" t="s">
        <v>11650</v>
      </c>
      <c r="U1521" t="s">
        <v>11650</v>
      </c>
      <c r="V1521" t="s">
        <v>11650</v>
      </c>
      <c r="W1521" t="s">
        <v>13142</v>
      </c>
      <c r="X1521">
        <v>9</v>
      </c>
      <c r="Y1521" t="s">
        <v>18887</v>
      </c>
      <c r="Z1521" t="s">
        <v>24583</v>
      </c>
      <c r="AA1521">
        <v>0.85040494833318014</v>
      </c>
      <c r="AB1521" t="str">
        <f>HYPERLINK("Melting_Curves/meltCurve_O75746_SLC25A12.pdf", "Melting_Curves/meltCurve_O75746_SLC25A12.pdf")</f>
        <v>Melting_Curves/meltCurve_O75746_SLC25A12.pdf</v>
      </c>
    </row>
    <row r="1522" spans="1:28" x14ac:dyDescent="0.25">
      <c r="A1522" t="s">
        <v>1526</v>
      </c>
      <c r="B1522">
        <v>0.99996721820229495</v>
      </c>
      <c r="C1522">
        <v>1.0701607418043499</v>
      </c>
      <c r="D1522">
        <v>1.0443943912464599</v>
      </c>
      <c r="E1522">
        <v>1.00779890188245</v>
      </c>
      <c r="F1522">
        <v>1.2825048622095501</v>
      </c>
      <c r="G1522">
        <v>1.2421146094027899</v>
      </c>
      <c r="H1522">
        <v>0.92180794154771495</v>
      </c>
      <c r="I1522">
        <v>0.78227165767608497</v>
      </c>
      <c r="J1522">
        <v>0.671981417517448</v>
      </c>
      <c r="K1522">
        <v>0.55978476310798697</v>
      </c>
      <c r="L1522">
        <v>2413.0042058218301</v>
      </c>
      <c r="M1522">
        <v>37.567133543308003</v>
      </c>
      <c r="O1522">
        <v>64.050593236363</v>
      </c>
      <c r="P1522">
        <v>-6.4217043189532003E-2</v>
      </c>
      <c r="Q1522">
        <v>0.56205029380099703</v>
      </c>
      <c r="R1522">
        <v>0.69003587894818397</v>
      </c>
      <c r="S1522" t="s">
        <v>7348</v>
      </c>
      <c r="T1522" t="s">
        <v>11650</v>
      </c>
      <c r="U1522" t="s">
        <v>11650</v>
      </c>
      <c r="V1522" t="s">
        <v>11650</v>
      </c>
      <c r="W1522" t="s">
        <v>13143</v>
      </c>
      <c r="X1522">
        <v>8</v>
      </c>
      <c r="Y1522" t="s">
        <v>18888</v>
      </c>
      <c r="Z1522" t="s">
        <v>24584</v>
      </c>
      <c r="AA1522">
        <v>0.91660507727038343</v>
      </c>
      <c r="AB1522" t="str">
        <f>HYPERLINK("Melting_Curves/meltCurve_O75781_PALM.pdf", "Melting_Curves/meltCurve_O75781_PALM.pdf")</f>
        <v>Melting_Curves/meltCurve_O75781_PALM.pdf</v>
      </c>
    </row>
    <row r="1523" spans="1:28" x14ac:dyDescent="0.25">
      <c r="A1523" t="s">
        <v>1527</v>
      </c>
      <c r="B1523">
        <v>0.99996721820229495</v>
      </c>
      <c r="C1523">
        <v>0.82387503977210697</v>
      </c>
      <c r="D1523">
        <v>0.66460966531644605</v>
      </c>
      <c r="E1523">
        <v>0.52180205430948601</v>
      </c>
      <c r="F1523">
        <v>0.451125549807397</v>
      </c>
      <c r="G1523">
        <v>0.32115032134588101</v>
      </c>
      <c r="H1523">
        <v>0.23274638493472499</v>
      </c>
      <c r="I1523">
        <v>0.15616237048254999</v>
      </c>
      <c r="J1523">
        <v>0.199549891383456</v>
      </c>
      <c r="K1523">
        <v>0.107135288048387</v>
      </c>
      <c r="L1523">
        <v>461.52794304113303</v>
      </c>
      <c r="M1523">
        <v>9.2356041012241796</v>
      </c>
      <c r="N1523">
        <v>50.923263181493198</v>
      </c>
      <c r="O1523">
        <v>47.797317403623403</v>
      </c>
      <c r="P1523">
        <v>-4.45105596667731E-2</v>
      </c>
      <c r="Q1523">
        <v>7.9178642450623907E-2</v>
      </c>
      <c r="R1523">
        <v>0.98203577174847201</v>
      </c>
      <c r="S1523" t="s">
        <v>7349</v>
      </c>
      <c r="T1523" t="s">
        <v>11650</v>
      </c>
      <c r="U1523" t="s">
        <v>11650</v>
      </c>
      <c r="V1523" t="s">
        <v>11650</v>
      </c>
      <c r="W1523" t="s">
        <v>13144</v>
      </c>
      <c r="X1523">
        <v>2</v>
      </c>
      <c r="Y1523" t="s">
        <v>18889</v>
      </c>
      <c r="Z1523" t="s">
        <v>24585</v>
      </c>
      <c r="AA1523">
        <v>0.43163019466223751</v>
      </c>
      <c r="AB1523" t="str">
        <f>HYPERLINK("Melting_Curves/meltCurve_O75794_CDC123.pdf", "Melting_Curves/meltCurve_O75794_CDC123.pdf")</f>
        <v>Melting_Curves/meltCurve_O75794_CDC123.pdf</v>
      </c>
    </row>
    <row r="1524" spans="1:28" x14ac:dyDescent="0.25">
      <c r="A1524" t="s">
        <v>1528</v>
      </c>
      <c r="B1524">
        <v>0.99996721820229495</v>
      </c>
      <c r="C1524">
        <v>0.70569999832317898</v>
      </c>
      <c r="D1524">
        <v>0.46504826295388502</v>
      </c>
      <c r="E1524">
        <v>0.441284474464679</v>
      </c>
      <c r="F1524">
        <v>0.37401184967700701</v>
      </c>
      <c r="G1524">
        <v>0.26728494053565499</v>
      </c>
      <c r="H1524">
        <v>0.166777491085289</v>
      </c>
      <c r="I1524">
        <v>0.15051026320747901</v>
      </c>
      <c r="J1524">
        <v>0.111273043286336</v>
      </c>
      <c r="K1524">
        <v>8.6139826006539896E-2</v>
      </c>
      <c r="L1524">
        <v>452.97516842073998</v>
      </c>
      <c r="M1524">
        <v>9.6185448117037708</v>
      </c>
      <c r="N1524">
        <v>47.966537579075897</v>
      </c>
      <c r="O1524">
        <v>45.193336178385898</v>
      </c>
      <c r="P1524">
        <v>-4.8964698663575099E-2</v>
      </c>
      <c r="Q1524">
        <v>8.0264045480148899E-2</v>
      </c>
      <c r="R1524">
        <v>0.94179168260020896</v>
      </c>
      <c r="S1524" t="s">
        <v>7350</v>
      </c>
      <c r="T1524" t="s">
        <v>11650</v>
      </c>
      <c r="U1524" t="s">
        <v>11650</v>
      </c>
      <c r="V1524" t="s">
        <v>11650</v>
      </c>
      <c r="W1524" t="s">
        <v>13145</v>
      </c>
      <c r="X1524">
        <v>3</v>
      </c>
      <c r="Y1524" t="s">
        <v>18890</v>
      </c>
      <c r="Z1524" t="s">
        <v>24586</v>
      </c>
      <c r="AA1524">
        <v>0.35349280141417883</v>
      </c>
      <c r="AB1524" t="str">
        <f>HYPERLINK("Melting_Curves/meltCurve_O75815_3_BCAR3.pdf", "Melting_Curves/meltCurve_O75815_3_BCAR3.pdf")</f>
        <v>Melting_Curves/meltCurve_O75815_3_BCAR3.pdf</v>
      </c>
    </row>
    <row r="1525" spans="1:28" x14ac:dyDescent="0.25">
      <c r="A1525" t="s">
        <v>1529</v>
      </c>
      <c r="B1525">
        <v>0.99996721820229495</v>
      </c>
      <c r="C1525">
        <v>0.71690170632393402</v>
      </c>
      <c r="D1525">
        <v>0.74678337693895602</v>
      </c>
      <c r="E1525">
        <v>1.0084762886169101</v>
      </c>
      <c r="F1525">
        <v>1.46909018192945</v>
      </c>
      <c r="G1525">
        <v>1.01391296362432</v>
      </c>
      <c r="H1525">
        <v>0.86467603029446005</v>
      </c>
      <c r="I1525">
        <v>0.50961581624983299</v>
      </c>
      <c r="J1525">
        <v>0.17225994050702401</v>
      </c>
      <c r="K1525">
        <v>0.14183191484229499</v>
      </c>
      <c r="L1525">
        <v>2804.8038269328899</v>
      </c>
      <c r="M1525">
        <v>44.099623286748297</v>
      </c>
      <c r="N1525">
        <v>63.964113442360897</v>
      </c>
      <c r="O1525">
        <v>63.471169435392802</v>
      </c>
      <c r="P1525">
        <v>-0.154490206704194</v>
      </c>
      <c r="Q1525">
        <v>0.11059011573232</v>
      </c>
      <c r="R1525">
        <v>0.75414535353359502</v>
      </c>
      <c r="S1525" t="s">
        <v>7351</v>
      </c>
      <c r="T1525" t="s">
        <v>11650</v>
      </c>
      <c r="U1525" t="s">
        <v>11650</v>
      </c>
      <c r="V1525" t="s">
        <v>11650</v>
      </c>
      <c r="W1525" t="s">
        <v>13146</v>
      </c>
      <c r="X1525">
        <v>1</v>
      </c>
      <c r="Y1525" t="s">
        <v>18891</v>
      </c>
      <c r="Z1525" t="s">
        <v>24587</v>
      </c>
      <c r="AA1525">
        <v>0.81255645511595642</v>
      </c>
      <c r="AB1525" t="str">
        <f>HYPERLINK("Melting_Curves/meltCurve_O75818_2_RPP40.pdf", "Melting_Curves/meltCurve_O75818_2_RPP40.pdf")</f>
        <v>Melting_Curves/meltCurve_O75818_2_RPP40.pdf</v>
      </c>
    </row>
    <row r="1526" spans="1:28" x14ac:dyDescent="0.25">
      <c r="A1526" t="s">
        <v>1530</v>
      </c>
      <c r="B1526">
        <v>0.99996721820229495</v>
      </c>
      <c r="C1526">
        <v>1.00367922470636</v>
      </c>
      <c r="D1526">
        <v>1.11227126914345</v>
      </c>
      <c r="E1526">
        <v>1.7026210322845301</v>
      </c>
      <c r="F1526">
        <v>1.1449094975868701</v>
      </c>
      <c r="G1526">
        <v>1.1198821663070799</v>
      </c>
      <c r="H1526">
        <v>0.64635848211178104</v>
      </c>
      <c r="I1526">
        <v>0.48482918563292998</v>
      </c>
      <c r="J1526">
        <v>0.38573756887342198</v>
      </c>
      <c r="K1526">
        <v>0.26735996774669701</v>
      </c>
      <c r="L1526">
        <v>2759.94917394614</v>
      </c>
      <c r="M1526">
        <v>45.081570220760298</v>
      </c>
      <c r="N1526">
        <v>62.791546700744398</v>
      </c>
      <c r="O1526">
        <v>61.1011308080897</v>
      </c>
      <c r="P1526">
        <v>-0.12209734471410499</v>
      </c>
      <c r="Q1526">
        <v>0.33806421436283102</v>
      </c>
      <c r="R1526">
        <v>0.67344229689756696</v>
      </c>
      <c r="S1526" t="s">
        <v>7352</v>
      </c>
      <c r="T1526" t="s">
        <v>11650</v>
      </c>
      <c r="U1526" t="s">
        <v>11650</v>
      </c>
      <c r="V1526" t="s">
        <v>11650</v>
      </c>
      <c r="W1526" t="s">
        <v>13147</v>
      </c>
      <c r="X1526">
        <v>13</v>
      </c>
      <c r="Y1526" t="s">
        <v>18892</v>
      </c>
      <c r="Z1526" t="s">
        <v>24588</v>
      </c>
      <c r="AA1526">
        <v>0.80835774800491789</v>
      </c>
      <c r="AB1526" t="str">
        <f>HYPERLINK("Melting_Curves/meltCurve_O75821_EIF3G.pdf", "Melting_Curves/meltCurve_O75821_EIF3G.pdf")</f>
        <v>Melting_Curves/meltCurve_O75821_EIF3G.pdf</v>
      </c>
    </row>
    <row r="1527" spans="1:28" x14ac:dyDescent="0.25">
      <c r="A1527" t="s">
        <v>1531</v>
      </c>
      <c r="B1527">
        <v>0.99996721820229495</v>
      </c>
      <c r="C1527">
        <v>1.14727597606726</v>
      </c>
      <c r="D1527">
        <v>1.1045729392730701</v>
      </c>
      <c r="E1527">
        <v>1.54044361684861</v>
      </c>
      <c r="F1527">
        <v>0.968778832750682</v>
      </c>
      <c r="G1527">
        <v>0.62221473485578804</v>
      </c>
      <c r="H1527">
        <v>0.39806744710500302</v>
      </c>
      <c r="I1527">
        <v>0.306935628078853</v>
      </c>
      <c r="J1527">
        <v>0.23723032966909899</v>
      </c>
      <c r="K1527">
        <v>0.18550791507407999</v>
      </c>
      <c r="L1527">
        <v>1981.78467389036</v>
      </c>
      <c r="M1527">
        <v>34.5353096792171</v>
      </c>
      <c r="N1527">
        <v>58.542454099320501</v>
      </c>
      <c r="O1527">
        <v>57.192917269313497</v>
      </c>
      <c r="P1527">
        <v>-0.113596787286644</v>
      </c>
      <c r="Q1527">
        <v>0.24750550718005901</v>
      </c>
      <c r="R1527">
        <v>0.82354201096845103</v>
      </c>
      <c r="S1527" t="s">
        <v>7353</v>
      </c>
      <c r="T1527" t="s">
        <v>11650</v>
      </c>
      <c r="U1527" t="s">
        <v>11650</v>
      </c>
      <c r="V1527" t="s">
        <v>11650</v>
      </c>
      <c r="W1527" t="s">
        <v>13148</v>
      </c>
      <c r="X1527">
        <v>15</v>
      </c>
      <c r="Y1527" t="s">
        <v>18893</v>
      </c>
      <c r="Z1527" t="s">
        <v>24589</v>
      </c>
      <c r="AA1527">
        <v>0.68744368612948514</v>
      </c>
      <c r="AB1527" t="str">
        <f>HYPERLINK("Melting_Curves/meltCurve_O75822_EIF3J.pdf", "Melting_Curves/meltCurve_O75822_EIF3J.pdf")</f>
        <v>Melting_Curves/meltCurve_O75822_EIF3J.pdf</v>
      </c>
    </row>
    <row r="1528" spans="1:28" x14ac:dyDescent="0.25">
      <c r="A1528" t="s">
        <v>1532</v>
      </c>
      <c r="B1528">
        <v>0.99996721820229495</v>
      </c>
      <c r="C1528">
        <v>1.0342433464436001</v>
      </c>
      <c r="D1528">
        <v>0.97652443944018097</v>
      </c>
      <c r="E1528">
        <v>0.78252049673935098</v>
      </c>
      <c r="F1528">
        <v>0.397762932066136</v>
      </c>
      <c r="G1528">
        <v>0.26363787077401801</v>
      </c>
      <c r="H1528">
        <v>0.15156734052343801</v>
      </c>
      <c r="I1528">
        <v>0.104699092566261</v>
      </c>
      <c r="J1528">
        <v>7.5924355481012007E-2</v>
      </c>
      <c r="K1528">
        <v>5.7298403517001398E-2</v>
      </c>
      <c r="L1528">
        <v>1208.85903598338</v>
      </c>
      <c r="M1528">
        <v>23.201315022024101</v>
      </c>
      <c r="N1528">
        <v>52.563868219040799</v>
      </c>
      <c r="O1528">
        <v>51.720600587554699</v>
      </c>
      <c r="P1528">
        <v>-0.101828887959046</v>
      </c>
      <c r="Q1528">
        <v>9.2024567645050501E-2</v>
      </c>
      <c r="R1528">
        <v>0.99156435177914004</v>
      </c>
      <c r="S1528" t="s">
        <v>7354</v>
      </c>
      <c r="T1528" t="s">
        <v>11650</v>
      </c>
      <c r="U1528" t="s">
        <v>11650</v>
      </c>
      <c r="V1528" t="s">
        <v>11650</v>
      </c>
      <c r="W1528" t="s">
        <v>13149</v>
      </c>
      <c r="X1528">
        <v>22</v>
      </c>
      <c r="Y1528" t="s">
        <v>18894</v>
      </c>
      <c r="Z1528" t="s">
        <v>24590</v>
      </c>
      <c r="AA1528">
        <v>0.4678965955138995</v>
      </c>
      <c r="AB1528" t="str">
        <f>HYPERLINK("Melting_Curves/meltCurve_O75828_CBR3.pdf", "Melting_Curves/meltCurve_O75828_CBR3.pdf")</f>
        <v>Melting_Curves/meltCurve_O75828_CBR3.pdf</v>
      </c>
    </row>
    <row r="1529" spans="1:28" x14ac:dyDescent="0.25">
      <c r="A1529" t="s">
        <v>1533</v>
      </c>
      <c r="B1529">
        <v>0.99996721820229495</v>
      </c>
      <c r="C1529">
        <v>1.04607031122151</v>
      </c>
      <c r="D1529">
        <v>0.97939683077939499</v>
      </c>
      <c r="E1529">
        <v>0.67376732928914296</v>
      </c>
      <c r="F1529">
        <v>0.32859637136383102</v>
      </c>
      <c r="G1529">
        <v>0.30538892107065702</v>
      </c>
      <c r="H1529">
        <v>0.19104469816180999</v>
      </c>
      <c r="I1529">
        <v>0.13532502598421201</v>
      </c>
      <c r="J1529">
        <v>9.9741634838044602E-2</v>
      </c>
      <c r="K1529">
        <v>7.5507599625435504E-2</v>
      </c>
      <c r="L1529">
        <v>1216.7698792697299</v>
      </c>
      <c r="M1529">
        <v>23.847535952498198</v>
      </c>
      <c r="N1529">
        <v>51.697285715828102</v>
      </c>
      <c r="O1529">
        <v>50.668173916389797</v>
      </c>
      <c r="P1529">
        <v>-0.10193788848480401</v>
      </c>
      <c r="Q1529">
        <v>0.133676341671325</v>
      </c>
      <c r="R1529">
        <v>0.98218011386577897</v>
      </c>
      <c r="S1529" t="s">
        <v>7355</v>
      </c>
      <c r="T1529" t="s">
        <v>11650</v>
      </c>
      <c r="U1529" t="s">
        <v>11650</v>
      </c>
      <c r="V1529" t="s">
        <v>11650</v>
      </c>
      <c r="W1529" t="s">
        <v>13150</v>
      </c>
      <c r="X1529">
        <v>6</v>
      </c>
      <c r="Y1529" t="s">
        <v>18895</v>
      </c>
      <c r="Z1529" t="s">
        <v>24591</v>
      </c>
      <c r="AA1529">
        <v>0.46057562192591561</v>
      </c>
      <c r="AB1529" t="str">
        <f>HYPERLINK("Melting_Curves/meltCurve_O75832_PSMD10.pdf", "Melting_Curves/meltCurve_O75832_PSMD10.pdf")</f>
        <v>Melting_Curves/meltCurve_O75832_PSMD10.pdf</v>
      </c>
    </row>
    <row r="1530" spans="1:28" x14ac:dyDescent="0.25">
      <c r="A1530" t="s">
        <v>1534</v>
      </c>
      <c r="B1530">
        <v>0.99996721820229495</v>
      </c>
      <c r="C1530">
        <v>0.59311760974483196</v>
      </c>
      <c r="D1530">
        <v>0.90237689940459298</v>
      </c>
      <c r="E1530">
        <v>0.84772062306016105</v>
      </c>
      <c r="F1530">
        <v>1.06137794513145</v>
      </c>
      <c r="G1530">
        <v>0.77795813113583101</v>
      </c>
      <c r="H1530">
        <v>0.40028074324370799</v>
      </c>
      <c r="I1530">
        <v>0.154722778609831</v>
      </c>
      <c r="J1530">
        <v>8.5719762417575396E-2</v>
      </c>
      <c r="K1530">
        <v>7.8064015591712693E-2</v>
      </c>
      <c r="L1530">
        <v>1711.9672276404799</v>
      </c>
      <c r="M1530">
        <v>28.699529965461601</v>
      </c>
      <c r="N1530">
        <v>59.885693085866698</v>
      </c>
      <c r="O1530">
        <v>59.364037734039698</v>
      </c>
      <c r="P1530">
        <v>-0.114445414741324</v>
      </c>
      <c r="Q1530">
        <v>5.31009913069488E-2</v>
      </c>
      <c r="R1530">
        <v>0.84526993491677704</v>
      </c>
      <c r="S1530" t="s">
        <v>7356</v>
      </c>
      <c r="T1530" t="s">
        <v>11650</v>
      </c>
      <c r="U1530" t="s">
        <v>11650</v>
      </c>
      <c r="V1530" t="s">
        <v>11650</v>
      </c>
      <c r="W1530" t="s">
        <v>13151</v>
      </c>
      <c r="X1530">
        <v>9</v>
      </c>
      <c r="Y1530" t="s">
        <v>18896</v>
      </c>
      <c r="Z1530" t="s">
        <v>24592</v>
      </c>
      <c r="AA1530">
        <v>0.67960558626413214</v>
      </c>
      <c r="AB1530" t="str">
        <f>HYPERLINK("Melting_Curves/meltCurve_O75844_ZMPSTE24.pdf", "Melting_Curves/meltCurve_O75844_ZMPSTE24.pdf")</f>
        <v>Melting_Curves/meltCurve_O75844_ZMPSTE24.pdf</v>
      </c>
    </row>
    <row r="1531" spans="1:28" x14ac:dyDescent="0.25">
      <c r="A1531" t="s">
        <v>1535</v>
      </c>
      <c r="B1531">
        <v>0.99996721820229495</v>
      </c>
      <c r="C1531">
        <v>1.13042485451188</v>
      </c>
      <c r="D1531">
        <v>1.1858672588268899</v>
      </c>
      <c r="E1531">
        <v>1.09259868234029</v>
      </c>
      <c r="F1531">
        <v>0.71105044428159703</v>
      </c>
      <c r="G1531">
        <v>0.48340264583794701</v>
      </c>
      <c r="H1531">
        <v>0.27746660168584097</v>
      </c>
      <c r="I1531">
        <v>0.199592291097582</v>
      </c>
      <c r="J1531">
        <v>0.12239001521012501</v>
      </c>
      <c r="K1531">
        <v>0.112157303760148</v>
      </c>
      <c r="L1531">
        <v>1282.23389386078</v>
      </c>
      <c r="M1531">
        <v>22.919474430049998</v>
      </c>
      <c r="N1531">
        <v>56.679683265205</v>
      </c>
      <c r="O1531">
        <v>55.5244956185986</v>
      </c>
      <c r="P1531">
        <v>-8.9938187601784805E-2</v>
      </c>
      <c r="Q1531">
        <v>0.12848304012106401</v>
      </c>
      <c r="R1531">
        <v>0.95016144369050004</v>
      </c>
      <c r="S1531" t="s">
        <v>7357</v>
      </c>
      <c r="T1531" t="s">
        <v>11650</v>
      </c>
      <c r="U1531" t="s">
        <v>11650</v>
      </c>
      <c r="V1531" t="s">
        <v>11650</v>
      </c>
      <c r="W1531" t="s">
        <v>13152</v>
      </c>
      <c r="X1531">
        <v>1</v>
      </c>
      <c r="Y1531" t="s">
        <v>18897</v>
      </c>
      <c r="Z1531" t="s">
        <v>24593</v>
      </c>
      <c r="AA1531">
        <v>0.60091154405676328</v>
      </c>
      <c r="AB1531" t="str">
        <f>HYPERLINK("Melting_Curves/meltCurve_O75865_TRAPPC6A.pdf", "Melting_Curves/meltCurve_O75865_TRAPPC6A.pdf")</f>
        <v>Melting_Curves/meltCurve_O75865_TRAPPC6A.pdf</v>
      </c>
    </row>
    <row r="1532" spans="1:28" x14ac:dyDescent="0.25">
      <c r="A1532" t="s">
        <v>1536</v>
      </c>
      <c r="B1532">
        <v>0.99996721820229495</v>
      </c>
      <c r="C1532">
        <v>0.96472956777778895</v>
      </c>
      <c r="D1532">
        <v>1.00735813257587</v>
      </c>
      <c r="E1532">
        <v>0.96810175046242597</v>
      </c>
      <c r="F1532">
        <v>0.87392180818232701</v>
      </c>
      <c r="G1532">
        <v>0.37675972851456002</v>
      </c>
      <c r="H1532">
        <v>0.14826244414435599</v>
      </c>
      <c r="I1532">
        <v>8.9125000182172606E-2</v>
      </c>
      <c r="J1532">
        <v>7.0582660317478105E-2</v>
      </c>
      <c r="K1532">
        <v>5.7512765974702902E-2</v>
      </c>
      <c r="L1532">
        <v>1814.79279163245</v>
      </c>
      <c r="M1532">
        <v>32.495018922910198</v>
      </c>
      <c r="N1532">
        <v>56.110911931026401</v>
      </c>
      <c r="O1532">
        <v>55.6381023243435</v>
      </c>
      <c r="P1532">
        <v>-0.13571276609325</v>
      </c>
      <c r="Q1532">
        <v>7.0532626698859596E-2</v>
      </c>
      <c r="R1532">
        <v>0.99861179586328896</v>
      </c>
      <c r="S1532" t="s">
        <v>7358</v>
      </c>
      <c r="T1532" t="s">
        <v>11650</v>
      </c>
      <c r="U1532" t="s">
        <v>11650</v>
      </c>
      <c r="V1532" t="s">
        <v>11650</v>
      </c>
      <c r="W1532" t="s">
        <v>13153</v>
      </c>
      <c r="X1532">
        <v>31</v>
      </c>
      <c r="Y1532" t="s">
        <v>18898</v>
      </c>
      <c r="Z1532" t="s">
        <v>24594</v>
      </c>
      <c r="AA1532">
        <v>0.56688597529604978</v>
      </c>
      <c r="AB1532" t="str">
        <f>HYPERLINK("Melting_Curves/meltCurve_O75874_IDH1.pdf", "Melting_Curves/meltCurve_O75874_IDH1.pdf")</f>
        <v>Melting_Curves/meltCurve_O75874_IDH1.pdf</v>
      </c>
    </row>
    <row r="1533" spans="1:28" x14ac:dyDescent="0.25">
      <c r="A1533" t="s">
        <v>1537</v>
      </c>
      <c r="B1533">
        <v>0.99996721820229495</v>
      </c>
      <c r="C1533">
        <v>0.90274191402534198</v>
      </c>
      <c r="D1533">
        <v>0.94803340195260299</v>
      </c>
      <c r="E1533">
        <v>1.31479823787176</v>
      </c>
      <c r="F1533">
        <v>1.4127369935632199</v>
      </c>
      <c r="G1533">
        <v>1.43529161367115</v>
      </c>
      <c r="H1533">
        <v>1.0410597717177399</v>
      </c>
      <c r="I1533">
        <v>0.72049519744476598</v>
      </c>
      <c r="J1533">
        <v>0.35630307788912902</v>
      </c>
      <c r="K1533">
        <v>0.48922977698673298</v>
      </c>
      <c r="L1533">
        <v>15000</v>
      </c>
      <c r="M1533">
        <v>234.31186094106201</v>
      </c>
      <c r="N1533">
        <v>64.531626420496295</v>
      </c>
      <c r="O1533">
        <v>64.012582290332006</v>
      </c>
      <c r="P1533">
        <v>-0.52823222239309597</v>
      </c>
      <c r="Q1533">
        <v>0.422760616515307</v>
      </c>
      <c r="R1533">
        <v>0.60254509505063503</v>
      </c>
      <c r="S1533" t="s">
        <v>7359</v>
      </c>
      <c r="T1533" t="s">
        <v>11650</v>
      </c>
      <c r="U1533" t="s">
        <v>11650</v>
      </c>
      <c r="V1533" t="s">
        <v>11650</v>
      </c>
      <c r="W1533" t="s">
        <v>13154</v>
      </c>
      <c r="X1533">
        <v>8</v>
      </c>
      <c r="Y1533" t="s">
        <v>18899</v>
      </c>
      <c r="Z1533" t="s">
        <v>24595</v>
      </c>
      <c r="AA1533">
        <v>0.88495778515256684</v>
      </c>
      <c r="AB1533" t="str">
        <f>HYPERLINK("Melting_Curves/meltCurve_O75882_ATRN.pdf", "Melting_Curves/meltCurve_O75882_ATRN.pdf")</f>
        <v>Melting_Curves/meltCurve_O75882_ATRN.pdf</v>
      </c>
    </row>
    <row r="1534" spans="1:28" x14ac:dyDescent="0.25">
      <c r="A1534" t="s">
        <v>1538</v>
      </c>
      <c r="B1534">
        <v>0.99996721820229495</v>
      </c>
      <c r="C1534">
        <v>1.13557669758289</v>
      </c>
      <c r="D1534">
        <v>1.06973078960741</v>
      </c>
      <c r="E1534">
        <v>1.0267172946813301</v>
      </c>
      <c r="F1534">
        <v>1.0209328344591</v>
      </c>
      <c r="G1534">
        <v>0.67347565439079304</v>
      </c>
      <c r="H1534">
        <v>0.30599641209525802</v>
      </c>
      <c r="I1534">
        <v>0.19707295848319101</v>
      </c>
      <c r="J1534">
        <v>0.121845177589016</v>
      </c>
      <c r="K1534">
        <v>9.2857569054244901E-2</v>
      </c>
      <c r="L1534">
        <v>1749.58110074312</v>
      </c>
      <c r="M1534">
        <v>30.011903077232301</v>
      </c>
      <c r="N1534">
        <v>58.784248102777603</v>
      </c>
      <c r="O1534">
        <v>58.039251326534298</v>
      </c>
      <c r="P1534">
        <v>-0.11502008370811299</v>
      </c>
      <c r="Q1534">
        <v>0.110268207714046</v>
      </c>
      <c r="R1534">
        <v>0.98222422970247902</v>
      </c>
      <c r="S1534" t="s">
        <v>7360</v>
      </c>
      <c r="T1534" t="s">
        <v>11650</v>
      </c>
      <c r="U1534" t="s">
        <v>11650</v>
      </c>
      <c r="V1534" t="s">
        <v>11650</v>
      </c>
      <c r="W1534" t="s">
        <v>13155</v>
      </c>
      <c r="X1534">
        <v>6</v>
      </c>
      <c r="Y1534" t="s">
        <v>18900</v>
      </c>
      <c r="Z1534" t="s">
        <v>24596</v>
      </c>
      <c r="AA1534">
        <v>0.65871033421890668</v>
      </c>
      <c r="AB1534" t="str">
        <f>HYPERLINK("Melting_Curves/meltCurve_O75884_RBBP9.pdf", "Melting_Curves/meltCurve_O75884_RBBP9.pdf")</f>
        <v>Melting_Curves/meltCurve_O75884_RBBP9.pdf</v>
      </c>
    </row>
    <row r="1535" spans="1:28" x14ac:dyDescent="0.25">
      <c r="A1535" t="s">
        <v>1539</v>
      </c>
      <c r="B1535">
        <v>0.99996721820229495</v>
      </c>
      <c r="C1535">
        <v>1.06733239817475</v>
      </c>
      <c r="D1535">
        <v>1.02899001339922</v>
      </c>
      <c r="E1535">
        <v>1.0082593003429901</v>
      </c>
      <c r="F1535">
        <v>0.475129641755139</v>
      </c>
      <c r="G1535">
        <v>0.354775982914941</v>
      </c>
      <c r="H1535">
        <v>0.19234299287783599</v>
      </c>
      <c r="I1535">
        <v>0.13101997574278099</v>
      </c>
      <c r="J1535">
        <v>0.10172753012826199</v>
      </c>
      <c r="K1535">
        <v>8.3475428428876106E-2</v>
      </c>
      <c r="L1535">
        <v>1643.89780552463</v>
      </c>
      <c r="M1535">
        <v>30.975166407495699</v>
      </c>
      <c r="N1535">
        <v>53.642909030310598</v>
      </c>
      <c r="O1535">
        <v>52.851746059639702</v>
      </c>
      <c r="P1535">
        <v>-0.12593022012518401</v>
      </c>
      <c r="Q1535">
        <v>0.14052518929950999</v>
      </c>
      <c r="R1535">
        <v>0.96847744618199005</v>
      </c>
      <c r="S1535" t="s">
        <v>7361</v>
      </c>
      <c r="T1535" t="s">
        <v>11650</v>
      </c>
      <c r="U1535" t="s">
        <v>11650</v>
      </c>
      <c r="V1535" t="s">
        <v>11650</v>
      </c>
      <c r="W1535" t="s">
        <v>13156</v>
      </c>
      <c r="X1535">
        <v>15</v>
      </c>
      <c r="Y1535" t="s">
        <v>18901</v>
      </c>
      <c r="Z1535" t="s">
        <v>24597</v>
      </c>
      <c r="AA1535">
        <v>0.52025185718655254</v>
      </c>
      <c r="AB1535" t="str">
        <f>HYPERLINK("Melting_Curves/meltCurve_O75886_STAM2.pdf", "Melting_Curves/meltCurve_O75886_STAM2.pdf")</f>
        <v>Melting_Curves/meltCurve_O75886_STAM2.pdf</v>
      </c>
    </row>
    <row r="1536" spans="1:28" x14ac:dyDescent="0.25">
      <c r="A1536" t="s">
        <v>1540</v>
      </c>
      <c r="B1536">
        <v>0.99996721820229495</v>
      </c>
      <c r="C1536">
        <v>1.0797661289453899</v>
      </c>
      <c r="D1536">
        <v>1.0561423644402801</v>
      </c>
      <c r="E1536">
        <v>0.97003698252418802</v>
      </c>
      <c r="F1536">
        <v>0.54836826807301398</v>
      </c>
      <c r="G1536">
        <v>0.34957879394140401</v>
      </c>
      <c r="H1536">
        <v>0.20277754822789801</v>
      </c>
      <c r="I1536">
        <v>0.15325220547007801</v>
      </c>
      <c r="J1536">
        <v>0.12879174277938699</v>
      </c>
      <c r="K1536">
        <v>8.29056498407231E-2</v>
      </c>
      <c r="L1536">
        <v>1375.7950910341999</v>
      </c>
      <c r="M1536">
        <v>25.643032598733001</v>
      </c>
      <c r="N1536">
        <v>54.307304746507903</v>
      </c>
      <c r="O1536">
        <v>53.328719599299298</v>
      </c>
      <c r="P1536">
        <v>-0.10421335600038301</v>
      </c>
      <c r="Q1536">
        <v>0.13309838036201599</v>
      </c>
      <c r="R1536">
        <v>0.97953977550990601</v>
      </c>
      <c r="S1536" t="s">
        <v>7362</v>
      </c>
      <c r="T1536" t="s">
        <v>11650</v>
      </c>
      <c r="U1536" t="s">
        <v>11650</v>
      </c>
      <c r="V1536" t="s">
        <v>11650</v>
      </c>
      <c r="W1536" t="s">
        <v>13157</v>
      </c>
      <c r="X1536">
        <v>4</v>
      </c>
      <c r="Y1536" t="s">
        <v>18902</v>
      </c>
      <c r="Z1536" t="s">
        <v>24598</v>
      </c>
      <c r="AA1536">
        <v>0.5352350392986539</v>
      </c>
      <c r="AB1536" t="str">
        <f>HYPERLINK("Melting_Curves/meltCurve_O75891_ALDH1L1.pdf", "Melting_Curves/meltCurve_O75891_ALDH1L1.pdf")</f>
        <v>Melting_Curves/meltCurve_O75891_ALDH1L1.pdf</v>
      </c>
    </row>
    <row r="1537" spans="1:28" x14ac:dyDescent="0.25">
      <c r="A1537" t="s">
        <v>1541</v>
      </c>
      <c r="B1537">
        <v>0.99996721820229495</v>
      </c>
      <c r="C1537">
        <v>1.16708434122059</v>
      </c>
      <c r="D1537">
        <v>1.1585389905690899</v>
      </c>
      <c r="E1537">
        <v>1.493908241005</v>
      </c>
      <c r="F1537">
        <v>1.19088930792723</v>
      </c>
      <c r="G1537">
        <v>1.3801999128350699</v>
      </c>
      <c r="H1537">
        <v>0.25362786840298701</v>
      </c>
      <c r="I1537">
        <v>0</v>
      </c>
      <c r="J1537">
        <v>0</v>
      </c>
      <c r="K1537">
        <v>0</v>
      </c>
      <c r="L1537">
        <v>15000</v>
      </c>
      <c r="M1537">
        <v>246.980994548539</v>
      </c>
      <c r="N1537">
        <v>60.733418085463398</v>
      </c>
      <c r="O1537">
        <v>60.729412479495302</v>
      </c>
      <c r="P1537">
        <v>-1.0167268573588499</v>
      </c>
      <c r="Q1537">
        <v>0</v>
      </c>
      <c r="R1537">
        <v>0.86265059759914497</v>
      </c>
      <c r="S1537" t="s">
        <v>7363</v>
      </c>
      <c r="T1537" t="s">
        <v>11650</v>
      </c>
      <c r="U1537" t="s">
        <v>11650</v>
      </c>
      <c r="V1537" t="s">
        <v>11650</v>
      </c>
      <c r="W1537" t="s">
        <v>13158</v>
      </c>
      <c r="X1537">
        <v>3</v>
      </c>
      <c r="Y1537" t="s">
        <v>18903</v>
      </c>
      <c r="Z1537" t="s">
        <v>24599</v>
      </c>
      <c r="AA1537">
        <v>0.69122314450163502</v>
      </c>
      <c r="AB1537" t="str">
        <f>HYPERLINK("Melting_Curves/meltCurve_O75896_TUSC2.pdf", "Melting_Curves/meltCurve_O75896_TUSC2.pdf")</f>
        <v>Melting_Curves/meltCurve_O75896_TUSC2.pdf</v>
      </c>
    </row>
    <row r="1538" spans="1:28" x14ac:dyDescent="0.25">
      <c r="A1538" t="s">
        <v>1542</v>
      </c>
      <c r="B1538">
        <v>0.99996721820229495</v>
      </c>
      <c r="C1538">
        <v>1.01823808625478</v>
      </c>
      <c r="D1538">
        <v>0.958222529632349</v>
      </c>
      <c r="E1538">
        <v>0.95858524204754303</v>
      </c>
      <c r="F1538">
        <v>0.69076451790514903</v>
      </c>
      <c r="G1538">
        <v>0.41505530143531799</v>
      </c>
      <c r="H1538">
        <v>0.251687716750016</v>
      </c>
      <c r="I1538">
        <v>0.180783305361951</v>
      </c>
      <c r="J1538">
        <v>0.13665958664631001</v>
      </c>
      <c r="K1538">
        <v>0.110537535647831</v>
      </c>
      <c r="L1538">
        <v>1105.90009752118</v>
      </c>
      <c r="M1538">
        <v>20.064691061604702</v>
      </c>
      <c r="N1538">
        <v>55.8637781423717</v>
      </c>
      <c r="O1538">
        <v>54.577989934024302</v>
      </c>
      <c r="P1538">
        <v>-8.1096409493016705E-2</v>
      </c>
      <c r="Q1538">
        <v>0.117666327996733</v>
      </c>
      <c r="R1538">
        <v>0.99497117147391401</v>
      </c>
      <c r="S1538" t="s">
        <v>7364</v>
      </c>
      <c r="T1538" t="s">
        <v>11650</v>
      </c>
      <c r="U1538" t="s">
        <v>11650</v>
      </c>
      <c r="V1538" t="s">
        <v>11650</v>
      </c>
      <c r="W1538" t="s">
        <v>13159</v>
      </c>
      <c r="X1538">
        <v>7</v>
      </c>
      <c r="Y1538" t="s">
        <v>18904</v>
      </c>
      <c r="Z1538" t="s">
        <v>24600</v>
      </c>
      <c r="AA1538">
        <v>0.57392145190613952</v>
      </c>
      <c r="AB1538" t="str">
        <f>HYPERLINK("Melting_Curves/meltCurve_O75911_DHRS3.pdf", "Melting_Curves/meltCurve_O75911_DHRS3.pdf")</f>
        <v>Melting_Curves/meltCurve_O75911_DHRS3.pdf</v>
      </c>
    </row>
    <row r="1539" spans="1:28" x14ac:dyDescent="0.25">
      <c r="A1539" t="s">
        <v>1543</v>
      </c>
      <c r="B1539">
        <v>0.99996721820229495</v>
      </c>
      <c r="C1539">
        <v>0.93891785919857096</v>
      </c>
      <c r="D1539">
        <v>0.98172110893702302</v>
      </c>
      <c r="E1539">
        <v>1.2217867170507399</v>
      </c>
      <c r="F1539">
        <v>1.5049033734469199</v>
      </c>
      <c r="G1539">
        <v>1.7580452466035299</v>
      </c>
      <c r="H1539">
        <v>0.49677093274850298</v>
      </c>
      <c r="I1539">
        <v>0.21648864870687501</v>
      </c>
      <c r="J1539">
        <v>0.172272629597958</v>
      </c>
      <c r="K1539">
        <v>0.137985376789694</v>
      </c>
      <c r="L1539">
        <v>11056.962235089801</v>
      </c>
      <c r="M1539">
        <v>181.71036466423499</v>
      </c>
      <c r="N1539">
        <v>60.994512856336101</v>
      </c>
      <c r="O1539">
        <v>60.8420056535534</v>
      </c>
      <c r="P1539">
        <v>-0.61558317460510703</v>
      </c>
      <c r="Q1539">
        <v>0.175538173750696</v>
      </c>
      <c r="R1539">
        <v>0.69777567841690702</v>
      </c>
      <c r="S1539" t="s">
        <v>7365</v>
      </c>
      <c r="T1539" t="s">
        <v>11650</v>
      </c>
      <c r="U1539" t="s">
        <v>11650</v>
      </c>
      <c r="V1539" t="s">
        <v>11650</v>
      </c>
      <c r="W1539" t="s">
        <v>13160</v>
      </c>
      <c r="X1539">
        <v>16</v>
      </c>
      <c r="Y1539" t="s">
        <v>18905</v>
      </c>
      <c r="Z1539" t="s">
        <v>24601</v>
      </c>
      <c r="AA1539">
        <v>0.74868867277265161</v>
      </c>
      <c r="AB1539" t="str">
        <f>HYPERLINK("Melting_Curves/meltCurve_O75914_2_PAK3.pdf", "Melting_Curves/meltCurve_O75914_2_PAK3.pdf")</f>
        <v>Melting_Curves/meltCurve_O75914_2_PAK3.pdf</v>
      </c>
    </row>
    <row r="1540" spans="1:28" x14ac:dyDescent="0.25">
      <c r="A1540" t="s">
        <v>1544</v>
      </c>
      <c r="B1540">
        <v>0.99996721820229495</v>
      </c>
      <c r="C1540">
        <v>1.06621405008246</v>
      </c>
      <c r="D1540">
        <v>1.0198357699540599</v>
      </c>
      <c r="E1540">
        <v>1.01965059542874</v>
      </c>
      <c r="F1540">
        <v>1.3298122606499501</v>
      </c>
      <c r="G1540">
        <v>1.29052033003037</v>
      </c>
      <c r="H1540">
        <v>0.68062729094076402</v>
      </c>
      <c r="I1540">
        <v>0.37344853249772902</v>
      </c>
      <c r="J1540">
        <v>0.25962592814539198</v>
      </c>
      <c r="K1540">
        <v>0.18137369079603599</v>
      </c>
      <c r="L1540">
        <v>3349.0118034470001</v>
      </c>
      <c r="M1540">
        <v>54.348733387402802</v>
      </c>
      <c r="N1540">
        <v>62.337548656763502</v>
      </c>
      <c r="O1540">
        <v>61.5375351822304</v>
      </c>
      <c r="P1540">
        <v>-0.169494822808992</v>
      </c>
      <c r="Q1540">
        <v>0.23234374025346899</v>
      </c>
      <c r="R1540">
        <v>0.86765512015642599</v>
      </c>
      <c r="S1540" t="s">
        <v>7366</v>
      </c>
      <c r="T1540" t="s">
        <v>11650</v>
      </c>
      <c r="U1540" t="s">
        <v>11650</v>
      </c>
      <c r="V1540" t="s">
        <v>11650</v>
      </c>
      <c r="W1540" t="s">
        <v>13161</v>
      </c>
      <c r="X1540">
        <v>12</v>
      </c>
      <c r="Y1540" t="s">
        <v>18906</v>
      </c>
      <c r="Z1540" t="s">
        <v>24602</v>
      </c>
      <c r="AA1540">
        <v>0.78729426700607674</v>
      </c>
      <c r="AB1540" t="str">
        <f>HYPERLINK("Melting_Curves/meltCurve_O75915_ARL6IP5.pdf", "Melting_Curves/meltCurve_O75915_ARL6IP5.pdf")</f>
        <v>Melting_Curves/meltCurve_O75915_ARL6IP5.pdf</v>
      </c>
    </row>
    <row r="1541" spans="1:28" x14ac:dyDescent="0.25">
      <c r="A1541" t="s">
        <v>1545</v>
      </c>
      <c r="B1541">
        <v>0.99996721820229495</v>
      </c>
      <c r="C1541">
        <v>1.0457397240453801</v>
      </c>
      <c r="D1541">
        <v>0.96515322442947704</v>
      </c>
      <c r="E1541">
        <v>1.1558897898529901</v>
      </c>
      <c r="F1541">
        <v>0.866982487288538</v>
      </c>
      <c r="G1541">
        <v>0.67753647852223997</v>
      </c>
      <c r="H1541">
        <v>0.56303660387870003</v>
      </c>
      <c r="I1541">
        <v>0.34621158858457701</v>
      </c>
      <c r="J1541">
        <v>0.18736569378683099</v>
      </c>
      <c r="K1541">
        <v>0.116913885193276</v>
      </c>
      <c r="L1541">
        <v>937.56336880725598</v>
      </c>
      <c r="M1541">
        <v>15.335787343018399</v>
      </c>
      <c r="N1541">
        <v>61.135671473951398</v>
      </c>
      <c r="O1541">
        <v>60.124415143914</v>
      </c>
      <c r="P1541">
        <v>-6.3772795424355197E-2</v>
      </c>
      <c r="Q1541">
        <v>0</v>
      </c>
      <c r="R1541">
        <v>0.96069022480030497</v>
      </c>
      <c r="S1541" t="s">
        <v>7367</v>
      </c>
      <c r="T1541" t="s">
        <v>11650</v>
      </c>
      <c r="U1541" t="s">
        <v>11650</v>
      </c>
      <c r="V1541" t="s">
        <v>11650</v>
      </c>
      <c r="W1541" t="s">
        <v>13162</v>
      </c>
      <c r="X1541">
        <v>3</v>
      </c>
      <c r="Y1541" t="s">
        <v>18907</v>
      </c>
      <c r="Z1541" t="s">
        <v>24603</v>
      </c>
      <c r="AA1541">
        <v>0.70681759217876605</v>
      </c>
      <c r="AB1541" t="str">
        <f>HYPERLINK("Melting_Curves/meltCurve_O75934_BCAS2.pdf", "Melting_Curves/meltCurve_O75934_BCAS2.pdf")</f>
        <v>Melting_Curves/meltCurve_O75934_BCAS2.pdf</v>
      </c>
    </row>
    <row r="1542" spans="1:28" x14ac:dyDescent="0.25">
      <c r="A1542" t="s">
        <v>1546</v>
      </c>
      <c r="B1542">
        <v>0.99996721820229495</v>
      </c>
      <c r="C1542">
        <v>0.98306104449324805</v>
      </c>
      <c r="D1542">
        <v>1.0143563310131101</v>
      </c>
      <c r="E1542">
        <v>0.94671839229388199</v>
      </c>
      <c r="F1542">
        <v>0.66069054930840099</v>
      </c>
      <c r="G1542">
        <v>0.60328214813631198</v>
      </c>
      <c r="H1542">
        <v>0.28477071917003599</v>
      </c>
      <c r="I1542">
        <v>0.15105109307543499</v>
      </c>
      <c r="J1542">
        <v>8.3381413834281506E-2</v>
      </c>
      <c r="K1542">
        <v>8.1038336280665493E-2</v>
      </c>
      <c r="L1542">
        <v>848.80645974133995</v>
      </c>
      <c r="M1542">
        <v>14.802859062287901</v>
      </c>
      <c r="N1542">
        <v>57.340710805567397</v>
      </c>
      <c r="O1542">
        <v>56.324757160447803</v>
      </c>
      <c r="P1542">
        <v>-6.5710154980720706E-2</v>
      </c>
      <c r="Q1542">
        <v>0</v>
      </c>
      <c r="R1542">
        <v>0.98311506516527802</v>
      </c>
      <c r="S1542" t="s">
        <v>7368</v>
      </c>
      <c r="T1542" t="s">
        <v>11650</v>
      </c>
      <c r="U1542" t="s">
        <v>11650</v>
      </c>
      <c r="V1542" t="s">
        <v>11650</v>
      </c>
      <c r="W1542" t="s">
        <v>13163</v>
      </c>
      <c r="X1542">
        <v>3</v>
      </c>
      <c r="Y1542" t="s">
        <v>18908</v>
      </c>
      <c r="Z1542" t="s">
        <v>24604</v>
      </c>
      <c r="AA1542">
        <v>0.59317348526526747</v>
      </c>
      <c r="AB1542" t="str">
        <f>HYPERLINK("Melting_Curves/meltCurve_O75935_DCTN3.pdf", "Melting_Curves/meltCurve_O75935_DCTN3.pdf")</f>
        <v>Melting_Curves/meltCurve_O75935_DCTN3.pdf</v>
      </c>
    </row>
    <row r="1543" spans="1:28" x14ac:dyDescent="0.25">
      <c r="A1543" t="s">
        <v>1547</v>
      </c>
      <c r="B1543">
        <v>0.99996721820229495</v>
      </c>
      <c r="C1543">
        <v>1.0028592204581901</v>
      </c>
      <c r="D1543">
        <v>0.86877787329365297</v>
      </c>
      <c r="E1543">
        <v>0.75031268548055097</v>
      </c>
      <c r="F1543">
        <v>0.47049310815583101</v>
      </c>
      <c r="G1543">
        <v>0.34155647696573799</v>
      </c>
      <c r="H1543">
        <v>0.22389936697986099</v>
      </c>
      <c r="I1543">
        <v>0.28560249579425601</v>
      </c>
      <c r="J1543">
        <v>0.17563557935020499</v>
      </c>
      <c r="K1543">
        <v>0.15108386742860999</v>
      </c>
      <c r="L1543">
        <v>840.34890960261305</v>
      </c>
      <c r="M1543">
        <v>16.217288636366899</v>
      </c>
      <c r="N1543">
        <v>53.228982083632999</v>
      </c>
      <c r="O1543">
        <v>51.049419335168103</v>
      </c>
      <c r="P1543">
        <v>-6.5549947611485096E-2</v>
      </c>
      <c r="Q1543">
        <v>0.1746989755768</v>
      </c>
      <c r="R1543">
        <v>0.98699098437836397</v>
      </c>
      <c r="S1543" t="s">
        <v>7369</v>
      </c>
      <c r="T1543" t="s">
        <v>11650</v>
      </c>
      <c r="U1543" t="s">
        <v>11650</v>
      </c>
      <c r="V1543" t="s">
        <v>11650</v>
      </c>
      <c r="W1543" t="s">
        <v>13164</v>
      </c>
      <c r="X1543">
        <v>17</v>
      </c>
      <c r="Y1543" t="s">
        <v>18909</v>
      </c>
      <c r="Z1543" t="s">
        <v>24605</v>
      </c>
      <c r="AA1543">
        <v>0.51621456254211961</v>
      </c>
      <c r="AB1543" t="str">
        <f>HYPERLINK("Melting_Curves/meltCurve_O75937_DNAJC8.pdf", "Melting_Curves/meltCurve_O75937_DNAJC8.pdf")</f>
        <v>Melting_Curves/meltCurve_O75937_DNAJC8.pdf</v>
      </c>
    </row>
    <row r="1544" spans="1:28" x14ac:dyDescent="0.25">
      <c r="A1544" t="s">
        <v>1548</v>
      </c>
      <c r="B1544">
        <v>0.99996721820229495</v>
      </c>
      <c r="C1544">
        <v>1.1301098088110899</v>
      </c>
      <c r="D1544">
        <v>1.0870202459535401</v>
      </c>
      <c r="E1544">
        <v>1.0641341953461501</v>
      </c>
      <c r="F1544">
        <v>1.6948414604122799</v>
      </c>
      <c r="G1544">
        <v>2.1315801702238399</v>
      </c>
      <c r="H1544">
        <v>1.54842968175792</v>
      </c>
      <c r="I1544">
        <v>1.38542441063143</v>
      </c>
      <c r="J1544">
        <v>1.3045197487609199</v>
      </c>
      <c r="K1544">
        <v>1.0421910484475601</v>
      </c>
      <c r="L1544">
        <v>12595.8114277942</v>
      </c>
      <c r="M1544">
        <v>250</v>
      </c>
      <c r="O1544">
        <v>50.380034223011798</v>
      </c>
      <c r="P1544">
        <v>0.62028556289279602</v>
      </c>
      <c r="Q1544">
        <v>1.5</v>
      </c>
      <c r="R1544">
        <v>0.38990070817550299</v>
      </c>
      <c r="S1544" t="s">
        <v>7370</v>
      </c>
      <c r="T1544" t="s">
        <v>11650</v>
      </c>
      <c r="U1544" t="s">
        <v>11650</v>
      </c>
      <c r="V1544" t="s">
        <v>11650</v>
      </c>
      <c r="W1544" t="s">
        <v>13165</v>
      </c>
      <c r="X1544">
        <v>6</v>
      </c>
      <c r="Y1544" t="s">
        <v>18910</v>
      </c>
      <c r="Z1544" t="s">
        <v>24606</v>
      </c>
      <c r="AA1544">
        <v>1.326901693907677</v>
      </c>
      <c r="AB1544" t="str">
        <f>HYPERLINK("Melting_Curves/meltCurve_O75940_SMNDC1.pdf", "Melting_Curves/meltCurve_O75940_SMNDC1.pdf")</f>
        <v>Melting_Curves/meltCurve_O75940_SMNDC1.pdf</v>
      </c>
    </row>
    <row r="1545" spans="1:28" x14ac:dyDescent="0.25">
      <c r="A1545" t="s">
        <v>1549</v>
      </c>
      <c r="B1545">
        <v>0.99996721820229495</v>
      </c>
      <c r="C1545">
        <v>0.99755924403820195</v>
      </c>
      <c r="D1545">
        <v>1.03730574123633</v>
      </c>
      <c r="E1545">
        <v>1.42369558307613</v>
      </c>
      <c r="F1545">
        <v>1.8264102915406799</v>
      </c>
      <c r="G1545">
        <v>2.62110309012311</v>
      </c>
      <c r="H1545">
        <v>2.1303954677553798</v>
      </c>
      <c r="I1545">
        <v>2.19502383265226</v>
      </c>
      <c r="J1545">
        <v>1.8234889518419299</v>
      </c>
      <c r="K1545">
        <v>1.0050382442029799</v>
      </c>
      <c r="L1545">
        <v>12414.2855178711</v>
      </c>
      <c r="M1545">
        <v>250</v>
      </c>
      <c r="O1545">
        <v>49.653969692707697</v>
      </c>
      <c r="P1545">
        <v>0.62935559011230402</v>
      </c>
      <c r="Q1545">
        <v>1.5</v>
      </c>
      <c r="R1545">
        <v>0.18998784570663299</v>
      </c>
      <c r="S1545" t="s">
        <v>7371</v>
      </c>
      <c r="T1545" t="s">
        <v>11650</v>
      </c>
      <c r="U1545" t="s">
        <v>11650</v>
      </c>
      <c r="V1545" t="s">
        <v>11650</v>
      </c>
      <c r="W1545" t="s">
        <v>13166</v>
      </c>
      <c r="X1545">
        <v>9</v>
      </c>
      <c r="Y1545" t="s">
        <v>18911</v>
      </c>
      <c r="Z1545" t="s">
        <v>24607</v>
      </c>
      <c r="AA1545">
        <v>1.339004058386174</v>
      </c>
      <c r="AB1545" t="str">
        <f>HYPERLINK("Melting_Curves/meltCurve_O75947_ATP5H.pdf", "Melting_Curves/meltCurve_O75947_ATP5H.pdf")</f>
        <v>Melting_Curves/meltCurve_O75947_ATP5H.pdf</v>
      </c>
    </row>
    <row r="1546" spans="1:28" x14ac:dyDescent="0.25">
      <c r="A1546" t="s">
        <v>1550</v>
      </c>
      <c r="B1546">
        <v>0.99996721820229495</v>
      </c>
      <c r="C1546">
        <v>0.98463389733851103</v>
      </c>
      <c r="D1546">
        <v>1.0754780761743301</v>
      </c>
      <c r="E1546">
        <v>2.0262448618664499</v>
      </c>
      <c r="F1546">
        <v>1.90768020517068</v>
      </c>
      <c r="G1546">
        <v>1.90734514517144</v>
      </c>
      <c r="H1546">
        <v>0.68243041284842798</v>
      </c>
      <c r="I1546">
        <v>0.33462309425141801</v>
      </c>
      <c r="J1546">
        <v>0.23391759841724399</v>
      </c>
      <c r="K1546">
        <v>0.21744934188444101</v>
      </c>
      <c r="L1546">
        <v>6263.6306992113696</v>
      </c>
      <c r="M1546">
        <v>102.36563788599101</v>
      </c>
      <c r="N1546">
        <v>61.626756686674703</v>
      </c>
      <c r="O1546">
        <v>61.165459026735697</v>
      </c>
      <c r="P1546">
        <v>-0.310265008438245</v>
      </c>
      <c r="Q1546">
        <v>0.25844253479726098</v>
      </c>
      <c r="R1546">
        <v>0.38812524933175802</v>
      </c>
      <c r="S1546" t="s">
        <v>7372</v>
      </c>
      <c r="T1546" t="s">
        <v>11650</v>
      </c>
      <c r="U1546" t="s">
        <v>11650</v>
      </c>
      <c r="V1546" t="s">
        <v>11650</v>
      </c>
      <c r="W1546" t="s">
        <v>13167</v>
      </c>
      <c r="X1546">
        <v>16</v>
      </c>
      <c r="Y1546" t="s">
        <v>18912</v>
      </c>
      <c r="Z1546" t="s">
        <v>24608</v>
      </c>
      <c r="AA1546">
        <v>0.78267510424738895</v>
      </c>
      <c r="AB1546" t="str">
        <f>HYPERLINK("Melting_Curves/meltCurve_O75955_FLOT1.pdf", "Melting_Curves/meltCurve_O75955_FLOT1.pdf")</f>
        <v>Melting_Curves/meltCurve_O75955_FLOT1.pdf</v>
      </c>
    </row>
    <row r="1547" spans="1:28" x14ac:dyDescent="0.25">
      <c r="A1547" t="s">
        <v>1551</v>
      </c>
      <c r="B1547">
        <v>0.99996721820229495</v>
      </c>
      <c r="C1547">
        <v>0.88807742017245295</v>
      </c>
      <c r="D1547">
        <v>0.71545290125333105</v>
      </c>
      <c r="E1547">
        <v>0.50483918027778896</v>
      </c>
      <c r="F1547">
        <v>0.38459135991298699</v>
      </c>
      <c r="G1547">
        <v>0.33150602169661503</v>
      </c>
      <c r="H1547">
        <v>0.24640517434051001</v>
      </c>
      <c r="I1547">
        <v>0.21696978130826799</v>
      </c>
      <c r="J1547">
        <v>0.162698580636229</v>
      </c>
      <c r="K1547">
        <v>0.12949544596579901</v>
      </c>
      <c r="L1547">
        <v>587.16307380340004</v>
      </c>
      <c r="M1547">
        <v>11.959773838085001</v>
      </c>
      <c r="N1547">
        <v>50.573374736167899</v>
      </c>
      <c r="O1547">
        <v>47.782636341970701</v>
      </c>
      <c r="P1547">
        <v>-5.3355165222978097E-2</v>
      </c>
      <c r="Q1547">
        <v>0.14753304659278099</v>
      </c>
      <c r="R1547">
        <v>0.98908812261649404</v>
      </c>
      <c r="S1547" t="s">
        <v>7373</v>
      </c>
      <c r="T1547" t="s">
        <v>11650</v>
      </c>
      <c r="U1547" t="s">
        <v>11650</v>
      </c>
      <c r="V1547" t="s">
        <v>11650</v>
      </c>
      <c r="W1547" t="s">
        <v>13168</v>
      </c>
      <c r="X1547">
        <v>18</v>
      </c>
      <c r="Y1547" t="s">
        <v>18913</v>
      </c>
      <c r="Z1547" t="s">
        <v>24609</v>
      </c>
      <c r="AA1547">
        <v>0.43728070973442479</v>
      </c>
      <c r="AB1547" t="str">
        <f>HYPERLINK("Melting_Curves/meltCurve_O75962_4_TRIO.pdf", "Melting_Curves/meltCurve_O75962_4_TRIO.pdf")</f>
        <v>Melting_Curves/meltCurve_O75962_4_TRIO.pdf</v>
      </c>
    </row>
    <row r="1548" spans="1:28" x14ac:dyDescent="0.25">
      <c r="A1548" t="s">
        <v>1552</v>
      </c>
      <c r="B1548">
        <v>0.99996721820229495</v>
      </c>
      <c r="C1548">
        <v>0.85779300863491204</v>
      </c>
      <c r="D1548">
        <v>0.91372990735228299</v>
      </c>
      <c r="E1548">
        <v>0.999148886693628</v>
      </c>
      <c r="F1548">
        <v>1.2666601035694001</v>
      </c>
      <c r="G1548">
        <v>1.42544045916567</v>
      </c>
      <c r="H1548">
        <v>1.0209382990331499</v>
      </c>
      <c r="I1548">
        <v>0.684211244855358</v>
      </c>
      <c r="J1548">
        <v>0.21403384406993001</v>
      </c>
      <c r="K1548">
        <v>0.124244852824273</v>
      </c>
      <c r="L1548">
        <v>4353.1252880000502</v>
      </c>
      <c r="M1548">
        <v>67.418696171822802</v>
      </c>
      <c r="N1548">
        <v>64.860044346933705</v>
      </c>
      <c r="O1548">
        <v>64.511779418127801</v>
      </c>
      <c r="P1548">
        <v>-0.22711506837867501</v>
      </c>
      <c r="Q1548">
        <v>0.130710377734504</v>
      </c>
      <c r="R1548">
        <v>0.817285094695402</v>
      </c>
      <c r="S1548" t="s">
        <v>7374</v>
      </c>
      <c r="T1548" t="s">
        <v>11650</v>
      </c>
      <c r="U1548" t="s">
        <v>11650</v>
      </c>
      <c r="V1548" t="s">
        <v>11650</v>
      </c>
      <c r="W1548" t="s">
        <v>13169</v>
      </c>
      <c r="X1548">
        <v>6</v>
      </c>
      <c r="Y1548" t="s">
        <v>18914</v>
      </c>
      <c r="Z1548" t="s">
        <v>24610</v>
      </c>
      <c r="AA1548">
        <v>0.84379414198253688</v>
      </c>
      <c r="AB1548" t="str">
        <f>HYPERLINK("Melting_Curves/meltCurve_O75964_ATP5L.pdf", "Melting_Curves/meltCurve_O75964_ATP5L.pdf")</f>
        <v>Melting_Curves/meltCurve_O75964_ATP5L.pdf</v>
      </c>
    </row>
    <row r="1549" spans="1:28" x14ac:dyDescent="0.25">
      <c r="A1549" t="s">
        <v>1553</v>
      </c>
      <c r="B1549">
        <v>0.99996721820229495</v>
      </c>
      <c r="C1549">
        <v>0.88880569976963797</v>
      </c>
      <c r="D1549">
        <v>0.95844300756970302</v>
      </c>
      <c r="E1549">
        <v>0.91528752830738402</v>
      </c>
      <c r="F1549">
        <v>0.75553102402109495</v>
      </c>
      <c r="G1549">
        <v>0.64012268032686304</v>
      </c>
      <c r="H1549">
        <v>0.36801560802430799</v>
      </c>
      <c r="I1549">
        <v>0.219303387204455</v>
      </c>
      <c r="J1549">
        <v>0.159570880628705</v>
      </c>
      <c r="K1549">
        <v>0.14531137149658399</v>
      </c>
      <c r="L1549">
        <v>737.55578166326097</v>
      </c>
      <c r="M1549">
        <v>12.593740277051401</v>
      </c>
      <c r="N1549">
        <v>58.576695581832801</v>
      </c>
      <c r="O1549">
        <v>57.147456255925803</v>
      </c>
      <c r="P1549">
        <v>-5.5036581737804999E-2</v>
      </c>
      <c r="Q1549">
        <v>1.22686741677341E-3</v>
      </c>
      <c r="R1549">
        <v>0.98415172661800199</v>
      </c>
      <c r="S1549" t="s">
        <v>7375</v>
      </c>
      <c r="T1549" t="s">
        <v>11650</v>
      </c>
      <c r="U1549" t="s">
        <v>11650</v>
      </c>
      <c r="V1549" t="s">
        <v>11650</v>
      </c>
      <c r="W1549" t="s">
        <v>13170</v>
      </c>
      <c r="X1549">
        <v>24</v>
      </c>
      <c r="Y1549" t="s">
        <v>18915</v>
      </c>
      <c r="Z1549" t="s">
        <v>24611</v>
      </c>
      <c r="AA1549">
        <v>0.6300133452508182</v>
      </c>
      <c r="AB1549" t="str">
        <f>HYPERLINK("Melting_Curves/meltCurve_O75976_CPD.pdf", "Melting_Curves/meltCurve_O75976_CPD.pdf")</f>
        <v>Melting_Curves/meltCurve_O75976_CPD.pdf</v>
      </c>
    </row>
    <row r="1550" spans="1:28" x14ac:dyDescent="0.25">
      <c r="A1550" t="s">
        <v>1554</v>
      </c>
      <c r="B1550">
        <v>0.99996721820229495</v>
      </c>
      <c r="C1550">
        <v>1.0528194554705801</v>
      </c>
      <c r="D1550">
        <v>0.95432780487195101</v>
      </c>
      <c r="E1550">
        <v>0.72325496903345698</v>
      </c>
      <c r="F1550">
        <v>0.42421487623737297</v>
      </c>
      <c r="G1550">
        <v>0.32156249820331401</v>
      </c>
      <c r="H1550">
        <v>0.20023364987754599</v>
      </c>
      <c r="I1550">
        <v>0.123813330156614</v>
      </c>
      <c r="J1550">
        <v>8.68945682055626E-2</v>
      </c>
      <c r="K1550">
        <v>6.9805589050269498E-2</v>
      </c>
      <c r="L1550">
        <v>914.326078031919</v>
      </c>
      <c r="M1550">
        <v>17.4928290269164</v>
      </c>
      <c r="N1550">
        <v>52.870809418827903</v>
      </c>
      <c r="O1550">
        <v>51.599892364458</v>
      </c>
      <c r="P1550">
        <v>-7.7101442369336595E-2</v>
      </c>
      <c r="Q1550">
        <v>9.03229125098097E-2</v>
      </c>
      <c r="R1550">
        <v>0.98797090736733495</v>
      </c>
      <c r="S1550" t="s">
        <v>7376</v>
      </c>
      <c r="T1550" t="s">
        <v>11650</v>
      </c>
      <c r="U1550" t="s">
        <v>11650</v>
      </c>
      <c r="V1550" t="s">
        <v>11650</v>
      </c>
      <c r="W1550" t="s">
        <v>13171</v>
      </c>
      <c r="X1550">
        <v>16</v>
      </c>
      <c r="Y1550" t="s">
        <v>18916</v>
      </c>
      <c r="Z1550" t="s">
        <v>24612</v>
      </c>
      <c r="AA1550">
        <v>0.47815372330442352</v>
      </c>
      <c r="AB1550" t="str">
        <f>HYPERLINK("Melting_Curves/meltCurve_O76003_GLRX3.pdf", "Melting_Curves/meltCurve_O76003_GLRX3.pdf")</f>
        <v>Melting_Curves/meltCurve_O76003_GLRX3.pdf</v>
      </c>
    </row>
    <row r="1551" spans="1:28" x14ac:dyDescent="0.25">
      <c r="A1551" t="s">
        <v>1555</v>
      </c>
      <c r="B1551">
        <v>0.99996721820229495</v>
      </c>
      <c r="C1551">
        <v>0.86236569593124901</v>
      </c>
      <c r="D1551">
        <v>0.91251541251347201</v>
      </c>
      <c r="E1551">
        <v>1.2248104016042101</v>
      </c>
      <c r="F1551">
        <v>0.91299353333588795</v>
      </c>
      <c r="G1551">
        <v>0.75091653162553496</v>
      </c>
      <c r="H1551">
        <v>0.55089481291322895</v>
      </c>
      <c r="I1551">
        <v>0.41726779760770899</v>
      </c>
      <c r="J1551">
        <v>0.32483593018934998</v>
      </c>
      <c r="K1551">
        <v>0.33318517642123802</v>
      </c>
      <c r="L1551">
        <v>1346.8030373931599</v>
      </c>
      <c r="M1551">
        <v>22.8575450920229</v>
      </c>
      <c r="N1551">
        <v>61.511696120784798</v>
      </c>
      <c r="O1551">
        <v>58.476166132916902</v>
      </c>
      <c r="P1551">
        <v>-6.7524426633979603E-2</v>
      </c>
      <c r="Q1551">
        <v>0.30902573776783698</v>
      </c>
      <c r="R1551">
        <v>0.89937029328166096</v>
      </c>
      <c r="S1551" t="s">
        <v>7377</v>
      </c>
      <c r="T1551" t="s">
        <v>11650</v>
      </c>
      <c r="U1551" t="s">
        <v>11650</v>
      </c>
      <c r="V1551" t="s">
        <v>11650</v>
      </c>
      <c r="W1551" t="s">
        <v>13172</v>
      </c>
      <c r="X1551">
        <v>8</v>
      </c>
      <c r="Y1551" t="s">
        <v>18917</v>
      </c>
      <c r="Z1551" t="s">
        <v>24613</v>
      </c>
      <c r="AA1551">
        <v>0.75112470073402626</v>
      </c>
      <c r="AB1551" t="str">
        <f>HYPERLINK("Melting_Curves/meltCurve_O76024_WFS1.pdf", "Melting_Curves/meltCurve_O76024_WFS1.pdf")</f>
        <v>Melting_Curves/meltCurve_O76024_WFS1.pdf</v>
      </c>
    </row>
    <row r="1552" spans="1:28" x14ac:dyDescent="0.25">
      <c r="A1552" t="s">
        <v>1556</v>
      </c>
      <c r="B1552">
        <v>0.99996721820229495</v>
      </c>
      <c r="C1552">
        <v>0.85946714729306095</v>
      </c>
      <c r="D1552">
        <v>0.72386910336662902</v>
      </c>
      <c r="E1552">
        <v>0.64781990035245596</v>
      </c>
      <c r="F1552">
        <v>0.40734729908776501</v>
      </c>
      <c r="G1552">
        <v>0.33084237276988199</v>
      </c>
      <c r="H1552">
        <v>0.19249727035808101</v>
      </c>
      <c r="I1552">
        <v>0.12952646343765101</v>
      </c>
      <c r="J1552">
        <v>9.1994031382719194E-2</v>
      </c>
      <c r="K1552">
        <v>8.4145101367237601E-2</v>
      </c>
      <c r="L1552">
        <v>493.60560963582401</v>
      </c>
      <c r="M1552">
        <v>9.5124416644559506</v>
      </c>
      <c r="N1552">
        <v>51.890520158728798</v>
      </c>
      <c r="O1552">
        <v>49.752528627709097</v>
      </c>
      <c r="P1552">
        <v>-4.78269171736121E-2</v>
      </c>
      <c r="Q1552">
        <v>0</v>
      </c>
      <c r="R1552">
        <v>0.98785751384879095</v>
      </c>
      <c r="S1552" t="s">
        <v>7378</v>
      </c>
      <c r="T1552" t="s">
        <v>11650</v>
      </c>
      <c r="U1552" t="s">
        <v>11650</v>
      </c>
      <c r="V1552" t="s">
        <v>11650</v>
      </c>
      <c r="W1552" t="s">
        <v>13173</v>
      </c>
      <c r="X1552">
        <v>11</v>
      </c>
      <c r="Y1552" t="s">
        <v>18918</v>
      </c>
      <c r="Z1552" t="s">
        <v>24614</v>
      </c>
      <c r="AA1552">
        <v>0.43683499540992088</v>
      </c>
      <c r="AB1552" t="str">
        <f>HYPERLINK("Melting_Curves/meltCurve_O76031_CLPX.pdf", "Melting_Curves/meltCurve_O76031_CLPX.pdf")</f>
        <v>Melting_Curves/meltCurve_O76031_CLPX.pdf</v>
      </c>
    </row>
    <row r="1553" spans="1:28" x14ac:dyDescent="0.25">
      <c r="A1553" t="s">
        <v>1557</v>
      </c>
      <c r="B1553">
        <v>0.99996721820229495</v>
      </c>
      <c r="C1553">
        <v>0.86569005807847699</v>
      </c>
      <c r="D1553">
        <v>0.872542917002193</v>
      </c>
      <c r="E1553">
        <v>0.55017087446366697</v>
      </c>
      <c r="F1553">
        <v>0.34929304863006</v>
      </c>
      <c r="G1553">
        <v>0.24661810236117901</v>
      </c>
      <c r="H1553">
        <v>0.160443063181849</v>
      </c>
      <c r="I1553">
        <v>9.6588774436602701E-2</v>
      </c>
      <c r="J1553">
        <v>6.4095793998746597E-2</v>
      </c>
      <c r="K1553">
        <v>5.54357532416931E-2</v>
      </c>
      <c r="L1553">
        <v>696.86860488976004</v>
      </c>
      <c r="M1553">
        <v>13.755697924189899</v>
      </c>
      <c r="N1553">
        <v>51.029354710835896</v>
      </c>
      <c r="O1553">
        <v>49.625674591796503</v>
      </c>
      <c r="P1553">
        <v>-6.6026055013345103E-2</v>
      </c>
      <c r="Q1553">
        <v>4.7340498956384897E-2</v>
      </c>
      <c r="R1553">
        <v>0.99043060280205397</v>
      </c>
      <c r="S1553" t="s">
        <v>7379</v>
      </c>
      <c r="T1553" t="s">
        <v>11650</v>
      </c>
      <c r="U1553" t="s">
        <v>11650</v>
      </c>
      <c r="V1553" t="s">
        <v>11650</v>
      </c>
      <c r="W1553" t="s">
        <v>13174</v>
      </c>
      <c r="X1553">
        <v>10</v>
      </c>
      <c r="Y1553" t="s">
        <v>18919</v>
      </c>
      <c r="Z1553" t="s">
        <v>24615</v>
      </c>
      <c r="AA1553">
        <v>0.41153924685896132</v>
      </c>
      <c r="AB1553" t="str">
        <f>HYPERLINK("Melting_Curves/meltCurve_O76054_SEC14L2.pdf", "Melting_Curves/meltCurve_O76054_SEC14L2.pdf")</f>
        <v>Melting_Curves/meltCurve_O76054_SEC14L2.pdf</v>
      </c>
    </row>
    <row r="1554" spans="1:28" x14ac:dyDescent="0.25">
      <c r="A1554" t="s">
        <v>1558</v>
      </c>
      <c r="B1554">
        <v>0.99996721820229495</v>
      </c>
      <c r="C1554">
        <v>1.01462695668577</v>
      </c>
      <c r="D1554">
        <v>0.97199249094751305</v>
      </c>
      <c r="E1554">
        <v>1.0754234344626901</v>
      </c>
      <c r="F1554">
        <v>1.4150876637916701</v>
      </c>
      <c r="G1554">
        <v>2.1975679183343599</v>
      </c>
      <c r="H1554">
        <v>1.7029638454034</v>
      </c>
      <c r="I1554">
        <v>0.82730346476930505</v>
      </c>
      <c r="J1554">
        <v>0.56667055718121495</v>
      </c>
      <c r="K1554">
        <v>0.47710895793906499</v>
      </c>
      <c r="L1554">
        <v>15000</v>
      </c>
      <c r="M1554">
        <v>233.80457729987799</v>
      </c>
      <c r="O1554">
        <v>64.151449491661396</v>
      </c>
      <c r="P1554">
        <v>-0.43564104789112301</v>
      </c>
      <c r="Q1554">
        <v>0.52187412321779003</v>
      </c>
      <c r="R1554">
        <v>0.13555246502530299</v>
      </c>
      <c r="S1554" t="s">
        <v>7380</v>
      </c>
      <c r="T1554" t="s">
        <v>11650</v>
      </c>
      <c r="U1554" t="s">
        <v>11650</v>
      </c>
      <c r="V1554" t="s">
        <v>11650</v>
      </c>
      <c r="W1554" t="s">
        <v>13175</v>
      </c>
      <c r="X1554">
        <v>5</v>
      </c>
      <c r="Y1554" t="s">
        <v>18920</v>
      </c>
      <c r="Z1554" t="s">
        <v>24616</v>
      </c>
      <c r="AA1554">
        <v>0.90692491729952385</v>
      </c>
      <c r="AB1554" t="str">
        <f>HYPERLINK("Melting_Curves/meltCurve_O76061_STC2.pdf", "Melting_Curves/meltCurve_O76061_STC2.pdf")</f>
        <v>Melting_Curves/meltCurve_O76061_STC2.pdf</v>
      </c>
    </row>
    <row r="1555" spans="1:28" x14ac:dyDescent="0.25">
      <c r="A1555" t="s">
        <v>1559</v>
      </c>
      <c r="B1555">
        <v>0.99996721820229495</v>
      </c>
      <c r="C1555">
        <v>1.0384663265052601</v>
      </c>
      <c r="D1555">
        <v>0.99159671444178998</v>
      </c>
      <c r="E1555">
        <v>0.99116883215159202</v>
      </c>
      <c r="F1555">
        <v>1.2276495122605</v>
      </c>
      <c r="G1555">
        <v>1.5958873905770701</v>
      </c>
      <c r="H1555">
        <v>1.1682065033323099</v>
      </c>
      <c r="I1555">
        <v>1.2894064439161199</v>
      </c>
      <c r="J1555">
        <v>1.29414418847923</v>
      </c>
      <c r="K1555">
        <v>0.82932468163608797</v>
      </c>
      <c r="L1555">
        <v>13070.842108441901</v>
      </c>
      <c r="M1555">
        <v>250</v>
      </c>
      <c r="O1555">
        <v>52.280022525787103</v>
      </c>
      <c r="P1555">
        <v>0.281410607031714</v>
      </c>
      <c r="Q1555">
        <v>1.2353944462545801</v>
      </c>
      <c r="R1555">
        <v>0.29006370126834702</v>
      </c>
      <c r="S1555" t="s">
        <v>7381</v>
      </c>
      <c r="T1555" t="s">
        <v>11650</v>
      </c>
      <c r="U1555" t="s">
        <v>11650</v>
      </c>
      <c r="V1555" t="s">
        <v>11650</v>
      </c>
      <c r="W1555" t="s">
        <v>13176</v>
      </c>
      <c r="X1555">
        <v>14</v>
      </c>
      <c r="Y1555" t="s">
        <v>18921</v>
      </c>
      <c r="Z1555" t="s">
        <v>24617</v>
      </c>
      <c r="AA1555">
        <v>1.1389916235976441</v>
      </c>
      <c r="AB1555" t="str">
        <f>HYPERLINK("Melting_Curves/meltCurve_O76070_SNCG.pdf", "Melting_Curves/meltCurve_O76070_SNCG.pdf")</f>
        <v>Melting_Curves/meltCurve_O76070_SNCG.pdf</v>
      </c>
    </row>
    <row r="1556" spans="1:28" x14ac:dyDescent="0.25">
      <c r="A1556" t="s">
        <v>1560</v>
      </c>
      <c r="B1556">
        <v>0.99996721820229495</v>
      </c>
      <c r="C1556">
        <v>0.89139902651019898</v>
      </c>
      <c r="D1556">
        <v>0.91695027710922905</v>
      </c>
      <c r="E1556">
        <v>0.90771079166023005</v>
      </c>
      <c r="F1556">
        <v>0.70039651297592398</v>
      </c>
      <c r="G1556">
        <v>0.59957919595731402</v>
      </c>
      <c r="H1556">
        <v>0.34840394741286101</v>
      </c>
      <c r="I1556">
        <v>0.19064387896930601</v>
      </c>
      <c r="J1556">
        <v>0.113217151708692</v>
      </c>
      <c r="K1556">
        <v>8.8634516273906797E-2</v>
      </c>
      <c r="L1556">
        <v>734.57617033101099</v>
      </c>
      <c r="M1556">
        <v>12.738701728366999</v>
      </c>
      <c r="N1556">
        <v>57.664925392247198</v>
      </c>
      <c r="O1556">
        <v>56.299264899985303</v>
      </c>
      <c r="P1556">
        <v>-5.6577724610191803E-2</v>
      </c>
      <c r="Q1556">
        <v>0</v>
      </c>
      <c r="R1556">
        <v>0.98180685502491905</v>
      </c>
      <c r="S1556" t="s">
        <v>7382</v>
      </c>
      <c r="T1556" t="s">
        <v>11650</v>
      </c>
      <c r="U1556" t="s">
        <v>11650</v>
      </c>
      <c r="V1556" t="s">
        <v>11650</v>
      </c>
      <c r="W1556" t="s">
        <v>13177</v>
      </c>
      <c r="X1556">
        <v>7</v>
      </c>
      <c r="Y1556" t="s">
        <v>18922</v>
      </c>
      <c r="Z1556" t="s">
        <v>24618</v>
      </c>
      <c r="AA1556">
        <v>0.60327414498118492</v>
      </c>
      <c r="AB1556" t="str">
        <f>HYPERLINK("Melting_Curves/meltCurve_O76071_CIAO1.pdf", "Melting_Curves/meltCurve_O76071_CIAO1.pdf")</f>
        <v>Melting_Curves/meltCurve_O76071_CIAO1.pdf</v>
      </c>
    </row>
    <row r="1557" spans="1:28" x14ac:dyDescent="0.25">
      <c r="A1557" t="s">
        <v>1561</v>
      </c>
      <c r="B1557">
        <v>0.99996721820229495</v>
      </c>
      <c r="C1557">
        <v>1.00619916277975</v>
      </c>
      <c r="D1557">
        <v>1.1393722487743501</v>
      </c>
      <c r="E1557">
        <v>1.4552527990386499</v>
      </c>
      <c r="F1557">
        <v>1.8639559977929501</v>
      </c>
      <c r="G1557">
        <v>2.0618385592486002</v>
      </c>
      <c r="H1557">
        <v>0.691009758296946</v>
      </c>
      <c r="I1557">
        <v>0.23262460667161</v>
      </c>
      <c r="J1557">
        <v>0.172696245532552</v>
      </c>
      <c r="K1557">
        <v>0.13000048220940399</v>
      </c>
      <c r="L1557">
        <v>6421.25056702046</v>
      </c>
      <c r="M1557">
        <v>104.731186627578</v>
      </c>
      <c r="N1557">
        <v>61.564033975189297</v>
      </c>
      <c r="O1557">
        <v>61.2893881078733</v>
      </c>
      <c r="P1557">
        <v>-0.35265857524146099</v>
      </c>
      <c r="Q1557">
        <v>0.17448745084011599</v>
      </c>
      <c r="R1557">
        <v>0.50106925979641004</v>
      </c>
      <c r="S1557" t="s">
        <v>7383</v>
      </c>
      <c r="T1557" t="s">
        <v>11650</v>
      </c>
      <c r="U1557" t="s">
        <v>11650</v>
      </c>
      <c r="V1557" t="s">
        <v>11650</v>
      </c>
      <c r="W1557" t="s">
        <v>13178</v>
      </c>
      <c r="X1557">
        <v>43</v>
      </c>
      <c r="Y1557" t="s">
        <v>18923</v>
      </c>
      <c r="Z1557" t="s">
        <v>24619</v>
      </c>
      <c r="AA1557">
        <v>0.76143083910063658</v>
      </c>
      <c r="AB1557" t="str">
        <f>HYPERLINK("Melting_Curves/meltCurve_O76074_PDE5A.pdf", "Melting_Curves/meltCurve_O76074_PDE5A.pdf")</f>
        <v>Melting_Curves/meltCurve_O76074_PDE5A.pdf</v>
      </c>
    </row>
    <row r="1558" spans="1:28" x14ac:dyDescent="0.25">
      <c r="A1558" t="s">
        <v>1562</v>
      </c>
      <c r="B1558">
        <v>0.99996721820229495</v>
      </c>
      <c r="C1558">
        <v>0.96768211172837204</v>
      </c>
      <c r="D1558">
        <v>0.91057513717689298</v>
      </c>
      <c r="E1558">
        <v>1.0558876701109301</v>
      </c>
      <c r="F1558">
        <v>1.42394621982188</v>
      </c>
      <c r="G1558">
        <v>1.9717518347691201</v>
      </c>
      <c r="H1558">
        <v>1.55285412104249</v>
      </c>
      <c r="I1558">
        <v>1.4031408186636201</v>
      </c>
      <c r="J1558">
        <v>1.21889687825249</v>
      </c>
      <c r="K1558">
        <v>0.75508341315273997</v>
      </c>
      <c r="L1558">
        <v>12589.046973430701</v>
      </c>
      <c r="M1558">
        <v>250</v>
      </c>
      <c r="O1558">
        <v>50.3529669592346</v>
      </c>
      <c r="P1558">
        <v>0.48111914866642502</v>
      </c>
      <c r="Q1558">
        <v>1.3876124133324601</v>
      </c>
      <c r="R1558">
        <v>0.32782823790937299</v>
      </c>
      <c r="S1558" t="s">
        <v>7384</v>
      </c>
      <c r="T1558" t="s">
        <v>11650</v>
      </c>
      <c r="U1558" t="s">
        <v>11650</v>
      </c>
      <c r="V1558" t="s">
        <v>11650</v>
      </c>
      <c r="W1558" t="s">
        <v>13179</v>
      </c>
      <c r="X1558">
        <v>3</v>
      </c>
      <c r="Y1558" t="s">
        <v>18924</v>
      </c>
      <c r="Z1558" t="s">
        <v>24620</v>
      </c>
      <c r="AA1558">
        <v>1.253771925599658</v>
      </c>
      <c r="AB1558" t="str">
        <f>HYPERLINK("Melting_Curves/meltCurve_O76080_ZFAND5.pdf", "Melting_Curves/meltCurve_O76080_ZFAND5.pdf")</f>
        <v>Melting_Curves/meltCurve_O76080_ZFAND5.pdf</v>
      </c>
    </row>
    <row r="1559" spans="1:28" x14ac:dyDescent="0.25">
      <c r="A1559" t="s">
        <v>1563</v>
      </c>
      <c r="B1559">
        <v>0.99996721820229495</v>
      </c>
      <c r="C1559">
        <v>0.83177094464299905</v>
      </c>
      <c r="D1559">
        <v>1.1242705406265201</v>
      </c>
      <c r="E1559">
        <v>1.34961085412755</v>
      </c>
      <c r="F1559">
        <v>1.6437098436422399</v>
      </c>
      <c r="G1559">
        <v>2.0220223469226299</v>
      </c>
      <c r="H1559">
        <v>1.7510900356852399</v>
      </c>
      <c r="I1559">
        <v>1.2939641987905699</v>
      </c>
      <c r="J1559">
        <v>0.83401698247242395</v>
      </c>
      <c r="K1559">
        <v>0.66669434165521302</v>
      </c>
      <c r="L1559">
        <v>15000</v>
      </c>
      <c r="M1559">
        <v>223.871986549154</v>
      </c>
      <c r="O1559">
        <v>66.997226361958298</v>
      </c>
      <c r="P1559">
        <v>-0.27846194360356002</v>
      </c>
      <c r="Q1559">
        <v>0.66666345058637499</v>
      </c>
      <c r="R1559">
        <v>-0.27798853429087</v>
      </c>
      <c r="S1559" t="s">
        <v>7385</v>
      </c>
      <c r="T1559" t="s">
        <v>11650</v>
      </c>
      <c r="U1559" t="s">
        <v>11650</v>
      </c>
      <c r="V1559" t="s">
        <v>11650</v>
      </c>
      <c r="W1559" t="s">
        <v>13180</v>
      </c>
      <c r="X1559">
        <v>2</v>
      </c>
      <c r="Y1559" t="s">
        <v>18925</v>
      </c>
      <c r="Z1559" t="s">
        <v>24621</v>
      </c>
      <c r="AA1559">
        <v>0.96674360858513231</v>
      </c>
      <c r="AB1559" t="str">
        <f>HYPERLINK("Melting_Curves/meltCurve_O76095_2_JTB.pdf", "Melting_Curves/meltCurve_O76095_2_JTB.pdf")</f>
        <v>Melting_Curves/meltCurve_O76095_2_JTB.pdf</v>
      </c>
    </row>
    <row r="1560" spans="1:28" x14ac:dyDescent="0.25">
      <c r="A1560" t="s">
        <v>1564</v>
      </c>
      <c r="B1560">
        <v>0.99996721820229495</v>
      </c>
      <c r="C1560">
        <v>0.94618358477534303</v>
      </c>
      <c r="D1560">
        <v>0.93855857456903202</v>
      </c>
      <c r="E1560">
        <v>1.05624843802067</v>
      </c>
      <c r="F1560">
        <v>1.2164096287022199</v>
      </c>
      <c r="G1560">
        <v>1.08332123033079</v>
      </c>
      <c r="H1560">
        <v>0.40559175845911899</v>
      </c>
      <c r="I1560">
        <v>0.17299192618435399</v>
      </c>
      <c r="J1560">
        <v>0.125300702750376</v>
      </c>
      <c r="K1560">
        <v>0.10631895011406001</v>
      </c>
      <c r="L1560">
        <v>7282.9647370715902</v>
      </c>
      <c r="M1560">
        <v>120.174476218484</v>
      </c>
      <c r="N1560">
        <v>60.761354447355501</v>
      </c>
      <c r="O1560">
        <v>60.586479953560499</v>
      </c>
      <c r="P1560">
        <v>-0.42930307461663902</v>
      </c>
      <c r="Q1560">
        <v>0.13426004356548599</v>
      </c>
      <c r="R1560">
        <v>0.96326662801235197</v>
      </c>
      <c r="S1560" t="s">
        <v>7386</v>
      </c>
      <c r="T1560" t="s">
        <v>11650</v>
      </c>
      <c r="U1560" t="s">
        <v>11650</v>
      </c>
      <c r="V1560" t="s">
        <v>11650</v>
      </c>
      <c r="W1560" t="s">
        <v>13181</v>
      </c>
      <c r="X1560">
        <v>22</v>
      </c>
      <c r="Y1560" t="s">
        <v>18926</v>
      </c>
      <c r="Z1560" t="s">
        <v>24622</v>
      </c>
      <c r="AA1560">
        <v>0.7292275981185995</v>
      </c>
      <c r="AB1560" t="str">
        <f>HYPERLINK("Melting_Curves/meltCurve_O94760_DDAH1.pdf", "Melting_Curves/meltCurve_O94760_DDAH1.pdf")</f>
        <v>Melting_Curves/meltCurve_O94760_DDAH1.pdf</v>
      </c>
    </row>
    <row r="1561" spans="1:28" x14ac:dyDescent="0.25">
      <c r="A1561" t="s">
        <v>1565</v>
      </c>
      <c r="B1561">
        <v>0.99996721820229495</v>
      </c>
      <c r="C1561">
        <v>0.98283441944468597</v>
      </c>
      <c r="D1561">
        <v>1.04491796908713</v>
      </c>
      <c r="E1561">
        <v>1.47898412414296</v>
      </c>
      <c r="F1561">
        <v>2.5348681065844199</v>
      </c>
      <c r="G1561">
        <v>2.3401073559633998</v>
      </c>
      <c r="H1561">
        <v>1.1777728048115299</v>
      </c>
      <c r="I1561">
        <v>1.0704997012475601</v>
      </c>
      <c r="J1561">
        <v>0.93575879472204204</v>
      </c>
      <c r="K1561">
        <v>0.93619373198382605</v>
      </c>
      <c r="L1561">
        <v>5267.2237196945198</v>
      </c>
      <c r="M1561">
        <v>79.253904522094601</v>
      </c>
      <c r="O1561">
        <v>66.417838772286402</v>
      </c>
      <c r="P1561">
        <v>-2.1675184599268801E-2</v>
      </c>
      <c r="Q1561">
        <v>0.92734143699410998</v>
      </c>
      <c r="R1561">
        <v>-0.38070343434161602</v>
      </c>
      <c r="S1561" t="s">
        <v>7387</v>
      </c>
      <c r="T1561" t="s">
        <v>11650</v>
      </c>
      <c r="U1561" t="s">
        <v>11650</v>
      </c>
      <c r="V1561" t="s">
        <v>11650</v>
      </c>
      <c r="W1561" t="s">
        <v>13182</v>
      </c>
      <c r="X1561">
        <v>11</v>
      </c>
      <c r="Y1561" t="s">
        <v>18927</v>
      </c>
      <c r="Z1561" t="s">
        <v>24623</v>
      </c>
      <c r="AA1561">
        <v>0.99146935917790235</v>
      </c>
      <c r="AB1561" t="str">
        <f>HYPERLINK("Melting_Curves/meltCurve_O94763_URI1.pdf", "Melting_Curves/meltCurve_O94763_URI1.pdf")</f>
        <v>Melting_Curves/meltCurve_O94763_URI1.pdf</v>
      </c>
    </row>
    <row r="1562" spans="1:28" x14ac:dyDescent="0.25">
      <c r="A1562" t="s">
        <v>1566</v>
      </c>
      <c r="B1562">
        <v>0.99996721820229495</v>
      </c>
      <c r="C1562">
        <v>0.88978196712397195</v>
      </c>
      <c r="D1562">
        <v>0.87003048711567199</v>
      </c>
      <c r="E1562">
        <v>0.812127292413658</v>
      </c>
      <c r="F1562">
        <v>0.29930761926295801</v>
      </c>
      <c r="G1562">
        <v>0.239946739387941</v>
      </c>
      <c r="H1562">
        <v>0.129878063207749</v>
      </c>
      <c r="I1562">
        <v>8.55883896108878E-2</v>
      </c>
      <c r="J1562">
        <v>5.25561651390416E-2</v>
      </c>
      <c r="K1562">
        <v>5.2412253972563702E-2</v>
      </c>
      <c r="L1562">
        <v>1202.03843063407</v>
      </c>
      <c r="M1562">
        <v>23.264735701231899</v>
      </c>
      <c r="N1562">
        <v>52.031075749747302</v>
      </c>
      <c r="O1562">
        <v>51.290626199906903</v>
      </c>
      <c r="P1562">
        <v>-0.104898901048532</v>
      </c>
      <c r="Q1562">
        <v>7.4954618625702296E-2</v>
      </c>
      <c r="R1562">
        <v>0.96747822407719897</v>
      </c>
      <c r="S1562" t="s">
        <v>7388</v>
      </c>
      <c r="T1562" t="s">
        <v>11650</v>
      </c>
      <c r="U1562" t="s">
        <v>11650</v>
      </c>
      <c r="V1562" t="s">
        <v>11650</v>
      </c>
      <c r="W1562" t="s">
        <v>13183</v>
      </c>
      <c r="X1562">
        <v>4</v>
      </c>
      <c r="Y1562" t="s">
        <v>18928</v>
      </c>
      <c r="Z1562" t="s">
        <v>24624</v>
      </c>
      <c r="AA1562">
        <v>0.444396507752023</v>
      </c>
      <c r="AB1562" t="str">
        <f>HYPERLINK("Melting_Curves/meltCurve_O94766_B3GAT3.pdf", "Melting_Curves/meltCurve_O94766_B3GAT3.pdf")</f>
        <v>Melting_Curves/meltCurve_O94766_B3GAT3.pdf</v>
      </c>
    </row>
    <row r="1563" spans="1:28" x14ac:dyDescent="0.25">
      <c r="A1563" t="s">
        <v>1567</v>
      </c>
      <c r="B1563">
        <v>0.99996721820229495</v>
      </c>
      <c r="C1563">
        <v>0.96845780306259999</v>
      </c>
      <c r="D1563">
        <v>0.51112380043514405</v>
      </c>
      <c r="E1563">
        <v>0.26393978029641302</v>
      </c>
      <c r="F1563">
        <v>0.30165080539801298</v>
      </c>
      <c r="G1563">
        <v>0.28636014913913599</v>
      </c>
      <c r="H1563">
        <v>0.19705954127824099</v>
      </c>
      <c r="I1563">
        <v>0.129181543084778</v>
      </c>
      <c r="J1563">
        <v>9.8018217428655505E-2</v>
      </c>
      <c r="K1563">
        <v>8.0712206448090795E-2</v>
      </c>
      <c r="L1563">
        <v>1676.04112545322</v>
      </c>
      <c r="M1563">
        <v>36.728885798872703</v>
      </c>
      <c r="N1563">
        <v>46.221408167391097</v>
      </c>
      <c r="O1563">
        <v>45.498136485526302</v>
      </c>
      <c r="P1563">
        <v>-0.164117068384179</v>
      </c>
      <c r="Q1563">
        <v>0.18679819653327701</v>
      </c>
      <c r="R1563">
        <v>0.95326056029994599</v>
      </c>
      <c r="S1563" t="s">
        <v>7389</v>
      </c>
      <c r="T1563" t="s">
        <v>11650</v>
      </c>
      <c r="U1563" t="s">
        <v>11650</v>
      </c>
      <c r="V1563" t="s">
        <v>11650</v>
      </c>
      <c r="W1563" t="s">
        <v>13184</v>
      </c>
      <c r="X1563">
        <v>35</v>
      </c>
      <c r="Y1563" t="s">
        <v>18929</v>
      </c>
      <c r="Z1563" t="s">
        <v>24625</v>
      </c>
      <c r="AA1563">
        <v>0.34267222389497032</v>
      </c>
      <c r="AB1563" t="str">
        <f>HYPERLINK("Melting_Curves/meltCurve_O94804_STK10.pdf", "Melting_Curves/meltCurve_O94804_STK10.pdf")</f>
        <v>Melting_Curves/meltCurve_O94804_STK10.pdf</v>
      </c>
    </row>
    <row r="1564" spans="1:28" x14ac:dyDescent="0.25">
      <c r="A1564" t="s">
        <v>1568</v>
      </c>
      <c r="B1564">
        <v>0.99996721820229495</v>
      </c>
      <c r="C1564">
        <v>0.78095258825681901</v>
      </c>
      <c r="D1564">
        <v>0.99108220990314699</v>
      </c>
      <c r="E1564">
        <v>0.87329178015744302</v>
      </c>
      <c r="F1564">
        <v>0.28186680419464599</v>
      </c>
      <c r="G1564">
        <v>0.19681581253434799</v>
      </c>
      <c r="H1564">
        <v>0.113822104891438</v>
      </c>
      <c r="I1564">
        <v>6.6545000824880907E-2</v>
      </c>
      <c r="J1564">
        <v>5.2766281404500702E-2</v>
      </c>
      <c r="K1564">
        <v>4.0391383269738401E-2</v>
      </c>
      <c r="L1564">
        <v>2652.3072774130001</v>
      </c>
      <c r="M1564">
        <v>51.298532615390798</v>
      </c>
      <c r="N1564">
        <v>51.906305960219001</v>
      </c>
      <c r="O1564">
        <v>51.624984776297801</v>
      </c>
      <c r="P1564">
        <v>-0.225847942094375</v>
      </c>
      <c r="Q1564">
        <v>9.0859974722534306E-2</v>
      </c>
      <c r="R1564">
        <v>0.95965822580424098</v>
      </c>
      <c r="S1564" t="s">
        <v>7390</v>
      </c>
      <c r="T1564" t="s">
        <v>11650</v>
      </c>
      <c r="U1564" t="s">
        <v>11650</v>
      </c>
      <c r="V1564" t="s">
        <v>11650</v>
      </c>
      <c r="W1564" t="s">
        <v>13185</v>
      </c>
      <c r="X1564">
        <v>19</v>
      </c>
      <c r="Y1564" t="s">
        <v>18930</v>
      </c>
      <c r="Z1564" t="s">
        <v>24626</v>
      </c>
      <c r="AA1564">
        <v>0.44749602561912322</v>
      </c>
      <c r="AB1564" t="str">
        <f>HYPERLINK("Melting_Curves/meltCurve_O94826_TOMM70A.pdf", "Melting_Curves/meltCurve_O94826_TOMM70A.pdf")</f>
        <v>Melting_Curves/meltCurve_O94826_TOMM70A.pdf</v>
      </c>
    </row>
    <row r="1565" spans="1:28" x14ac:dyDescent="0.25">
      <c r="A1565" t="s">
        <v>1569</v>
      </c>
      <c r="B1565">
        <v>0.99996721820229495</v>
      </c>
      <c r="C1565">
        <v>1.0166046007639</v>
      </c>
      <c r="D1565">
        <v>1.1004764681035999</v>
      </c>
      <c r="E1565">
        <v>0.83629613189234997</v>
      </c>
      <c r="F1565">
        <v>0.60381662576987905</v>
      </c>
      <c r="G1565">
        <v>0.49364348965458099</v>
      </c>
      <c r="H1565">
        <v>0.29687192837576898</v>
      </c>
      <c r="I1565">
        <v>0.22577658696723299</v>
      </c>
      <c r="J1565">
        <v>0.14776402231741601</v>
      </c>
      <c r="K1565">
        <v>9.3743927811528405E-2</v>
      </c>
      <c r="L1565">
        <v>795.51807744791302</v>
      </c>
      <c r="M1565">
        <v>14.3298279777212</v>
      </c>
      <c r="N1565">
        <v>56.205423910703402</v>
      </c>
      <c r="O1565">
        <v>54.4672818755731</v>
      </c>
      <c r="P1565">
        <v>-6.0470809891514203E-2</v>
      </c>
      <c r="Q1565">
        <v>8.0719527011780506E-2</v>
      </c>
      <c r="R1565">
        <v>0.97523570122714398</v>
      </c>
      <c r="S1565" t="s">
        <v>7391</v>
      </c>
      <c r="T1565" t="s">
        <v>11650</v>
      </c>
      <c r="U1565" t="s">
        <v>11650</v>
      </c>
      <c r="V1565" t="s">
        <v>11650</v>
      </c>
      <c r="W1565" t="s">
        <v>13186</v>
      </c>
      <c r="X1565">
        <v>6</v>
      </c>
      <c r="Y1565" t="s">
        <v>18931</v>
      </c>
      <c r="Z1565" t="s">
        <v>24627</v>
      </c>
      <c r="AA1565">
        <v>0.57390158055548546</v>
      </c>
      <c r="AB1565" t="str">
        <f>HYPERLINK("Melting_Curves/meltCurve_O94829_IPO13.pdf", "Melting_Curves/meltCurve_O94829_IPO13.pdf")</f>
        <v>Melting_Curves/meltCurve_O94829_IPO13.pdf</v>
      </c>
    </row>
    <row r="1566" spans="1:28" x14ac:dyDescent="0.25">
      <c r="A1566" t="s">
        <v>1570</v>
      </c>
      <c r="B1566">
        <v>0.99996721820229495</v>
      </c>
      <c r="C1566">
        <v>0.98064962694732805</v>
      </c>
      <c r="D1566">
        <v>1.0279266572355701</v>
      </c>
      <c r="E1566">
        <v>1.1030713163469299</v>
      </c>
      <c r="F1566">
        <v>1.2560637910336401</v>
      </c>
      <c r="G1566">
        <v>1.16738897599642</v>
      </c>
      <c r="H1566">
        <v>0.42407225172922902</v>
      </c>
      <c r="I1566">
        <v>0.216596252064745</v>
      </c>
      <c r="J1566">
        <v>0.15503597965596599</v>
      </c>
      <c r="K1566">
        <v>0.11496853235816799</v>
      </c>
      <c r="L1566">
        <v>8130.5989339329599</v>
      </c>
      <c r="M1566">
        <v>134.07331359904299</v>
      </c>
      <c r="N1566">
        <v>60.820376677361899</v>
      </c>
      <c r="O1566">
        <v>60.629442987556097</v>
      </c>
      <c r="P1566">
        <v>-0.46335448326788298</v>
      </c>
      <c r="Q1566">
        <v>0.161863815289743</v>
      </c>
      <c r="R1566">
        <v>0.941664760203625</v>
      </c>
      <c r="S1566" t="s">
        <v>7392</v>
      </c>
      <c r="T1566" t="s">
        <v>11650</v>
      </c>
      <c r="U1566" t="s">
        <v>11650</v>
      </c>
      <c r="V1566" t="s">
        <v>11650</v>
      </c>
      <c r="W1566" t="s">
        <v>13187</v>
      </c>
      <c r="X1566">
        <v>11</v>
      </c>
      <c r="Y1566" t="s">
        <v>18932</v>
      </c>
      <c r="Z1566" t="s">
        <v>24628</v>
      </c>
      <c r="AA1566">
        <v>0.73889375776756161</v>
      </c>
      <c r="AB1566" t="str">
        <f>HYPERLINK("Melting_Curves/meltCurve_O94830_DDHD2.pdf", "Melting_Curves/meltCurve_O94830_DDHD2.pdf")</f>
        <v>Melting_Curves/meltCurve_O94830_DDHD2.pdf</v>
      </c>
    </row>
    <row r="1567" spans="1:28" x14ac:dyDescent="0.25">
      <c r="A1567" t="s">
        <v>1571</v>
      </c>
      <c r="B1567">
        <v>0.99996721820229495</v>
      </c>
      <c r="C1567">
        <v>0.87346941802635403</v>
      </c>
      <c r="D1567">
        <v>0.79995416319866097</v>
      </c>
      <c r="E1567">
        <v>0.68049402673452997</v>
      </c>
      <c r="F1567">
        <v>0.49229971634852399</v>
      </c>
      <c r="G1567">
        <v>0.33072426891379098</v>
      </c>
      <c r="H1567">
        <v>0.207130071808173</v>
      </c>
      <c r="I1567">
        <v>0.144733186715299</v>
      </c>
      <c r="J1567">
        <v>0.105428760150197</v>
      </c>
      <c r="K1567">
        <v>9.5445651473854504E-2</v>
      </c>
      <c r="L1567">
        <v>526.83322733393697</v>
      </c>
      <c r="M1567">
        <v>9.9421879037608392</v>
      </c>
      <c r="N1567">
        <v>52.989665487495998</v>
      </c>
      <c r="O1567">
        <v>50.979602860610399</v>
      </c>
      <c r="P1567">
        <v>-4.8779960145100103E-2</v>
      </c>
      <c r="Q1567">
        <v>0</v>
      </c>
      <c r="R1567">
        <v>0.99532106902601403</v>
      </c>
      <c r="S1567" t="s">
        <v>7393</v>
      </c>
      <c r="T1567" t="s">
        <v>11650</v>
      </c>
      <c r="U1567" t="s">
        <v>11650</v>
      </c>
      <c r="V1567" t="s">
        <v>11650</v>
      </c>
      <c r="W1567" t="s">
        <v>13188</v>
      </c>
      <c r="X1567">
        <v>16</v>
      </c>
      <c r="Y1567" t="s">
        <v>18933</v>
      </c>
      <c r="Z1567" t="s">
        <v>24629</v>
      </c>
      <c r="AA1567">
        <v>0.46741729408376681</v>
      </c>
      <c r="AB1567" t="str">
        <f>HYPERLINK("Melting_Curves/meltCurve_O94832_MYO1D.pdf", "Melting_Curves/meltCurve_O94832_MYO1D.pdf")</f>
        <v>Melting_Curves/meltCurve_O94832_MYO1D.pdf</v>
      </c>
    </row>
    <row r="1568" spans="1:28" x14ac:dyDescent="0.25">
      <c r="A1568" t="s">
        <v>1572</v>
      </c>
      <c r="B1568">
        <v>0.99996721820229495</v>
      </c>
      <c r="C1568">
        <v>0.96548611537423201</v>
      </c>
      <c r="D1568">
        <v>0.80833948560167301</v>
      </c>
      <c r="E1568">
        <v>0.47246562212418097</v>
      </c>
      <c r="F1568">
        <v>0.29339602823662497</v>
      </c>
      <c r="G1568">
        <v>0.23270149201783</v>
      </c>
      <c r="H1568">
        <v>0.153371452730136</v>
      </c>
      <c r="I1568">
        <v>9.2393486084246898E-2</v>
      </c>
      <c r="J1568">
        <v>7.3235371443764893E-2</v>
      </c>
      <c r="K1568">
        <v>8.3786684433300507E-2</v>
      </c>
      <c r="L1568">
        <v>854.90199875507199</v>
      </c>
      <c r="M1568">
        <v>17.315975729168802</v>
      </c>
      <c r="N1568">
        <v>49.965088451450498</v>
      </c>
      <c r="O1568">
        <v>48.726366861624697</v>
      </c>
      <c r="P1568">
        <v>-8.0578173387766502E-2</v>
      </c>
      <c r="Q1568">
        <v>9.3078891892640597E-2</v>
      </c>
      <c r="R1568">
        <v>0.99409543557401303</v>
      </c>
      <c r="S1568" t="s">
        <v>7394</v>
      </c>
      <c r="T1568" t="s">
        <v>11650</v>
      </c>
      <c r="U1568" t="s">
        <v>11650</v>
      </c>
      <c r="V1568" t="s">
        <v>11650</v>
      </c>
      <c r="W1568" t="s">
        <v>13189</v>
      </c>
      <c r="X1568">
        <v>8</v>
      </c>
      <c r="Y1568" t="s">
        <v>18934</v>
      </c>
      <c r="Z1568" t="s">
        <v>24630</v>
      </c>
      <c r="AA1568">
        <v>0.39319333545418089</v>
      </c>
      <c r="AB1568" t="str">
        <f>HYPERLINK("Melting_Curves/meltCurve_O94851_5_MICAL2.pdf", "Melting_Curves/meltCurve_O94851_5_MICAL2.pdf")</f>
        <v>Melting_Curves/meltCurve_O94851_5_MICAL2.pdf</v>
      </c>
    </row>
    <row r="1569" spans="1:28" x14ac:dyDescent="0.25">
      <c r="A1569" t="s">
        <v>1573</v>
      </c>
      <c r="B1569">
        <v>0.99996721820229495</v>
      </c>
      <c r="C1569">
        <v>1.0098117278718099</v>
      </c>
      <c r="D1569">
        <v>1.0756551862478001</v>
      </c>
      <c r="E1569">
        <v>1.17534249771687</v>
      </c>
      <c r="F1569">
        <v>1.2465453064379199</v>
      </c>
      <c r="G1569">
        <v>1.2660070809911901</v>
      </c>
      <c r="H1569">
        <v>0.982046816714222</v>
      </c>
      <c r="I1569">
        <v>0.76345443836792704</v>
      </c>
      <c r="J1569">
        <v>0.61344677999411501</v>
      </c>
      <c r="K1569">
        <v>0.48492569568704602</v>
      </c>
      <c r="L1569">
        <v>2822.3146742140498</v>
      </c>
      <c r="M1569">
        <v>43.740047163957598</v>
      </c>
      <c r="O1569">
        <v>64.390292799829993</v>
      </c>
      <c r="P1569">
        <v>-8.6308610213735898E-2</v>
      </c>
      <c r="Q1569">
        <v>0.491776629058292</v>
      </c>
      <c r="R1569">
        <v>0.72450095949600501</v>
      </c>
      <c r="S1569" t="s">
        <v>7395</v>
      </c>
      <c r="T1569" t="s">
        <v>11650</v>
      </c>
      <c r="U1569" t="s">
        <v>11650</v>
      </c>
      <c r="V1569" t="s">
        <v>11650</v>
      </c>
      <c r="W1569" t="s">
        <v>13190</v>
      </c>
      <c r="X1569">
        <v>6</v>
      </c>
      <c r="Y1569" t="s">
        <v>18935</v>
      </c>
      <c r="Z1569" t="s">
        <v>24631</v>
      </c>
      <c r="AA1569">
        <v>0.90814132918955748</v>
      </c>
      <c r="AB1569" t="str">
        <f>HYPERLINK("Melting_Curves/meltCurve_O94854_2_KIAA0754.pdf", "Melting_Curves/meltCurve_O94854_2_KIAA0754.pdf")</f>
        <v>Melting_Curves/meltCurve_O94854_2_KIAA0754.pdf</v>
      </c>
    </row>
    <row r="1570" spans="1:28" x14ac:dyDescent="0.25">
      <c r="A1570" t="s">
        <v>1574</v>
      </c>
      <c r="B1570">
        <v>0.99996721820229495</v>
      </c>
      <c r="C1570">
        <v>0.975198024252387</v>
      </c>
      <c r="D1570">
        <v>1.0375411402505399</v>
      </c>
      <c r="E1570">
        <v>1.21400167861673</v>
      </c>
      <c r="F1570">
        <v>0.41140361084738197</v>
      </c>
      <c r="G1570">
        <v>0.31843821907168401</v>
      </c>
      <c r="H1570">
        <v>0.19002648426985999</v>
      </c>
      <c r="I1570">
        <v>0.13531709495081601</v>
      </c>
      <c r="J1570">
        <v>0.10085779537711</v>
      </c>
      <c r="K1570">
        <v>8.1507157891552398E-2</v>
      </c>
      <c r="L1570">
        <v>13203.800122980399</v>
      </c>
      <c r="M1570">
        <v>250</v>
      </c>
      <c r="N1570">
        <v>52.900090310554504</v>
      </c>
      <c r="O1570">
        <v>52.811810757839901</v>
      </c>
      <c r="P1570">
        <v>-0.98790707333438299</v>
      </c>
      <c r="Q1570">
        <v>0.16522926139847699</v>
      </c>
      <c r="R1570">
        <v>0.95479654798532798</v>
      </c>
      <c r="S1570" t="s">
        <v>7396</v>
      </c>
      <c r="T1570" t="s">
        <v>11650</v>
      </c>
      <c r="U1570" t="s">
        <v>11650</v>
      </c>
      <c r="V1570" t="s">
        <v>11650</v>
      </c>
      <c r="W1570" t="s">
        <v>13191</v>
      </c>
      <c r="X1570">
        <v>24</v>
      </c>
      <c r="Y1570" t="s">
        <v>18936</v>
      </c>
      <c r="Z1570" t="s">
        <v>24632</v>
      </c>
      <c r="AA1570">
        <v>0.52189844884269354</v>
      </c>
      <c r="AB1570" t="str">
        <f>HYPERLINK("Melting_Curves/meltCurve_O94855_SEC24D.pdf", "Melting_Curves/meltCurve_O94855_SEC24D.pdf")</f>
        <v>Melting_Curves/meltCurve_O94855_SEC24D.pdf</v>
      </c>
    </row>
    <row r="1571" spans="1:28" x14ac:dyDescent="0.25">
      <c r="A1571" t="s">
        <v>1575</v>
      </c>
      <c r="B1571">
        <v>0.99996721820229495</v>
      </c>
      <c r="C1571">
        <v>0.98973554274568998</v>
      </c>
      <c r="D1571">
        <v>1.08678872794597</v>
      </c>
      <c r="E1571">
        <v>1.13889539724307</v>
      </c>
      <c r="F1571">
        <v>1.1144358614208101</v>
      </c>
      <c r="G1571">
        <v>1.0406226202498701</v>
      </c>
      <c r="H1571">
        <v>0.65858076535914101</v>
      </c>
      <c r="I1571">
        <v>0.41773734881790098</v>
      </c>
      <c r="J1571">
        <v>0.35020832089292098</v>
      </c>
      <c r="K1571">
        <v>0.27240406719301202</v>
      </c>
      <c r="L1571">
        <v>2842.37123617629</v>
      </c>
      <c r="M1571">
        <v>46.463328379066901</v>
      </c>
      <c r="N1571">
        <v>62.493336617605998</v>
      </c>
      <c r="O1571">
        <v>61.0615090443778</v>
      </c>
      <c r="P1571">
        <v>-0.130794766458881</v>
      </c>
      <c r="Q1571">
        <v>0.31244557384222399</v>
      </c>
      <c r="R1571">
        <v>0.95570272182786298</v>
      </c>
      <c r="S1571" t="s">
        <v>7397</v>
      </c>
      <c r="T1571" t="s">
        <v>11650</v>
      </c>
      <c r="U1571" t="s">
        <v>11650</v>
      </c>
      <c r="V1571" t="s">
        <v>11650</v>
      </c>
      <c r="W1571" t="s">
        <v>13192</v>
      </c>
      <c r="X1571">
        <v>12</v>
      </c>
      <c r="Y1571" t="s">
        <v>18937</v>
      </c>
      <c r="Z1571" t="s">
        <v>24633</v>
      </c>
      <c r="AA1571">
        <v>0.79976482981709951</v>
      </c>
      <c r="AB1571" t="str">
        <f>HYPERLINK("Melting_Curves/meltCurve_O94856_9_NFASC.pdf", "Melting_Curves/meltCurve_O94856_9_NFASC.pdf")</f>
        <v>Melting_Curves/meltCurve_O94856_9_NFASC.pdf</v>
      </c>
    </row>
    <row r="1572" spans="1:28" x14ac:dyDescent="0.25">
      <c r="A1572" t="s">
        <v>1576</v>
      </c>
      <c r="B1572">
        <v>0.99996721820229495</v>
      </c>
      <c r="C1572">
        <v>0.89582879370778601</v>
      </c>
      <c r="D1572">
        <v>0.83185482508726105</v>
      </c>
      <c r="E1572">
        <v>0.59828358177986396</v>
      </c>
      <c r="F1572">
        <v>0.46786210754087199</v>
      </c>
      <c r="G1572">
        <v>0.41704353889283202</v>
      </c>
      <c r="H1572">
        <v>0.25804533468783603</v>
      </c>
      <c r="I1572">
        <v>0.239033682210302</v>
      </c>
      <c r="J1572">
        <v>0.16243269016105599</v>
      </c>
      <c r="K1572">
        <v>0.14824612034694101</v>
      </c>
      <c r="L1572">
        <v>525.23595306561401</v>
      </c>
      <c r="M1572">
        <v>10.129711078079399</v>
      </c>
      <c r="N1572">
        <v>53.035515921239202</v>
      </c>
      <c r="O1572">
        <v>49.951984439006203</v>
      </c>
      <c r="P1572">
        <v>-4.5586016133146799E-2</v>
      </c>
      <c r="Q1572">
        <v>0.10123470924458799</v>
      </c>
      <c r="R1572">
        <v>0.98931616283023405</v>
      </c>
      <c r="S1572" t="s">
        <v>7398</v>
      </c>
      <c r="T1572" t="s">
        <v>11650</v>
      </c>
      <c r="U1572" t="s">
        <v>11650</v>
      </c>
      <c r="V1572" t="s">
        <v>11650</v>
      </c>
      <c r="W1572" t="s">
        <v>13193</v>
      </c>
      <c r="X1572">
        <v>2</v>
      </c>
      <c r="Y1572" t="s">
        <v>18938</v>
      </c>
      <c r="Z1572" t="s">
        <v>24634</v>
      </c>
      <c r="AA1572">
        <v>0.4903977919986513</v>
      </c>
      <c r="AB1572" t="str">
        <f>HYPERLINK("Melting_Curves/meltCurve_O94864_2_SUPT7L.pdf", "Melting_Curves/meltCurve_O94864_2_SUPT7L.pdf")</f>
        <v>Melting_Curves/meltCurve_O94864_2_SUPT7L.pdf</v>
      </c>
    </row>
    <row r="1573" spans="1:28" x14ac:dyDescent="0.25">
      <c r="A1573" t="s">
        <v>1577</v>
      </c>
      <c r="B1573">
        <v>0.99996721820229495</v>
      </c>
      <c r="C1573">
        <v>0.82320490752214004</v>
      </c>
      <c r="D1573">
        <v>0.84719971818557005</v>
      </c>
      <c r="E1573">
        <v>0.338161669847791</v>
      </c>
      <c r="F1573">
        <v>0.250960039565918</v>
      </c>
      <c r="G1573">
        <v>0.22497200392709099</v>
      </c>
      <c r="H1573">
        <v>0.149557795503446</v>
      </c>
      <c r="I1573">
        <v>6.6872351697345303E-2</v>
      </c>
      <c r="J1573">
        <v>5.8024946776115402E-2</v>
      </c>
      <c r="K1573">
        <v>3.7996894809410202E-2</v>
      </c>
      <c r="L1573">
        <v>834.09750060741499</v>
      </c>
      <c r="M1573">
        <v>17.185120411428201</v>
      </c>
      <c r="N1573">
        <v>49.003244153153098</v>
      </c>
      <c r="O1573">
        <v>47.893109204774603</v>
      </c>
      <c r="P1573">
        <v>-8.2931902883018105E-2</v>
      </c>
      <c r="Q1573">
        <v>7.5565052295919893E-2</v>
      </c>
      <c r="R1573">
        <v>0.96786291054727702</v>
      </c>
      <c r="S1573" t="s">
        <v>7399</v>
      </c>
      <c r="T1573" t="s">
        <v>11650</v>
      </c>
      <c r="U1573" t="s">
        <v>11650</v>
      </c>
      <c r="V1573" t="s">
        <v>11650</v>
      </c>
      <c r="W1573" t="s">
        <v>13194</v>
      </c>
      <c r="X1573">
        <v>16</v>
      </c>
      <c r="Y1573" t="s">
        <v>18939</v>
      </c>
      <c r="Z1573" t="s">
        <v>24635</v>
      </c>
      <c r="AA1573">
        <v>0.35635957951773239</v>
      </c>
      <c r="AB1573" t="str">
        <f>HYPERLINK("Melting_Curves/meltCurve_O94874_UFL1.pdf", "Melting_Curves/meltCurve_O94874_UFL1.pdf")</f>
        <v>Melting_Curves/meltCurve_O94874_UFL1.pdf</v>
      </c>
    </row>
    <row r="1574" spans="1:28" x14ac:dyDescent="0.25">
      <c r="A1574" t="s">
        <v>1578</v>
      </c>
      <c r="B1574">
        <v>0.99996721820229495</v>
      </c>
      <c r="C1574">
        <v>0.91084308211558596</v>
      </c>
      <c r="D1574">
        <v>0.83666273157947701</v>
      </c>
      <c r="E1574">
        <v>0.69818177709043205</v>
      </c>
      <c r="F1574">
        <v>0.67395628898465798</v>
      </c>
      <c r="G1574">
        <v>0.55784226846167895</v>
      </c>
      <c r="H1574">
        <v>0.36874714656013202</v>
      </c>
      <c r="I1574">
        <v>0.28021101251609898</v>
      </c>
      <c r="J1574">
        <v>0.22382551426817801</v>
      </c>
      <c r="K1574">
        <v>0.178506139608063</v>
      </c>
      <c r="L1574">
        <v>441.31314938414999</v>
      </c>
      <c r="M1574">
        <v>7.7463700248513101</v>
      </c>
      <c r="N1574">
        <v>56.970311559049897</v>
      </c>
      <c r="O1574">
        <v>53.5470766189164</v>
      </c>
      <c r="P1574">
        <v>-3.6212288280570902E-2</v>
      </c>
      <c r="Q1574">
        <v>0</v>
      </c>
      <c r="R1574">
        <v>0.98751639352551202</v>
      </c>
      <c r="S1574" t="s">
        <v>7400</v>
      </c>
      <c r="T1574" t="s">
        <v>11650</v>
      </c>
      <c r="U1574" t="s">
        <v>11650</v>
      </c>
      <c r="V1574" t="s">
        <v>11650</v>
      </c>
      <c r="W1574" t="s">
        <v>13195</v>
      </c>
      <c r="X1574">
        <v>20</v>
      </c>
      <c r="Y1574" t="s">
        <v>18940</v>
      </c>
      <c r="Z1574" t="s">
        <v>24636</v>
      </c>
      <c r="AA1574">
        <v>0.57713335982256386</v>
      </c>
      <c r="AB1574" t="str">
        <f>HYPERLINK("Melting_Curves/meltCurve_O94885_SASH1.pdf", "Melting_Curves/meltCurve_O94885_SASH1.pdf")</f>
        <v>Melting_Curves/meltCurve_O94885_SASH1.pdf</v>
      </c>
    </row>
    <row r="1575" spans="1:28" x14ac:dyDescent="0.25">
      <c r="A1575" t="s">
        <v>1579</v>
      </c>
      <c r="B1575">
        <v>0.99996721820229495</v>
      </c>
      <c r="C1575">
        <v>0.79797817171588303</v>
      </c>
      <c r="D1575">
        <v>1.12844049975434</v>
      </c>
      <c r="E1575">
        <v>1.1382622599040899</v>
      </c>
      <c r="F1575">
        <v>1.5760269938943099</v>
      </c>
      <c r="G1575">
        <v>1.36386942427974</v>
      </c>
      <c r="H1575">
        <v>1.06447994693607</v>
      </c>
      <c r="I1575">
        <v>0.619562128111106</v>
      </c>
      <c r="J1575">
        <v>0.257990907697072</v>
      </c>
      <c r="K1575">
        <v>0.24462594186206399</v>
      </c>
      <c r="L1575">
        <v>15000</v>
      </c>
      <c r="M1575">
        <v>234.407503976106</v>
      </c>
      <c r="N1575">
        <v>64.182339057082203</v>
      </c>
      <c r="O1575">
        <v>63.986449244785298</v>
      </c>
      <c r="P1575">
        <v>-0.68569740832502302</v>
      </c>
      <c r="Q1575">
        <v>0.25129777401247799</v>
      </c>
      <c r="R1575">
        <v>0.68779631234995198</v>
      </c>
      <c r="S1575" t="s">
        <v>7401</v>
      </c>
      <c r="T1575" t="s">
        <v>11650</v>
      </c>
      <c r="U1575" t="s">
        <v>11650</v>
      </c>
      <c r="V1575" t="s">
        <v>11650</v>
      </c>
      <c r="W1575" t="s">
        <v>13196</v>
      </c>
      <c r="X1575">
        <v>1</v>
      </c>
      <c r="Y1575" t="s">
        <v>18941</v>
      </c>
      <c r="Z1575" t="s">
        <v>24637</v>
      </c>
      <c r="AA1575">
        <v>0.85013371846474051</v>
      </c>
      <c r="AB1575" t="str">
        <f>HYPERLINK("Melting_Curves/meltCurve_O94886_TMEM63A.pdf", "Melting_Curves/meltCurve_O94886_TMEM63A.pdf")</f>
        <v>Melting_Curves/meltCurve_O94886_TMEM63A.pdf</v>
      </c>
    </row>
    <row r="1576" spans="1:28" x14ac:dyDescent="0.25">
      <c r="A1576" t="s">
        <v>1580</v>
      </c>
      <c r="B1576">
        <v>0.99996721820229495</v>
      </c>
      <c r="C1576">
        <v>1.0895279271198199</v>
      </c>
      <c r="D1576">
        <v>1.0340814334572599</v>
      </c>
      <c r="E1576">
        <v>0.94889351382782305</v>
      </c>
      <c r="F1576">
        <v>1.0864964440759</v>
      </c>
      <c r="G1576">
        <v>0.723856000542486</v>
      </c>
      <c r="H1576">
        <v>0.33475111677907698</v>
      </c>
      <c r="I1576">
        <v>0.211562480116675</v>
      </c>
      <c r="J1576">
        <v>0.138076522394627</v>
      </c>
      <c r="K1576">
        <v>0.100292712417375</v>
      </c>
      <c r="L1576">
        <v>1845.99100643619</v>
      </c>
      <c r="M1576">
        <v>31.435660881855799</v>
      </c>
      <c r="N1576">
        <v>59.245247783469303</v>
      </c>
      <c r="O1576">
        <v>58.486723400056498</v>
      </c>
      <c r="P1576">
        <v>-0.11810638900511999</v>
      </c>
      <c r="Q1576">
        <v>0.121046797835726</v>
      </c>
      <c r="R1576">
        <v>0.98300071432178404</v>
      </c>
      <c r="S1576" t="s">
        <v>7402</v>
      </c>
      <c r="T1576" t="s">
        <v>11650</v>
      </c>
      <c r="U1576" t="s">
        <v>11650</v>
      </c>
      <c r="V1576" t="s">
        <v>11650</v>
      </c>
      <c r="W1576" t="s">
        <v>13197</v>
      </c>
      <c r="X1576">
        <v>9</v>
      </c>
      <c r="Y1576" t="s">
        <v>18942</v>
      </c>
      <c r="Z1576" t="s">
        <v>24638</v>
      </c>
      <c r="AA1576">
        <v>0.67487504884295935</v>
      </c>
      <c r="AB1576" t="str">
        <f>HYPERLINK("Melting_Curves/meltCurve_O94888_UBXN7.pdf", "Melting_Curves/meltCurve_O94888_UBXN7.pdf")</f>
        <v>Melting_Curves/meltCurve_O94888_UBXN7.pdf</v>
      </c>
    </row>
    <row r="1577" spans="1:28" x14ac:dyDescent="0.25">
      <c r="A1577" t="s">
        <v>1581</v>
      </c>
      <c r="B1577">
        <v>0.99996721820229495</v>
      </c>
      <c r="C1577">
        <v>0.94980221929161601</v>
      </c>
      <c r="D1577">
        <v>0.98098180974461602</v>
      </c>
      <c r="E1577">
        <v>0.86261037149731401</v>
      </c>
      <c r="F1577">
        <v>0.76728040353799298</v>
      </c>
      <c r="G1577">
        <v>0.44875756783022303</v>
      </c>
      <c r="H1577">
        <v>0.29359057933698102</v>
      </c>
      <c r="I1577">
        <v>0.25519719516427097</v>
      </c>
      <c r="J1577">
        <v>0.14811451325859701</v>
      </c>
      <c r="K1577">
        <v>0.18907145253931301</v>
      </c>
      <c r="L1577">
        <v>963.52663943005905</v>
      </c>
      <c r="M1577">
        <v>17.394569209037702</v>
      </c>
      <c r="N1577">
        <v>56.545911430357997</v>
      </c>
      <c r="O1577">
        <v>54.675830486389103</v>
      </c>
      <c r="P1577">
        <v>-6.7659698917597197E-2</v>
      </c>
      <c r="Q1577">
        <v>0.14935718706395101</v>
      </c>
      <c r="R1577">
        <v>0.99355835887039901</v>
      </c>
      <c r="S1577" t="s">
        <v>7403</v>
      </c>
      <c r="T1577" t="s">
        <v>11650</v>
      </c>
      <c r="U1577" t="s">
        <v>11650</v>
      </c>
      <c r="V1577" t="s">
        <v>11650</v>
      </c>
      <c r="W1577" t="s">
        <v>13198</v>
      </c>
      <c r="X1577">
        <v>4</v>
      </c>
      <c r="Y1577" t="s">
        <v>18943</v>
      </c>
      <c r="Z1577" t="s">
        <v>24639</v>
      </c>
      <c r="AA1577">
        <v>0.59931187369691041</v>
      </c>
      <c r="AB1577" t="str">
        <f>HYPERLINK("Melting_Curves/meltCurve_O94889_KLHL18.pdf", "Melting_Curves/meltCurve_O94889_KLHL18.pdf")</f>
        <v>Melting_Curves/meltCurve_O94889_KLHL18.pdf</v>
      </c>
    </row>
    <row r="1578" spans="1:28" x14ac:dyDescent="0.25">
      <c r="A1578" t="s">
        <v>1582</v>
      </c>
      <c r="B1578">
        <v>0.99996721820229495</v>
      </c>
      <c r="C1578">
        <v>0.99801487067705497</v>
      </c>
      <c r="D1578">
        <v>0.81046927166795102</v>
      </c>
      <c r="E1578">
        <v>0.32306830919774798</v>
      </c>
      <c r="F1578">
        <v>0.24577320363348201</v>
      </c>
      <c r="G1578">
        <v>0.19685328916280301</v>
      </c>
      <c r="H1578">
        <v>0.11840861441643</v>
      </c>
      <c r="I1578">
        <v>7.3842887173931102E-2</v>
      </c>
      <c r="J1578">
        <v>4.7098568659963903E-2</v>
      </c>
      <c r="K1578">
        <v>4.0253852415035901E-2</v>
      </c>
      <c r="L1578">
        <v>1146.91802083519</v>
      </c>
      <c r="M1578">
        <v>23.704976581439698</v>
      </c>
      <c r="N1578">
        <v>48.794178207392903</v>
      </c>
      <c r="O1578">
        <v>48.042611608525903</v>
      </c>
      <c r="P1578">
        <v>-0.112188028863848</v>
      </c>
      <c r="Q1578">
        <v>9.0533877910226795E-2</v>
      </c>
      <c r="R1578">
        <v>0.98570863350177995</v>
      </c>
      <c r="S1578" t="s">
        <v>7404</v>
      </c>
      <c r="T1578" t="s">
        <v>11650</v>
      </c>
      <c r="U1578" t="s">
        <v>11650</v>
      </c>
      <c r="V1578" t="s">
        <v>11650</v>
      </c>
      <c r="W1578" t="s">
        <v>13199</v>
      </c>
      <c r="X1578">
        <v>10</v>
      </c>
      <c r="Y1578" t="s">
        <v>18944</v>
      </c>
      <c r="Z1578" t="s">
        <v>24640</v>
      </c>
      <c r="AA1578">
        <v>0.35365668345653478</v>
      </c>
      <c r="AB1578" t="str">
        <f>HYPERLINK("Melting_Curves/meltCurve_O94903_PROSC.pdf", "Melting_Curves/meltCurve_O94903_PROSC.pdf")</f>
        <v>Melting_Curves/meltCurve_O94903_PROSC.pdf</v>
      </c>
    </row>
    <row r="1579" spans="1:28" x14ac:dyDescent="0.25">
      <c r="A1579" t="s">
        <v>1583</v>
      </c>
      <c r="B1579">
        <v>0.99996721820229495</v>
      </c>
      <c r="C1579">
        <v>0.99201567677048696</v>
      </c>
      <c r="D1579">
        <v>1.1368890191582299</v>
      </c>
      <c r="E1579">
        <v>1.9228197941596199</v>
      </c>
      <c r="F1579">
        <v>1.6134344019236599</v>
      </c>
      <c r="G1579">
        <v>1.57711449496728</v>
      </c>
      <c r="H1579">
        <v>0.98237406229968804</v>
      </c>
      <c r="I1579">
        <v>0.543296472975485</v>
      </c>
      <c r="J1579">
        <v>0.46508648256380303</v>
      </c>
      <c r="K1579">
        <v>0.401549299927206</v>
      </c>
      <c r="L1579">
        <v>6191.8666489259103</v>
      </c>
      <c r="M1579">
        <v>98.147897421991701</v>
      </c>
      <c r="N1579">
        <v>64.395662797384801</v>
      </c>
      <c r="O1579">
        <v>63.060946021945398</v>
      </c>
      <c r="P1579">
        <v>-0.221026442040373</v>
      </c>
      <c r="Q1579">
        <v>0.43195394969780898</v>
      </c>
      <c r="R1579">
        <v>0.33894133292723899</v>
      </c>
      <c r="S1579" t="s">
        <v>7405</v>
      </c>
      <c r="T1579" t="s">
        <v>11650</v>
      </c>
      <c r="U1579" t="s">
        <v>11650</v>
      </c>
      <c r="V1579" t="s">
        <v>11650</v>
      </c>
      <c r="W1579" t="s">
        <v>13200</v>
      </c>
      <c r="X1579">
        <v>9</v>
      </c>
      <c r="Y1579" t="s">
        <v>18945</v>
      </c>
      <c r="Z1579" t="s">
        <v>24641</v>
      </c>
      <c r="AA1579">
        <v>0.86951283356149733</v>
      </c>
      <c r="AB1579" t="str">
        <f>HYPERLINK("Melting_Curves/meltCurve_O94905_ERLIN2.pdf", "Melting_Curves/meltCurve_O94905_ERLIN2.pdf")</f>
        <v>Melting_Curves/meltCurve_O94905_ERLIN2.pdf</v>
      </c>
    </row>
    <row r="1580" spans="1:28" x14ac:dyDescent="0.25">
      <c r="A1580" t="s">
        <v>1584</v>
      </c>
      <c r="B1580">
        <v>0.99996721820229495</v>
      </c>
      <c r="C1580">
        <v>0.97907036600355901</v>
      </c>
      <c r="D1580">
        <v>1.0925739741606399</v>
      </c>
      <c r="E1580">
        <v>1.0659846905030801</v>
      </c>
      <c r="F1580">
        <v>1.3733421751005599</v>
      </c>
      <c r="G1580">
        <v>1.5675315136174901</v>
      </c>
      <c r="H1580">
        <v>1.0094473504557</v>
      </c>
      <c r="I1580">
        <v>0.45752066624413901</v>
      </c>
      <c r="J1580">
        <v>0.28157365548666202</v>
      </c>
      <c r="K1580">
        <v>0.19645356590969701</v>
      </c>
      <c r="L1580">
        <v>8859.8508347563093</v>
      </c>
      <c r="M1580">
        <v>139.34047266926899</v>
      </c>
      <c r="N1580">
        <v>63.881493721273699</v>
      </c>
      <c r="O1580">
        <v>63.571093209064699</v>
      </c>
      <c r="P1580">
        <v>-0.41723410492171797</v>
      </c>
      <c r="Q1580">
        <v>0.238583671279192</v>
      </c>
      <c r="R1580">
        <v>0.73931017460730397</v>
      </c>
      <c r="S1580" t="s">
        <v>7406</v>
      </c>
      <c r="T1580" t="s">
        <v>11650</v>
      </c>
      <c r="U1580" t="s">
        <v>11650</v>
      </c>
      <c r="V1580" t="s">
        <v>11650</v>
      </c>
      <c r="W1580" t="s">
        <v>13201</v>
      </c>
      <c r="X1580">
        <v>10</v>
      </c>
      <c r="Y1580" t="s">
        <v>18946</v>
      </c>
      <c r="Z1580" t="s">
        <v>24642</v>
      </c>
      <c r="AA1580">
        <v>0.83743680575136692</v>
      </c>
      <c r="AB1580" t="str">
        <f>HYPERLINK("Melting_Curves/meltCurve_O94919_ENDOD1.pdf", "Melting_Curves/meltCurve_O94919_ENDOD1.pdf")</f>
        <v>Melting_Curves/meltCurve_O94919_ENDOD1.pdf</v>
      </c>
    </row>
    <row r="1581" spans="1:28" x14ac:dyDescent="0.25">
      <c r="A1581" t="s">
        <v>1585</v>
      </c>
      <c r="B1581">
        <v>0.99996721820229495</v>
      </c>
      <c r="C1581">
        <v>0.94778802449911403</v>
      </c>
      <c r="D1581">
        <v>0.76664626891936805</v>
      </c>
      <c r="E1581">
        <v>0.64111721926464804</v>
      </c>
      <c r="F1581">
        <v>0.38345559402789697</v>
      </c>
      <c r="G1581">
        <v>0.278437428006582</v>
      </c>
      <c r="H1581">
        <v>0.17972724568680301</v>
      </c>
      <c r="I1581">
        <v>0.153614732856167</v>
      </c>
      <c r="J1581">
        <v>0.11265306174312099</v>
      </c>
      <c r="K1581">
        <v>0.11066023576516699</v>
      </c>
      <c r="L1581">
        <v>665.36092042474297</v>
      </c>
      <c r="M1581">
        <v>13.093487139788399</v>
      </c>
      <c r="N1581">
        <v>51.5643622483814</v>
      </c>
      <c r="O1581">
        <v>49.674667377384601</v>
      </c>
      <c r="P1581">
        <v>-6.02056112541055E-2</v>
      </c>
      <c r="Q1581">
        <v>8.6513703700750802E-2</v>
      </c>
      <c r="R1581">
        <v>0.99287465049373202</v>
      </c>
      <c r="S1581" t="s">
        <v>7407</v>
      </c>
      <c r="T1581" t="s">
        <v>11650</v>
      </c>
      <c r="U1581" t="s">
        <v>11650</v>
      </c>
      <c r="V1581" t="s">
        <v>11650</v>
      </c>
      <c r="W1581" t="s">
        <v>13202</v>
      </c>
      <c r="X1581">
        <v>4</v>
      </c>
      <c r="Y1581" t="s">
        <v>18947</v>
      </c>
      <c r="Z1581" t="s">
        <v>24643</v>
      </c>
      <c r="AA1581">
        <v>0.44229074912830091</v>
      </c>
      <c r="AB1581" t="str">
        <f>HYPERLINK("Melting_Curves/meltCurve_O94921_CDK14.pdf", "Melting_Curves/meltCurve_O94921_CDK14.pdf")</f>
        <v>Melting_Curves/meltCurve_O94921_CDK14.pdf</v>
      </c>
    </row>
    <row r="1582" spans="1:28" x14ac:dyDescent="0.25">
      <c r="A1582" t="s">
        <v>1586</v>
      </c>
      <c r="B1582">
        <v>0.99996721820229495</v>
      </c>
      <c r="C1582">
        <v>0.97920001084920905</v>
      </c>
      <c r="D1582">
        <v>0.90368191130175302</v>
      </c>
      <c r="E1582">
        <v>0.71568437719661504</v>
      </c>
      <c r="F1582">
        <v>0.402215248987362</v>
      </c>
      <c r="G1582">
        <v>0.33328575645491099</v>
      </c>
      <c r="H1582">
        <v>0.21287546102407301</v>
      </c>
      <c r="I1582">
        <v>0.16286462326867601</v>
      </c>
      <c r="J1582">
        <v>0.122744601020588</v>
      </c>
      <c r="K1582">
        <v>0.110792930418147</v>
      </c>
      <c r="L1582">
        <v>841.35943790262797</v>
      </c>
      <c r="M1582">
        <v>16.259670523716999</v>
      </c>
      <c r="N1582">
        <v>52.633951886006898</v>
      </c>
      <c r="O1582">
        <v>50.981438727295199</v>
      </c>
      <c r="P1582">
        <v>-7.0166774631570297E-2</v>
      </c>
      <c r="Q1582">
        <v>0.120045870697747</v>
      </c>
      <c r="R1582">
        <v>0.99094561064085396</v>
      </c>
      <c r="S1582" t="s">
        <v>7408</v>
      </c>
      <c r="T1582" t="s">
        <v>11650</v>
      </c>
      <c r="U1582" t="s">
        <v>11650</v>
      </c>
      <c r="V1582" t="s">
        <v>11650</v>
      </c>
      <c r="W1582" t="s">
        <v>13203</v>
      </c>
      <c r="X1582">
        <v>10</v>
      </c>
      <c r="Y1582" t="s">
        <v>18948</v>
      </c>
      <c r="Z1582" t="s">
        <v>24644</v>
      </c>
      <c r="AA1582">
        <v>0.48199474426468519</v>
      </c>
      <c r="AB1582" t="str">
        <f>HYPERLINK("Melting_Curves/meltCurve_O94966_7_USP19.pdf", "Melting_Curves/meltCurve_O94966_7_USP19.pdf")</f>
        <v>Melting_Curves/meltCurve_O94966_7_USP19.pdf</v>
      </c>
    </row>
    <row r="1583" spans="1:28" x14ac:dyDescent="0.25">
      <c r="A1583" t="s">
        <v>1587</v>
      </c>
      <c r="B1583">
        <v>0.99996721820229495</v>
      </c>
      <c r="C1583">
        <v>0.82898408466846196</v>
      </c>
      <c r="D1583">
        <v>0.906696234553375</v>
      </c>
      <c r="E1583">
        <v>1.3704882859219001</v>
      </c>
      <c r="F1583">
        <v>1.69725933717422</v>
      </c>
      <c r="G1583">
        <v>0.90129387802843697</v>
      </c>
      <c r="H1583">
        <v>0.32679595830809599</v>
      </c>
      <c r="I1583">
        <v>0.20881025789139501</v>
      </c>
      <c r="J1583">
        <v>0.121372210806633</v>
      </c>
      <c r="K1583">
        <v>0.101891358949861</v>
      </c>
      <c r="L1583">
        <v>3077.4208239609402</v>
      </c>
      <c r="M1583">
        <v>51.668310003152698</v>
      </c>
      <c r="N1583">
        <v>59.920888040336003</v>
      </c>
      <c r="O1583">
        <v>59.472073016169198</v>
      </c>
      <c r="P1583">
        <v>-0.188229101211279</v>
      </c>
      <c r="Q1583">
        <v>0.133366997954145</v>
      </c>
      <c r="R1583">
        <v>0.75131955478186396</v>
      </c>
      <c r="S1583" t="s">
        <v>7409</v>
      </c>
      <c r="T1583" t="s">
        <v>11650</v>
      </c>
      <c r="U1583" t="s">
        <v>11650</v>
      </c>
      <c r="V1583" t="s">
        <v>11650</v>
      </c>
      <c r="W1583" t="s">
        <v>13204</v>
      </c>
      <c r="X1583">
        <v>6</v>
      </c>
      <c r="Y1583" t="s">
        <v>18949</v>
      </c>
      <c r="Z1583" t="s">
        <v>24645</v>
      </c>
      <c r="AA1583">
        <v>0.70055290233884859</v>
      </c>
      <c r="AB1583" t="str">
        <f>HYPERLINK("Melting_Curves/meltCurve_O94967_2_WDR47.pdf", "Melting_Curves/meltCurve_O94967_2_WDR47.pdf")</f>
        <v>Melting_Curves/meltCurve_O94967_2_WDR47.pdf</v>
      </c>
    </row>
    <row r="1584" spans="1:28" x14ac:dyDescent="0.25">
      <c r="A1584" t="s">
        <v>1588</v>
      </c>
      <c r="B1584">
        <v>0.99996721820229495</v>
      </c>
      <c r="C1584">
        <v>0.99602256058161698</v>
      </c>
      <c r="D1584">
        <v>1.07259882527369</v>
      </c>
      <c r="E1584">
        <v>1.29649036457214</v>
      </c>
      <c r="F1584">
        <v>0.86594651900985897</v>
      </c>
      <c r="G1584">
        <v>0.51332882456829498</v>
      </c>
      <c r="H1584">
        <v>0.30096038193207397</v>
      </c>
      <c r="I1584">
        <v>0.17910143013791999</v>
      </c>
      <c r="J1584">
        <v>0.116061483370426</v>
      </c>
      <c r="K1584">
        <v>0.11364047689086899</v>
      </c>
      <c r="L1584">
        <v>1705.71962513366</v>
      </c>
      <c r="M1584">
        <v>30.038096854329901</v>
      </c>
      <c r="N1584">
        <v>57.400228738284603</v>
      </c>
      <c r="O1584">
        <v>56.535315654272203</v>
      </c>
      <c r="P1584">
        <v>-0.114553066783889</v>
      </c>
      <c r="Q1584">
        <v>0.13759493329178801</v>
      </c>
      <c r="R1584">
        <v>0.93887796729592998</v>
      </c>
      <c r="S1584" t="s">
        <v>7410</v>
      </c>
      <c r="T1584" t="s">
        <v>11650</v>
      </c>
      <c r="U1584" t="s">
        <v>11650</v>
      </c>
      <c r="V1584" t="s">
        <v>11650</v>
      </c>
      <c r="W1584" t="s">
        <v>13205</v>
      </c>
      <c r="X1584">
        <v>22</v>
      </c>
      <c r="Y1584" t="s">
        <v>18950</v>
      </c>
      <c r="Z1584" t="s">
        <v>24646</v>
      </c>
      <c r="AA1584">
        <v>0.62585228972857176</v>
      </c>
      <c r="AB1584" t="str">
        <f>HYPERLINK("Melting_Curves/meltCurve_O94973_AP2A2.pdf", "Melting_Curves/meltCurve_O94973_AP2A2.pdf")</f>
        <v>Melting_Curves/meltCurve_O94973_AP2A2.pdf</v>
      </c>
    </row>
    <row r="1585" spans="1:28" x14ac:dyDescent="0.25">
      <c r="A1585" t="s">
        <v>1589</v>
      </c>
      <c r="B1585">
        <v>0.99996721820229495</v>
      </c>
      <c r="C1585">
        <v>0.93206480574042805</v>
      </c>
      <c r="D1585">
        <v>0.87994350503118302</v>
      </c>
      <c r="E1585">
        <v>0.87313089950869505</v>
      </c>
      <c r="F1585">
        <v>1.1956819136951</v>
      </c>
      <c r="G1585">
        <v>1.1624023731655</v>
      </c>
      <c r="H1585">
        <v>0.76534635138629203</v>
      </c>
      <c r="I1585">
        <v>0.59275749400535205</v>
      </c>
      <c r="J1585">
        <v>0.55477098409261705</v>
      </c>
      <c r="K1585">
        <v>0.50568966959314798</v>
      </c>
      <c r="L1585">
        <v>5188.2797840706098</v>
      </c>
      <c r="M1585">
        <v>85.0900882585983</v>
      </c>
      <c r="O1585">
        <v>60.940307238157999</v>
      </c>
      <c r="P1585">
        <v>-0.157940917161981</v>
      </c>
      <c r="Q1585">
        <v>0.54753992206108604</v>
      </c>
      <c r="R1585">
        <v>0.80368483480057495</v>
      </c>
      <c r="S1585" t="s">
        <v>7411</v>
      </c>
      <c r="T1585" t="s">
        <v>11650</v>
      </c>
      <c r="U1585" t="s">
        <v>11650</v>
      </c>
      <c r="V1585" t="s">
        <v>11650</v>
      </c>
      <c r="W1585" t="s">
        <v>13206</v>
      </c>
      <c r="X1585">
        <v>5</v>
      </c>
      <c r="Y1585" t="s">
        <v>18951</v>
      </c>
      <c r="Z1585" t="s">
        <v>24647</v>
      </c>
      <c r="AA1585">
        <v>0.86428766992201222</v>
      </c>
      <c r="AB1585" t="str">
        <f>HYPERLINK("Melting_Curves/meltCurve_O94992_HEXIM1.pdf", "Melting_Curves/meltCurve_O94992_HEXIM1.pdf")</f>
        <v>Melting_Curves/meltCurve_O94992_HEXIM1.pdf</v>
      </c>
    </row>
    <row r="1586" spans="1:28" x14ac:dyDescent="0.25">
      <c r="A1586" t="s">
        <v>1590</v>
      </c>
      <c r="B1586">
        <v>0.99996721820229495</v>
      </c>
      <c r="C1586">
        <v>1.00287742697249</v>
      </c>
      <c r="D1586">
        <v>0.89357092459049503</v>
      </c>
      <c r="E1586">
        <v>0.53194928284126397</v>
      </c>
      <c r="F1586">
        <v>0.25968054500308002</v>
      </c>
      <c r="G1586">
        <v>0.23336310181234499</v>
      </c>
      <c r="H1586">
        <v>0.16369383496927301</v>
      </c>
      <c r="I1586">
        <v>8.5681811790684695E-2</v>
      </c>
      <c r="J1586">
        <v>6.2998818485612201E-2</v>
      </c>
      <c r="K1586">
        <v>4.7918884046239299E-2</v>
      </c>
      <c r="L1586">
        <v>1070.8181699797501</v>
      </c>
      <c r="M1586">
        <v>21.443744834181199</v>
      </c>
      <c r="N1586">
        <v>50.421812154764801</v>
      </c>
      <c r="O1586">
        <v>49.507983965469201</v>
      </c>
      <c r="P1586">
        <v>-9.8183376420088897E-2</v>
      </c>
      <c r="Q1586">
        <v>9.3304054574555401E-2</v>
      </c>
      <c r="R1586">
        <v>0.98903076219590702</v>
      </c>
      <c r="S1586" t="s">
        <v>7412</v>
      </c>
      <c r="T1586" t="s">
        <v>11650</v>
      </c>
      <c r="U1586" t="s">
        <v>11650</v>
      </c>
      <c r="V1586" t="s">
        <v>11650</v>
      </c>
      <c r="W1586" t="s">
        <v>13207</v>
      </c>
      <c r="X1586">
        <v>18</v>
      </c>
      <c r="Y1586" t="s">
        <v>18952</v>
      </c>
      <c r="Z1586" t="s">
        <v>24648</v>
      </c>
      <c r="AA1586">
        <v>0.40461307238528949</v>
      </c>
      <c r="AB1586" t="str">
        <f>HYPERLINK("Melting_Curves/meltCurve_O95050_2_INMT.pdf", "Melting_Curves/meltCurve_O95050_2_INMT.pdf")</f>
        <v>Melting_Curves/meltCurve_O95050_2_INMT.pdf</v>
      </c>
    </row>
    <row r="1587" spans="1:28" x14ac:dyDescent="0.25">
      <c r="A1587" t="s">
        <v>1591</v>
      </c>
      <c r="B1587">
        <v>0.99996721820229495</v>
      </c>
      <c r="C1587">
        <v>1.0358649114960199</v>
      </c>
      <c r="D1587">
        <v>0.93088466537607095</v>
      </c>
      <c r="E1587">
        <v>0.74753127864277902</v>
      </c>
      <c r="F1587">
        <v>0.34392845710520897</v>
      </c>
      <c r="G1587">
        <v>0.233777783930922</v>
      </c>
      <c r="H1587">
        <v>0.111366395280502</v>
      </c>
      <c r="I1587">
        <v>0.104064332211192</v>
      </c>
      <c r="J1587">
        <v>7.4495598470219707E-2</v>
      </c>
      <c r="K1587">
        <v>5.6181085161617003E-2</v>
      </c>
      <c r="L1587">
        <v>1255.89640601785</v>
      </c>
      <c r="M1587">
        <v>24.347874877108701</v>
      </c>
      <c r="N1587">
        <v>51.986758786747899</v>
      </c>
      <c r="O1587">
        <v>51.237179768219399</v>
      </c>
      <c r="P1587">
        <v>-0.10852916801826</v>
      </c>
      <c r="Q1587">
        <v>8.6467235543891796E-2</v>
      </c>
      <c r="R1587">
        <v>0.99201322417147297</v>
      </c>
      <c r="S1587" t="s">
        <v>7413</v>
      </c>
      <c r="T1587" t="s">
        <v>11650</v>
      </c>
      <c r="U1587" t="s">
        <v>11650</v>
      </c>
      <c r="V1587" t="s">
        <v>11650</v>
      </c>
      <c r="W1587" t="s">
        <v>13208</v>
      </c>
      <c r="X1587">
        <v>1</v>
      </c>
      <c r="Y1587" t="s">
        <v>18953</v>
      </c>
      <c r="Z1587" t="s">
        <v>24649</v>
      </c>
      <c r="AA1587">
        <v>0.4478730143254071</v>
      </c>
      <c r="AB1587" t="str">
        <f>HYPERLINK("Melting_Curves/meltCurve_O95057_DIRAS1.pdf", "Melting_Curves/meltCurve_O95057_DIRAS1.pdf")</f>
        <v>Melting_Curves/meltCurve_O95057_DIRAS1.pdf</v>
      </c>
    </row>
    <row r="1588" spans="1:28" x14ac:dyDescent="0.25">
      <c r="A1588" t="s">
        <v>1592</v>
      </c>
      <c r="B1588">
        <v>0.99996721820229495</v>
      </c>
      <c r="C1588">
        <v>0.98107186072738495</v>
      </c>
      <c r="D1588">
        <v>0.63932013599939397</v>
      </c>
      <c r="E1588">
        <v>0.21819108983482199</v>
      </c>
      <c r="F1588">
        <v>0.226576434558586</v>
      </c>
      <c r="G1588">
        <v>0.192808320563537</v>
      </c>
      <c r="H1588">
        <v>0.115337173460217</v>
      </c>
      <c r="I1588">
        <v>0.11550642043748501</v>
      </c>
      <c r="J1588">
        <v>0.10267789566341</v>
      </c>
      <c r="K1588">
        <v>7.7500231489188706E-2</v>
      </c>
      <c r="L1588">
        <v>1419.85223224066</v>
      </c>
      <c r="M1588">
        <v>30.458655142109901</v>
      </c>
      <c r="N1588">
        <v>47.087801391076503</v>
      </c>
      <c r="O1588">
        <v>46.4161668441836</v>
      </c>
      <c r="P1588">
        <v>-0.14246819176311101</v>
      </c>
      <c r="Q1588">
        <v>0.13157205299059899</v>
      </c>
      <c r="R1588">
        <v>0.987604451763758</v>
      </c>
      <c r="S1588" t="s">
        <v>7414</v>
      </c>
      <c r="T1588" t="s">
        <v>11650</v>
      </c>
      <c r="U1588" t="s">
        <v>11650</v>
      </c>
      <c r="V1588" t="s">
        <v>11650</v>
      </c>
      <c r="W1588" t="s">
        <v>13209</v>
      </c>
      <c r="X1588">
        <v>5</v>
      </c>
      <c r="Y1588" t="s">
        <v>18954</v>
      </c>
      <c r="Z1588" t="s">
        <v>24650</v>
      </c>
      <c r="AA1588">
        <v>0.32813613488874782</v>
      </c>
      <c r="AB1588" t="str">
        <f>HYPERLINK("Melting_Curves/meltCurve_O95081_AGFG2.pdf", "Melting_Curves/meltCurve_O95081_AGFG2.pdf")</f>
        <v>Melting_Curves/meltCurve_O95081_AGFG2.pdf</v>
      </c>
    </row>
    <row r="1589" spans="1:28" x14ac:dyDescent="0.25">
      <c r="A1589" t="s">
        <v>1593</v>
      </c>
      <c r="B1589">
        <v>0.99996721820229495</v>
      </c>
      <c r="C1589">
        <v>1.11090816577634</v>
      </c>
      <c r="D1589">
        <v>1.2220061180886499</v>
      </c>
      <c r="E1589">
        <v>1.69181603448665</v>
      </c>
      <c r="F1589">
        <v>2.6045280307106098</v>
      </c>
      <c r="G1589">
        <v>2.5844594569421502</v>
      </c>
      <c r="H1589">
        <v>1.6893011875994499</v>
      </c>
      <c r="I1589">
        <v>0.80053955924763798</v>
      </c>
      <c r="J1589">
        <v>0.70408187778411602</v>
      </c>
      <c r="K1589">
        <v>0.50837137207229299</v>
      </c>
      <c r="L1589">
        <v>3705.8165040242202</v>
      </c>
      <c r="M1589">
        <v>56.158983179595502</v>
      </c>
      <c r="O1589">
        <v>65.904420484099106</v>
      </c>
      <c r="P1589">
        <v>-0.10413110637077901</v>
      </c>
      <c r="Q1589">
        <v>0.51119495494254796</v>
      </c>
      <c r="R1589">
        <v>-0.24111525093660199</v>
      </c>
      <c r="S1589" t="s">
        <v>7415</v>
      </c>
      <c r="T1589" t="s">
        <v>11650</v>
      </c>
      <c r="U1589" t="s">
        <v>11650</v>
      </c>
      <c r="V1589" t="s">
        <v>11650</v>
      </c>
      <c r="W1589" t="s">
        <v>13210</v>
      </c>
      <c r="X1589">
        <v>2</v>
      </c>
      <c r="Y1589" t="s">
        <v>18955</v>
      </c>
      <c r="Z1589" t="s">
        <v>24651</v>
      </c>
      <c r="AA1589">
        <v>0.93487695943857985</v>
      </c>
      <c r="AB1589" t="str">
        <f>HYPERLINK("Melting_Curves/meltCurve_O95084_PRSS23.pdf", "Melting_Curves/meltCurve_O95084_PRSS23.pdf")</f>
        <v>Melting_Curves/meltCurve_O95084_PRSS23.pdf</v>
      </c>
    </row>
    <row r="1590" spans="1:28" x14ac:dyDescent="0.25">
      <c r="A1590" t="s">
        <v>1594</v>
      </c>
      <c r="B1590">
        <v>0.99996721820229495</v>
      </c>
      <c r="C1590">
        <v>0.995303898399716</v>
      </c>
      <c r="D1590">
        <v>0.69113673221973304</v>
      </c>
      <c r="E1590">
        <v>0.32346968748584798</v>
      </c>
      <c r="F1590">
        <v>0.305553381608969</v>
      </c>
      <c r="G1590">
        <v>0.258232490122002</v>
      </c>
      <c r="H1590">
        <v>0.176031842646234</v>
      </c>
      <c r="I1590">
        <v>0.19820092650201501</v>
      </c>
      <c r="J1590">
        <v>0.14081364572053201</v>
      </c>
      <c r="K1590">
        <v>0.13488001575464401</v>
      </c>
      <c r="L1590">
        <v>1151.3925683961399</v>
      </c>
      <c r="M1590">
        <v>24.411887773616002</v>
      </c>
      <c r="N1590">
        <v>48.081263190954701</v>
      </c>
      <c r="O1590">
        <v>46.8521721502986</v>
      </c>
      <c r="P1590">
        <v>-0.10603873073712899</v>
      </c>
      <c r="Q1590">
        <v>0.18595886621050201</v>
      </c>
      <c r="R1590">
        <v>0.98265127065929503</v>
      </c>
      <c r="S1590" t="s">
        <v>7416</v>
      </c>
      <c r="T1590" t="s">
        <v>11650</v>
      </c>
      <c r="U1590" t="s">
        <v>11650</v>
      </c>
      <c r="V1590" t="s">
        <v>11650</v>
      </c>
      <c r="W1590" t="s">
        <v>13211</v>
      </c>
      <c r="X1590">
        <v>2</v>
      </c>
      <c r="Y1590" t="s">
        <v>18956</v>
      </c>
      <c r="Z1590" t="s">
        <v>24652</v>
      </c>
      <c r="AA1590">
        <v>0.38802058760386549</v>
      </c>
      <c r="AB1590" t="str">
        <f>HYPERLINK("Melting_Curves/meltCurve_O95104_2_SCAF4.pdf", "Melting_Curves/meltCurve_O95104_2_SCAF4.pdf")</f>
        <v>Melting_Curves/meltCurve_O95104_2_SCAF4.pdf</v>
      </c>
    </row>
    <row r="1591" spans="1:28" x14ac:dyDescent="0.25">
      <c r="A1591" t="s">
        <v>1595</v>
      </c>
      <c r="B1591">
        <v>0.99996721820229495</v>
      </c>
      <c r="C1591">
        <v>0.96962926220947099</v>
      </c>
      <c r="D1591">
        <v>1.0232722654327999</v>
      </c>
      <c r="E1591">
        <v>1.00554446121028</v>
      </c>
      <c r="F1591">
        <v>1.32010953097405</v>
      </c>
      <c r="G1591">
        <v>1.0612466509442</v>
      </c>
      <c r="H1591">
        <v>0.834675459698069</v>
      </c>
      <c r="I1591">
        <v>0.54537475146348802</v>
      </c>
      <c r="J1591">
        <v>0.37265261647238102</v>
      </c>
      <c r="K1591">
        <v>0.23329428037157801</v>
      </c>
      <c r="L1591">
        <v>2231.54646033678</v>
      </c>
      <c r="M1591">
        <v>35.174677460961</v>
      </c>
      <c r="N1591">
        <v>64.585194731443806</v>
      </c>
      <c r="O1591">
        <v>63.2378255196273</v>
      </c>
      <c r="P1591">
        <v>-0.10683071956717501</v>
      </c>
      <c r="Q1591">
        <v>0.23175181501315101</v>
      </c>
      <c r="R1591">
        <v>0.89337002998665505</v>
      </c>
      <c r="S1591" t="s">
        <v>7417</v>
      </c>
      <c r="T1591" t="s">
        <v>11650</v>
      </c>
      <c r="U1591" t="s">
        <v>11650</v>
      </c>
      <c r="V1591" t="s">
        <v>11650</v>
      </c>
      <c r="W1591" t="s">
        <v>13212</v>
      </c>
      <c r="X1591">
        <v>3</v>
      </c>
      <c r="Y1591" t="s">
        <v>18957</v>
      </c>
      <c r="Z1591" t="s">
        <v>24653</v>
      </c>
      <c r="AA1591">
        <v>0.83423706658883623</v>
      </c>
      <c r="AB1591" t="str">
        <f>HYPERLINK("Melting_Curves/meltCurve_O95136_S1PR2.pdf", "Melting_Curves/meltCurve_O95136_S1PR2.pdf")</f>
        <v>Melting_Curves/meltCurve_O95136_S1PR2.pdf</v>
      </c>
    </row>
    <row r="1592" spans="1:28" x14ac:dyDescent="0.25">
      <c r="A1592" t="s">
        <v>1596</v>
      </c>
      <c r="B1592">
        <v>0.99996721820229495</v>
      </c>
      <c r="C1592">
        <v>0.90334873634047297</v>
      </c>
      <c r="D1592">
        <v>1.06106182012051</v>
      </c>
      <c r="E1592">
        <v>1.2492821566280199</v>
      </c>
      <c r="F1592">
        <v>1.60146011124331</v>
      </c>
      <c r="G1592">
        <v>1.9332165490811499</v>
      </c>
      <c r="H1592">
        <v>1.8625757506790701</v>
      </c>
      <c r="I1592">
        <v>1.29599105320341</v>
      </c>
      <c r="J1592">
        <v>0.92525799739031001</v>
      </c>
      <c r="K1592">
        <v>0.68374200191362899</v>
      </c>
      <c r="L1592">
        <v>15000</v>
      </c>
      <c r="M1592">
        <v>222.707165934697</v>
      </c>
      <c r="O1592">
        <v>67.347587936785104</v>
      </c>
      <c r="P1592">
        <v>-0.26151121874724798</v>
      </c>
      <c r="Q1592">
        <v>0.68367161072327498</v>
      </c>
      <c r="R1592">
        <v>-0.32712710966768799</v>
      </c>
      <c r="S1592" t="s">
        <v>7418</v>
      </c>
      <c r="T1592" t="s">
        <v>11650</v>
      </c>
      <c r="U1592" t="s">
        <v>11650</v>
      </c>
      <c r="V1592" t="s">
        <v>11650</v>
      </c>
      <c r="W1592" t="s">
        <v>13213</v>
      </c>
      <c r="X1592">
        <v>4</v>
      </c>
      <c r="Y1592" t="s">
        <v>18958</v>
      </c>
      <c r="Z1592" t="s">
        <v>24654</v>
      </c>
      <c r="AA1592">
        <v>0.9721358479214407</v>
      </c>
      <c r="AB1592" t="str">
        <f>HYPERLINK("Melting_Curves/meltCurve_O95139_NDUFB6.pdf", "Melting_Curves/meltCurve_O95139_NDUFB6.pdf")</f>
        <v>Melting_Curves/meltCurve_O95139_NDUFB6.pdf</v>
      </c>
    </row>
    <row r="1593" spans="1:28" x14ac:dyDescent="0.25">
      <c r="A1593" t="s">
        <v>1597</v>
      </c>
      <c r="B1593">
        <v>0.99996721820229495</v>
      </c>
      <c r="C1593">
        <v>0.96854648778135499</v>
      </c>
      <c r="D1593">
        <v>0.99274714086872495</v>
      </c>
      <c r="E1593">
        <v>1.1043377143024999</v>
      </c>
      <c r="F1593">
        <v>1.0652097265042499</v>
      </c>
      <c r="G1593">
        <v>0.82820633682671196</v>
      </c>
      <c r="H1593">
        <v>0.47609658827912499</v>
      </c>
      <c r="I1593">
        <v>0.29930130615699302</v>
      </c>
      <c r="J1593">
        <v>0.26313490004283702</v>
      </c>
      <c r="K1593">
        <v>0.19635048858641299</v>
      </c>
      <c r="L1593">
        <v>1882.2230356268899</v>
      </c>
      <c r="M1593">
        <v>31.5791854463784</v>
      </c>
      <c r="N1593">
        <v>60.689220056002</v>
      </c>
      <c r="O1593">
        <v>59.365796051344901</v>
      </c>
      <c r="P1593">
        <v>-0.10428293278028899</v>
      </c>
      <c r="Q1593">
        <v>0.21583711938990699</v>
      </c>
      <c r="R1593">
        <v>0.98306154382353805</v>
      </c>
      <c r="S1593" t="s">
        <v>7419</v>
      </c>
      <c r="T1593" t="s">
        <v>11650</v>
      </c>
      <c r="U1593" t="s">
        <v>11650</v>
      </c>
      <c r="V1593" t="s">
        <v>11650</v>
      </c>
      <c r="W1593" t="s">
        <v>13214</v>
      </c>
      <c r="X1593">
        <v>18</v>
      </c>
      <c r="Y1593" t="s">
        <v>18959</v>
      </c>
      <c r="Z1593" t="s">
        <v>24655</v>
      </c>
      <c r="AA1593">
        <v>0.73278120773244382</v>
      </c>
      <c r="AB1593" t="str">
        <f>HYPERLINK("Melting_Curves/meltCurve_O95140_MFN2.pdf", "Melting_Curves/meltCurve_O95140_MFN2.pdf")</f>
        <v>Melting_Curves/meltCurve_O95140_MFN2.pdf</v>
      </c>
    </row>
    <row r="1594" spans="1:28" x14ac:dyDescent="0.25">
      <c r="A1594" t="s">
        <v>1598</v>
      </c>
      <c r="B1594">
        <v>0.99996721820229495</v>
      </c>
      <c r="C1594">
        <v>1.0258333013352099</v>
      </c>
      <c r="D1594">
        <v>1.05116591355359</v>
      </c>
      <c r="E1594">
        <v>1.10198211272641</v>
      </c>
      <c r="F1594">
        <v>0.83851974054352896</v>
      </c>
      <c r="G1594">
        <v>0.78496888210465399</v>
      </c>
      <c r="H1594">
        <v>0.48829608949345399</v>
      </c>
      <c r="I1594">
        <v>0.33109672734360901</v>
      </c>
      <c r="J1594">
        <v>0.28172832704102302</v>
      </c>
      <c r="K1594">
        <v>0.26291504261365101</v>
      </c>
      <c r="L1594">
        <v>1257.89688155411</v>
      </c>
      <c r="M1594">
        <v>21.2985275009028</v>
      </c>
      <c r="N1594">
        <v>60.763757142436802</v>
      </c>
      <c r="O1594">
        <v>58.547017726142002</v>
      </c>
      <c r="P1594">
        <v>-7.0503720087701893E-2</v>
      </c>
      <c r="Q1594">
        <v>0.22479564070404101</v>
      </c>
      <c r="R1594">
        <v>0.97275844594212102</v>
      </c>
      <c r="S1594" t="s">
        <v>7420</v>
      </c>
      <c r="T1594" t="s">
        <v>11650</v>
      </c>
      <c r="U1594" t="s">
        <v>11650</v>
      </c>
      <c r="V1594" t="s">
        <v>11650</v>
      </c>
      <c r="W1594" t="s">
        <v>13215</v>
      </c>
      <c r="X1594">
        <v>13</v>
      </c>
      <c r="Y1594" t="s">
        <v>18960</v>
      </c>
      <c r="Z1594" t="s">
        <v>24656</v>
      </c>
      <c r="AA1594">
        <v>0.72471812960835513</v>
      </c>
      <c r="AB1594" t="str">
        <f>HYPERLINK("Melting_Curves/meltCurve_O95155_2_UBE4B.pdf", "Melting_Curves/meltCurve_O95155_2_UBE4B.pdf")</f>
        <v>Melting_Curves/meltCurve_O95155_2_UBE4B.pdf</v>
      </c>
    </row>
    <row r="1595" spans="1:28" x14ac:dyDescent="0.25">
      <c r="A1595" t="s">
        <v>1599</v>
      </c>
      <c r="B1595">
        <v>0.99996721820229495</v>
      </c>
      <c r="C1595">
        <v>0.85299609513274699</v>
      </c>
      <c r="D1595">
        <v>0.99597755884234196</v>
      </c>
      <c r="E1595">
        <v>1.03070675724189</v>
      </c>
      <c r="F1595">
        <v>0.66448708690814395</v>
      </c>
      <c r="G1595">
        <v>0.36173348656558402</v>
      </c>
      <c r="H1595">
        <v>0.23148451401277101</v>
      </c>
      <c r="I1595">
        <v>0.161661546464197</v>
      </c>
      <c r="J1595">
        <v>9.5797384042952197E-2</v>
      </c>
      <c r="K1595">
        <v>0.112251139221067</v>
      </c>
      <c r="L1595">
        <v>1385.1773970004999</v>
      </c>
      <c r="M1595">
        <v>25.356127170112401</v>
      </c>
      <c r="N1595">
        <v>55.2639600789363</v>
      </c>
      <c r="O1595">
        <v>54.292512207868</v>
      </c>
      <c r="P1595">
        <v>-0.102002239554493</v>
      </c>
      <c r="Q1595">
        <v>0.12638276552890401</v>
      </c>
      <c r="R1595">
        <v>0.97129560578199903</v>
      </c>
      <c r="S1595" t="s">
        <v>7421</v>
      </c>
      <c r="T1595" t="s">
        <v>11650</v>
      </c>
      <c r="U1595" t="s">
        <v>11650</v>
      </c>
      <c r="V1595" t="s">
        <v>11650</v>
      </c>
      <c r="W1595" t="s">
        <v>13216</v>
      </c>
      <c r="X1595">
        <v>8</v>
      </c>
      <c r="Y1595" t="s">
        <v>18961</v>
      </c>
      <c r="Z1595" t="s">
        <v>24657</v>
      </c>
      <c r="AA1595">
        <v>0.56027228580109734</v>
      </c>
      <c r="AB1595" t="str">
        <f>HYPERLINK("Melting_Curves/meltCurve_O95159_ZFPL1.pdf", "Melting_Curves/meltCurve_O95159_ZFPL1.pdf")</f>
        <v>Melting_Curves/meltCurve_O95159_ZFPL1.pdf</v>
      </c>
    </row>
    <row r="1596" spans="1:28" x14ac:dyDescent="0.25">
      <c r="A1596" t="s">
        <v>1600</v>
      </c>
      <c r="B1596">
        <v>0.99996721820229495</v>
      </c>
      <c r="C1596">
        <v>0.91561567286655798</v>
      </c>
      <c r="D1596">
        <v>0.93978836763884999</v>
      </c>
      <c r="E1596">
        <v>1.0201995627810601</v>
      </c>
      <c r="F1596">
        <v>1.4004374762446501</v>
      </c>
      <c r="G1596">
        <v>1.7953316360881699</v>
      </c>
      <c r="H1596">
        <v>1.7295524679938501</v>
      </c>
      <c r="I1596">
        <v>2.0140744555530299</v>
      </c>
      <c r="J1596">
        <v>1.6136296203337599</v>
      </c>
      <c r="K1596">
        <v>0.79364744070983995</v>
      </c>
      <c r="L1596">
        <v>4580.8863334136404</v>
      </c>
      <c r="M1596">
        <v>87.852856087802706</v>
      </c>
      <c r="O1596">
        <v>52.115736854578998</v>
      </c>
      <c r="P1596">
        <v>0.21071587099066699</v>
      </c>
      <c r="Q1596">
        <v>1.5</v>
      </c>
      <c r="R1596">
        <v>0.46889894800180998</v>
      </c>
      <c r="S1596" t="s">
        <v>7422</v>
      </c>
      <c r="T1596" t="s">
        <v>11650</v>
      </c>
      <c r="U1596" t="s">
        <v>11650</v>
      </c>
      <c r="V1596" t="s">
        <v>11650</v>
      </c>
      <c r="W1596" t="s">
        <v>13217</v>
      </c>
      <c r="X1596">
        <v>2</v>
      </c>
      <c r="Y1596" t="s">
        <v>18962</v>
      </c>
      <c r="Z1596" t="s">
        <v>24658</v>
      </c>
      <c r="AA1596">
        <v>1.2972503379181739</v>
      </c>
      <c r="AB1596" t="str">
        <f>HYPERLINK("Melting_Curves/meltCurve_O95167_NDUFA3.pdf", "Melting_Curves/meltCurve_O95167_NDUFA3.pdf")</f>
        <v>Melting_Curves/meltCurve_O95167_NDUFA3.pdf</v>
      </c>
    </row>
    <row r="1597" spans="1:28" x14ac:dyDescent="0.25">
      <c r="A1597" t="s">
        <v>1601</v>
      </c>
      <c r="B1597">
        <v>0.99996721820229495</v>
      </c>
      <c r="C1597">
        <v>0.73883808662641703</v>
      </c>
      <c r="D1597">
        <v>0.75792239790123594</v>
      </c>
      <c r="E1597">
        <v>0.99615296393441399</v>
      </c>
      <c r="F1597">
        <v>1.6384029849517701</v>
      </c>
      <c r="G1597">
        <v>1.1476495526224899</v>
      </c>
      <c r="H1597">
        <v>1.00429209483892</v>
      </c>
      <c r="I1597">
        <v>1.1072681282400001</v>
      </c>
      <c r="J1597">
        <v>1.0417338003029999</v>
      </c>
      <c r="K1597">
        <v>0.71942613966168301</v>
      </c>
      <c r="L1597">
        <v>15000</v>
      </c>
      <c r="M1597">
        <v>213.34407021500201</v>
      </c>
      <c r="Q1597">
        <v>0</v>
      </c>
      <c r="R1597">
        <v>0.118320574744018</v>
      </c>
      <c r="S1597" t="s">
        <v>7423</v>
      </c>
      <c r="T1597" t="s">
        <v>11650</v>
      </c>
      <c r="U1597" t="s">
        <v>11650</v>
      </c>
      <c r="V1597" t="s">
        <v>11650</v>
      </c>
      <c r="W1597" t="s">
        <v>13218</v>
      </c>
      <c r="X1597">
        <v>3</v>
      </c>
      <c r="Y1597" t="s">
        <v>18963</v>
      </c>
      <c r="Z1597" t="s">
        <v>24659</v>
      </c>
      <c r="AA1597">
        <v>0.99645015773798429</v>
      </c>
      <c r="AB1597" t="str">
        <f>HYPERLINK("Melting_Curves/meltCurve_O95182_NDUFA7.pdf", "Melting_Curves/meltCurve_O95182_NDUFA7.pdf")</f>
        <v>Melting_Curves/meltCurve_O95182_NDUFA7.pdf</v>
      </c>
    </row>
    <row r="1598" spans="1:28" x14ac:dyDescent="0.25">
      <c r="A1598" t="s">
        <v>1602</v>
      </c>
      <c r="B1598">
        <v>0.99996721820229495</v>
      </c>
      <c r="C1598">
        <v>1.0636086025565501</v>
      </c>
      <c r="D1598">
        <v>1.0932125207640899</v>
      </c>
      <c r="E1598">
        <v>1.1762623529449401</v>
      </c>
      <c r="F1598">
        <v>1.50645226338744</v>
      </c>
      <c r="G1598">
        <v>1.6469097594556299</v>
      </c>
      <c r="H1598">
        <v>1.2512961475001201</v>
      </c>
      <c r="I1598">
        <v>0.98899500890785097</v>
      </c>
      <c r="J1598">
        <v>0.81905490368971501</v>
      </c>
      <c r="K1598">
        <v>0.63140308032077497</v>
      </c>
      <c r="L1598">
        <v>5953.3826238294696</v>
      </c>
      <c r="M1598">
        <v>88.775929831584406</v>
      </c>
      <c r="O1598">
        <v>67.026767601572104</v>
      </c>
      <c r="P1598">
        <v>-0.124971989320629</v>
      </c>
      <c r="Q1598">
        <v>0.62257932925760195</v>
      </c>
      <c r="R1598">
        <v>3.70580390232687E-2</v>
      </c>
      <c r="S1598" t="s">
        <v>7424</v>
      </c>
      <c r="T1598" t="s">
        <v>11650</v>
      </c>
      <c r="U1598" t="s">
        <v>11650</v>
      </c>
      <c r="V1598" t="s">
        <v>11650</v>
      </c>
      <c r="W1598" t="s">
        <v>13219</v>
      </c>
      <c r="X1598">
        <v>5</v>
      </c>
      <c r="Y1598" t="s">
        <v>18964</v>
      </c>
      <c r="Z1598" t="s">
        <v>24660</v>
      </c>
      <c r="AA1598">
        <v>0.96312319301742721</v>
      </c>
      <c r="AB1598" t="str">
        <f>HYPERLINK("Melting_Curves/meltCurve_O95183_VAMP5.pdf", "Melting_Curves/meltCurve_O95183_VAMP5.pdf")</f>
        <v>Melting_Curves/meltCurve_O95183_VAMP5.pdf</v>
      </c>
    </row>
    <row r="1599" spans="1:28" x14ac:dyDescent="0.25">
      <c r="A1599" t="s">
        <v>1603</v>
      </c>
      <c r="B1599">
        <v>0.99996721820229495</v>
      </c>
      <c r="C1599">
        <v>0.99669169158512905</v>
      </c>
      <c r="D1599">
        <v>0.956677125265886</v>
      </c>
      <c r="E1599">
        <v>1.0534656010152901</v>
      </c>
      <c r="F1599">
        <v>1.3441382909853601</v>
      </c>
      <c r="G1599">
        <v>1.5152346218552299</v>
      </c>
      <c r="H1599">
        <v>1.0299455533544599</v>
      </c>
      <c r="I1599">
        <v>0.67077842074504601</v>
      </c>
      <c r="J1599">
        <v>0.46954846152938301</v>
      </c>
      <c r="K1599">
        <v>0.47136493728624401</v>
      </c>
      <c r="L1599">
        <v>15000</v>
      </c>
      <c r="M1599">
        <v>234.871766139248</v>
      </c>
      <c r="N1599">
        <v>64.643126985324002</v>
      </c>
      <c r="O1599">
        <v>63.860021077497699</v>
      </c>
      <c r="P1599">
        <v>-0.48690844826372498</v>
      </c>
      <c r="Q1599">
        <v>0.47045186258027899</v>
      </c>
      <c r="R1599">
        <v>0.62346126176994299</v>
      </c>
      <c r="S1599" t="s">
        <v>7425</v>
      </c>
      <c r="T1599" t="s">
        <v>11650</v>
      </c>
      <c r="U1599" t="s">
        <v>11650</v>
      </c>
      <c r="V1599" t="s">
        <v>11650</v>
      </c>
      <c r="W1599" t="s">
        <v>13220</v>
      </c>
      <c r="X1599">
        <v>20</v>
      </c>
      <c r="Y1599" t="s">
        <v>18965</v>
      </c>
      <c r="Z1599" t="s">
        <v>24661</v>
      </c>
      <c r="AA1599">
        <v>0.89176823849230724</v>
      </c>
      <c r="AB1599" t="str">
        <f>HYPERLINK("Melting_Curves/meltCurve_O95197_2_RTN3.pdf", "Melting_Curves/meltCurve_O95197_2_RTN3.pdf")</f>
        <v>Melting_Curves/meltCurve_O95197_2_RTN3.pdf</v>
      </c>
    </row>
    <row r="1600" spans="1:28" x14ac:dyDescent="0.25">
      <c r="A1600" t="s">
        <v>1604</v>
      </c>
      <c r="B1600">
        <v>0.99996721820229495</v>
      </c>
      <c r="C1600">
        <v>0.93922502278766296</v>
      </c>
      <c r="D1600">
        <v>0.94640831746390497</v>
      </c>
      <c r="E1600">
        <v>1.1419593671488899</v>
      </c>
      <c r="F1600">
        <v>0.54045772352646904</v>
      </c>
      <c r="G1600">
        <v>0.34449301775046898</v>
      </c>
      <c r="H1600">
        <v>0.202769061343997</v>
      </c>
      <c r="I1600">
        <v>0.11918444730541999</v>
      </c>
      <c r="J1600">
        <v>8.7985171621686897E-2</v>
      </c>
      <c r="K1600">
        <v>6.9014085079578694E-2</v>
      </c>
      <c r="L1600">
        <v>1724.4717235472001</v>
      </c>
      <c r="M1600">
        <v>32.082479479647802</v>
      </c>
      <c r="N1600">
        <v>54.244598165545703</v>
      </c>
      <c r="O1600">
        <v>53.5436614796592</v>
      </c>
      <c r="P1600">
        <v>-0.13084028138308701</v>
      </c>
      <c r="Q1600">
        <v>0.126547332567223</v>
      </c>
      <c r="R1600">
        <v>0.94900202616606799</v>
      </c>
      <c r="S1600" t="s">
        <v>7426</v>
      </c>
      <c r="T1600" t="s">
        <v>11650</v>
      </c>
      <c r="U1600" t="s">
        <v>11650</v>
      </c>
      <c r="V1600" t="s">
        <v>11650</v>
      </c>
      <c r="W1600" t="s">
        <v>13221</v>
      </c>
      <c r="X1600">
        <v>28</v>
      </c>
      <c r="Y1600" t="s">
        <v>18966</v>
      </c>
      <c r="Z1600" t="s">
        <v>24662</v>
      </c>
      <c r="AA1600">
        <v>0.53193377326045832</v>
      </c>
      <c r="AB1600" t="str">
        <f>HYPERLINK("Melting_Curves/meltCurve_O95202_LETM1.pdf", "Melting_Curves/meltCurve_O95202_LETM1.pdf")</f>
        <v>Melting_Curves/meltCurve_O95202_LETM1.pdf</v>
      </c>
    </row>
    <row r="1601" spans="1:28" x14ac:dyDescent="0.25">
      <c r="A1601" t="s">
        <v>1605</v>
      </c>
      <c r="B1601">
        <v>0.99996721820229495</v>
      </c>
      <c r="C1601">
        <v>2.55808759627695</v>
      </c>
      <c r="D1601">
        <v>2.43419919611391</v>
      </c>
      <c r="E1601">
        <v>1.6617602458826199</v>
      </c>
      <c r="F1601">
        <v>4.4950766546039098</v>
      </c>
      <c r="G1601">
        <v>1.3474547122120599</v>
      </c>
      <c r="H1601">
        <v>0.59398469594826098</v>
      </c>
      <c r="I1601">
        <v>4.1779823355695802</v>
      </c>
      <c r="J1601">
        <v>0.87805339148371897</v>
      </c>
      <c r="K1601">
        <v>8.5979255751171806</v>
      </c>
      <c r="S1601" t="s">
        <v>7427</v>
      </c>
      <c r="T1601" t="s">
        <v>11650</v>
      </c>
      <c r="U1601" t="s">
        <v>11651</v>
      </c>
      <c r="V1601" t="s">
        <v>11650</v>
      </c>
      <c r="W1601" t="s">
        <v>13222</v>
      </c>
      <c r="X1601">
        <v>1</v>
      </c>
      <c r="Y1601" t="s">
        <v>18967</v>
      </c>
      <c r="Z1601" t="s">
        <v>24663</v>
      </c>
      <c r="AB1601" t="str">
        <f>HYPERLINK("Melting_Curves/meltCurve_O95206_3_PCDH8.pdf", "Melting_Curves/meltCurve_O95206_3_PCDH8.pdf")</f>
        <v>Melting_Curves/meltCurve_O95206_3_PCDH8.pdf</v>
      </c>
    </row>
    <row r="1602" spans="1:28" x14ac:dyDescent="0.25">
      <c r="A1602" t="s">
        <v>1606</v>
      </c>
      <c r="B1602">
        <v>0.99996721820229495</v>
      </c>
      <c r="C1602">
        <v>0.95266491956286403</v>
      </c>
      <c r="D1602">
        <v>0.88581188034682701</v>
      </c>
      <c r="E1602">
        <v>1.0198748271953799</v>
      </c>
      <c r="F1602">
        <v>1.57157523447147</v>
      </c>
      <c r="G1602">
        <v>1.8054465454206901</v>
      </c>
      <c r="H1602">
        <v>1.47497478160587</v>
      </c>
      <c r="I1602">
        <v>1.65426119805128</v>
      </c>
      <c r="J1602">
        <v>1.35637987483054</v>
      </c>
      <c r="K1602">
        <v>1.0936583565196001</v>
      </c>
      <c r="L1602">
        <v>12658.393965896301</v>
      </c>
      <c r="M1602">
        <v>250</v>
      </c>
      <c r="O1602">
        <v>50.630335840780702</v>
      </c>
      <c r="P1602">
        <v>0.60822823489316902</v>
      </c>
      <c r="Q1602">
        <v>1.49271679437933</v>
      </c>
      <c r="R1602">
        <v>0.67263981307071097</v>
      </c>
      <c r="S1602" t="s">
        <v>7428</v>
      </c>
      <c r="T1602" t="s">
        <v>11650</v>
      </c>
      <c r="U1602" t="s">
        <v>11650</v>
      </c>
      <c r="V1602" t="s">
        <v>11650</v>
      </c>
      <c r="W1602" t="s">
        <v>13223</v>
      </c>
      <c r="X1602">
        <v>17</v>
      </c>
      <c r="Y1602" t="s">
        <v>18968</v>
      </c>
      <c r="Z1602" t="s">
        <v>24664</v>
      </c>
      <c r="AA1602">
        <v>1.318028297261292</v>
      </c>
      <c r="AB1602" t="str">
        <f>HYPERLINK("Melting_Curves/meltCurve_O95218_2_ZRANB2.pdf", "Melting_Curves/meltCurve_O95218_2_ZRANB2.pdf")</f>
        <v>Melting_Curves/meltCurve_O95218_2_ZRANB2.pdf</v>
      </c>
    </row>
    <row r="1603" spans="1:28" x14ac:dyDescent="0.25">
      <c r="A1603" t="s">
        <v>1607</v>
      </c>
      <c r="B1603">
        <v>0.99996721820229495</v>
      </c>
      <c r="C1603">
        <v>0.97507466602991899</v>
      </c>
      <c r="D1603">
        <v>0.82284125632923899</v>
      </c>
      <c r="E1603">
        <v>0.459906732722901</v>
      </c>
      <c r="F1603">
        <v>0.40861003900060799</v>
      </c>
      <c r="G1603">
        <v>0.33565236538073701</v>
      </c>
      <c r="H1603">
        <v>0.22994610981731101</v>
      </c>
      <c r="I1603">
        <v>0.19674810028248901</v>
      </c>
      <c r="J1603">
        <v>0.17851836855484701</v>
      </c>
      <c r="K1603">
        <v>0.12695558046730801</v>
      </c>
      <c r="L1603">
        <v>781.42265327376094</v>
      </c>
      <c r="M1603">
        <v>15.8499927789425</v>
      </c>
      <c r="N1603">
        <v>50.688320848308898</v>
      </c>
      <c r="O1603">
        <v>48.536369593077502</v>
      </c>
      <c r="P1603">
        <v>-6.7279297294055199E-2</v>
      </c>
      <c r="Q1603">
        <v>0.17596754191950401</v>
      </c>
      <c r="R1603">
        <v>0.98080984676572902</v>
      </c>
      <c r="S1603" t="s">
        <v>7429</v>
      </c>
      <c r="T1603" t="s">
        <v>11650</v>
      </c>
      <c r="U1603" t="s">
        <v>11650</v>
      </c>
      <c r="V1603" t="s">
        <v>11650</v>
      </c>
      <c r="W1603" t="s">
        <v>13224</v>
      </c>
      <c r="X1603">
        <v>13</v>
      </c>
      <c r="Y1603" t="s">
        <v>18969</v>
      </c>
      <c r="Z1603" t="s">
        <v>24665</v>
      </c>
      <c r="AA1603">
        <v>0.44959575583587608</v>
      </c>
      <c r="AB1603" t="str">
        <f>HYPERLINK("Melting_Curves/meltCurve_O95219_SNX4.pdf", "Melting_Curves/meltCurve_O95219_SNX4.pdf")</f>
        <v>Melting_Curves/meltCurve_O95219_SNX4.pdf</v>
      </c>
    </row>
    <row r="1604" spans="1:28" x14ac:dyDescent="0.25">
      <c r="A1604" t="s">
        <v>1608</v>
      </c>
      <c r="B1604">
        <v>0.99996721820229495</v>
      </c>
      <c r="C1604">
        <v>1.1753979030007999</v>
      </c>
      <c r="D1604">
        <v>1.1437428689200799</v>
      </c>
      <c r="E1604">
        <v>1.2066499124348</v>
      </c>
      <c r="F1604">
        <v>1.22295858338727</v>
      </c>
      <c r="G1604">
        <v>0.47358577744923902</v>
      </c>
      <c r="H1604">
        <v>0.17433415651550799</v>
      </c>
      <c r="I1604">
        <v>0.114511800238783</v>
      </c>
      <c r="J1604">
        <v>7.6040142233776406E-2</v>
      </c>
      <c r="K1604">
        <v>6.4402994709135103E-2</v>
      </c>
      <c r="L1604">
        <v>11908.028866413501</v>
      </c>
      <c r="M1604">
        <v>209.27551998777</v>
      </c>
      <c r="N1604">
        <v>56.966949645579398</v>
      </c>
      <c r="O1604">
        <v>56.896007048501403</v>
      </c>
      <c r="P1604">
        <v>-0.82086448211299301</v>
      </c>
      <c r="Q1604">
        <v>0.10732203780768799</v>
      </c>
      <c r="R1604">
        <v>0.93938808606891699</v>
      </c>
      <c r="S1604" t="s">
        <v>7430</v>
      </c>
      <c r="T1604" t="s">
        <v>11650</v>
      </c>
      <c r="U1604" t="s">
        <v>11650</v>
      </c>
      <c r="V1604" t="s">
        <v>11650</v>
      </c>
      <c r="W1604" t="s">
        <v>13225</v>
      </c>
      <c r="X1604">
        <v>1</v>
      </c>
      <c r="Y1604" t="s">
        <v>18970</v>
      </c>
      <c r="Z1604" t="s">
        <v>24666</v>
      </c>
      <c r="AA1604">
        <v>0.61036031453923101</v>
      </c>
      <c r="AB1604" t="str">
        <f>HYPERLINK("Melting_Curves/meltCurve_O95231_VENTX.pdf", "Melting_Curves/meltCurve_O95231_VENTX.pdf")</f>
        <v>Melting_Curves/meltCurve_O95231_VENTX.pdf</v>
      </c>
    </row>
    <row r="1605" spans="1:28" x14ac:dyDescent="0.25">
      <c r="A1605" t="s">
        <v>1609</v>
      </c>
      <c r="B1605">
        <v>0.99996721820229495</v>
      </c>
      <c r="C1605">
        <v>1.0520434884815699</v>
      </c>
      <c r="D1605">
        <v>0.949875894772365</v>
      </c>
      <c r="E1605">
        <v>0.66843650042484004</v>
      </c>
      <c r="F1605">
        <v>0.55189737976289099</v>
      </c>
      <c r="G1605">
        <v>0.47456913574926102</v>
      </c>
      <c r="H1605">
        <v>0.30661469764475002</v>
      </c>
      <c r="I1605">
        <v>0.20663688391241999</v>
      </c>
      <c r="J1605">
        <v>0.15221253333547999</v>
      </c>
      <c r="K1605">
        <v>0.12626892687025101</v>
      </c>
      <c r="L1605">
        <v>621.50690114008501</v>
      </c>
      <c r="M1605">
        <v>11.465971254021399</v>
      </c>
      <c r="N1605">
        <v>54.994442971522403</v>
      </c>
      <c r="O1605">
        <v>52.634298684306998</v>
      </c>
      <c r="P1605">
        <v>-5.03399416187175E-2</v>
      </c>
      <c r="Q1605">
        <v>7.5927867577223002E-2</v>
      </c>
      <c r="R1605">
        <v>0.97764277111049802</v>
      </c>
      <c r="S1605" t="s">
        <v>7431</v>
      </c>
      <c r="T1605" t="s">
        <v>11650</v>
      </c>
      <c r="U1605" t="s">
        <v>11650</v>
      </c>
      <c r="V1605" t="s">
        <v>11650</v>
      </c>
      <c r="W1605" t="s">
        <v>13226</v>
      </c>
      <c r="X1605">
        <v>9</v>
      </c>
      <c r="Y1605" t="s">
        <v>18971</v>
      </c>
      <c r="Z1605" t="s">
        <v>24667</v>
      </c>
      <c r="AA1605">
        <v>0.53804628522819875</v>
      </c>
      <c r="AB1605" t="str">
        <f>HYPERLINK("Melting_Curves/meltCurve_O95273_CCNDBP1.pdf", "Melting_Curves/meltCurve_O95273_CCNDBP1.pdf")</f>
        <v>Melting_Curves/meltCurve_O95273_CCNDBP1.pdf</v>
      </c>
    </row>
    <row r="1606" spans="1:28" x14ac:dyDescent="0.25">
      <c r="A1606" t="s">
        <v>1610</v>
      </c>
      <c r="B1606">
        <v>0.99996721820229495</v>
      </c>
      <c r="C1606">
        <v>0.83414942211810506</v>
      </c>
      <c r="D1606">
        <v>1.0485219501559</v>
      </c>
      <c r="E1606">
        <v>1.0754397723897999</v>
      </c>
      <c r="F1606">
        <v>0.98368299478383803</v>
      </c>
      <c r="G1606">
        <v>0.61556617597524999</v>
      </c>
      <c r="H1606">
        <v>0.29859075985671002</v>
      </c>
      <c r="I1606">
        <v>0.22215623083427899</v>
      </c>
      <c r="J1606">
        <v>0.172053237745493</v>
      </c>
      <c r="K1606">
        <v>0.15654751280309101</v>
      </c>
      <c r="L1606">
        <v>1940.0410049931099</v>
      </c>
      <c r="M1606">
        <v>33.8026977647948</v>
      </c>
      <c r="N1606">
        <v>58.145241091412998</v>
      </c>
      <c r="O1606">
        <v>57.193328597784799</v>
      </c>
      <c r="P1606">
        <v>-0.121588912214438</v>
      </c>
      <c r="Q1606">
        <v>0.17710159305454201</v>
      </c>
      <c r="R1606">
        <v>0.97157163038696004</v>
      </c>
      <c r="S1606" t="s">
        <v>7432</v>
      </c>
      <c r="T1606" t="s">
        <v>11650</v>
      </c>
      <c r="U1606" t="s">
        <v>11650</v>
      </c>
      <c r="V1606" t="s">
        <v>11650</v>
      </c>
      <c r="W1606" t="s">
        <v>13227</v>
      </c>
      <c r="X1606">
        <v>13</v>
      </c>
      <c r="Y1606" t="s">
        <v>18972</v>
      </c>
      <c r="Z1606" t="s">
        <v>24668</v>
      </c>
      <c r="AA1606">
        <v>0.65861214147640224</v>
      </c>
      <c r="AB1606" t="str">
        <f>HYPERLINK("Melting_Curves/meltCurve_O95292_VAPB.pdf", "Melting_Curves/meltCurve_O95292_VAPB.pdf")</f>
        <v>Melting_Curves/meltCurve_O95292_VAPB.pdf</v>
      </c>
    </row>
    <row r="1607" spans="1:28" x14ac:dyDescent="0.25">
      <c r="A1607" t="s">
        <v>1611</v>
      </c>
      <c r="B1607">
        <v>0.99996721820229495</v>
      </c>
      <c r="C1607">
        <v>1.0237319674338401</v>
      </c>
      <c r="D1607">
        <v>1.0205561997085</v>
      </c>
      <c r="E1607">
        <v>1.1075850842282799</v>
      </c>
      <c r="F1607">
        <v>1.3426010104771799</v>
      </c>
      <c r="G1607">
        <v>1.17748238167416</v>
      </c>
      <c r="H1607">
        <v>0.53516291728790399</v>
      </c>
      <c r="I1607">
        <v>0.35733997317876498</v>
      </c>
      <c r="J1607">
        <v>0.28187854934061601</v>
      </c>
      <c r="K1607">
        <v>0.22010871325059</v>
      </c>
      <c r="L1607">
        <v>6725.3280025104004</v>
      </c>
      <c r="M1607">
        <v>110.862580149999</v>
      </c>
      <c r="N1607">
        <v>61.129893457205803</v>
      </c>
      <c r="O1607">
        <v>60.6439096511507</v>
      </c>
      <c r="P1607">
        <v>-0.32661628303513301</v>
      </c>
      <c r="Q1607">
        <v>0.28533909455204298</v>
      </c>
      <c r="R1607">
        <v>0.88914429269836803</v>
      </c>
      <c r="S1607" t="s">
        <v>7433</v>
      </c>
      <c r="T1607" t="s">
        <v>11650</v>
      </c>
      <c r="U1607" t="s">
        <v>11650</v>
      </c>
      <c r="V1607" t="s">
        <v>11650</v>
      </c>
      <c r="W1607" t="s">
        <v>13228</v>
      </c>
      <c r="X1607">
        <v>8</v>
      </c>
      <c r="Y1607" t="s">
        <v>18973</v>
      </c>
      <c r="Z1607" t="s">
        <v>24669</v>
      </c>
      <c r="AA1607">
        <v>0.77797628107172556</v>
      </c>
      <c r="AB1607" t="str">
        <f>HYPERLINK("Melting_Curves/meltCurve_O95295_SNAPIN.pdf", "Melting_Curves/meltCurve_O95295_SNAPIN.pdf")</f>
        <v>Melting_Curves/meltCurve_O95295_SNAPIN.pdf</v>
      </c>
    </row>
    <row r="1608" spans="1:28" x14ac:dyDescent="0.25">
      <c r="A1608" t="s">
        <v>1612</v>
      </c>
      <c r="B1608">
        <v>0.99996721820229495</v>
      </c>
      <c r="C1608">
        <v>0.84633236378758403</v>
      </c>
      <c r="D1608">
        <v>0.90916956545352001</v>
      </c>
      <c r="E1608">
        <v>1.12227992382373</v>
      </c>
      <c r="F1608">
        <v>1.34497066495525</v>
      </c>
      <c r="G1608">
        <v>1.4331090532149</v>
      </c>
      <c r="H1608">
        <v>0.924828731250532</v>
      </c>
      <c r="I1608">
        <v>0.561517403426114</v>
      </c>
      <c r="J1608">
        <v>0.37142635187830503</v>
      </c>
      <c r="K1608">
        <v>0.35606659274517399</v>
      </c>
      <c r="L1608">
        <v>3958.4464346968598</v>
      </c>
      <c r="M1608">
        <v>62.6290982171557</v>
      </c>
      <c r="N1608">
        <v>64.4777414876243</v>
      </c>
      <c r="O1608">
        <v>63.140243798487496</v>
      </c>
      <c r="P1608">
        <v>-0.15998846248738499</v>
      </c>
      <c r="Q1608">
        <v>0.35482340881351798</v>
      </c>
      <c r="R1608">
        <v>0.71277209026640398</v>
      </c>
      <c r="S1608" t="s">
        <v>7434</v>
      </c>
      <c r="T1608" t="s">
        <v>11650</v>
      </c>
      <c r="U1608" t="s">
        <v>11650</v>
      </c>
      <c r="V1608" t="s">
        <v>11650</v>
      </c>
      <c r="W1608" t="s">
        <v>13229</v>
      </c>
      <c r="X1608">
        <v>8</v>
      </c>
      <c r="Y1608" t="s">
        <v>18974</v>
      </c>
      <c r="Z1608" t="s">
        <v>24670</v>
      </c>
      <c r="AA1608">
        <v>0.85493966160239698</v>
      </c>
      <c r="AB1608" t="str">
        <f>HYPERLINK("Melting_Curves/meltCurve_O95297_2_MPZL1.pdf", "Melting_Curves/meltCurve_O95297_2_MPZL1.pdf")</f>
        <v>Melting_Curves/meltCurve_O95297_2_MPZL1.pdf</v>
      </c>
    </row>
    <row r="1609" spans="1:28" x14ac:dyDescent="0.25">
      <c r="A1609" t="s">
        <v>1613</v>
      </c>
      <c r="B1609">
        <v>0.99996721820229495</v>
      </c>
      <c r="C1609">
        <v>0.89877410097967703</v>
      </c>
      <c r="D1609">
        <v>0.98599120733184797</v>
      </c>
      <c r="E1609">
        <v>1.1444900727889</v>
      </c>
      <c r="F1609">
        <v>1.5375580459417999</v>
      </c>
      <c r="G1609">
        <v>1.58950404660342</v>
      </c>
      <c r="H1609">
        <v>1.3776599946113799</v>
      </c>
      <c r="I1609">
        <v>0.96781607404328795</v>
      </c>
      <c r="J1609">
        <v>0.505473060965275</v>
      </c>
      <c r="K1609">
        <v>0.29447775337721499</v>
      </c>
      <c r="L1609">
        <v>6000.2343826254701</v>
      </c>
      <c r="M1609">
        <v>90.3826919419935</v>
      </c>
      <c r="N1609">
        <v>67.023856349686895</v>
      </c>
      <c r="O1609">
        <v>66.354502997379896</v>
      </c>
      <c r="P1609">
        <v>-0.24239869910971401</v>
      </c>
      <c r="Q1609">
        <v>0.28817148774246099</v>
      </c>
      <c r="R1609">
        <v>0.47517460278325802</v>
      </c>
      <c r="S1609" t="s">
        <v>7435</v>
      </c>
      <c r="T1609" t="s">
        <v>11650</v>
      </c>
      <c r="U1609" t="s">
        <v>11650</v>
      </c>
      <c r="V1609" t="s">
        <v>11650</v>
      </c>
      <c r="W1609" t="s">
        <v>13230</v>
      </c>
      <c r="X1609">
        <v>3</v>
      </c>
      <c r="Y1609" t="s">
        <v>18975</v>
      </c>
      <c r="Z1609" t="s">
        <v>24671</v>
      </c>
      <c r="AA1609">
        <v>0.91472115120706932</v>
      </c>
      <c r="AB1609" t="str">
        <f>HYPERLINK("Melting_Curves/meltCurve_O95298_2_NDUFC2.pdf", "Melting_Curves/meltCurve_O95298_2_NDUFC2.pdf")</f>
        <v>Melting_Curves/meltCurve_O95298_2_NDUFC2.pdf</v>
      </c>
    </row>
    <row r="1610" spans="1:28" x14ac:dyDescent="0.25">
      <c r="A1610" t="s">
        <v>1614</v>
      </c>
      <c r="B1610">
        <v>0.99996721820229495</v>
      </c>
      <c r="C1610">
        <v>1.0040243815430101</v>
      </c>
      <c r="D1610">
        <v>0.90608864120016197</v>
      </c>
      <c r="E1610">
        <v>0.59918229020442204</v>
      </c>
      <c r="F1610">
        <v>0.37206870262907898</v>
      </c>
      <c r="G1610">
        <v>0.31804992383298902</v>
      </c>
      <c r="H1610">
        <v>0.21247328490314801</v>
      </c>
      <c r="I1610">
        <v>0.12452888013086801</v>
      </c>
      <c r="J1610">
        <v>7.3667395123906895E-2</v>
      </c>
      <c r="K1610">
        <v>8.8746636816313396E-2</v>
      </c>
      <c r="L1610">
        <v>814.10084246344297</v>
      </c>
      <c r="M1610">
        <v>15.932849987934899</v>
      </c>
      <c r="N1610">
        <v>51.807461122642202</v>
      </c>
      <c r="O1610">
        <v>50.311157190335102</v>
      </c>
      <c r="P1610">
        <v>-7.1395381146367301E-2</v>
      </c>
      <c r="Q1610">
        <v>9.8291229390019899E-2</v>
      </c>
      <c r="R1610">
        <v>0.98631447000109196</v>
      </c>
      <c r="S1610" t="s">
        <v>7436</v>
      </c>
      <c r="T1610" t="s">
        <v>11650</v>
      </c>
      <c r="U1610" t="s">
        <v>11650</v>
      </c>
      <c r="V1610" t="s">
        <v>11650</v>
      </c>
      <c r="W1610" t="s">
        <v>13231</v>
      </c>
      <c r="X1610">
        <v>32</v>
      </c>
      <c r="Y1610" t="s">
        <v>18976</v>
      </c>
      <c r="Z1610" t="s">
        <v>24672</v>
      </c>
      <c r="AA1610">
        <v>0.45057615149600999</v>
      </c>
      <c r="AB1610" t="str">
        <f>HYPERLINK("Melting_Curves/meltCurve_O95302_FKBP9.pdf", "Melting_Curves/meltCurve_O95302_FKBP9.pdf")</f>
        <v>Melting_Curves/meltCurve_O95302_FKBP9.pdf</v>
      </c>
    </row>
    <row r="1611" spans="1:28" x14ac:dyDescent="0.25">
      <c r="A1611" t="s">
        <v>1615</v>
      </c>
      <c r="B1611">
        <v>0.99996721820229495</v>
      </c>
      <c r="C1611">
        <v>1.01174097987074</v>
      </c>
      <c r="D1611">
        <v>1.0275757195964801</v>
      </c>
      <c r="E1611">
        <v>0.96889371834105997</v>
      </c>
      <c r="F1611">
        <v>1.1988693898790499</v>
      </c>
      <c r="G1611">
        <v>1.2084865888876799</v>
      </c>
      <c r="H1611">
        <v>0.69832388532382705</v>
      </c>
      <c r="I1611">
        <v>0.27207308620771498</v>
      </c>
      <c r="J1611">
        <v>0.126770884459185</v>
      </c>
      <c r="K1611">
        <v>8.6812775554544294E-2</v>
      </c>
      <c r="L1611">
        <v>3243.3295513416901</v>
      </c>
      <c r="M1611">
        <v>52.354044831158099</v>
      </c>
      <c r="N1611">
        <v>62.230564741795803</v>
      </c>
      <c r="O1611">
        <v>61.859745788314399</v>
      </c>
      <c r="P1611">
        <v>-0.18933661718432801</v>
      </c>
      <c r="Q1611">
        <v>0.105145998605272</v>
      </c>
      <c r="R1611">
        <v>0.94739655652069099</v>
      </c>
      <c r="S1611" t="s">
        <v>7437</v>
      </c>
      <c r="T1611" t="s">
        <v>11650</v>
      </c>
      <c r="U1611" t="s">
        <v>11650</v>
      </c>
      <c r="V1611" t="s">
        <v>11650</v>
      </c>
      <c r="W1611" t="s">
        <v>13232</v>
      </c>
      <c r="X1611">
        <v>15</v>
      </c>
      <c r="Y1611" t="s">
        <v>18977</v>
      </c>
      <c r="Z1611" t="s">
        <v>24673</v>
      </c>
      <c r="AA1611">
        <v>0.76199375398352198</v>
      </c>
      <c r="AB1611" t="str">
        <f>HYPERLINK("Melting_Curves/meltCurve_O95336_PGLS.pdf", "Melting_Curves/meltCurve_O95336_PGLS.pdf")</f>
        <v>Melting_Curves/meltCurve_O95336_PGLS.pdf</v>
      </c>
    </row>
    <row r="1612" spans="1:28" x14ac:dyDescent="0.25">
      <c r="A1612" t="s">
        <v>1616</v>
      </c>
      <c r="B1612">
        <v>0.99996721820229495</v>
      </c>
      <c r="C1612">
        <v>1.01448787794463</v>
      </c>
      <c r="D1612">
        <v>1.1373495079801701</v>
      </c>
      <c r="E1612">
        <v>1.3310505474974299</v>
      </c>
      <c r="F1612">
        <v>0.48783783089483801</v>
      </c>
      <c r="G1612">
        <v>0.41828248483353397</v>
      </c>
      <c r="H1612">
        <v>0.23551772937990001</v>
      </c>
      <c r="I1612">
        <v>0.13798957965793801</v>
      </c>
      <c r="J1612">
        <v>0.10920383742361001</v>
      </c>
      <c r="K1612">
        <v>7.6256194150758794E-2</v>
      </c>
      <c r="L1612">
        <v>13220.290572369</v>
      </c>
      <c r="M1612">
        <v>250</v>
      </c>
      <c r="N1612">
        <v>52.986240579599198</v>
      </c>
      <c r="O1612">
        <v>52.877780930086701</v>
      </c>
      <c r="P1612">
        <v>-0.95095489369720798</v>
      </c>
      <c r="Q1612">
        <v>0.19544988905937699</v>
      </c>
      <c r="R1612">
        <v>0.90063091005401097</v>
      </c>
      <c r="S1612" t="s">
        <v>7438</v>
      </c>
      <c r="T1612" t="s">
        <v>11650</v>
      </c>
      <c r="U1612" t="s">
        <v>11650</v>
      </c>
      <c r="V1612" t="s">
        <v>11650</v>
      </c>
      <c r="W1612" t="s">
        <v>13233</v>
      </c>
      <c r="X1612">
        <v>20</v>
      </c>
      <c r="Y1612" t="s">
        <v>18978</v>
      </c>
      <c r="Z1612" t="s">
        <v>24674</v>
      </c>
      <c r="AA1612">
        <v>0.54097590746340951</v>
      </c>
      <c r="AB1612" t="str">
        <f>HYPERLINK("Melting_Curves/meltCurve_O95352_ATG7.pdf", "Melting_Curves/meltCurve_O95352_ATG7.pdf")</f>
        <v>Melting_Curves/meltCurve_O95352_ATG7.pdf</v>
      </c>
    </row>
    <row r="1613" spans="1:28" x14ac:dyDescent="0.25">
      <c r="A1613" t="s">
        <v>1617</v>
      </c>
      <c r="B1613">
        <v>0.99996721820229495</v>
      </c>
      <c r="C1613">
        <v>0.90881374206587495</v>
      </c>
      <c r="D1613">
        <v>0.70873390786327894</v>
      </c>
      <c r="E1613">
        <v>0.41622591483848098</v>
      </c>
      <c r="F1613">
        <v>0.381306397101558</v>
      </c>
      <c r="G1613">
        <v>0.326618339309033</v>
      </c>
      <c r="H1613">
        <v>0.209293903186138</v>
      </c>
      <c r="I1613">
        <v>0.15372888464005399</v>
      </c>
      <c r="J1613">
        <v>0.125263914875753</v>
      </c>
      <c r="K1613">
        <v>0.10639542634096399</v>
      </c>
      <c r="L1613">
        <v>622.44641061198502</v>
      </c>
      <c r="M1613">
        <v>12.764474304147299</v>
      </c>
      <c r="N1613">
        <v>49.881464786027998</v>
      </c>
      <c r="O1613">
        <v>47.613590603375897</v>
      </c>
      <c r="P1613">
        <v>-5.8697894249023198E-2</v>
      </c>
      <c r="Q1613">
        <v>0.124354861273519</v>
      </c>
      <c r="R1613">
        <v>0.97909272425232696</v>
      </c>
      <c r="S1613" t="s">
        <v>7439</v>
      </c>
      <c r="T1613" t="s">
        <v>11650</v>
      </c>
      <c r="U1613" t="s">
        <v>11650</v>
      </c>
      <c r="V1613" t="s">
        <v>11650</v>
      </c>
      <c r="W1613" t="s">
        <v>13234</v>
      </c>
      <c r="X1613">
        <v>14</v>
      </c>
      <c r="Y1613" t="s">
        <v>18979</v>
      </c>
      <c r="Z1613" t="s">
        <v>24675</v>
      </c>
      <c r="AA1613">
        <v>0.40948923056423697</v>
      </c>
      <c r="AB1613" t="str">
        <f>HYPERLINK("Melting_Curves/meltCurve_O95361_TRIM16.pdf", "Melting_Curves/meltCurve_O95361_TRIM16.pdf")</f>
        <v>Melting_Curves/meltCurve_O95361_TRIM16.pdf</v>
      </c>
    </row>
    <row r="1614" spans="1:28" x14ac:dyDescent="0.25">
      <c r="A1614" t="s">
        <v>1618</v>
      </c>
      <c r="B1614">
        <v>0.99996721820229495</v>
      </c>
      <c r="C1614">
        <v>0.923524443906245</v>
      </c>
      <c r="D1614">
        <v>0.787246674975703</v>
      </c>
      <c r="E1614">
        <v>0.72961593267742697</v>
      </c>
      <c r="F1614">
        <v>1.35602133197648</v>
      </c>
      <c r="G1614">
        <v>1.1846385236195001</v>
      </c>
      <c r="H1614">
        <v>1.23825428723499</v>
      </c>
      <c r="I1614">
        <v>0.55201439194686697</v>
      </c>
      <c r="J1614">
        <v>0</v>
      </c>
      <c r="K1614">
        <v>0.235437011713343</v>
      </c>
      <c r="L1614">
        <v>15000</v>
      </c>
      <c r="M1614">
        <v>234.40602927872101</v>
      </c>
      <c r="N1614">
        <v>64.064890108957101</v>
      </c>
      <c r="O1614">
        <v>63.9868508500033</v>
      </c>
      <c r="P1614">
        <v>-0.80803314510006696</v>
      </c>
      <c r="Q1614">
        <v>0.117710204727639</v>
      </c>
      <c r="R1614">
        <v>0.78635584303515704</v>
      </c>
      <c r="S1614" t="s">
        <v>7440</v>
      </c>
      <c r="T1614" t="s">
        <v>11650</v>
      </c>
      <c r="U1614" t="s">
        <v>11650</v>
      </c>
      <c r="V1614" t="s">
        <v>11650</v>
      </c>
      <c r="W1614" t="s">
        <v>13235</v>
      </c>
      <c r="X1614">
        <v>1</v>
      </c>
      <c r="Y1614" t="s">
        <v>18980</v>
      </c>
      <c r="Z1614" t="s">
        <v>24676</v>
      </c>
      <c r="AA1614">
        <v>0.82340559411059522</v>
      </c>
      <c r="AB1614" t="str">
        <f>HYPERLINK("Melting_Curves/meltCurve_O95365_ZBTB7A.pdf", "Melting_Curves/meltCurve_O95365_ZBTB7A.pdf")</f>
        <v>Melting_Curves/meltCurve_O95365_ZBTB7A.pdf</v>
      </c>
    </row>
    <row r="1615" spans="1:28" x14ac:dyDescent="0.25">
      <c r="A1615" t="s">
        <v>1619</v>
      </c>
      <c r="B1615">
        <v>0.99996721820229495</v>
      </c>
      <c r="C1615">
        <v>0.906328846212481</v>
      </c>
      <c r="D1615">
        <v>0.85930482740978498</v>
      </c>
      <c r="E1615">
        <v>0.80177701566502202</v>
      </c>
      <c r="F1615">
        <v>0.84181933825764799</v>
      </c>
      <c r="G1615">
        <v>0.47592393908730801</v>
      </c>
      <c r="H1615">
        <v>0.188815400772361</v>
      </c>
      <c r="I1615">
        <v>0.121723590186835</v>
      </c>
      <c r="J1615">
        <v>8.2511522264648404E-2</v>
      </c>
      <c r="K1615">
        <v>7.6952627956278205E-2</v>
      </c>
      <c r="L1615">
        <v>881.09557749330304</v>
      </c>
      <c r="M1615">
        <v>15.589376982152</v>
      </c>
      <c r="N1615">
        <v>56.518980315333401</v>
      </c>
      <c r="O1615">
        <v>55.613462298949898</v>
      </c>
      <c r="P1615">
        <v>-7.0085232149240201E-2</v>
      </c>
      <c r="Q1615">
        <v>0</v>
      </c>
      <c r="R1615">
        <v>0.96855039213207605</v>
      </c>
      <c r="S1615" t="s">
        <v>7441</v>
      </c>
      <c r="T1615" t="s">
        <v>11650</v>
      </c>
      <c r="U1615" t="s">
        <v>11650</v>
      </c>
      <c r="V1615" t="s">
        <v>11650</v>
      </c>
      <c r="W1615" t="s">
        <v>13236</v>
      </c>
      <c r="X1615">
        <v>12</v>
      </c>
      <c r="Y1615" t="s">
        <v>18981</v>
      </c>
      <c r="Z1615" t="s">
        <v>24677</v>
      </c>
      <c r="AA1615">
        <v>0.56694767925860035</v>
      </c>
      <c r="AB1615" t="str">
        <f>HYPERLINK("Melting_Curves/meltCurve_O95372_LYPLA2.pdf", "Melting_Curves/meltCurve_O95372_LYPLA2.pdf")</f>
        <v>Melting_Curves/meltCurve_O95372_LYPLA2.pdf</v>
      </c>
    </row>
    <row r="1616" spans="1:28" x14ac:dyDescent="0.25">
      <c r="A1616" t="s">
        <v>1620</v>
      </c>
      <c r="B1616">
        <v>0.99996721820229495</v>
      </c>
      <c r="C1616">
        <v>1.0867175593957501</v>
      </c>
      <c r="D1616">
        <v>1.25077978998332</v>
      </c>
      <c r="E1616">
        <v>1.5100783509642799</v>
      </c>
      <c r="F1616">
        <v>1.3693092894024499</v>
      </c>
      <c r="G1616">
        <v>1.1098728101030599</v>
      </c>
      <c r="H1616">
        <v>0.36449040493330997</v>
      </c>
      <c r="I1616">
        <v>0.194078801494836</v>
      </c>
      <c r="J1616">
        <v>0.13220949543316499</v>
      </c>
      <c r="K1616">
        <v>9.8135241447481703E-2</v>
      </c>
      <c r="L1616">
        <v>8474.3347501064509</v>
      </c>
      <c r="M1616">
        <v>139.96832618193301</v>
      </c>
      <c r="N1616">
        <v>60.688619796498898</v>
      </c>
      <c r="O1616">
        <v>60.532302811794601</v>
      </c>
      <c r="P1616">
        <v>-0.49641241654835599</v>
      </c>
      <c r="Q1616">
        <v>0.14126325280621599</v>
      </c>
      <c r="R1616">
        <v>0.82368525270559401</v>
      </c>
      <c r="S1616" t="s">
        <v>7442</v>
      </c>
      <c r="T1616" t="s">
        <v>11650</v>
      </c>
      <c r="U1616" t="s">
        <v>11650</v>
      </c>
      <c r="V1616" t="s">
        <v>11650</v>
      </c>
      <c r="W1616" t="s">
        <v>13237</v>
      </c>
      <c r="X1616">
        <v>23</v>
      </c>
      <c r="Y1616" t="s">
        <v>18982</v>
      </c>
      <c r="Z1616" t="s">
        <v>24678</v>
      </c>
      <c r="AA1616">
        <v>0.72963630845207716</v>
      </c>
      <c r="AB1616" t="str">
        <f>HYPERLINK("Melting_Curves/meltCurve_O95373_IPO7.pdf", "Melting_Curves/meltCurve_O95373_IPO7.pdf")</f>
        <v>Melting_Curves/meltCurve_O95373_IPO7.pdf</v>
      </c>
    </row>
    <row r="1617" spans="1:28" x14ac:dyDescent="0.25">
      <c r="A1617" t="s">
        <v>1621</v>
      </c>
      <c r="B1617">
        <v>0.99996721820229495</v>
      </c>
      <c r="C1617">
        <v>1.07402659725864</v>
      </c>
      <c r="D1617">
        <v>1.00575698897774</v>
      </c>
      <c r="E1617">
        <v>1.00316963992423</v>
      </c>
      <c r="F1617">
        <v>0.652016376213993</v>
      </c>
      <c r="G1617">
        <v>0.33509670303959499</v>
      </c>
      <c r="H1617">
        <v>0.19490063502237201</v>
      </c>
      <c r="I1617">
        <v>0.125568660448964</v>
      </c>
      <c r="J1617">
        <v>7.1573710886385006E-2</v>
      </c>
      <c r="K1617">
        <v>6.4495034189669995E-2</v>
      </c>
      <c r="L1617">
        <v>1355.53562425827</v>
      </c>
      <c r="M1617">
        <v>24.823663840402901</v>
      </c>
      <c r="N1617">
        <v>55.035250280132097</v>
      </c>
      <c r="O1617">
        <v>54.255915759820901</v>
      </c>
      <c r="P1617">
        <v>-0.10432928258313</v>
      </c>
      <c r="Q1617">
        <v>8.7902225995659194E-2</v>
      </c>
      <c r="R1617">
        <v>0.98823410361855502</v>
      </c>
      <c r="S1617" t="s">
        <v>7443</v>
      </c>
      <c r="T1617" t="s">
        <v>11650</v>
      </c>
      <c r="U1617" t="s">
        <v>11650</v>
      </c>
      <c r="V1617" t="s">
        <v>11650</v>
      </c>
      <c r="W1617" t="s">
        <v>13238</v>
      </c>
      <c r="X1617">
        <v>12</v>
      </c>
      <c r="Y1617" t="s">
        <v>18983</v>
      </c>
      <c r="Z1617" t="s">
        <v>24679</v>
      </c>
      <c r="AA1617">
        <v>0.54054271126765019</v>
      </c>
      <c r="AB1617" t="str">
        <f>HYPERLINK("Melting_Curves/meltCurve_O95376_ARIH2.pdf", "Melting_Curves/meltCurve_O95376_ARIH2.pdf")</f>
        <v>Melting_Curves/meltCurve_O95376_ARIH2.pdf</v>
      </c>
    </row>
    <row r="1618" spans="1:28" x14ac:dyDescent="0.25">
      <c r="A1618" t="s">
        <v>1622</v>
      </c>
      <c r="B1618">
        <v>0.99996721820229495</v>
      </c>
      <c r="C1618">
        <v>1.02710852642238</v>
      </c>
      <c r="D1618">
        <v>1.0983725000559501</v>
      </c>
      <c r="E1618">
        <v>1.12985564514043</v>
      </c>
      <c r="F1618">
        <v>1.12256561114326</v>
      </c>
      <c r="G1618">
        <v>1.07819857243811</v>
      </c>
      <c r="H1618">
        <v>0.66516883275616101</v>
      </c>
      <c r="I1618">
        <v>0.49961302337689301</v>
      </c>
      <c r="J1618">
        <v>0.38198780129280602</v>
      </c>
      <c r="K1618">
        <v>0.31501362527656002</v>
      </c>
      <c r="L1618">
        <v>2591.7706146389901</v>
      </c>
      <c r="M1618">
        <v>42.289151003955297</v>
      </c>
      <c r="N1618">
        <v>63.120292505174</v>
      </c>
      <c r="O1618">
        <v>61.1503004646286</v>
      </c>
      <c r="P1618">
        <v>-0.111754581596654</v>
      </c>
      <c r="Q1618">
        <v>0.35361035769045301</v>
      </c>
      <c r="R1618">
        <v>0.93870148227766803</v>
      </c>
      <c r="S1618" t="s">
        <v>7444</v>
      </c>
      <c r="T1618" t="s">
        <v>11650</v>
      </c>
      <c r="U1618" t="s">
        <v>11650</v>
      </c>
      <c r="V1618" t="s">
        <v>11650</v>
      </c>
      <c r="W1618" t="s">
        <v>13239</v>
      </c>
      <c r="X1618">
        <v>2</v>
      </c>
      <c r="Y1618" t="s">
        <v>18984</v>
      </c>
      <c r="Z1618" t="s">
        <v>24680</v>
      </c>
      <c r="AA1618">
        <v>0.81449017665351586</v>
      </c>
      <c r="AB1618" t="str">
        <f>HYPERLINK("Melting_Curves/meltCurve_O95388_WISP1.pdf", "Melting_Curves/meltCurve_O95388_WISP1.pdf")</f>
        <v>Melting_Curves/meltCurve_O95388_WISP1.pdf</v>
      </c>
    </row>
    <row r="1619" spans="1:28" x14ac:dyDescent="0.25">
      <c r="A1619" t="s">
        <v>1623</v>
      </c>
      <c r="B1619">
        <v>0.99996721820229495</v>
      </c>
      <c r="C1619">
        <v>0.98910677995988905</v>
      </c>
      <c r="D1619">
        <v>0.91674358880462903</v>
      </c>
      <c r="E1619">
        <v>0.69222190092977298</v>
      </c>
      <c r="F1619">
        <v>0.26757161869743501</v>
      </c>
      <c r="G1619">
        <v>0.195649851403213</v>
      </c>
      <c r="H1619">
        <v>0.122881544843817</v>
      </c>
      <c r="I1619">
        <v>7.8924714970844898E-2</v>
      </c>
      <c r="J1619">
        <v>6.3564342230590001E-2</v>
      </c>
      <c r="K1619">
        <v>4.9513043400434997E-2</v>
      </c>
      <c r="L1619">
        <v>1362.3069871288701</v>
      </c>
      <c r="M1619">
        <v>26.7407457008993</v>
      </c>
      <c r="N1619">
        <v>51.289339722955297</v>
      </c>
      <c r="O1619">
        <v>50.662638303887498</v>
      </c>
      <c r="P1619">
        <v>-0.121113443914563</v>
      </c>
      <c r="Q1619">
        <v>8.2170197710643406E-2</v>
      </c>
      <c r="R1619">
        <v>0.99210178432762997</v>
      </c>
      <c r="S1619" t="s">
        <v>7445</v>
      </c>
      <c r="T1619" t="s">
        <v>11650</v>
      </c>
      <c r="U1619" t="s">
        <v>11650</v>
      </c>
      <c r="V1619" t="s">
        <v>11650</v>
      </c>
      <c r="W1619" t="s">
        <v>13240</v>
      </c>
      <c r="X1619">
        <v>27</v>
      </c>
      <c r="Y1619" t="s">
        <v>18985</v>
      </c>
      <c r="Z1619" t="s">
        <v>24681</v>
      </c>
      <c r="AA1619">
        <v>0.42427818128765438</v>
      </c>
      <c r="AB1619" t="str">
        <f>HYPERLINK("Melting_Curves/meltCurve_O95394_3_PGM3.pdf", "Melting_Curves/meltCurve_O95394_3_PGM3.pdf")</f>
        <v>Melting_Curves/meltCurve_O95394_3_PGM3.pdf</v>
      </c>
    </row>
    <row r="1620" spans="1:28" x14ac:dyDescent="0.25">
      <c r="A1620" t="s">
        <v>1624</v>
      </c>
      <c r="B1620">
        <v>0.99996721820229495</v>
      </c>
      <c r="C1620">
        <v>0.97133557945132998</v>
      </c>
      <c r="D1620">
        <v>0.71277682277977905</v>
      </c>
      <c r="E1620">
        <v>0.40638226345962197</v>
      </c>
      <c r="F1620">
        <v>0.36607659123252301</v>
      </c>
      <c r="G1620">
        <v>0.22580004301968501</v>
      </c>
      <c r="H1620">
        <v>0.103218237192962</v>
      </c>
      <c r="I1620">
        <v>3.28657455012141E-2</v>
      </c>
      <c r="J1620">
        <v>2.8695957412730101E-2</v>
      </c>
      <c r="K1620">
        <v>3.0499735758877902E-2</v>
      </c>
      <c r="L1620">
        <v>653.166396742252</v>
      </c>
      <c r="M1620">
        <v>13.146469759077601</v>
      </c>
      <c r="N1620">
        <v>49.797017777266603</v>
      </c>
      <c r="O1620">
        <v>48.576379042257699</v>
      </c>
      <c r="P1620">
        <v>-6.6673740951672902E-2</v>
      </c>
      <c r="Q1620">
        <v>1.47254145931632E-2</v>
      </c>
      <c r="R1620">
        <v>0.98256555633807197</v>
      </c>
      <c r="S1620" t="s">
        <v>7446</v>
      </c>
      <c r="T1620" t="s">
        <v>11650</v>
      </c>
      <c r="U1620" t="s">
        <v>11650</v>
      </c>
      <c r="V1620" t="s">
        <v>11650</v>
      </c>
      <c r="W1620" t="s">
        <v>13241</v>
      </c>
      <c r="X1620">
        <v>4</v>
      </c>
      <c r="Y1620" t="s">
        <v>18986</v>
      </c>
      <c r="Z1620" t="s">
        <v>24682</v>
      </c>
      <c r="AA1620">
        <v>0.36266964474817143</v>
      </c>
      <c r="AB1620" t="str">
        <f>HYPERLINK("Melting_Curves/meltCurve_O95396_MOCS3.pdf", "Melting_Curves/meltCurve_O95396_MOCS3.pdf")</f>
        <v>Melting_Curves/meltCurve_O95396_MOCS3.pdf</v>
      </c>
    </row>
    <row r="1621" spans="1:28" x14ac:dyDescent="0.25">
      <c r="A1621" t="s">
        <v>1625</v>
      </c>
      <c r="B1621">
        <v>0.99996721820229495</v>
      </c>
      <c r="C1621">
        <v>0.71493358172254795</v>
      </c>
      <c r="D1621">
        <v>0.621955268692306</v>
      </c>
      <c r="E1621">
        <v>0.66996534991345202</v>
      </c>
      <c r="F1621">
        <v>1.6547053633083799</v>
      </c>
      <c r="G1621">
        <v>1.47914982577326</v>
      </c>
      <c r="H1621">
        <v>1.2658401971518101</v>
      </c>
      <c r="I1621">
        <v>1.3453078792756601</v>
      </c>
      <c r="J1621">
        <v>1.31277284101018</v>
      </c>
      <c r="K1621">
        <v>1.0042068557602899</v>
      </c>
      <c r="L1621">
        <v>4798.25722829601</v>
      </c>
      <c r="M1621">
        <v>93.228072552126605</v>
      </c>
      <c r="O1621">
        <v>51.444275607262199</v>
      </c>
      <c r="P1621">
        <v>0.15487827689825401</v>
      </c>
      <c r="Q1621">
        <v>1.3418541212458699</v>
      </c>
      <c r="R1621">
        <v>0.486074139676474</v>
      </c>
      <c r="S1621" t="s">
        <v>7447</v>
      </c>
      <c r="T1621" t="s">
        <v>11650</v>
      </c>
      <c r="U1621" t="s">
        <v>11650</v>
      </c>
      <c r="V1621" t="s">
        <v>11650</v>
      </c>
      <c r="W1621" t="s">
        <v>13242</v>
      </c>
      <c r="X1621">
        <v>4</v>
      </c>
      <c r="Y1621" t="s">
        <v>18987</v>
      </c>
      <c r="Z1621" t="s">
        <v>24683</v>
      </c>
      <c r="AA1621">
        <v>1.210952974307032</v>
      </c>
      <c r="AB1621" t="str">
        <f>HYPERLINK("Melting_Curves/meltCurve_O95400_CD2BP2.pdf", "Melting_Curves/meltCurve_O95400_CD2BP2.pdf")</f>
        <v>Melting_Curves/meltCurve_O95400_CD2BP2.pdf</v>
      </c>
    </row>
    <row r="1622" spans="1:28" x14ac:dyDescent="0.25">
      <c r="A1622" t="s">
        <v>1626</v>
      </c>
      <c r="B1622">
        <v>0.99996721820229495</v>
      </c>
      <c r="C1622">
        <v>1.06030535186449</v>
      </c>
      <c r="D1622">
        <v>1.0272780752769399</v>
      </c>
      <c r="E1622">
        <v>0.85161509890153597</v>
      </c>
      <c r="F1622">
        <v>0.67756756455828204</v>
      </c>
      <c r="G1622">
        <v>0.78059379684530505</v>
      </c>
      <c r="H1622">
        <v>0.58456123919130798</v>
      </c>
      <c r="I1622">
        <v>0.479486334134615</v>
      </c>
      <c r="J1622">
        <v>0.39682997015768501</v>
      </c>
      <c r="K1622">
        <v>0.31750447622817501</v>
      </c>
      <c r="L1622">
        <v>480.99416768797602</v>
      </c>
      <c r="M1622">
        <v>7.5936939588742502</v>
      </c>
      <c r="N1622">
        <v>63.341262335873701</v>
      </c>
      <c r="O1622">
        <v>59.396178738958902</v>
      </c>
      <c r="P1622">
        <v>-3.2005936990981199E-2</v>
      </c>
      <c r="Q1622">
        <v>0</v>
      </c>
      <c r="R1622">
        <v>0.937466829641874</v>
      </c>
      <c r="S1622" t="s">
        <v>7448</v>
      </c>
      <c r="T1622" t="s">
        <v>11650</v>
      </c>
      <c r="U1622" t="s">
        <v>11650</v>
      </c>
      <c r="V1622" t="s">
        <v>11650</v>
      </c>
      <c r="W1622" t="s">
        <v>13243</v>
      </c>
      <c r="X1622">
        <v>11</v>
      </c>
      <c r="Y1622" t="s">
        <v>18988</v>
      </c>
      <c r="Z1622" t="s">
        <v>24684</v>
      </c>
      <c r="AA1622">
        <v>0.72017018032373237</v>
      </c>
      <c r="AB1622" t="str">
        <f>HYPERLINK("Melting_Curves/meltCurve_O95405_ZFYVE9.pdf", "Melting_Curves/meltCurve_O95405_ZFYVE9.pdf")</f>
        <v>Melting_Curves/meltCurve_O95405_ZFYVE9.pdf</v>
      </c>
    </row>
    <row r="1623" spans="1:28" x14ac:dyDescent="0.25">
      <c r="A1623" t="s">
        <v>1627</v>
      </c>
      <c r="B1623">
        <v>0.99996721820229495</v>
      </c>
      <c r="C1623">
        <v>1.0271298544712399</v>
      </c>
      <c r="D1623">
        <v>0.98620380588068801</v>
      </c>
      <c r="E1623">
        <v>1.0113722001508101</v>
      </c>
      <c r="F1623">
        <v>1.11443883483557</v>
      </c>
      <c r="G1623">
        <v>1.16824492922267</v>
      </c>
      <c r="H1623">
        <v>0.85656257893718202</v>
      </c>
      <c r="I1623">
        <v>0.73935406611593602</v>
      </c>
      <c r="J1623">
        <v>0.66834055760514699</v>
      </c>
      <c r="K1623">
        <v>0.46338656910100501</v>
      </c>
      <c r="L1623">
        <v>1624.1536197473399</v>
      </c>
      <c r="M1623">
        <v>24.8542178466883</v>
      </c>
      <c r="N1623">
        <v>69.701810882015195</v>
      </c>
      <c r="O1623">
        <v>64.928570589721502</v>
      </c>
      <c r="P1623">
        <v>-5.7977819629613001E-2</v>
      </c>
      <c r="Q1623">
        <v>0.394168797661615</v>
      </c>
      <c r="R1623">
        <v>0.86872945625567799</v>
      </c>
      <c r="S1623" t="s">
        <v>7449</v>
      </c>
      <c r="T1623" t="s">
        <v>11650</v>
      </c>
      <c r="U1623" t="s">
        <v>11650</v>
      </c>
      <c r="V1623" t="s">
        <v>11650</v>
      </c>
      <c r="W1623" t="s">
        <v>13244</v>
      </c>
      <c r="X1623">
        <v>18</v>
      </c>
      <c r="Y1623" t="s">
        <v>18989</v>
      </c>
      <c r="Z1623" t="s">
        <v>24685</v>
      </c>
      <c r="AA1623">
        <v>0.90143248845125046</v>
      </c>
      <c r="AB1623" t="str">
        <f>HYPERLINK("Melting_Curves/meltCurve_O95425_SVIL.pdf", "Melting_Curves/meltCurve_O95425_SVIL.pdf")</f>
        <v>Melting_Curves/meltCurve_O95425_SVIL.pdf</v>
      </c>
    </row>
    <row r="1624" spans="1:28" x14ac:dyDescent="0.25">
      <c r="A1624" t="s">
        <v>1628</v>
      </c>
      <c r="B1624">
        <v>0.99996721820229495</v>
      </c>
      <c r="C1624">
        <v>1.0508635434623299</v>
      </c>
      <c r="D1624">
        <v>0.96943065382684102</v>
      </c>
      <c r="E1624">
        <v>0.90559199390697898</v>
      </c>
      <c r="F1624">
        <v>0.913211985364771</v>
      </c>
      <c r="G1624">
        <v>0.83707202254155899</v>
      </c>
      <c r="H1624">
        <v>0.62543946276035101</v>
      </c>
      <c r="I1624">
        <v>0.53575822579092702</v>
      </c>
      <c r="J1624">
        <v>0.48316949441595303</v>
      </c>
      <c r="K1624">
        <v>0.307743890616755</v>
      </c>
      <c r="L1624">
        <v>635.63934585257005</v>
      </c>
      <c r="M1624">
        <v>9.7545051751678695</v>
      </c>
      <c r="N1624">
        <v>65.163661332365393</v>
      </c>
      <c r="O1624">
        <v>62.601940210281299</v>
      </c>
      <c r="P1624">
        <v>-3.8975316921096202E-2</v>
      </c>
      <c r="Q1624">
        <v>0</v>
      </c>
      <c r="R1624">
        <v>0.98039923848300803</v>
      </c>
      <c r="S1624" t="s">
        <v>7450</v>
      </c>
      <c r="T1624" t="s">
        <v>11650</v>
      </c>
      <c r="U1624" t="s">
        <v>11650</v>
      </c>
      <c r="V1624" t="s">
        <v>11650</v>
      </c>
      <c r="W1624" t="s">
        <v>13245</v>
      </c>
      <c r="X1624">
        <v>3</v>
      </c>
      <c r="Y1624" t="s">
        <v>18990</v>
      </c>
      <c r="Z1624" t="s">
        <v>24686</v>
      </c>
      <c r="AA1624">
        <v>0.78010104691490811</v>
      </c>
      <c r="AB1624" t="str">
        <f>HYPERLINK("Melting_Curves/meltCurve_O95429_2_BAG4.pdf", "Melting_Curves/meltCurve_O95429_2_BAG4.pdf")</f>
        <v>Melting_Curves/meltCurve_O95429_2_BAG4.pdf</v>
      </c>
    </row>
    <row r="1625" spans="1:28" x14ac:dyDescent="0.25">
      <c r="A1625" t="s">
        <v>1629</v>
      </c>
      <c r="B1625">
        <v>0.99996721820229495</v>
      </c>
      <c r="C1625">
        <v>1.0862041289600299</v>
      </c>
      <c r="D1625">
        <v>0.98781215884724405</v>
      </c>
      <c r="E1625">
        <v>0.85766864602532999</v>
      </c>
      <c r="F1625">
        <v>0.47313550084920802</v>
      </c>
      <c r="G1625">
        <v>0.36600647337560599</v>
      </c>
      <c r="H1625">
        <v>0.21577538918024899</v>
      </c>
      <c r="I1625">
        <v>0.14804400492869599</v>
      </c>
      <c r="J1625">
        <v>0.116987584481103</v>
      </c>
      <c r="K1625">
        <v>8.7912275511141599E-2</v>
      </c>
      <c r="L1625">
        <v>1055.3054117798899</v>
      </c>
      <c r="M1625">
        <v>19.863673134787799</v>
      </c>
      <c r="N1625">
        <v>53.858843027947799</v>
      </c>
      <c r="O1625">
        <v>52.597742547835999</v>
      </c>
      <c r="P1625">
        <v>-8.3254504376667995E-2</v>
      </c>
      <c r="Q1625">
        <v>0.118219005119853</v>
      </c>
      <c r="R1625">
        <v>0.98043757759016903</v>
      </c>
      <c r="S1625" t="s">
        <v>7451</v>
      </c>
      <c r="T1625" t="s">
        <v>11650</v>
      </c>
      <c r="U1625" t="s">
        <v>11650</v>
      </c>
      <c r="V1625" t="s">
        <v>11650</v>
      </c>
      <c r="W1625" t="s">
        <v>13246</v>
      </c>
      <c r="X1625">
        <v>18</v>
      </c>
      <c r="Y1625" t="s">
        <v>18991</v>
      </c>
      <c r="Z1625" t="s">
        <v>24687</v>
      </c>
      <c r="AA1625">
        <v>0.51632394596644515</v>
      </c>
      <c r="AB1625" t="str">
        <f>HYPERLINK("Melting_Curves/meltCurve_O95433_AHSA1.pdf", "Melting_Curves/meltCurve_O95433_AHSA1.pdf")</f>
        <v>Melting_Curves/meltCurve_O95433_AHSA1.pdf</v>
      </c>
    </row>
    <row r="1626" spans="1:28" x14ac:dyDescent="0.25">
      <c r="A1626" t="s">
        <v>1630</v>
      </c>
      <c r="B1626">
        <v>0.99996721820229495</v>
      </c>
      <c r="C1626">
        <v>1.1377070752660401</v>
      </c>
      <c r="D1626">
        <v>0.97331292186307505</v>
      </c>
      <c r="E1626">
        <v>1.1013569601240101</v>
      </c>
      <c r="F1626">
        <v>1.60121680983268</v>
      </c>
      <c r="G1626">
        <v>1.70544726335354</v>
      </c>
      <c r="H1626">
        <v>1.3814789809618999</v>
      </c>
      <c r="I1626">
        <v>1.0555641714289701</v>
      </c>
      <c r="J1626">
        <v>0.97727507449331397</v>
      </c>
      <c r="K1626">
        <v>0.64573211027917699</v>
      </c>
      <c r="L1626">
        <v>15000</v>
      </c>
      <c r="M1626">
        <v>221.19915743518101</v>
      </c>
      <c r="O1626">
        <v>67.806662424742299</v>
      </c>
      <c r="P1626">
        <v>-0.28921086414937403</v>
      </c>
      <c r="Q1626">
        <v>0.64537984496662704</v>
      </c>
      <c r="R1626">
        <v>-0.13487095771220101</v>
      </c>
      <c r="S1626" t="s">
        <v>7452</v>
      </c>
      <c r="T1626" t="s">
        <v>11650</v>
      </c>
      <c r="U1626" t="s">
        <v>11650</v>
      </c>
      <c r="V1626" t="s">
        <v>11650</v>
      </c>
      <c r="W1626" t="s">
        <v>13247</v>
      </c>
      <c r="X1626">
        <v>1</v>
      </c>
      <c r="Y1626" t="s">
        <v>18992</v>
      </c>
      <c r="Z1626" t="s">
        <v>24688</v>
      </c>
      <c r="AA1626">
        <v>0.97418869169568056</v>
      </c>
      <c r="AB1626" t="str">
        <f>HYPERLINK("Melting_Curves/meltCurve_O95450_ADAMTS2.pdf", "Melting_Curves/meltCurve_O95450_ADAMTS2.pdf")</f>
        <v>Melting_Curves/meltCurve_O95450_ADAMTS2.pdf</v>
      </c>
    </row>
    <row r="1627" spans="1:28" x14ac:dyDescent="0.25">
      <c r="A1627" t="s">
        <v>1631</v>
      </c>
      <c r="B1627">
        <v>0.99996721820229495</v>
      </c>
      <c r="C1627">
        <v>1.01507400450629</v>
      </c>
      <c r="D1627">
        <v>1.06370835953399</v>
      </c>
      <c r="E1627">
        <v>0.78323772812889303</v>
      </c>
      <c r="F1627">
        <v>0.37801069109756202</v>
      </c>
      <c r="G1627">
        <v>0.347424406202611</v>
      </c>
      <c r="H1627">
        <v>0.35475939174682802</v>
      </c>
      <c r="I1627">
        <v>0.148350399462749</v>
      </c>
      <c r="J1627">
        <v>0.138082082483244</v>
      </c>
      <c r="K1627">
        <v>9.0442437035766099E-2</v>
      </c>
      <c r="L1627">
        <v>1634.3658119873501</v>
      </c>
      <c r="M1627">
        <v>31.770697242125902</v>
      </c>
      <c r="N1627">
        <v>52.285245843611001</v>
      </c>
      <c r="O1627">
        <v>51.2400317282152</v>
      </c>
      <c r="P1627">
        <v>-0.123950687423221</v>
      </c>
      <c r="Q1627">
        <v>0.200369550359388</v>
      </c>
      <c r="R1627">
        <v>0.95436267451595502</v>
      </c>
      <c r="S1627" t="s">
        <v>7453</v>
      </c>
      <c r="T1627" t="s">
        <v>11650</v>
      </c>
      <c r="U1627" t="s">
        <v>11650</v>
      </c>
      <c r="V1627" t="s">
        <v>11650</v>
      </c>
      <c r="W1627" t="s">
        <v>13248</v>
      </c>
      <c r="X1627">
        <v>2</v>
      </c>
      <c r="Y1627" t="s">
        <v>18993</v>
      </c>
      <c r="Z1627" t="s">
        <v>24689</v>
      </c>
      <c r="AA1627">
        <v>0.50987911962368482</v>
      </c>
      <c r="AB1627" t="str">
        <f>HYPERLINK("Melting_Curves/meltCurve_O95453_2_PARN.pdf", "Melting_Curves/meltCurve_O95453_2_PARN.pdf")</f>
        <v>Melting_Curves/meltCurve_O95453_2_PARN.pdf</v>
      </c>
    </row>
    <row r="1628" spans="1:28" x14ac:dyDescent="0.25">
      <c r="A1628" t="s">
        <v>1632</v>
      </c>
      <c r="B1628">
        <v>0.99996721820229495</v>
      </c>
      <c r="C1628">
        <v>1.0610479245430999</v>
      </c>
      <c r="D1628">
        <v>1.1149567480831299</v>
      </c>
      <c r="E1628">
        <v>1.0785865576738101</v>
      </c>
      <c r="F1628">
        <v>1.2178902210531299</v>
      </c>
      <c r="G1628">
        <v>0.96747224445671198</v>
      </c>
      <c r="H1628">
        <v>0.38309112172146098</v>
      </c>
      <c r="I1628">
        <v>0.19385184375881301</v>
      </c>
      <c r="J1628">
        <v>0.10818324876997901</v>
      </c>
      <c r="K1628">
        <v>9.0436449461938406E-2</v>
      </c>
      <c r="L1628">
        <v>3208.0975192296501</v>
      </c>
      <c r="M1628">
        <v>53.3689856489029</v>
      </c>
      <c r="N1628">
        <v>60.409220617629401</v>
      </c>
      <c r="O1628">
        <v>60.027426541074199</v>
      </c>
      <c r="P1628">
        <v>-0.196577670223854</v>
      </c>
      <c r="Q1628">
        <v>0.115587970773284</v>
      </c>
      <c r="R1628">
        <v>0.96204385697496797</v>
      </c>
      <c r="S1628" t="s">
        <v>7454</v>
      </c>
      <c r="T1628" t="s">
        <v>11650</v>
      </c>
      <c r="U1628" t="s">
        <v>11650</v>
      </c>
      <c r="V1628" t="s">
        <v>11650</v>
      </c>
      <c r="W1628" t="s">
        <v>13249</v>
      </c>
      <c r="X1628">
        <v>12</v>
      </c>
      <c r="Y1628" t="s">
        <v>18994</v>
      </c>
      <c r="Z1628" t="s">
        <v>24690</v>
      </c>
      <c r="AA1628">
        <v>0.71051918646337786</v>
      </c>
      <c r="AB1628" t="str">
        <f>HYPERLINK("Melting_Curves/meltCurve_O95456_PSMG1.pdf", "Melting_Curves/meltCurve_O95456_PSMG1.pdf")</f>
        <v>Melting_Curves/meltCurve_O95456_PSMG1.pdf</v>
      </c>
    </row>
    <row r="1629" spans="1:28" x14ac:dyDescent="0.25">
      <c r="A1629" t="s">
        <v>1633</v>
      </c>
      <c r="B1629">
        <v>0.99996721820229495</v>
      </c>
      <c r="C1629">
        <v>0.90370237901713901</v>
      </c>
      <c r="D1629">
        <v>0.98965049258700699</v>
      </c>
      <c r="E1629">
        <v>1.3232257692660001</v>
      </c>
      <c r="F1629">
        <v>1.01075633686733</v>
      </c>
      <c r="G1629">
        <v>0.427891353700802</v>
      </c>
      <c r="H1629">
        <v>0.311928549890785</v>
      </c>
      <c r="I1629">
        <v>0.140607666011931</v>
      </c>
      <c r="J1629">
        <v>9.9118955657202107E-2</v>
      </c>
      <c r="K1629">
        <v>0.113232474760543</v>
      </c>
      <c r="L1629">
        <v>3159.07673227341</v>
      </c>
      <c r="M1629">
        <v>56.109429731377297</v>
      </c>
      <c r="N1629">
        <v>56.6940768140717</v>
      </c>
      <c r="O1629">
        <v>56.230682169141197</v>
      </c>
      <c r="P1629">
        <v>-0.209351867291724</v>
      </c>
      <c r="Q1629">
        <v>0.160783352539177</v>
      </c>
      <c r="R1629">
        <v>0.925184093383009</v>
      </c>
      <c r="S1629" t="s">
        <v>7455</v>
      </c>
      <c r="T1629" t="s">
        <v>11650</v>
      </c>
      <c r="U1629" t="s">
        <v>11650</v>
      </c>
      <c r="V1629" t="s">
        <v>11650</v>
      </c>
      <c r="W1629" t="s">
        <v>13250</v>
      </c>
      <c r="X1629">
        <v>1</v>
      </c>
      <c r="Y1629" t="s">
        <v>18995</v>
      </c>
      <c r="Z1629" t="s">
        <v>24691</v>
      </c>
      <c r="AA1629">
        <v>0.61846783106114012</v>
      </c>
      <c r="AB1629" t="str">
        <f>HYPERLINK("Melting_Curves/meltCurve_O95470_SGPL1.pdf", "Melting_Curves/meltCurve_O95470_SGPL1.pdf")</f>
        <v>Melting_Curves/meltCurve_O95470_SGPL1.pdf</v>
      </c>
    </row>
    <row r="1630" spans="1:28" x14ac:dyDescent="0.25">
      <c r="A1630" t="s">
        <v>1634</v>
      </c>
      <c r="B1630">
        <v>0.99996721820229495</v>
      </c>
      <c r="C1630">
        <v>0.91782534109463798</v>
      </c>
      <c r="D1630">
        <v>1.00157808218167</v>
      </c>
      <c r="E1630">
        <v>0.69712267346407297</v>
      </c>
      <c r="F1630">
        <v>0.31781987903627301</v>
      </c>
      <c r="G1630">
        <v>0.245122603218591</v>
      </c>
      <c r="H1630">
        <v>0.124181183340404</v>
      </c>
      <c r="I1630">
        <v>9.0276897309690102E-2</v>
      </c>
      <c r="J1630">
        <v>6.1063235024467102E-2</v>
      </c>
      <c r="K1630">
        <v>6.7570668118099295E-2</v>
      </c>
      <c r="L1630">
        <v>1292.9763521699099</v>
      </c>
      <c r="M1630">
        <v>25.225987782997699</v>
      </c>
      <c r="N1630">
        <v>51.6738900691794</v>
      </c>
      <c r="O1630">
        <v>50.936877105857299</v>
      </c>
      <c r="P1630">
        <v>-0.112380765594623</v>
      </c>
      <c r="Q1630">
        <v>9.2324786892074906E-2</v>
      </c>
      <c r="R1630">
        <v>0.98617785528181501</v>
      </c>
      <c r="S1630" t="s">
        <v>7456</v>
      </c>
      <c r="T1630" t="s">
        <v>11650</v>
      </c>
      <c r="U1630" t="s">
        <v>11650</v>
      </c>
      <c r="V1630" t="s">
        <v>11650</v>
      </c>
      <c r="W1630" t="s">
        <v>13251</v>
      </c>
      <c r="X1630">
        <v>13</v>
      </c>
      <c r="Y1630" t="s">
        <v>18996</v>
      </c>
      <c r="Z1630" t="s">
        <v>24692</v>
      </c>
      <c r="AA1630">
        <v>0.44095532746404931</v>
      </c>
      <c r="AB1630" t="str">
        <f>HYPERLINK("Melting_Curves/meltCurve_O95486_SEC24A.pdf", "Melting_Curves/meltCurve_O95486_SEC24A.pdf")</f>
        <v>Melting_Curves/meltCurve_O95486_SEC24A.pdf</v>
      </c>
    </row>
    <row r="1631" spans="1:28" x14ac:dyDescent="0.25">
      <c r="A1631" t="s">
        <v>1635</v>
      </c>
      <c r="B1631">
        <v>0.99996721820229495</v>
      </c>
      <c r="C1631">
        <v>0.71923793521561996</v>
      </c>
      <c r="D1631">
        <v>0.70486850537133205</v>
      </c>
      <c r="E1631">
        <v>0.48586715833055999</v>
      </c>
      <c r="F1631">
        <v>0.54247658339785199</v>
      </c>
      <c r="G1631">
        <v>0.32596807032531999</v>
      </c>
      <c r="H1631">
        <v>0.20209935959403799</v>
      </c>
      <c r="I1631">
        <v>0.13397125692634801</v>
      </c>
      <c r="J1631">
        <v>0.118318112791213</v>
      </c>
      <c r="K1631">
        <v>0.112977417938814</v>
      </c>
      <c r="L1631">
        <v>400.56858399280401</v>
      </c>
      <c r="M1631">
        <v>7.8307204058030999</v>
      </c>
      <c r="N1631">
        <v>51.153473250588497</v>
      </c>
      <c r="O1631">
        <v>48.1393479981921</v>
      </c>
      <c r="P1631">
        <v>-4.0716755037578302E-2</v>
      </c>
      <c r="Q1631">
        <v>0</v>
      </c>
      <c r="R1631">
        <v>0.95500830356906197</v>
      </c>
      <c r="S1631" t="s">
        <v>7457</v>
      </c>
      <c r="T1631" t="s">
        <v>11650</v>
      </c>
      <c r="U1631" t="s">
        <v>11650</v>
      </c>
      <c r="V1631" t="s">
        <v>11650</v>
      </c>
      <c r="W1631" t="s">
        <v>13252</v>
      </c>
      <c r="X1631">
        <v>8</v>
      </c>
      <c r="Y1631" t="s">
        <v>18997</v>
      </c>
      <c r="Z1631" t="s">
        <v>24693</v>
      </c>
      <c r="AA1631">
        <v>0.42530782574955878</v>
      </c>
      <c r="AB1631" t="str">
        <f>HYPERLINK("Melting_Curves/meltCurve_O95487_2_SEC24B.pdf", "Melting_Curves/meltCurve_O95487_2_SEC24B.pdf")</f>
        <v>Melting_Curves/meltCurve_O95487_2_SEC24B.pdf</v>
      </c>
    </row>
    <row r="1632" spans="1:28" x14ac:dyDescent="0.25">
      <c r="A1632" t="s">
        <v>1636</v>
      </c>
      <c r="B1632">
        <v>0.99996721820229495</v>
      </c>
      <c r="C1632">
        <v>0.82724516399287196</v>
      </c>
      <c r="D1632">
        <v>1.0148174447854701</v>
      </c>
      <c r="E1632">
        <v>1.0739074485600399</v>
      </c>
      <c r="F1632">
        <v>1.32923469655488</v>
      </c>
      <c r="G1632">
        <v>1.69126581553688</v>
      </c>
      <c r="H1632">
        <v>1.2012672044089501</v>
      </c>
      <c r="I1632">
        <v>0.78693074322281997</v>
      </c>
      <c r="J1632">
        <v>0.39483240373330097</v>
      </c>
      <c r="K1632">
        <v>0.307471310624783</v>
      </c>
      <c r="L1632">
        <v>5786.8894994298898</v>
      </c>
      <c r="M1632">
        <v>89.597730539686907</v>
      </c>
      <c r="N1632">
        <v>65.403213538824204</v>
      </c>
      <c r="O1632">
        <v>64.555302478328898</v>
      </c>
      <c r="P1632">
        <v>-0.23023502667055001</v>
      </c>
      <c r="Q1632">
        <v>0.33646131017445702</v>
      </c>
      <c r="R1632">
        <v>0.567581629201938</v>
      </c>
      <c r="S1632" t="s">
        <v>7458</v>
      </c>
      <c r="T1632" t="s">
        <v>11650</v>
      </c>
      <c r="U1632" t="s">
        <v>11650</v>
      </c>
      <c r="V1632" t="s">
        <v>11650</v>
      </c>
      <c r="W1632" t="s">
        <v>13253</v>
      </c>
      <c r="X1632">
        <v>2</v>
      </c>
      <c r="Y1632" t="s">
        <v>18998</v>
      </c>
      <c r="Z1632" t="s">
        <v>24694</v>
      </c>
      <c r="AA1632">
        <v>0.88085323150035111</v>
      </c>
      <c r="AB1632" t="str">
        <f>HYPERLINK("Melting_Curves/meltCurve_O95528_SLC2A10.pdf", "Melting_Curves/meltCurve_O95528_SLC2A10.pdf")</f>
        <v>Melting_Curves/meltCurve_O95528_SLC2A10.pdf</v>
      </c>
    </row>
    <row r="1633" spans="1:28" x14ac:dyDescent="0.25">
      <c r="A1633" t="s">
        <v>1637</v>
      </c>
      <c r="B1633">
        <v>0.99996721820229495</v>
      </c>
      <c r="C1633">
        <v>1.1294726652624201</v>
      </c>
      <c r="D1633">
        <v>1.3049460419612799</v>
      </c>
      <c r="E1633">
        <v>1.44255110424545</v>
      </c>
      <c r="F1633">
        <v>1.7824387380642699</v>
      </c>
      <c r="G1633">
        <v>4.2122704820629302</v>
      </c>
      <c r="H1633">
        <v>3.7305361627505502</v>
      </c>
      <c r="I1633">
        <v>2.4579389270023699</v>
      </c>
      <c r="J1633">
        <v>1.0468415703349101</v>
      </c>
      <c r="K1633">
        <v>0.53307275385530295</v>
      </c>
      <c r="L1633">
        <v>1571.07149137548</v>
      </c>
      <c r="M1633">
        <v>34.959691964684502</v>
      </c>
      <c r="O1633">
        <v>44.793228656810001</v>
      </c>
      <c r="P1633">
        <v>9.7558873216790701E-2</v>
      </c>
      <c r="Q1633">
        <v>1.5</v>
      </c>
      <c r="R1633">
        <v>-6.6724391352399201E-2</v>
      </c>
      <c r="S1633" t="s">
        <v>7459</v>
      </c>
      <c r="T1633" t="s">
        <v>11650</v>
      </c>
      <c r="U1633" t="s">
        <v>11650</v>
      </c>
      <c r="V1633" t="s">
        <v>11650</v>
      </c>
      <c r="W1633" t="s">
        <v>13254</v>
      </c>
      <c r="X1633">
        <v>4</v>
      </c>
      <c r="Y1633" t="s">
        <v>18999</v>
      </c>
      <c r="Z1633" t="s">
        <v>24695</v>
      </c>
      <c r="AA1633">
        <v>1.415421253849243</v>
      </c>
      <c r="AB1633" t="str">
        <f>HYPERLINK("Melting_Curves/meltCurve_O95544_NADK.pdf", "Melting_Curves/meltCurve_O95544_NADK.pdf")</f>
        <v>Melting_Curves/meltCurve_O95544_NADK.pdf</v>
      </c>
    </row>
    <row r="1634" spans="1:28" x14ac:dyDescent="0.25">
      <c r="A1634" t="s">
        <v>1638</v>
      </c>
      <c r="B1634">
        <v>0.99996721820229495</v>
      </c>
      <c r="C1634">
        <v>1.00740803690727</v>
      </c>
      <c r="D1634">
        <v>0.87382421288955303</v>
      </c>
      <c r="E1634">
        <v>0.63404786447347605</v>
      </c>
      <c r="F1634">
        <v>0.47272036235516701</v>
      </c>
      <c r="G1634">
        <v>0.34053292832881199</v>
      </c>
      <c r="H1634">
        <v>0.26295094614488101</v>
      </c>
      <c r="I1634">
        <v>0.17749562824982701</v>
      </c>
      <c r="J1634">
        <v>0.214309520285898</v>
      </c>
      <c r="K1634">
        <v>0.116931467146346</v>
      </c>
      <c r="L1634">
        <v>742.06106644156</v>
      </c>
      <c r="M1634">
        <v>14.433804130718199</v>
      </c>
      <c r="N1634">
        <v>52.718876071290602</v>
      </c>
      <c r="O1634">
        <v>50.454705476938798</v>
      </c>
      <c r="P1634">
        <v>-6.07649140498654E-2</v>
      </c>
      <c r="Q1634">
        <v>0.15046213706985101</v>
      </c>
      <c r="R1634">
        <v>0.99086754227973695</v>
      </c>
      <c r="S1634" t="s">
        <v>7460</v>
      </c>
      <c r="T1634" t="s">
        <v>11650</v>
      </c>
      <c r="U1634" t="s">
        <v>11650</v>
      </c>
      <c r="V1634" t="s">
        <v>11650</v>
      </c>
      <c r="W1634" t="s">
        <v>13255</v>
      </c>
      <c r="X1634">
        <v>2</v>
      </c>
      <c r="Y1634" t="s">
        <v>19000</v>
      </c>
      <c r="Z1634" t="s">
        <v>24696</v>
      </c>
      <c r="AA1634">
        <v>0.4941968751884378</v>
      </c>
      <c r="AB1634" t="str">
        <f>HYPERLINK("Melting_Curves/meltCurve_O95551_TDP2.pdf", "Melting_Curves/meltCurve_O95551_TDP2.pdf")</f>
        <v>Melting_Curves/meltCurve_O95551_TDP2.pdf</v>
      </c>
    </row>
    <row r="1635" spans="1:28" x14ac:dyDescent="0.25">
      <c r="A1635" t="s">
        <v>1639</v>
      </c>
      <c r="B1635">
        <v>0.99996721820229495</v>
      </c>
      <c r="C1635">
        <v>0.96413921500967403</v>
      </c>
      <c r="D1635">
        <v>0.90995471868012001</v>
      </c>
      <c r="E1635">
        <v>1.0002067124131599</v>
      </c>
      <c r="F1635">
        <v>1.24437017933519</v>
      </c>
      <c r="G1635">
        <v>1.05782717481073</v>
      </c>
      <c r="H1635">
        <v>0.56266119353765098</v>
      </c>
      <c r="I1635">
        <v>0.21368799110014999</v>
      </c>
      <c r="J1635">
        <v>9.8011688079379405E-2</v>
      </c>
      <c r="K1635">
        <v>8.5161855761264602E-2</v>
      </c>
      <c r="L1635">
        <v>3228.2559421523101</v>
      </c>
      <c r="M1635">
        <v>52.787291927198702</v>
      </c>
      <c r="N1635">
        <v>61.414243489155702</v>
      </c>
      <c r="O1635">
        <v>61.068373532827302</v>
      </c>
      <c r="P1635">
        <v>-0.194585952320732</v>
      </c>
      <c r="Q1635">
        <v>9.95533492970994E-2</v>
      </c>
      <c r="R1635">
        <v>0.955017623217845</v>
      </c>
      <c r="S1635" t="s">
        <v>7461</v>
      </c>
      <c r="T1635" t="s">
        <v>11650</v>
      </c>
      <c r="U1635" t="s">
        <v>11650</v>
      </c>
      <c r="V1635" t="s">
        <v>11650</v>
      </c>
      <c r="W1635" t="s">
        <v>13256</v>
      </c>
      <c r="X1635">
        <v>15</v>
      </c>
      <c r="Y1635" t="s">
        <v>19001</v>
      </c>
      <c r="Z1635" t="s">
        <v>24697</v>
      </c>
      <c r="AA1635">
        <v>0.7366638103574884</v>
      </c>
      <c r="AB1635" t="str">
        <f>HYPERLINK("Melting_Curves/meltCurve_O95571_ETHE1.pdf", "Melting_Curves/meltCurve_O95571_ETHE1.pdf")</f>
        <v>Melting_Curves/meltCurve_O95571_ETHE1.pdf</v>
      </c>
    </row>
    <row r="1636" spans="1:28" x14ac:dyDescent="0.25">
      <c r="A1636" t="s">
        <v>1640</v>
      </c>
      <c r="B1636">
        <v>0.99996721820229495</v>
      </c>
      <c r="C1636">
        <v>0.94106857045818504</v>
      </c>
      <c r="D1636">
        <v>0.85281780306506305</v>
      </c>
      <c r="E1636">
        <v>0.73388756858022797</v>
      </c>
      <c r="F1636">
        <v>0.29140871171899602</v>
      </c>
      <c r="G1636">
        <v>0.230114234110736</v>
      </c>
      <c r="H1636">
        <v>0.12935857703220599</v>
      </c>
      <c r="I1636">
        <v>7.1623957443917197E-2</v>
      </c>
      <c r="J1636">
        <v>5.6218000384599398E-2</v>
      </c>
      <c r="K1636">
        <v>4.2749446624333901E-2</v>
      </c>
      <c r="L1636">
        <v>935.675055839283</v>
      </c>
      <c r="M1636">
        <v>18.226363803380998</v>
      </c>
      <c r="N1636">
        <v>51.645857948826801</v>
      </c>
      <c r="O1636">
        <v>50.730341207587699</v>
      </c>
      <c r="P1636">
        <v>-8.5176881273435298E-2</v>
      </c>
      <c r="Q1636">
        <v>5.1736405593306403E-2</v>
      </c>
      <c r="R1636">
        <v>0.98188792087250698</v>
      </c>
      <c r="S1636" t="s">
        <v>7462</v>
      </c>
      <c r="T1636" t="s">
        <v>11650</v>
      </c>
      <c r="U1636" t="s">
        <v>11650</v>
      </c>
      <c r="V1636" t="s">
        <v>11650</v>
      </c>
      <c r="W1636" t="s">
        <v>13257</v>
      </c>
      <c r="X1636">
        <v>33</v>
      </c>
      <c r="Y1636" t="s">
        <v>19002</v>
      </c>
      <c r="Z1636" t="s">
        <v>24698</v>
      </c>
      <c r="AA1636">
        <v>0.42562978719001582</v>
      </c>
      <c r="AB1636" t="str">
        <f>HYPERLINK("Melting_Curves/meltCurve_O95573_ACSL3.pdf", "Melting_Curves/meltCurve_O95573_ACSL3.pdf")</f>
        <v>Melting_Curves/meltCurve_O95573_ACSL3.pdf</v>
      </c>
    </row>
    <row r="1637" spans="1:28" x14ac:dyDescent="0.25">
      <c r="A1637" t="s">
        <v>1641</v>
      </c>
      <c r="B1637">
        <v>0.99996721820229495</v>
      </c>
      <c r="C1637">
        <v>0.96222136944968795</v>
      </c>
      <c r="D1637">
        <v>0.90841892335674501</v>
      </c>
      <c r="E1637">
        <v>0.81840682428381095</v>
      </c>
      <c r="F1637">
        <v>0.82304186173915805</v>
      </c>
      <c r="G1637">
        <v>0.60011706706039503</v>
      </c>
      <c r="H1637">
        <v>0.396735525692896</v>
      </c>
      <c r="I1637">
        <v>0.24473467072367</v>
      </c>
      <c r="J1637">
        <v>0.19383214268364199</v>
      </c>
      <c r="K1637">
        <v>0.168769523456616</v>
      </c>
      <c r="L1637">
        <v>645.02200824106501</v>
      </c>
      <c r="M1637">
        <v>10.9920577228044</v>
      </c>
      <c r="N1637">
        <v>58.680711894138398</v>
      </c>
      <c r="O1637">
        <v>56.838878032934403</v>
      </c>
      <c r="P1637">
        <v>-4.83638004593821E-2</v>
      </c>
      <c r="Q1637">
        <v>0</v>
      </c>
      <c r="R1637">
        <v>0.98852901137751104</v>
      </c>
      <c r="S1637" t="s">
        <v>7463</v>
      </c>
      <c r="T1637" t="s">
        <v>11650</v>
      </c>
      <c r="U1637" t="s">
        <v>11650</v>
      </c>
      <c r="V1637" t="s">
        <v>11650</v>
      </c>
      <c r="W1637" t="s">
        <v>13258</v>
      </c>
      <c r="X1637">
        <v>4</v>
      </c>
      <c r="Y1637" t="s">
        <v>19003</v>
      </c>
      <c r="Z1637" t="s">
        <v>24699</v>
      </c>
      <c r="AA1637">
        <v>0.63057071108377238</v>
      </c>
      <c r="AB1637" t="str">
        <f>HYPERLINK("Melting_Curves/meltCurve_O95628_3_CNOT4.pdf", "Melting_Curves/meltCurve_O95628_3_CNOT4.pdf")</f>
        <v>Melting_Curves/meltCurve_O95628_3_CNOT4.pdf</v>
      </c>
    </row>
    <row r="1638" spans="1:28" x14ac:dyDescent="0.25">
      <c r="A1638" t="s">
        <v>1642</v>
      </c>
      <c r="B1638">
        <v>0.99996721820229495</v>
      </c>
      <c r="C1638">
        <v>1.03005810370261</v>
      </c>
      <c r="D1638">
        <v>0.851421286525473</v>
      </c>
      <c r="E1638">
        <v>0.51315523794643003</v>
      </c>
      <c r="F1638">
        <v>0.32943424248091002</v>
      </c>
      <c r="G1638">
        <v>0.27201969658163699</v>
      </c>
      <c r="H1638">
        <v>0.164642499264918</v>
      </c>
      <c r="I1638">
        <v>0.11349500857431601</v>
      </c>
      <c r="J1638">
        <v>7.6131403256759406E-2</v>
      </c>
      <c r="K1638">
        <v>5.4386839603039597E-2</v>
      </c>
      <c r="L1638">
        <v>866.99549392415497</v>
      </c>
      <c r="M1638">
        <v>17.304650535067498</v>
      </c>
      <c r="N1638">
        <v>50.707734686917902</v>
      </c>
      <c r="O1638">
        <v>49.447152020933601</v>
      </c>
      <c r="P1638">
        <v>-7.9324372208244301E-2</v>
      </c>
      <c r="Q1638">
        <v>9.3390861433481603E-2</v>
      </c>
      <c r="R1638">
        <v>0.98626102929891901</v>
      </c>
      <c r="S1638" t="s">
        <v>7464</v>
      </c>
      <c r="T1638" t="s">
        <v>11650</v>
      </c>
      <c r="U1638" t="s">
        <v>11650</v>
      </c>
      <c r="V1638" t="s">
        <v>11650</v>
      </c>
      <c r="W1638" t="s">
        <v>13259</v>
      </c>
      <c r="X1638">
        <v>15</v>
      </c>
      <c r="Y1638" t="s">
        <v>19004</v>
      </c>
      <c r="Z1638" t="s">
        <v>24700</v>
      </c>
      <c r="AA1638">
        <v>0.41529854761723223</v>
      </c>
      <c r="AB1638" t="str">
        <f>HYPERLINK("Melting_Curves/meltCurve_O95630_STAMBP.pdf", "Melting_Curves/meltCurve_O95630_STAMBP.pdf")</f>
        <v>Melting_Curves/meltCurve_O95630_STAMBP.pdf</v>
      </c>
    </row>
    <row r="1639" spans="1:28" x14ac:dyDescent="0.25">
      <c r="A1639" t="s">
        <v>1643</v>
      </c>
      <c r="B1639">
        <v>0.99996721820229495</v>
      </c>
      <c r="C1639">
        <v>0.90294890361633096</v>
      </c>
      <c r="D1639">
        <v>0.86760720302698002</v>
      </c>
      <c r="E1639">
        <v>0.661720184649082</v>
      </c>
      <c r="F1639">
        <v>0.40976120489615703</v>
      </c>
      <c r="G1639">
        <v>0.26958484394156701</v>
      </c>
      <c r="H1639">
        <v>0.17480066105368899</v>
      </c>
      <c r="I1639">
        <v>0.12429686983511</v>
      </c>
      <c r="J1639">
        <v>0.105533184629361</v>
      </c>
      <c r="K1639">
        <v>8.5274855684678505E-2</v>
      </c>
      <c r="L1639">
        <v>724.13238359534796</v>
      </c>
      <c r="M1639">
        <v>14.0522149490715</v>
      </c>
      <c r="N1639">
        <v>52.084602183582099</v>
      </c>
      <c r="O1639">
        <v>50.521610566089699</v>
      </c>
      <c r="P1639">
        <v>-6.4724823475872301E-2</v>
      </c>
      <c r="Q1639">
        <v>6.9306607593758202E-2</v>
      </c>
      <c r="R1639">
        <v>0.99602614072475604</v>
      </c>
      <c r="S1639" t="s">
        <v>7465</v>
      </c>
      <c r="T1639" t="s">
        <v>11650</v>
      </c>
      <c r="U1639" t="s">
        <v>11650</v>
      </c>
      <c r="V1639" t="s">
        <v>11650</v>
      </c>
      <c r="W1639" t="s">
        <v>13260</v>
      </c>
      <c r="X1639">
        <v>22</v>
      </c>
      <c r="Y1639" t="s">
        <v>19005</v>
      </c>
      <c r="Z1639" t="s">
        <v>24701</v>
      </c>
      <c r="AA1639">
        <v>0.45044923433288481</v>
      </c>
      <c r="AB1639" t="str">
        <f>HYPERLINK("Melting_Curves/meltCurve_O95671_2_ASMTL.pdf", "Melting_Curves/meltCurve_O95671_2_ASMTL.pdf")</f>
        <v>Melting_Curves/meltCurve_O95671_2_ASMTL.pdf</v>
      </c>
    </row>
    <row r="1640" spans="1:28" x14ac:dyDescent="0.25">
      <c r="A1640" t="s">
        <v>1644</v>
      </c>
      <c r="B1640">
        <v>0.99996721820229495</v>
      </c>
      <c r="C1640">
        <v>0.96398198717813199</v>
      </c>
      <c r="D1640">
        <v>1.1313723880501201</v>
      </c>
      <c r="E1640">
        <v>1.27986701452773</v>
      </c>
      <c r="F1640">
        <v>1.9147992677158101</v>
      </c>
      <c r="G1640">
        <v>2.2288370738002801</v>
      </c>
      <c r="H1640">
        <v>1.74589414721505</v>
      </c>
      <c r="I1640">
        <v>0.88770217258256301</v>
      </c>
      <c r="J1640">
        <v>0.58919332671842395</v>
      </c>
      <c r="K1640">
        <v>0.443689949228532</v>
      </c>
      <c r="L1640">
        <v>4747.5285402930203</v>
      </c>
      <c r="M1640">
        <v>72.060503375924597</v>
      </c>
      <c r="N1640">
        <v>67.9625885706932</v>
      </c>
      <c r="O1640">
        <v>65.831850192281493</v>
      </c>
      <c r="P1640">
        <v>-0.15190496228519501</v>
      </c>
      <c r="Q1640">
        <v>0.44490076741408402</v>
      </c>
      <c r="R1640">
        <v>2.51239925736013E-3</v>
      </c>
      <c r="S1640" t="s">
        <v>7466</v>
      </c>
      <c r="T1640" t="s">
        <v>11650</v>
      </c>
      <c r="U1640" t="s">
        <v>11650</v>
      </c>
      <c r="V1640" t="s">
        <v>11650</v>
      </c>
      <c r="W1640" t="s">
        <v>13261</v>
      </c>
      <c r="X1640">
        <v>1</v>
      </c>
      <c r="Y1640" t="s">
        <v>19006</v>
      </c>
      <c r="Z1640" t="s">
        <v>24702</v>
      </c>
      <c r="AA1640">
        <v>0.92430562665177129</v>
      </c>
      <c r="AB1640" t="str">
        <f>HYPERLINK("Melting_Curves/meltCurve_O95674_CDS2.pdf", "Melting_Curves/meltCurve_O95674_CDS2.pdf")</f>
        <v>Melting_Curves/meltCurve_O95674_CDS2.pdf</v>
      </c>
    </row>
    <row r="1641" spans="1:28" x14ac:dyDescent="0.25">
      <c r="A1641" t="s">
        <v>1645</v>
      </c>
      <c r="B1641">
        <v>0.99996721820229495</v>
      </c>
      <c r="C1641">
        <v>1.0887025987250301</v>
      </c>
      <c r="D1641">
        <v>1.0715385954008101</v>
      </c>
      <c r="E1641">
        <v>0.97010366554049199</v>
      </c>
      <c r="F1641">
        <v>0.80755973706210205</v>
      </c>
      <c r="G1641">
        <v>0.97774290198820901</v>
      </c>
      <c r="H1641">
        <v>0.72517400527946296</v>
      </c>
      <c r="I1641">
        <v>0.52235158926959602</v>
      </c>
      <c r="J1641">
        <v>0.33874460592607403</v>
      </c>
      <c r="K1641">
        <v>0.25310002369976398</v>
      </c>
      <c r="L1641">
        <v>1178.00874597999</v>
      </c>
      <c r="M1641">
        <v>18.499077810347199</v>
      </c>
      <c r="N1641">
        <v>64.434349147531293</v>
      </c>
      <c r="O1641">
        <v>62.949187143820602</v>
      </c>
      <c r="P1641">
        <v>-6.63125188868985E-2</v>
      </c>
      <c r="Q1641">
        <v>9.7439489860508599E-2</v>
      </c>
      <c r="R1641">
        <v>0.94274269351213102</v>
      </c>
      <c r="S1641" t="s">
        <v>7467</v>
      </c>
      <c r="T1641" t="s">
        <v>11650</v>
      </c>
      <c r="U1641" t="s">
        <v>11650</v>
      </c>
      <c r="V1641" t="s">
        <v>11650</v>
      </c>
      <c r="W1641" t="s">
        <v>13262</v>
      </c>
      <c r="X1641">
        <v>4</v>
      </c>
      <c r="Y1641" t="s">
        <v>19007</v>
      </c>
      <c r="Z1641" t="s">
        <v>24703</v>
      </c>
      <c r="AA1641">
        <v>0.80416855136889753</v>
      </c>
      <c r="AB1641" t="str">
        <f>HYPERLINK("Melting_Curves/meltCurve_O95684_FGFR1OP.pdf", "Melting_Curves/meltCurve_O95684_FGFR1OP.pdf")</f>
        <v>Melting_Curves/meltCurve_O95684_FGFR1OP.pdf</v>
      </c>
    </row>
    <row r="1642" spans="1:28" x14ac:dyDescent="0.25">
      <c r="A1642" t="s">
        <v>1646</v>
      </c>
      <c r="B1642">
        <v>0.99996721820229495</v>
      </c>
      <c r="C1642">
        <v>0.99802433899979404</v>
      </c>
      <c r="D1642">
        <v>0.94394384607234805</v>
      </c>
      <c r="E1642">
        <v>0.77594976049766795</v>
      </c>
      <c r="F1642">
        <v>0.82538758090069697</v>
      </c>
      <c r="G1642">
        <v>0.67300840088452996</v>
      </c>
      <c r="H1642">
        <v>0.37594640151224801</v>
      </c>
      <c r="I1642">
        <v>0.22052899152009101</v>
      </c>
      <c r="J1642">
        <v>0.134125983759464</v>
      </c>
      <c r="K1642">
        <v>8.3153267565392097E-2</v>
      </c>
      <c r="L1642">
        <v>777.19248119754195</v>
      </c>
      <c r="M1642">
        <v>13.2519376553317</v>
      </c>
      <c r="N1642">
        <v>58.647459904653203</v>
      </c>
      <c r="O1642">
        <v>57.360224032951102</v>
      </c>
      <c r="P1642">
        <v>-5.77669911039679E-2</v>
      </c>
      <c r="Q1642">
        <v>0</v>
      </c>
      <c r="R1642">
        <v>0.97754341246638798</v>
      </c>
      <c r="S1642" t="s">
        <v>7468</v>
      </c>
      <c r="T1642" t="s">
        <v>11650</v>
      </c>
      <c r="U1642" t="s">
        <v>11650</v>
      </c>
      <c r="V1642" t="s">
        <v>11650</v>
      </c>
      <c r="W1642" t="s">
        <v>13263</v>
      </c>
      <c r="X1642">
        <v>7</v>
      </c>
      <c r="Y1642" t="s">
        <v>19008</v>
      </c>
      <c r="Z1642" t="s">
        <v>24704</v>
      </c>
      <c r="AA1642">
        <v>0.63248046575318306</v>
      </c>
      <c r="AB1642" t="str">
        <f>HYPERLINK("Melting_Curves/meltCurve_O95716_RAB3D.pdf", "Melting_Curves/meltCurve_O95716_RAB3D.pdf")</f>
        <v>Melting_Curves/meltCurve_O95716_RAB3D.pdf</v>
      </c>
    </row>
    <row r="1643" spans="1:28" x14ac:dyDescent="0.25">
      <c r="A1643" t="s">
        <v>1647</v>
      </c>
      <c r="B1643">
        <v>0.99996721820229495</v>
      </c>
      <c r="C1643">
        <v>1.10014971904977</v>
      </c>
      <c r="D1643">
        <v>1.0771646508859201</v>
      </c>
      <c r="E1643">
        <v>1.0161338198977701</v>
      </c>
      <c r="F1643">
        <v>1.4419820939160699</v>
      </c>
      <c r="G1643">
        <v>1.67436100976377</v>
      </c>
      <c r="H1643">
        <v>1.2587249440066299</v>
      </c>
      <c r="I1643">
        <v>1.1177261098893401</v>
      </c>
      <c r="J1643">
        <v>1.08552810100609</v>
      </c>
      <c r="K1643">
        <v>0.76728469708562697</v>
      </c>
      <c r="L1643">
        <v>15000</v>
      </c>
      <c r="M1643">
        <v>213.092616801232</v>
      </c>
      <c r="Q1643">
        <v>0</v>
      </c>
      <c r="R1643">
        <v>-0.31954692631874199</v>
      </c>
      <c r="S1643" t="s">
        <v>7469</v>
      </c>
      <c r="T1643" t="s">
        <v>11650</v>
      </c>
      <c r="U1643" t="s">
        <v>11650</v>
      </c>
      <c r="V1643" t="s">
        <v>11650</v>
      </c>
      <c r="W1643" t="s">
        <v>13264</v>
      </c>
      <c r="X1643">
        <v>24</v>
      </c>
      <c r="Y1643" t="s">
        <v>19009</v>
      </c>
      <c r="Z1643" t="s">
        <v>24705</v>
      </c>
      <c r="AA1643">
        <v>0.99714404890946184</v>
      </c>
      <c r="AB1643" t="str">
        <f>HYPERLINK("Melting_Curves/meltCurve_O95721_SNAP29.pdf", "Melting_Curves/meltCurve_O95721_SNAP29.pdf")</f>
        <v>Melting_Curves/meltCurve_O95721_SNAP29.pdf</v>
      </c>
    </row>
    <row r="1644" spans="1:28" x14ac:dyDescent="0.25">
      <c r="A1644" t="s">
        <v>1648</v>
      </c>
      <c r="B1644">
        <v>0.99996721820229495</v>
      </c>
      <c r="C1644">
        <v>0.89787190412970896</v>
      </c>
      <c r="D1644">
        <v>0.64927305711983696</v>
      </c>
      <c r="E1644">
        <v>0.374995316152331</v>
      </c>
      <c r="F1644">
        <v>0.26915454069471401</v>
      </c>
      <c r="G1644">
        <v>0.23942136853577201</v>
      </c>
      <c r="H1644">
        <v>0.16447721012890201</v>
      </c>
      <c r="I1644">
        <v>0.154849847850341</v>
      </c>
      <c r="J1644">
        <v>0.118134118039794</v>
      </c>
      <c r="K1644">
        <v>9.81698042090388E-2</v>
      </c>
      <c r="L1644">
        <v>797.21333582510897</v>
      </c>
      <c r="M1644">
        <v>16.826815473573198</v>
      </c>
      <c r="N1644">
        <v>48.2854462988048</v>
      </c>
      <c r="O1644">
        <v>46.723564976440102</v>
      </c>
      <c r="P1644">
        <v>-7.7829230873145902E-2</v>
      </c>
      <c r="Q1644">
        <v>0.135611448115325</v>
      </c>
      <c r="R1644">
        <v>0.99151805866533604</v>
      </c>
      <c r="S1644" t="s">
        <v>7470</v>
      </c>
      <c r="T1644" t="s">
        <v>11650</v>
      </c>
      <c r="U1644" t="s">
        <v>11650</v>
      </c>
      <c r="V1644" t="s">
        <v>11650</v>
      </c>
      <c r="W1644" t="s">
        <v>13265</v>
      </c>
      <c r="X1644">
        <v>13</v>
      </c>
      <c r="Y1644" t="s">
        <v>19010</v>
      </c>
      <c r="Z1644" t="s">
        <v>24706</v>
      </c>
      <c r="AA1644">
        <v>0.36627797888352542</v>
      </c>
      <c r="AB1644" t="str">
        <f>HYPERLINK("Melting_Curves/meltCurve_O95747_OXSR1.pdf", "Melting_Curves/meltCurve_O95747_OXSR1.pdf")</f>
        <v>Melting_Curves/meltCurve_O95747_OXSR1.pdf</v>
      </c>
    </row>
    <row r="1645" spans="1:28" x14ac:dyDescent="0.25">
      <c r="A1645" t="s">
        <v>1649</v>
      </c>
      <c r="B1645">
        <v>0.99996721820229495</v>
      </c>
      <c r="C1645">
        <v>1.14304731761613</v>
      </c>
      <c r="D1645">
        <v>1.2568778344435401</v>
      </c>
      <c r="E1645">
        <v>1.5591033256858</v>
      </c>
      <c r="F1645">
        <v>1.6304006209447099</v>
      </c>
      <c r="G1645">
        <v>2.02941669894087</v>
      </c>
      <c r="H1645">
        <v>0.77585888891514099</v>
      </c>
      <c r="I1645">
        <v>0.40546210075204597</v>
      </c>
      <c r="J1645">
        <v>0.24953291051044699</v>
      </c>
      <c r="K1645">
        <v>0.19789649821727301</v>
      </c>
      <c r="L1645">
        <v>3701.1996533517799</v>
      </c>
      <c r="M1645">
        <v>59.376543170598197</v>
      </c>
      <c r="N1645">
        <v>62.985769026235197</v>
      </c>
      <c r="O1645">
        <v>62.263782500930397</v>
      </c>
      <c r="P1645">
        <v>-0.18370900468962401</v>
      </c>
      <c r="Q1645">
        <v>0.22943219909158699</v>
      </c>
      <c r="R1645">
        <v>0.460005934210925</v>
      </c>
      <c r="S1645" t="s">
        <v>7471</v>
      </c>
      <c r="T1645" t="s">
        <v>11650</v>
      </c>
      <c r="U1645" t="s">
        <v>11650</v>
      </c>
      <c r="V1645" t="s">
        <v>11650</v>
      </c>
      <c r="W1645" t="s">
        <v>13266</v>
      </c>
      <c r="X1645">
        <v>3</v>
      </c>
      <c r="Y1645" t="s">
        <v>19011</v>
      </c>
      <c r="Z1645" t="s">
        <v>24707</v>
      </c>
      <c r="AA1645">
        <v>0.80455079233020832</v>
      </c>
      <c r="AB1645" t="str">
        <f>HYPERLINK("Melting_Curves/meltCurve_O95749_GGPS1.pdf", "Melting_Curves/meltCurve_O95749_GGPS1.pdf")</f>
        <v>Melting_Curves/meltCurve_O95749_GGPS1.pdf</v>
      </c>
    </row>
    <row r="1646" spans="1:28" x14ac:dyDescent="0.25">
      <c r="A1646" t="s">
        <v>1650</v>
      </c>
      <c r="B1646">
        <v>0.99996721820229495</v>
      </c>
      <c r="C1646">
        <v>0.96371499760354196</v>
      </c>
      <c r="D1646">
        <v>0.94642347686027894</v>
      </c>
      <c r="E1646">
        <v>1.1219633587215401</v>
      </c>
      <c r="F1646">
        <v>1.6676265844434299</v>
      </c>
      <c r="G1646">
        <v>1.6669313593208199</v>
      </c>
      <c r="H1646">
        <v>1.25937542293537</v>
      </c>
      <c r="I1646">
        <v>1.1655446601197299</v>
      </c>
      <c r="J1646">
        <v>0.79969186993585295</v>
      </c>
      <c r="K1646">
        <v>0.73435864859217603</v>
      </c>
      <c r="L1646">
        <v>15000</v>
      </c>
      <c r="M1646">
        <v>224.99867472850499</v>
      </c>
      <c r="O1646">
        <v>66.661795656500502</v>
      </c>
      <c r="P1646">
        <v>-0.224191145206802</v>
      </c>
      <c r="Q1646">
        <v>0.73430983842181896</v>
      </c>
      <c r="R1646">
        <v>-6.9247639107275799E-2</v>
      </c>
      <c r="S1646" t="s">
        <v>7472</v>
      </c>
      <c r="T1646" t="s">
        <v>11650</v>
      </c>
      <c r="U1646" t="s">
        <v>11650</v>
      </c>
      <c r="V1646" t="s">
        <v>11650</v>
      </c>
      <c r="W1646" t="s">
        <v>13267</v>
      </c>
      <c r="X1646">
        <v>5</v>
      </c>
      <c r="Y1646" t="s">
        <v>19012</v>
      </c>
      <c r="Z1646" t="s">
        <v>24708</v>
      </c>
      <c r="AA1646">
        <v>0.97052066340635734</v>
      </c>
      <c r="AB1646" t="str">
        <f>HYPERLINK("Melting_Curves/meltCurve_O95777_NAA38.pdf", "Melting_Curves/meltCurve_O95777_NAA38.pdf")</f>
        <v>Melting_Curves/meltCurve_O95777_NAA38.pdf</v>
      </c>
    </row>
    <row r="1647" spans="1:28" x14ac:dyDescent="0.25">
      <c r="A1647" t="s">
        <v>1651</v>
      </c>
      <c r="B1647">
        <v>0.99996721820229495</v>
      </c>
      <c r="C1647">
        <v>0.99138572815996495</v>
      </c>
      <c r="D1647">
        <v>0.97858388339747504</v>
      </c>
      <c r="E1647">
        <v>1.3832909189979199</v>
      </c>
      <c r="F1647">
        <v>1.3326022829911499</v>
      </c>
      <c r="G1647">
        <v>1.0292796161259199</v>
      </c>
      <c r="H1647">
        <v>0.44031037466890699</v>
      </c>
      <c r="I1647">
        <v>0.23370138190343401</v>
      </c>
      <c r="J1647">
        <v>0.17064440550540699</v>
      </c>
      <c r="K1647">
        <v>0.143296467340884</v>
      </c>
      <c r="L1647">
        <v>4606.1643428088601</v>
      </c>
      <c r="M1647">
        <v>76.241621580903399</v>
      </c>
      <c r="N1647">
        <v>60.764875186757003</v>
      </c>
      <c r="O1647">
        <v>60.373825740223502</v>
      </c>
      <c r="P1647">
        <v>-0.25966432601657002</v>
      </c>
      <c r="Q1647">
        <v>0.17751350505402799</v>
      </c>
      <c r="R1647">
        <v>0.87204566653479998</v>
      </c>
      <c r="S1647" t="s">
        <v>7473</v>
      </c>
      <c r="T1647" t="s">
        <v>11650</v>
      </c>
      <c r="U1647" t="s">
        <v>11650</v>
      </c>
      <c r="V1647" t="s">
        <v>11650</v>
      </c>
      <c r="W1647" t="s">
        <v>13268</v>
      </c>
      <c r="X1647">
        <v>22</v>
      </c>
      <c r="Y1647" t="s">
        <v>19013</v>
      </c>
      <c r="Z1647" t="s">
        <v>24709</v>
      </c>
      <c r="AA1647">
        <v>0.73816400502976276</v>
      </c>
      <c r="AB1647" t="str">
        <f>HYPERLINK("Melting_Curves/meltCurve_O95782_2_AP2A1.pdf", "Melting_Curves/meltCurve_O95782_2_AP2A1.pdf")</f>
        <v>Melting_Curves/meltCurve_O95782_2_AP2A1.pdf</v>
      </c>
    </row>
    <row r="1648" spans="1:28" x14ac:dyDescent="0.25">
      <c r="A1648" t="s">
        <v>1652</v>
      </c>
      <c r="B1648">
        <v>0.99996721820229495</v>
      </c>
      <c r="C1648">
        <v>0.98404276616264696</v>
      </c>
      <c r="D1648">
        <v>0.69178873468997504</v>
      </c>
      <c r="E1648">
        <v>0.21271585904152801</v>
      </c>
      <c r="F1648">
        <v>0.21855827574625</v>
      </c>
      <c r="G1648">
        <v>0.185937550643405</v>
      </c>
      <c r="H1648">
        <v>0.11967880612908301</v>
      </c>
      <c r="I1648">
        <v>8.6185410267778303E-2</v>
      </c>
      <c r="J1648">
        <v>6.5704140211942805E-2</v>
      </c>
      <c r="K1648">
        <v>5.2635346210247999E-2</v>
      </c>
      <c r="L1648">
        <v>1393.02739007381</v>
      </c>
      <c r="M1648">
        <v>29.6241150765408</v>
      </c>
      <c r="N1648">
        <v>47.424477397529898</v>
      </c>
      <c r="O1648">
        <v>46.8106861718977</v>
      </c>
      <c r="P1648">
        <v>-0.140683342629463</v>
      </c>
      <c r="Q1648">
        <v>0.11079982886935701</v>
      </c>
      <c r="R1648">
        <v>0.98536708880922097</v>
      </c>
      <c r="S1648" t="s">
        <v>7474</v>
      </c>
      <c r="T1648" t="s">
        <v>11650</v>
      </c>
      <c r="U1648" t="s">
        <v>11650</v>
      </c>
      <c r="V1648" t="s">
        <v>11650</v>
      </c>
      <c r="W1648" t="s">
        <v>13269</v>
      </c>
      <c r="X1648">
        <v>17</v>
      </c>
      <c r="Y1648" t="s">
        <v>19014</v>
      </c>
      <c r="Z1648" t="s">
        <v>24710</v>
      </c>
      <c r="AA1648">
        <v>0.32445464278036679</v>
      </c>
      <c r="AB1648" t="str">
        <f>HYPERLINK("Melting_Curves/meltCurve_O95786_DDX58.pdf", "Melting_Curves/meltCurve_O95786_DDX58.pdf")</f>
        <v>Melting_Curves/meltCurve_O95786_DDX58.pdf</v>
      </c>
    </row>
    <row r="1649" spans="1:28" x14ac:dyDescent="0.25">
      <c r="A1649" t="s">
        <v>1653</v>
      </c>
      <c r="B1649">
        <v>0.99996721820229495</v>
      </c>
      <c r="C1649">
        <v>0.97633226904997095</v>
      </c>
      <c r="D1649">
        <v>0.89391766184223298</v>
      </c>
      <c r="E1649">
        <v>0.53375496185493398</v>
      </c>
      <c r="F1649">
        <v>0.27140339678074399</v>
      </c>
      <c r="G1649">
        <v>0.18856682867180599</v>
      </c>
      <c r="H1649">
        <v>0.14099203585387499</v>
      </c>
      <c r="I1649">
        <v>9.1461679109364299E-2</v>
      </c>
      <c r="J1649">
        <v>5.7908862514758901E-2</v>
      </c>
      <c r="K1649">
        <v>5.88518417654601E-2</v>
      </c>
      <c r="L1649">
        <v>1071.62733443617</v>
      </c>
      <c r="M1649">
        <v>21.441927555593299</v>
      </c>
      <c r="N1649">
        <v>50.414337622100099</v>
      </c>
      <c r="O1649">
        <v>49.549504934496099</v>
      </c>
      <c r="P1649">
        <v>-9.9027214335770899E-2</v>
      </c>
      <c r="Q1649">
        <v>8.4666608755605596E-2</v>
      </c>
      <c r="R1649">
        <v>0.99585302263507502</v>
      </c>
      <c r="S1649" t="s">
        <v>7475</v>
      </c>
      <c r="T1649" t="s">
        <v>11650</v>
      </c>
      <c r="U1649" t="s">
        <v>11650</v>
      </c>
      <c r="V1649" t="s">
        <v>11650</v>
      </c>
      <c r="W1649" t="s">
        <v>13270</v>
      </c>
      <c r="X1649">
        <v>5</v>
      </c>
      <c r="Y1649" t="s">
        <v>19015</v>
      </c>
      <c r="Z1649" t="s">
        <v>24711</v>
      </c>
      <c r="AA1649">
        <v>0.40022422481962378</v>
      </c>
      <c r="AB1649" t="str">
        <f>HYPERLINK("Melting_Curves/meltCurve_O95801_TTC4.pdf", "Melting_Curves/meltCurve_O95801_TTC4.pdf")</f>
        <v>Melting_Curves/meltCurve_O95801_TTC4.pdf</v>
      </c>
    </row>
    <row r="1650" spans="1:28" x14ac:dyDescent="0.25">
      <c r="A1650" t="s">
        <v>1654</v>
      </c>
      <c r="B1650">
        <v>0.99996721820229495</v>
      </c>
      <c r="C1650">
        <v>0.98348433406941105</v>
      </c>
      <c r="D1650">
        <v>1.0688760226223699</v>
      </c>
      <c r="E1650">
        <v>1.11547443855404</v>
      </c>
      <c r="F1650">
        <v>1.3553422469752601</v>
      </c>
      <c r="G1650">
        <v>1.3395777808752201</v>
      </c>
      <c r="H1650">
        <v>0.82244031200319001</v>
      </c>
      <c r="I1650">
        <v>0.42478564647473599</v>
      </c>
      <c r="J1650">
        <v>0.32382389039341902</v>
      </c>
      <c r="K1650">
        <v>0.24021925020792201</v>
      </c>
      <c r="L1650">
        <v>3540.04166712099</v>
      </c>
      <c r="M1650">
        <v>56.744088799780499</v>
      </c>
      <c r="N1650">
        <v>63.281684500293899</v>
      </c>
      <c r="O1650">
        <v>62.308747045876999</v>
      </c>
      <c r="P1650">
        <v>-0.164829651206439</v>
      </c>
      <c r="Q1650">
        <v>0.27602512427937798</v>
      </c>
      <c r="R1650">
        <v>0.82085417592898602</v>
      </c>
      <c r="S1650" t="s">
        <v>7476</v>
      </c>
      <c r="T1650" t="s">
        <v>11650</v>
      </c>
      <c r="U1650" t="s">
        <v>11650</v>
      </c>
      <c r="V1650" t="s">
        <v>11650</v>
      </c>
      <c r="W1650" t="s">
        <v>13271</v>
      </c>
      <c r="X1650">
        <v>2</v>
      </c>
      <c r="Y1650" t="s">
        <v>19016</v>
      </c>
      <c r="Z1650" t="s">
        <v>24712</v>
      </c>
      <c r="AA1650">
        <v>0.81772962527915938</v>
      </c>
      <c r="AB1650" t="str">
        <f>HYPERLINK("Melting_Curves/meltCurve_O95807_TMEM50A.pdf", "Melting_Curves/meltCurve_O95807_TMEM50A.pdf")</f>
        <v>Melting_Curves/meltCurve_O95807_TMEM50A.pdf</v>
      </c>
    </row>
    <row r="1651" spans="1:28" x14ac:dyDescent="0.25">
      <c r="A1651" t="s">
        <v>1655</v>
      </c>
      <c r="B1651">
        <v>0.99996721820229495</v>
      </c>
      <c r="C1651">
        <v>0.89774565231805403</v>
      </c>
      <c r="D1651">
        <v>0.92038577102991803</v>
      </c>
      <c r="E1651">
        <v>1.1196572624163901</v>
      </c>
      <c r="F1651">
        <v>1.53158505210169</v>
      </c>
      <c r="G1651">
        <v>1.70035565767345</v>
      </c>
      <c r="H1651">
        <v>1.7016711434504099</v>
      </c>
      <c r="I1651">
        <v>1.66690734987944</v>
      </c>
      <c r="J1651">
        <v>1.42983118605874</v>
      </c>
      <c r="K1651">
        <v>1.3304888276319</v>
      </c>
      <c r="L1651">
        <v>12557.8218725144</v>
      </c>
      <c r="M1651">
        <v>250</v>
      </c>
      <c r="O1651">
        <v>50.228073033186199</v>
      </c>
      <c r="P1651">
        <v>0.62216203324516195</v>
      </c>
      <c r="Q1651">
        <v>1.5</v>
      </c>
      <c r="R1651">
        <v>0.83095382729411205</v>
      </c>
      <c r="S1651" t="s">
        <v>7477</v>
      </c>
      <c r="T1651" t="s">
        <v>11650</v>
      </c>
      <c r="U1651" t="s">
        <v>11650</v>
      </c>
      <c r="V1651" t="s">
        <v>11650</v>
      </c>
      <c r="W1651" t="s">
        <v>13272</v>
      </c>
      <c r="X1651">
        <v>11</v>
      </c>
      <c r="Y1651" t="s">
        <v>19017</v>
      </c>
      <c r="Z1651" t="s">
        <v>24713</v>
      </c>
      <c r="AA1651">
        <v>1.329434464268487</v>
      </c>
      <c r="AB1651" t="str">
        <f>HYPERLINK("Melting_Curves/meltCurve_O95810_SDPR.pdf", "Melting_Curves/meltCurve_O95810_SDPR.pdf")</f>
        <v>Melting_Curves/meltCurve_O95810_SDPR.pdf</v>
      </c>
    </row>
    <row r="1652" spans="1:28" x14ac:dyDescent="0.25">
      <c r="A1652" t="s">
        <v>1656</v>
      </c>
      <c r="B1652">
        <v>0.99996721820229495</v>
      </c>
      <c r="C1652">
        <v>1.0139493193798099</v>
      </c>
      <c r="D1652">
        <v>1.13544058100176</v>
      </c>
      <c r="E1652">
        <v>1.6222974761284099</v>
      </c>
      <c r="F1652">
        <v>3.3651355333663</v>
      </c>
      <c r="G1652">
        <v>2.27836512862994</v>
      </c>
      <c r="H1652">
        <v>1.26318008931338</v>
      </c>
      <c r="I1652">
        <v>0.84449831155214505</v>
      </c>
      <c r="J1652">
        <v>0.66525100882303001</v>
      </c>
      <c r="K1652">
        <v>0.49626438118758098</v>
      </c>
      <c r="L1652">
        <v>3522.8659262587498</v>
      </c>
      <c r="M1652">
        <v>53.497629658967</v>
      </c>
      <c r="O1652">
        <v>65.759058236968997</v>
      </c>
      <c r="P1652">
        <v>-0.10372341594185</v>
      </c>
      <c r="Q1652">
        <v>0.49001481281737802</v>
      </c>
      <c r="R1652">
        <v>-0.14505324691323199</v>
      </c>
      <c r="S1652" t="s">
        <v>7478</v>
      </c>
      <c r="T1652" t="s">
        <v>11650</v>
      </c>
      <c r="U1652" t="s">
        <v>11650</v>
      </c>
      <c r="V1652" t="s">
        <v>11650</v>
      </c>
      <c r="W1652" t="s">
        <v>13273</v>
      </c>
      <c r="X1652">
        <v>12</v>
      </c>
      <c r="Y1652" t="s">
        <v>19018</v>
      </c>
      <c r="Z1652" t="s">
        <v>24714</v>
      </c>
      <c r="AA1652">
        <v>0.92974653997416701</v>
      </c>
      <c r="AB1652" t="str">
        <f>HYPERLINK("Melting_Curves/meltCurve_O95816_BAG2.pdf", "Melting_Curves/meltCurve_O95816_BAG2.pdf")</f>
        <v>Melting_Curves/meltCurve_O95816_BAG2.pdf</v>
      </c>
    </row>
    <row r="1653" spans="1:28" x14ac:dyDescent="0.25">
      <c r="A1653" t="s">
        <v>1657</v>
      </c>
      <c r="B1653">
        <v>0.99996721820229495</v>
      </c>
      <c r="C1653">
        <v>1.0587575703344201</v>
      </c>
      <c r="D1653">
        <v>0.95950500830467</v>
      </c>
      <c r="E1653">
        <v>0.96045903259175502</v>
      </c>
      <c r="F1653">
        <v>1.17015583977142</v>
      </c>
      <c r="G1653">
        <v>1.2404053785862199</v>
      </c>
      <c r="H1653">
        <v>1.01150637087367</v>
      </c>
      <c r="I1653">
        <v>0.98607938363044101</v>
      </c>
      <c r="J1653">
        <v>1.0235113658367501</v>
      </c>
      <c r="K1653">
        <v>0.83233182725947397</v>
      </c>
      <c r="L1653">
        <v>15000</v>
      </c>
      <c r="M1653">
        <v>212.68345339341801</v>
      </c>
      <c r="Q1653">
        <v>0</v>
      </c>
      <c r="R1653">
        <v>0.190742943762547</v>
      </c>
      <c r="S1653" t="s">
        <v>7479</v>
      </c>
      <c r="T1653" t="s">
        <v>11650</v>
      </c>
      <c r="U1653" t="s">
        <v>11650</v>
      </c>
      <c r="V1653" t="s">
        <v>11650</v>
      </c>
      <c r="W1653" t="s">
        <v>13274</v>
      </c>
      <c r="X1653">
        <v>29</v>
      </c>
      <c r="Y1653" t="s">
        <v>17705</v>
      </c>
      <c r="Z1653" t="s">
        <v>24715</v>
      </c>
      <c r="AA1653">
        <v>0.99802090659198039</v>
      </c>
      <c r="AB1653" t="str">
        <f>HYPERLINK("Melting_Curves/meltCurve_O95817_BAG3.pdf", "Melting_Curves/meltCurve_O95817_BAG3.pdf")</f>
        <v>Melting_Curves/meltCurve_O95817_BAG3.pdf</v>
      </c>
    </row>
    <row r="1654" spans="1:28" x14ac:dyDescent="0.25">
      <c r="A1654" t="s">
        <v>1658</v>
      </c>
      <c r="B1654">
        <v>0.99996721820229495</v>
      </c>
      <c r="C1654">
        <v>1.0203585452600199</v>
      </c>
      <c r="D1654">
        <v>1.1465225119460301</v>
      </c>
      <c r="E1654">
        <v>1.90409742387605</v>
      </c>
      <c r="F1654">
        <v>2.71741527156609</v>
      </c>
      <c r="G1654">
        <v>3.1397161321443399</v>
      </c>
      <c r="H1654">
        <v>1.3949921469717199</v>
      </c>
      <c r="I1654">
        <v>0.22723835897446301</v>
      </c>
      <c r="J1654">
        <v>0.14721081498121499</v>
      </c>
      <c r="K1654">
        <v>0.12018323999082101</v>
      </c>
      <c r="L1654">
        <v>15000</v>
      </c>
      <c r="M1654">
        <v>236.48118592474901</v>
      </c>
      <c r="N1654">
        <v>63.513478030260401</v>
      </c>
      <c r="O1654">
        <v>63.4254586829502</v>
      </c>
      <c r="P1654">
        <v>-0.80762456903245405</v>
      </c>
      <c r="Q1654">
        <v>0.133563934247347</v>
      </c>
      <c r="R1654">
        <v>0.13269812948317999</v>
      </c>
      <c r="S1654" t="s">
        <v>7480</v>
      </c>
      <c r="T1654" t="s">
        <v>11650</v>
      </c>
      <c r="U1654" t="s">
        <v>11650</v>
      </c>
      <c r="V1654" t="s">
        <v>11650</v>
      </c>
      <c r="W1654" t="s">
        <v>13275</v>
      </c>
      <c r="X1654">
        <v>12</v>
      </c>
      <c r="Y1654" t="s">
        <v>19019</v>
      </c>
      <c r="Z1654" t="s">
        <v>24716</v>
      </c>
      <c r="AA1654">
        <v>0.81035809934213177</v>
      </c>
      <c r="AB1654" t="str">
        <f>HYPERLINK("Melting_Curves/meltCurve_O95825_CRYZL1.pdf", "Melting_Curves/meltCurve_O95825_CRYZL1.pdf")</f>
        <v>Melting_Curves/meltCurve_O95825_CRYZL1.pdf</v>
      </c>
    </row>
    <row r="1655" spans="1:28" x14ac:dyDescent="0.25">
      <c r="A1655" t="s">
        <v>1659</v>
      </c>
      <c r="B1655">
        <v>0.99996721820229495</v>
      </c>
      <c r="C1655">
        <v>0.95026787879700203</v>
      </c>
      <c r="D1655">
        <v>1.0475871120064999</v>
      </c>
      <c r="E1655">
        <v>1.5912466204964</v>
      </c>
      <c r="F1655">
        <v>2.1376395330648799</v>
      </c>
      <c r="G1655">
        <v>3.1558896467782702</v>
      </c>
      <c r="H1655">
        <v>1.3904121548836501</v>
      </c>
      <c r="I1655">
        <v>0.35842716977286299</v>
      </c>
      <c r="J1655">
        <v>0.18614973105355101</v>
      </c>
      <c r="K1655">
        <v>0.129104303836239</v>
      </c>
      <c r="L1655">
        <v>15000</v>
      </c>
      <c r="M1655">
        <v>235.53604183918401</v>
      </c>
      <c r="N1655">
        <v>63.787059270441198</v>
      </c>
      <c r="O1655">
        <v>63.679931803103202</v>
      </c>
      <c r="P1655">
        <v>-0.77895357089332695</v>
      </c>
      <c r="Q1655">
        <v>0.157603087422854</v>
      </c>
      <c r="R1655">
        <v>0.18372149476871799</v>
      </c>
      <c r="S1655" t="s">
        <v>7481</v>
      </c>
      <c r="T1655" t="s">
        <v>11650</v>
      </c>
      <c r="U1655" t="s">
        <v>11650</v>
      </c>
      <c r="V1655" t="s">
        <v>11650</v>
      </c>
      <c r="W1655" t="s">
        <v>13276</v>
      </c>
      <c r="X1655">
        <v>16</v>
      </c>
      <c r="Y1655" t="s">
        <v>19020</v>
      </c>
      <c r="Z1655" t="s">
        <v>24717</v>
      </c>
      <c r="AA1655">
        <v>0.82276807144367758</v>
      </c>
      <c r="AB1655" t="str">
        <f>HYPERLINK("Melting_Curves/meltCurve_O95831_3_AIFM1.pdf", "Melting_Curves/meltCurve_O95831_3_AIFM1.pdf")</f>
        <v>Melting_Curves/meltCurve_O95831_3_AIFM1.pdf</v>
      </c>
    </row>
    <row r="1656" spans="1:28" x14ac:dyDescent="0.25">
      <c r="A1656" t="s">
        <v>1660</v>
      </c>
      <c r="B1656">
        <v>0.99996721820229495</v>
      </c>
      <c r="C1656">
        <v>1.02325996138635</v>
      </c>
      <c r="D1656">
        <v>0.889142170699881</v>
      </c>
      <c r="E1656">
        <v>0.60308102240657901</v>
      </c>
      <c r="F1656">
        <v>0.41976849022774199</v>
      </c>
      <c r="G1656">
        <v>0.344604374036174</v>
      </c>
      <c r="H1656">
        <v>0.242790718561259</v>
      </c>
      <c r="I1656">
        <v>0.16024177948403201</v>
      </c>
      <c r="J1656">
        <v>0.12579530589357599</v>
      </c>
      <c r="K1656">
        <v>8.6896077755925005E-2</v>
      </c>
      <c r="L1656">
        <v>746.27918989355805</v>
      </c>
      <c r="M1656">
        <v>14.5263203755483</v>
      </c>
      <c r="N1656">
        <v>52.298828709715004</v>
      </c>
      <c r="O1656">
        <v>50.430110294121597</v>
      </c>
      <c r="P1656">
        <v>-6.3864956442683404E-2</v>
      </c>
      <c r="Q1656">
        <v>0.113237820149131</v>
      </c>
      <c r="R1656">
        <v>0.98557746647311695</v>
      </c>
      <c r="S1656" t="s">
        <v>7482</v>
      </c>
      <c r="T1656" t="s">
        <v>11650</v>
      </c>
      <c r="U1656" t="s">
        <v>11650</v>
      </c>
      <c r="V1656" t="s">
        <v>11650</v>
      </c>
      <c r="W1656" t="s">
        <v>13277</v>
      </c>
      <c r="X1656">
        <v>14</v>
      </c>
      <c r="Y1656" t="s">
        <v>19021</v>
      </c>
      <c r="Z1656" t="s">
        <v>24718</v>
      </c>
      <c r="AA1656">
        <v>0.47075324817773212</v>
      </c>
      <c r="AB1656" t="str">
        <f>HYPERLINK("Melting_Curves/meltCurve_O95833_CLIC3.pdf", "Melting_Curves/meltCurve_O95833_CLIC3.pdf")</f>
        <v>Melting_Curves/meltCurve_O95833_CLIC3.pdf</v>
      </c>
    </row>
    <row r="1657" spans="1:28" x14ac:dyDescent="0.25">
      <c r="A1657" t="s">
        <v>1661</v>
      </c>
      <c r="B1657">
        <v>0.99996721820229495</v>
      </c>
      <c r="C1657">
        <v>1.0258685076043801</v>
      </c>
      <c r="D1657">
        <v>1.01664486991845</v>
      </c>
      <c r="E1657">
        <v>1.1430936070770901</v>
      </c>
      <c r="F1657">
        <v>1.0964752275588401</v>
      </c>
      <c r="G1657">
        <v>0.48677277335145003</v>
      </c>
      <c r="H1657">
        <v>0.28820865632814502</v>
      </c>
      <c r="I1657">
        <v>0.19336533276673101</v>
      </c>
      <c r="J1657">
        <v>0.14555495074675501</v>
      </c>
      <c r="K1657">
        <v>0.131431255157683</v>
      </c>
      <c r="L1657">
        <v>6987.0024563636098</v>
      </c>
      <c r="M1657">
        <v>123.124533499742</v>
      </c>
      <c r="N1657">
        <v>56.967996764248099</v>
      </c>
      <c r="O1657">
        <v>56.7324759948077</v>
      </c>
      <c r="P1657">
        <v>-0.43970778736897298</v>
      </c>
      <c r="Q1657">
        <v>0.18957788927406199</v>
      </c>
      <c r="R1657">
        <v>0.97353383716157005</v>
      </c>
      <c r="S1657" t="s">
        <v>7483</v>
      </c>
      <c r="T1657" t="s">
        <v>11650</v>
      </c>
      <c r="U1657" t="s">
        <v>11650</v>
      </c>
      <c r="V1657" t="s">
        <v>11650</v>
      </c>
      <c r="W1657" t="s">
        <v>13278</v>
      </c>
      <c r="X1657">
        <v>22</v>
      </c>
      <c r="Y1657" t="s">
        <v>19022</v>
      </c>
      <c r="Z1657" t="s">
        <v>24719</v>
      </c>
      <c r="AA1657">
        <v>0.64232747793717626</v>
      </c>
      <c r="AB1657" t="str">
        <f>HYPERLINK("Melting_Curves/meltCurve_O95834_EML2.pdf", "Melting_Curves/meltCurve_O95834_EML2.pdf")</f>
        <v>Melting_Curves/meltCurve_O95834_EML2.pdf</v>
      </c>
    </row>
    <row r="1658" spans="1:28" x14ac:dyDescent="0.25">
      <c r="A1658" t="s">
        <v>1662</v>
      </c>
      <c r="B1658">
        <v>0.99996721820229495</v>
      </c>
      <c r="C1658">
        <v>1.0452802075277601</v>
      </c>
      <c r="D1658">
        <v>0.97868286076502498</v>
      </c>
      <c r="E1658">
        <v>0.79418418275161495</v>
      </c>
      <c r="F1658">
        <v>0.899871769007212</v>
      </c>
      <c r="G1658">
        <v>0.72055393498474796</v>
      </c>
      <c r="H1658">
        <v>0.30564794916941801</v>
      </c>
      <c r="I1658">
        <v>0.25323976030850998</v>
      </c>
      <c r="J1658">
        <v>0.16972798695774899</v>
      </c>
      <c r="K1658">
        <v>0.13545985774470901</v>
      </c>
      <c r="L1658">
        <v>1000.8127399473</v>
      </c>
      <c r="M1658">
        <v>17.079860568938798</v>
      </c>
      <c r="N1658">
        <v>59.091987458379698</v>
      </c>
      <c r="O1658">
        <v>57.8105112575468</v>
      </c>
      <c r="P1658">
        <v>-6.8933898466718505E-2</v>
      </c>
      <c r="Q1658">
        <v>6.6769396850693996E-2</v>
      </c>
      <c r="R1658">
        <v>0.96718803134803</v>
      </c>
      <c r="S1658" t="s">
        <v>7484</v>
      </c>
      <c r="T1658" t="s">
        <v>11650</v>
      </c>
      <c r="U1658" t="s">
        <v>11650</v>
      </c>
      <c r="V1658" t="s">
        <v>11650</v>
      </c>
      <c r="W1658" t="s">
        <v>13279</v>
      </c>
      <c r="X1658">
        <v>4</v>
      </c>
      <c r="Y1658" t="s">
        <v>19023</v>
      </c>
      <c r="Z1658" t="s">
        <v>24720</v>
      </c>
      <c r="AA1658">
        <v>0.65608489362101063</v>
      </c>
      <c r="AB1658" t="str">
        <f>HYPERLINK("Melting_Curves/meltCurve_O95848_NUDT14.pdf", "Melting_Curves/meltCurve_O95848_NUDT14.pdf")</f>
        <v>Melting_Curves/meltCurve_O95848_NUDT14.pdf</v>
      </c>
    </row>
    <row r="1659" spans="1:28" x14ac:dyDescent="0.25">
      <c r="A1659" t="s">
        <v>1663</v>
      </c>
      <c r="B1659">
        <v>0.99996721820229495</v>
      </c>
      <c r="C1659">
        <v>0.83316886921895605</v>
      </c>
      <c r="D1659">
        <v>0.94834438469423599</v>
      </c>
      <c r="E1659">
        <v>1.01096900405042</v>
      </c>
      <c r="F1659">
        <v>1.46867687391615</v>
      </c>
      <c r="G1659">
        <v>1.33421886894285</v>
      </c>
      <c r="H1659">
        <v>1.13140736758977</v>
      </c>
      <c r="I1659">
        <v>1.1259740256863799</v>
      </c>
      <c r="J1659">
        <v>0.77442733837404798</v>
      </c>
      <c r="K1659">
        <v>0.68936328775311695</v>
      </c>
      <c r="L1659">
        <v>15000</v>
      </c>
      <c r="M1659">
        <v>224.85470167544901</v>
      </c>
      <c r="O1659">
        <v>66.704474017721495</v>
      </c>
      <c r="P1659">
        <v>-0.26180938800732201</v>
      </c>
      <c r="Q1659">
        <v>0.68933082570431503</v>
      </c>
      <c r="R1659">
        <v>0.25795233081454999</v>
      </c>
      <c r="S1659" t="s">
        <v>7485</v>
      </c>
      <c r="T1659" t="s">
        <v>11650</v>
      </c>
      <c r="U1659" t="s">
        <v>11650</v>
      </c>
      <c r="V1659" t="s">
        <v>11650</v>
      </c>
      <c r="W1659" t="s">
        <v>13280</v>
      </c>
      <c r="X1659">
        <v>2</v>
      </c>
      <c r="Y1659" t="s">
        <v>19024</v>
      </c>
      <c r="Z1659" t="s">
        <v>24721</v>
      </c>
      <c r="AA1659">
        <v>0.96597219091508113</v>
      </c>
      <c r="AB1659" t="str">
        <f>HYPERLINK("Melting_Curves/meltCurve_O95857_TSPAN13.pdf", "Melting_Curves/meltCurve_O95857_TSPAN13.pdf")</f>
        <v>Melting_Curves/meltCurve_O95857_TSPAN13.pdf</v>
      </c>
    </row>
    <row r="1660" spans="1:28" x14ac:dyDescent="0.25">
      <c r="A1660" t="s">
        <v>1664</v>
      </c>
      <c r="B1660">
        <v>0.99996721820229495</v>
      </c>
      <c r="C1660">
        <v>0.76422188904073796</v>
      </c>
      <c r="D1660">
        <v>0.93671434195911596</v>
      </c>
      <c r="E1660">
        <v>0.76015044728007797</v>
      </c>
      <c r="F1660">
        <v>0.439908160790009</v>
      </c>
      <c r="G1660">
        <v>0.35124085503374802</v>
      </c>
      <c r="H1660">
        <v>0.18970809971559599</v>
      </c>
      <c r="I1660">
        <v>0.102157755667189</v>
      </c>
      <c r="J1660">
        <v>7.4417385672869693E-2</v>
      </c>
      <c r="K1660">
        <v>5.7512996814047E-2</v>
      </c>
      <c r="L1660">
        <v>629.40666162720402</v>
      </c>
      <c r="M1660">
        <v>11.801147953291199</v>
      </c>
      <c r="N1660">
        <v>53.334357703297002</v>
      </c>
      <c r="O1660">
        <v>51.872011245361598</v>
      </c>
      <c r="P1660">
        <v>-5.6890906711898601E-2</v>
      </c>
      <c r="Q1660">
        <v>0</v>
      </c>
      <c r="R1660">
        <v>0.95806167206190196</v>
      </c>
      <c r="S1660" t="s">
        <v>7486</v>
      </c>
      <c r="T1660" t="s">
        <v>11650</v>
      </c>
      <c r="U1660" t="s">
        <v>11650</v>
      </c>
      <c r="V1660" t="s">
        <v>11650</v>
      </c>
      <c r="W1660" t="s">
        <v>13281</v>
      </c>
      <c r="X1660">
        <v>7</v>
      </c>
      <c r="Y1660" t="s">
        <v>19025</v>
      </c>
      <c r="Z1660" t="s">
        <v>24722</v>
      </c>
      <c r="AA1660">
        <v>0.47268007086205788</v>
      </c>
      <c r="AB1660" t="str">
        <f>HYPERLINK("Melting_Curves/meltCurve_O95864_FADS2.pdf", "Melting_Curves/meltCurve_O95864_FADS2.pdf")</f>
        <v>Melting_Curves/meltCurve_O95864_FADS2.pdf</v>
      </c>
    </row>
    <row r="1661" spans="1:28" x14ac:dyDescent="0.25">
      <c r="A1661" t="s">
        <v>1665</v>
      </c>
      <c r="B1661">
        <v>0.99996721820229495</v>
      </c>
      <c r="C1661">
        <v>0.96271463602073304</v>
      </c>
      <c r="D1661">
        <v>0.91378082162337904</v>
      </c>
      <c r="E1661">
        <v>0.96740334258623895</v>
      </c>
      <c r="F1661">
        <v>1.19201284058993</v>
      </c>
      <c r="G1661">
        <v>0.81022327816960704</v>
      </c>
      <c r="H1661">
        <v>0.20112261630040501</v>
      </c>
      <c r="I1661">
        <v>0.13745802103802299</v>
      </c>
      <c r="J1661">
        <v>0.102649807404328</v>
      </c>
      <c r="K1661">
        <v>0.10107923195125799</v>
      </c>
      <c r="L1661">
        <v>3183.7097784364601</v>
      </c>
      <c r="M1661">
        <v>54.490516715414799</v>
      </c>
      <c r="N1661">
        <v>58.702037826173701</v>
      </c>
      <c r="O1661">
        <v>58.348325906922703</v>
      </c>
      <c r="P1661">
        <v>-0.207157739782491</v>
      </c>
      <c r="Q1661">
        <v>0.112704319832133</v>
      </c>
      <c r="R1661">
        <v>0.97252948534920103</v>
      </c>
      <c r="S1661" t="s">
        <v>7487</v>
      </c>
      <c r="T1661" t="s">
        <v>11650</v>
      </c>
      <c r="U1661" t="s">
        <v>11650</v>
      </c>
      <c r="V1661" t="s">
        <v>11650</v>
      </c>
      <c r="W1661" t="s">
        <v>13282</v>
      </c>
      <c r="X1661">
        <v>18</v>
      </c>
      <c r="Y1661" t="s">
        <v>19026</v>
      </c>
      <c r="Z1661" t="s">
        <v>24723</v>
      </c>
      <c r="AA1661">
        <v>0.65962461147412732</v>
      </c>
      <c r="AB1661" t="str">
        <f>HYPERLINK("Melting_Curves/meltCurve_O95865_DDAH2.pdf", "Melting_Curves/meltCurve_O95865_DDAH2.pdf")</f>
        <v>Melting_Curves/meltCurve_O95865_DDAH2.pdf</v>
      </c>
    </row>
    <row r="1662" spans="1:28" x14ac:dyDescent="0.25">
      <c r="A1662" t="s">
        <v>1666</v>
      </c>
      <c r="B1662">
        <v>0.99996721820229495</v>
      </c>
      <c r="C1662">
        <v>0.86803420913062901</v>
      </c>
      <c r="D1662">
        <v>1.1402968063069201</v>
      </c>
      <c r="E1662">
        <v>1.26565721929279</v>
      </c>
      <c r="F1662">
        <v>1.4302287876289601</v>
      </c>
      <c r="G1662">
        <v>2.1846582656081601</v>
      </c>
      <c r="H1662">
        <v>1.3056959871985701</v>
      </c>
      <c r="I1662">
        <v>0.83670063671579697</v>
      </c>
      <c r="J1662">
        <v>0.54452959598502504</v>
      </c>
      <c r="K1662">
        <v>0.56365565954548902</v>
      </c>
      <c r="L1662">
        <v>15000</v>
      </c>
      <c r="M1662">
        <v>233.82643335682101</v>
      </c>
      <c r="O1662">
        <v>64.145454086798395</v>
      </c>
      <c r="P1662">
        <v>-0.40637099958214101</v>
      </c>
      <c r="Q1662">
        <v>0.55408202811917096</v>
      </c>
      <c r="R1662">
        <v>0.14129427264001501</v>
      </c>
      <c r="S1662" t="s">
        <v>7488</v>
      </c>
      <c r="T1662" t="s">
        <v>11650</v>
      </c>
      <c r="U1662" t="s">
        <v>11650</v>
      </c>
      <c r="V1662" t="s">
        <v>11650</v>
      </c>
      <c r="W1662" t="s">
        <v>13283</v>
      </c>
      <c r="X1662">
        <v>3</v>
      </c>
      <c r="Y1662" t="s">
        <v>19027</v>
      </c>
      <c r="Z1662" t="s">
        <v>24724</v>
      </c>
      <c r="AA1662">
        <v>0.91310556537011178</v>
      </c>
      <c r="AB1662" t="str">
        <f>HYPERLINK("Melting_Curves/meltCurve_O95873_C6orf47.pdf", "Melting_Curves/meltCurve_O95873_C6orf47.pdf")</f>
        <v>Melting_Curves/meltCurve_O95873_C6orf47.pdf</v>
      </c>
    </row>
    <row r="1663" spans="1:28" x14ac:dyDescent="0.25">
      <c r="A1663" t="s">
        <v>1667</v>
      </c>
      <c r="B1663">
        <v>0.99996721820229495</v>
      </c>
      <c r="C1663">
        <v>1.0741905684158199</v>
      </c>
      <c r="D1663">
        <v>0.991800148997381</v>
      </c>
      <c r="E1663">
        <v>0.83049111972441103</v>
      </c>
      <c r="F1663">
        <v>0.68194745651578303</v>
      </c>
      <c r="G1663">
        <v>0.58611542329293898</v>
      </c>
      <c r="H1663">
        <v>0.38871953294259498</v>
      </c>
      <c r="I1663">
        <v>0.35410019105985202</v>
      </c>
      <c r="J1663">
        <v>0.33389946089005501</v>
      </c>
      <c r="K1663">
        <v>0.238938328031641</v>
      </c>
      <c r="L1663">
        <v>734.00359801963202</v>
      </c>
      <c r="M1663">
        <v>13.2568460986048</v>
      </c>
      <c r="N1663">
        <v>58.0973866100435</v>
      </c>
      <c r="O1663">
        <v>54.153503912841302</v>
      </c>
      <c r="P1663">
        <v>-4.7022611025927301E-2</v>
      </c>
      <c r="Q1663">
        <v>0.23178640534658099</v>
      </c>
      <c r="R1663">
        <v>0.98083841413391504</v>
      </c>
      <c r="S1663" t="s">
        <v>7489</v>
      </c>
      <c r="T1663" t="s">
        <v>11650</v>
      </c>
      <c r="U1663" t="s">
        <v>11650</v>
      </c>
      <c r="V1663" t="s">
        <v>11650</v>
      </c>
      <c r="W1663" t="s">
        <v>13284</v>
      </c>
      <c r="X1663">
        <v>11</v>
      </c>
      <c r="Y1663" t="s">
        <v>19028</v>
      </c>
      <c r="Z1663" t="s">
        <v>24725</v>
      </c>
      <c r="AA1663">
        <v>0.64137692568915372</v>
      </c>
      <c r="AB1663" t="str">
        <f>HYPERLINK("Melting_Curves/meltCurve_O95881_TXNDC12.pdf", "Melting_Curves/meltCurve_O95881_TXNDC12.pdf")</f>
        <v>Melting_Curves/meltCurve_O95881_TXNDC12.pdf</v>
      </c>
    </row>
    <row r="1664" spans="1:28" x14ac:dyDescent="0.25">
      <c r="A1664" t="s">
        <v>1668</v>
      </c>
      <c r="B1664">
        <v>0.99996721820229495</v>
      </c>
      <c r="C1664">
        <v>1.16093165363705</v>
      </c>
      <c r="D1664">
        <v>0.96189566610579902</v>
      </c>
      <c r="E1664">
        <v>0.74953110272785595</v>
      </c>
      <c r="F1664">
        <v>0.55081396755563805</v>
      </c>
      <c r="G1664">
        <v>0.40624772605076698</v>
      </c>
      <c r="H1664">
        <v>0.26032034238468599</v>
      </c>
      <c r="I1664">
        <v>0.21223066802735099</v>
      </c>
      <c r="J1664">
        <v>9.6514357891621105E-2</v>
      </c>
      <c r="K1664">
        <v>0.130443001370497</v>
      </c>
      <c r="L1664">
        <v>821.99586004698403</v>
      </c>
      <c r="M1664">
        <v>15.3341114426186</v>
      </c>
      <c r="N1664">
        <v>54.515107942794103</v>
      </c>
      <c r="O1664">
        <v>52.7188484889463</v>
      </c>
      <c r="P1664">
        <v>-6.4516333434890993E-2</v>
      </c>
      <c r="Q1664">
        <v>0.112850979367996</v>
      </c>
      <c r="R1664">
        <v>0.96937208517905704</v>
      </c>
      <c r="S1664" t="s">
        <v>7490</v>
      </c>
      <c r="T1664" t="s">
        <v>11650</v>
      </c>
      <c r="U1664" t="s">
        <v>11650</v>
      </c>
      <c r="V1664" t="s">
        <v>11650</v>
      </c>
      <c r="W1664" t="s">
        <v>13285</v>
      </c>
      <c r="X1664">
        <v>4</v>
      </c>
      <c r="Y1664" t="s">
        <v>19029</v>
      </c>
      <c r="Z1664" t="s">
        <v>24726</v>
      </c>
      <c r="AA1664">
        <v>0.53323661955288004</v>
      </c>
      <c r="AB1664" t="str">
        <f>HYPERLINK("Melting_Curves/meltCurve_O95905_ECD.pdf", "Melting_Curves/meltCurve_O95905_ECD.pdf")</f>
        <v>Melting_Curves/meltCurve_O95905_ECD.pdf</v>
      </c>
    </row>
    <row r="1665" spans="1:28" x14ac:dyDescent="0.25">
      <c r="A1665" t="s">
        <v>1669</v>
      </c>
      <c r="B1665">
        <v>0.99996721820229495</v>
      </c>
      <c r="C1665">
        <v>0.87508644872040398</v>
      </c>
      <c r="D1665">
        <v>0.92765969737674103</v>
      </c>
      <c r="E1665">
        <v>1.0777156904348599</v>
      </c>
      <c r="F1665">
        <v>1.3669682017318201</v>
      </c>
      <c r="G1665">
        <v>1.36540616968189</v>
      </c>
      <c r="H1665">
        <v>1.1496230739740501</v>
      </c>
      <c r="I1665">
        <v>1.0771031747947299</v>
      </c>
      <c r="J1665">
        <v>1.00840033985566</v>
      </c>
      <c r="K1665">
        <v>0.87908259687228696</v>
      </c>
      <c r="L1665">
        <v>15000</v>
      </c>
      <c r="M1665">
        <v>212.301936148083</v>
      </c>
      <c r="Q1665">
        <v>0</v>
      </c>
      <c r="R1665">
        <v>-0.13404463999072899</v>
      </c>
      <c r="S1665" t="s">
        <v>7491</v>
      </c>
      <c r="T1665" t="s">
        <v>11650</v>
      </c>
      <c r="U1665" t="s">
        <v>11650</v>
      </c>
      <c r="V1665" t="s">
        <v>11650</v>
      </c>
      <c r="W1665" t="s">
        <v>13286</v>
      </c>
      <c r="X1665">
        <v>5</v>
      </c>
      <c r="Y1665" t="s">
        <v>19030</v>
      </c>
      <c r="Z1665" t="s">
        <v>24727</v>
      </c>
      <c r="AA1665">
        <v>0.99861002485077976</v>
      </c>
      <c r="AB1665" t="str">
        <f>HYPERLINK("Melting_Curves/meltCurve_O95926_SYF2.pdf", "Melting_Curves/meltCurve_O95926_SYF2.pdf")</f>
        <v>Melting_Curves/meltCurve_O95926_SYF2.pdf</v>
      </c>
    </row>
    <row r="1666" spans="1:28" x14ac:dyDescent="0.25">
      <c r="A1666" t="s">
        <v>1670</v>
      </c>
      <c r="B1666">
        <v>0.99996721820229495</v>
      </c>
      <c r="C1666">
        <v>0.99108273436809602</v>
      </c>
      <c r="D1666">
        <v>1.0267965650153399</v>
      </c>
      <c r="E1666">
        <v>1.2109865909010999</v>
      </c>
      <c r="F1666">
        <v>1.5714399097590299</v>
      </c>
      <c r="G1666">
        <v>2.2256233592430998</v>
      </c>
      <c r="H1666">
        <v>1.7150274369118701</v>
      </c>
      <c r="I1666">
        <v>1.40505725788896</v>
      </c>
      <c r="J1666">
        <v>1.07238005880514</v>
      </c>
      <c r="K1666">
        <v>0.91450312216596796</v>
      </c>
      <c r="L1666">
        <v>12512.887145636099</v>
      </c>
      <c r="M1666">
        <v>250</v>
      </c>
      <c r="O1666">
        <v>50.048368248768</v>
      </c>
      <c r="P1666">
        <v>0.60442211179723704</v>
      </c>
      <c r="Q1666">
        <v>1.4840052289594701</v>
      </c>
      <c r="R1666">
        <v>0.29650389907868202</v>
      </c>
      <c r="S1666" t="s">
        <v>7492</v>
      </c>
      <c r="T1666" t="s">
        <v>11650</v>
      </c>
      <c r="U1666" t="s">
        <v>11650</v>
      </c>
      <c r="V1666" t="s">
        <v>11650</v>
      </c>
      <c r="W1666" t="s">
        <v>13287</v>
      </c>
      <c r="X1666">
        <v>24</v>
      </c>
      <c r="Y1666" t="s">
        <v>19031</v>
      </c>
      <c r="Z1666" t="s">
        <v>24728</v>
      </c>
      <c r="AA1666">
        <v>1.3217959783210651</v>
      </c>
      <c r="AB1666" t="str">
        <f>HYPERLINK("Melting_Curves/meltCurve_O95965_ITGBL1.pdf", "Melting_Curves/meltCurve_O95965_ITGBL1.pdf")</f>
        <v>Melting_Curves/meltCurve_O95965_ITGBL1.pdf</v>
      </c>
    </row>
    <row r="1667" spans="1:28" x14ac:dyDescent="0.25">
      <c r="A1667" t="s">
        <v>1671</v>
      </c>
      <c r="B1667">
        <v>0.99996721820229495</v>
      </c>
      <c r="C1667">
        <v>0.899038886464677</v>
      </c>
      <c r="D1667">
        <v>1.0545927270940501</v>
      </c>
      <c r="E1667">
        <v>1.3808439785143101</v>
      </c>
      <c r="F1667">
        <v>1.9847699849157701</v>
      </c>
      <c r="G1667">
        <v>2.3510831203770599</v>
      </c>
      <c r="H1667">
        <v>1.60472133885075</v>
      </c>
      <c r="I1667">
        <v>0.57584034386212901</v>
      </c>
      <c r="J1667">
        <v>0.409552211899885</v>
      </c>
      <c r="K1667">
        <v>0.37659518940432601</v>
      </c>
      <c r="L1667">
        <v>15000</v>
      </c>
      <c r="M1667">
        <v>235.21626817895401</v>
      </c>
      <c r="N1667">
        <v>64.191978649946293</v>
      </c>
      <c r="O1667">
        <v>63.766489413133101</v>
      </c>
      <c r="P1667">
        <v>-0.55971272466600397</v>
      </c>
      <c r="Q1667">
        <v>0.39305362305653702</v>
      </c>
      <c r="R1667">
        <v>0.16345438142744201</v>
      </c>
      <c r="S1667" t="s">
        <v>7493</v>
      </c>
      <c r="T1667" t="s">
        <v>11650</v>
      </c>
      <c r="U1667" t="s">
        <v>11650</v>
      </c>
      <c r="V1667" t="s">
        <v>11650</v>
      </c>
      <c r="W1667" t="s">
        <v>13288</v>
      </c>
      <c r="X1667">
        <v>44</v>
      </c>
      <c r="Y1667" t="s">
        <v>19032</v>
      </c>
      <c r="Z1667" t="s">
        <v>24729</v>
      </c>
      <c r="AA1667">
        <v>0.87405644709510788</v>
      </c>
      <c r="AB1667" t="str">
        <f>HYPERLINK("Melting_Curves/meltCurve_O95980_RECK.pdf", "Melting_Curves/meltCurve_O95980_RECK.pdf")</f>
        <v>Melting_Curves/meltCurve_O95980_RECK.pdf</v>
      </c>
    </row>
    <row r="1668" spans="1:28" x14ac:dyDescent="0.25">
      <c r="A1668" t="s">
        <v>1672</v>
      </c>
      <c r="B1668">
        <v>0.99996721820229495</v>
      </c>
      <c r="C1668">
        <v>0.98040266150664102</v>
      </c>
      <c r="D1668">
        <v>0.92409861668392101</v>
      </c>
      <c r="E1668">
        <v>0.97686901380146396</v>
      </c>
      <c r="F1668">
        <v>0.98092732903517299</v>
      </c>
      <c r="G1668">
        <v>0.71765060775848</v>
      </c>
      <c r="H1668">
        <v>0.232597908595887</v>
      </c>
      <c r="I1668">
        <v>0.109036523211115</v>
      </c>
      <c r="J1668">
        <v>8.4140556083610193E-2</v>
      </c>
      <c r="K1668">
        <v>5.6645575026674298E-2</v>
      </c>
      <c r="L1668">
        <v>2038.79062248525</v>
      </c>
      <c r="M1668">
        <v>34.928207210943803</v>
      </c>
      <c r="N1668">
        <v>58.602795802176203</v>
      </c>
      <c r="O1668">
        <v>58.180551244135202</v>
      </c>
      <c r="P1668">
        <v>-0.14039856594192299</v>
      </c>
      <c r="Q1668">
        <v>6.45455717374218E-2</v>
      </c>
      <c r="R1668">
        <v>0.99586166290184597</v>
      </c>
      <c r="S1668" t="s">
        <v>7494</v>
      </c>
      <c r="T1668" t="s">
        <v>11650</v>
      </c>
      <c r="U1668" t="s">
        <v>11650</v>
      </c>
      <c r="V1668" t="s">
        <v>11650</v>
      </c>
      <c r="W1668" t="s">
        <v>13289</v>
      </c>
      <c r="X1668">
        <v>11</v>
      </c>
      <c r="Y1668" t="s">
        <v>19033</v>
      </c>
      <c r="Z1668" t="s">
        <v>24730</v>
      </c>
      <c r="AA1668">
        <v>0.64210527682683882</v>
      </c>
      <c r="AB1668" t="str">
        <f>HYPERLINK("Melting_Curves/meltCurve_O95989_NUDT3.pdf", "Melting_Curves/meltCurve_O95989_NUDT3.pdf")</f>
        <v>Melting_Curves/meltCurve_O95989_NUDT3.pdf</v>
      </c>
    </row>
    <row r="1669" spans="1:28" x14ac:dyDescent="0.25">
      <c r="A1669" t="s">
        <v>1673</v>
      </c>
      <c r="B1669">
        <v>0.99996721820229495</v>
      </c>
      <c r="C1669">
        <v>0.98173567974718801</v>
      </c>
      <c r="D1669">
        <v>0.91395423755096095</v>
      </c>
      <c r="E1669">
        <v>0.70032281794685203</v>
      </c>
      <c r="F1669">
        <v>0.57599224736181598</v>
      </c>
      <c r="G1669">
        <v>0.45684545385629299</v>
      </c>
      <c r="H1669">
        <v>0.29317405222630699</v>
      </c>
      <c r="I1669">
        <v>0.23502236994860001</v>
      </c>
      <c r="J1669">
        <v>0.212084739635793</v>
      </c>
      <c r="K1669">
        <v>0.150134255207207</v>
      </c>
      <c r="L1669">
        <v>609.40805222598203</v>
      </c>
      <c r="M1669">
        <v>11.318475326029001</v>
      </c>
      <c r="N1669">
        <v>55.051338578392503</v>
      </c>
      <c r="O1669">
        <v>52.243299689795997</v>
      </c>
      <c r="P1669">
        <v>-4.8214732270647903E-2</v>
      </c>
      <c r="Q1669">
        <v>0.11007955204877901</v>
      </c>
      <c r="R1669">
        <v>0.994361485234454</v>
      </c>
      <c r="S1669" t="s">
        <v>7495</v>
      </c>
      <c r="T1669" t="s">
        <v>11650</v>
      </c>
      <c r="U1669" t="s">
        <v>11650</v>
      </c>
      <c r="V1669" t="s">
        <v>11650</v>
      </c>
      <c r="W1669" t="s">
        <v>13290</v>
      </c>
      <c r="X1669">
        <v>11</v>
      </c>
      <c r="Y1669" t="s">
        <v>19034</v>
      </c>
      <c r="Z1669" t="s">
        <v>24731</v>
      </c>
      <c r="AA1669">
        <v>0.54557411780035969</v>
      </c>
      <c r="AB1669" t="str">
        <f>HYPERLINK("Melting_Curves/meltCurve_O95999_BCL10.pdf", "Melting_Curves/meltCurve_O95999_BCL10.pdf")</f>
        <v>Melting_Curves/meltCurve_O95999_BCL10.pdf</v>
      </c>
    </row>
    <row r="1670" spans="1:28" x14ac:dyDescent="0.25">
      <c r="A1670" t="s">
        <v>1674</v>
      </c>
      <c r="B1670">
        <v>0.99996721820229495</v>
      </c>
      <c r="C1670">
        <v>0.85178736905735697</v>
      </c>
      <c r="D1670">
        <v>0.93997790502680001</v>
      </c>
      <c r="E1670">
        <v>0.96810627371995295</v>
      </c>
      <c r="F1670">
        <v>1.1150813483067801</v>
      </c>
      <c r="G1670">
        <v>0.87074209173801598</v>
      </c>
      <c r="H1670">
        <v>0.87535397538374304</v>
      </c>
      <c r="I1670">
        <v>0.58674317795290398</v>
      </c>
      <c r="J1670">
        <v>0.35166624242723399</v>
      </c>
      <c r="K1670">
        <v>0.22968584209491</v>
      </c>
      <c r="L1670">
        <v>1708.1942628358699</v>
      </c>
      <c r="M1670">
        <v>26.548935215564601</v>
      </c>
      <c r="N1670">
        <v>65.103987378909096</v>
      </c>
      <c r="O1670">
        <v>63.979627078399602</v>
      </c>
      <c r="P1670">
        <v>-8.9876683868939503E-2</v>
      </c>
      <c r="Q1670">
        <v>0.13364272651578901</v>
      </c>
      <c r="R1670">
        <v>0.93151564660427</v>
      </c>
      <c r="S1670" t="s">
        <v>7496</v>
      </c>
      <c r="T1670" t="s">
        <v>11650</v>
      </c>
      <c r="U1670" t="s">
        <v>11650</v>
      </c>
      <c r="V1670" t="s">
        <v>11650</v>
      </c>
      <c r="W1670" t="s">
        <v>13291</v>
      </c>
      <c r="X1670">
        <v>7</v>
      </c>
      <c r="Y1670" t="s">
        <v>19035</v>
      </c>
      <c r="Z1670" t="s">
        <v>24732</v>
      </c>
      <c r="AA1670">
        <v>0.83538787229272948</v>
      </c>
      <c r="AB1670" t="str">
        <f>HYPERLINK("Melting_Curves/meltCurve_O96000_NDUFB10.pdf", "Melting_Curves/meltCurve_O96000_NDUFB10.pdf")</f>
        <v>Melting_Curves/meltCurve_O96000_NDUFB10.pdf</v>
      </c>
    </row>
    <row r="1671" spans="1:28" x14ac:dyDescent="0.25">
      <c r="A1671" t="s">
        <v>1675</v>
      </c>
      <c r="B1671">
        <v>0.99996721820229495</v>
      </c>
      <c r="C1671">
        <v>1.10811938199742</v>
      </c>
      <c r="D1671">
        <v>1.0578478743367301</v>
      </c>
      <c r="E1671">
        <v>0.955095753223975</v>
      </c>
      <c r="F1671">
        <v>1.2054144969689</v>
      </c>
      <c r="G1671">
        <v>1.32057632753197</v>
      </c>
      <c r="H1671">
        <v>0.97055148190699503</v>
      </c>
      <c r="I1671">
        <v>0.805991596718032</v>
      </c>
      <c r="J1671">
        <v>0.66252248574450101</v>
      </c>
      <c r="K1671">
        <v>0.50743776003610896</v>
      </c>
      <c r="L1671">
        <v>2415.93341267288</v>
      </c>
      <c r="M1671">
        <v>36.949790195438503</v>
      </c>
      <c r="O1671">
        <v>65.193591832055802</v>
      </c>
      <c r="P1671">
        <v>-7.3627742593048995E-2</v>
      </c>
      <c r="Q1671">
        <v>0.48037123055291803</v>
      </c>
      <c r="R1671">
        <v>0.69328454932024097</v>
      </c>
      <c r="S1671" t="s">
        <v>7497</v>
      </c>
      <c r="T1671" t="s">
        <v>11650</v>
      </c>
      <c r="U1671" t="s">
        <v>11650</v>
      </c>
      <c r="V1671" t="s">
        <v>11650</v>
      </c>
      <c r="W1671" t="s">
        <v>13292</v>
      </c>
      <c r="X1671">
        <v>10</v>
      </c>
      <c r="Y1671" t="s">
        <v>19036</v>
      </c>
      <c r="Z1671" t="s">
        <v>24733</v>
      </c>
      <c r="AA1671">
        <v>0.91967004748707482</v>
      </c>
      <c r="AB1671" t="str">
        <f>HYPERLINK("Melting_Curves/meltCurve_O96007_MOCS2.pdf", "Melting_Curves/meltCurve_O96007_MOCS2.pdf")</f>
        <v>Melting_Curves/meltCurve_O96007_MOCS2.pdf</v>
      </c>
    </row>
    <row r="1672" spans="1:28" x14ac:dyDescent="0.25">
      <c r="A1672" t="s">
        <v>1676</v>
      </c>
      <c r="B1672">
        <v>0.99996721820229495</v>
      </c>
      <c r="C1672">
        <v>0.74676703198970495</v>
      </c>
      <c r="D1672">
        <v>1.01422995062074</v>
      </c>
      <c r="E1672">
        <v>1.2628671136787399</v>
      </c>
      <c r="F1672">
        <v>1.7302568508906999</v>
      </c>
      <c r="G1672">
        <v>1.92913706983904</v>
      </c>
      <c r="H1672">
        <v>1.4321983281483901</v>
      </c>
      <c r="I1672">
        <v>1.04370679669805</v>
      </c>
      <c r="J1672">
        <v>0.58017935293047695</v>
      </c>
      <c r="K1672">
        <v>0.90498871114990898</v>
      </c>
      <c r="L1672">
        <v>1753.66249101987</v>
      </c>
      <c r="M1672">
        <v>25.9154254037547</v>
      </c>
      <c r="O1672">
        <v>67.269613715126795</v>
      </c>
      <c r="P1672">
        <v>-2.3894209470865999E-2</v>
      </c>
      <c r="Q1672">
        <v>0.75191064088961701</v>
      </c>
      <c r="R1672">
        <v>-0.12895667909328801</v>
      </c>
      <c r="S1672" t="s">
        <v>7498</v>
      </c>
      <c r="T1672" t="s">
        <v>11650</v>
      </c>
      <c r="U1672" t="s">
        <v>11650</v>
      </c>
      <c r="V1672" t="s">
        <v>11650</v>
      </c>
      <c r="W1672" t="s">
        <v>13293</v>
      </c>
      <c r="X1672">
        <v>9</v>
      </c>
      <c r="Y1672" t="s">
        <v>19037</v>
      </c>
      <c r="Z1672" t="s">
        <v>24734</v>
      </c>
      <c r="AA1672">
        <v>0.97457275735771276</v>
      </c>
      <c r="AB1672" t="str">
        <f>HYPERLINK("Melting_Curves/meltCurve_O96008_TOMM40.pdf", "Melting_Curves/meltCurve_O96008_TOMM40.pdf")</f>
        <v>Melting_Curves/meltCurve_O96008_TOMM40.pdf</v>
      </c>
    </row>
    <row r="1673" spans="1:28" x14ac:dyDescent="0.25">
      <c r="A1673" t="s">
        <v>1677</v>
      </c>
      <c r="B1673">
        <v>0.99996721820229495</v>
      </c>
      <c r="C1673">
        <v>0.79611598968723096</v>
      </c>
      <c r="D1673">
        <v>0.93607667246056703</v>
      </c>
      <c r="E1673">
        <v>1.06813125408098</v>
      </c>
      <c r="F1673">
        <v>1.2890203438387799</v>
      </c>
      <c r="G1673">
        <v>1.1415300784051099</v>
      </c>
      <c r="H1673">
        <v>0.85070862078944398</v>
      </c>
      <c r="I1673">
        <v>0.82021075900976004</v>
      </c>
      <c r="J1673">
        <v>0.48296207658609902</v>
      </c>
      <c r="K1673">
        <v>0.54295869556446996</v>
      </c>
      <c r="L1673">
        <v>2603.7712177487401</v>
      </c>
      <c r="M1673">
        <v>40.584443172988202</v>
      </c>
      <c r="N1673">
        <v>69.8332066726704</v>
      </c>
      <c r="O1673">
        <v>64.001703541182195</v>
      </c>
      <c r="P1673">
        <v>-8.2191371544045502E-2</v>
      </c>
      <c r="Q1673">
        <v>0.48153756570866502</v>
      </c>
      <c r="R1673">
        <v>0.69143905772651204</v>
      </c>
      <c r="S1673" t="s">
        <v>7499</v>
      </c>
      <c r="T1673" t="s">
        <v>11650</v>
      </c>
      <c r="U1673" t="s">
        <v>11650</v>
      </c>
      <c r="V1673" t="s">
        <v>11650</v>
      </c>
      <c r="W1673" t="s">
        <v>13294</v>
      </c>
      <c r="X1673">
        <v>11</v>
      </c>
      <c r="Y1673" t="s">
        <v>19038</v>
      </c>
      <c r="Z1673" t="s">
        <v>24735</v>
      </c>
      <c r="AA1673">
        <v>0.90010768212122605</v>
      </c>
      <c r="AB1673" t="str">
        <f>HYPERLINK("Melting_Curves/meltCurve_O96011_PEX11B.pdf", "Melting_Curves/meltCurve_O96011_PEX11B.pdf")</f>
        <v>Melting_Curves/meltCurve_O96011_PEX11B.pdf</v>
      </c>
    </row>
    <row r="1674" spans="1:28" x14ac:dyDescent="0.25">
      <c r="A1674" t="s">
        <v>1678</v>
      </c>
      <c r="B1674">
        <v>0.99996721820229495</v>
      </c>
      <c r="C1674">
        <v>0.97582012386582595</v>
      </c>
      <c r="D1674">
        <v>0.79379967908484705</v>
      </c>
      <c r="E1674">
        <v>0.56586135505786594</v>
      </c>
      <c r="F1674">
        <v>0.48369212565312297</v>
      </c>
      <c r="G1674">
        <v>0.39898483581842198</v>
      </c>
      <c r="H1674">
        <v>0.29324789483980501</v>
      </c>
      <c r="I1674">
        <v>0.17012372864060299</v>
      </c>
      <c r="J1674">
        <v>0.14206538526346399</v>
      </c>
      <c r="K1674">
        <v>0.113570129451507</v>
      </c>
      <c r="L1674">
        <v>524.13235941024595</v>
      </c>
      <c r="M1674">
        <v>10.040206899024801</v>
      </c>
      <c r="N1674">
        <v>52.937887772192497</v>
      </c>
      <c r="O1674">
        <v>50.259239663882397</v>
      </c>
      <c r="P1674">
        <v>-4.6717163319537201E-2</v>
      </c>
      <c r="Q1674">
        <v>6.5021265747924203E-2</v>
      </c>
      <c r="R1674">
        <v>0.98186407227726502</v>
      </c>
      <c r="S1674" t="s">
        <v>7500</v>
      </c>
      <c r="T1674" t="s">
        <v>11650</v>
      </c>
      <c r="U1674" t="s">
        <v>11650</v>
      </c>
      <c r="V1674" t="s">
        <v>11650</v>
      </c>
      <c r="W1674" t="s">
        <v>13295</v>
      </c>
      <c r="X1674">
        <v>7</v>
      </c>
      <c r="Y1674" t="s">
        <v>19039</v>
      </c>
      <c r="Z1674" t="s">
        <v>24736</v>
      </c>
      <c r="AA1674">
        <v>0.48000087321423218</v>
      </c>
      <c r="AB1674" t="str">
        <f>HYPERLINK("Melting_Curves/meltCurve_O96013_PAK4.pdf", "Melting_Curves/meltCurve_O96013_PAK4.pdf")</f>
        <v>Melting_Curves/meltCurve_O96013_PAK4.pdf</v>
      </c>
    </row>
    <row r="1675" spans="1:28" x14ac:dyDescent="0.25">
      <c r="A1675" t="s">
        <v>1679</v>
      </c>
      <c r="B1675">
        <v>0.99996721820229495</v>
      </c>
      <c r="C1675">
        <v>1.1223840508677201</v>
      </c>
      <c r="D1675">
        <v>0.99820308025668603</v>
      </c>
      <c r="E1675">
        <v>0.92631652336652204</v>
      </c>
      <c r="F1675">
        <v>0.83889220491517502</v>
      </c>
      <c r="G1675">
        <v>0.80815043545948295</v>
      </c>
      <c r="H1675">
        <v>0.41695283223248097</v>
      </c>
      <c r="I1675">
        <v>0.27311820099186301</v>
      </c>
      <c r="J1675">
        <v>0.14649511966414799</v>
      </c>
      <c r="K1675">
        <v>0.100441298106731</v>
      </c>
      <c r="L1675">
        <v>1020.5864377980701</v>
      </c>
      <c r="M1675">
        <v>16.922972449083801</v>
      </c>
      <c r="N1675">
        <v>60.307752728530403</v>
      </c>
      <c r="O1675">
        <v>59.484526847070498</v>
      </c>
      <c r="P1675">
        <v>-7.1127899765584604E-2</v>
      </c>
      <c r="Q1675">
        <v>0</v>
      </c>
      <c r="R1675">
        <v>0.97750336883047595</v>
      </c>
      <c r="S1675" t="s">
        <v>7501</v>
      </c>
      <c r="T1675" t="s">
        <v>11650</v>
      </c>
      <c r="U1675" t="s">
        <v>11650</v>
      </c>
      <c r="V1675" t="s">
        <v>11650</v>
      </c>
      <c r="W1675" t="s">
        <v>13296</v>
      </c>
      <c r="X1675">
        <v>5</v>
      </c>
      <c r="Y1675" t="s">
        <v>19040</v>
      </c>
      <c r="Z1675" t="s">
        <v>24737</v>
      </c>
      <c r="AA1675">
        <v>0.68394230568602454</v>
      </c>
      <c r="AB1675" t="str">
        <f>HYPERLINK("Melting_Curves/meltCurve_O96017_CHEK2.pdf", "Melting_Curves/meltCurve_O96017_CHEK2.pdf")</f>
        <v>Melting_Curves/meltCurve_O96017_CHEK2.pdf</v>
      </c>
    </row>
    <row r="1676" spans="1:28" x14ac:dyDescent="0.25">
      <c r="A1676" t="s">
        <v>1680</v>
      </c>
      <c r="B1676">
        <v>0.99996721820229495</v>
      </c>
      <c r="C1676">
        <v>1.0820200556303401</v>
      </c>
      <c r="D1676">
        <v>1.0528886680029701</v>
      </c>
      <c r="E1676">
        <v>1.0165440813497399</v>
      </c>
      <c r="F1676">
        <v>0.72440450202726203</v>
      </c>
      <c r="G1676">
        <v>0.49359412701417299</v>
      </c>
      <c r="H1676">
        <v>0.27553279475025599</v>
      </c>
      <c r="I1676">
        <v>0.53425523485016002</v>
      </c>
      <c r="J1676">
        <v>0.13738887758517401</v>
      </c>
      <c r="K1676">
        <v>9.4013391414322106E-2</v>
      </c>
      <c r="L1676">
        <v>971.04261119814305</v>
      </c>
      <c r="M1676">
        <v>17.285128444542899</v>
      </c>
      <c r="N1676">
        <v>57.547297205289901</v>
      </c>
      <c r="O1676">
        <v>55.4421758720528</v>
      </c>
      <c r="P1676">
        <v>-6.4804132490755006E-2</v>
      </c>
      <c r="Q1676">
        <v>0.168609197958348</v>
      </c>
      <c r="R1676">
        <v>0.90836857759258005</v>
      </c>
      <c r="S1676" t="s">
        <v>7502</v>
      </c>
      <c r="T1676" t="s">
        <v>11650</v>
      </c>
      <c r="U1676" t="s">
        <v>11650</v>
      </c>
      <c r="V1676" t="s">
        <v>11650</v>
      </c>
      <c r="W1676" t="s">
        <v>13297</v>
      </c>
      <c r="X1676">
        <v>14</v>
      </c>
      <c r="Y1676" t="s">
        <v>19041</v>
      </c>
      <c r="Z1676" t="s">
        <v>24738</v>
      </c>
      <c r="AA1676">
        <v>0.62962497521289695</v>
      </c>
      <c r="AB1676" t="str">
        <f>HYPERLINK("Melting_Curves/meltCurve_O96019_ACTL6A.pdf", "Melting_Curves/meltCurve_O96019_ACTL6A.pdf")</f>
        <v>Melting_Curves/meltCurve_O96019_ACTL6A.pdf</v>
      </c>
    </row>
    <row r="1677" spans="1:28" x14ac:dyDescent="0.25">
      <c r="A1677" t="s">
        <v>1681</v>
      </c>
      <c r="B1677">
        <v>0.99996721820229495</v>
      </c>
      <c r="C1677">
        <v>0.852146224218156</v>
      </c>
      <c r="D1677">
        <v>0.74772160976820201</v>
      </c>
      <c r="E1677">
        <v>0.92783641137954498</v>
      </c>
      <c r="F1677">
        <v>1.0085839668293199</v>
      </c>
      <c r="G1677">
        <v>0.63942149664503301</v>
      </c>
      <c r="H1677">
        <v>0.41883992476781001</v>
      </c>
      <c r="I1677">
        <v>0.19994975652288799</v>
      </c>
      <c r="J1677">
        <v>0.128471397064777</v>
      </c>
      <c r="K1677">
        <v>0.16119413923540801</v>
      </c>
      <c r="L1677">
        <v>1301.5599737401801</v>
      </c>
      <c r="M1677">
        <v>22.209634133378199</v>
      </c>
      <c r="N1677">
        <v>59.249280616203301</v>
      </c>
      <c r="O1677">
        <v>58.134510298471803</v>
      </c>
      <c r="P1677">
        <v>-8.52427047483241E-2</v>
      </c>
      <c r="Q1677">
        <v>0.107516143084806</v>
      </c>
      <c r="R1677">
        <v>0.909568557160085</v>
      </c>
      <c r="S1677" t="s">
        <v>7503</v>
      </c>
      <c r="T1677" t="s">
        <v>11650</v>
      </c>
      <c r="U1677" t="s">
        <v>11650</v>
      </c>
      <c r="V1677" t="s">
        <v>11650</v>
      </c>
      <c r="W1677" t="s">
        <v>13298</v>
      </c>
      <c r="X1677">
        <v>5</v>
      </c>
      <c r="Y1677" t="s">
        <v>19036</v>
      </c>
      <c r="Z1677" t="s">
        <v>24739</v>
      </c>
      <c r="AA1677">
        <v>0.66957347197738248</v>
      </c>
      <c r="AB1677" t="str">
        <f>HYPERLINK("Melting_Curves/meltCurve_O96033_MOCS2.pdf", "Melting_Curves/meltCurve_O96033_MOCS2.pdf")</f>
        <v>Melting_Curves/meltCurve_O96033_MOCS2.pdf</v>
      </c>
    </row>
    <row r="1678" spans="1:28" x14ac:dyDescent="0.25">
      <c r="A1678" t="s">
        <v>1682</v>
      </c>
      <c r="B1678">
        <v>0.99996721820229495</v>
      </c>
      <c r="C1678">
        <v>1.0641072027616501</v>
      </c>
      <c r="D1678">
        <v>1.1120678172587799</v>
      </c>
      <c r="E1678">
        <v>1.09241587756356</v>
      </c>
      <c r="F1678">
        <v>1.50831157325625</v>
      </c>
      <c r="G1678">
        <v>1.48451361817783</v>
      </c>
      <c r="H1678">
        <v>1.04697922442397</v>
      </c>
      <c r="I1678">
        <v>0.81225265539019198</v>
      </c>
      <c r="J1678">
        <v>0.56963730016048897</v>
      </c>
      <c r="K1678">
        <v>0.52228308545100999</v>
      </c>
      <c r="L1678">
        <v>5762.1774518583297</v>
      </c>
      <c r="M1678">
        <v>89.626648145236402</v>
      </c>
      <c r="O1678">
        <v>64.2589082620554</v>
      </c>
      <c r="P1678">
        <v>-0.160723915630575</v>
      </c>
      <c r="Q1678">
        <v>0.53906822578779701</v>
      </c>
      <c r="R1678">
        <v>0.45935906404759802</v>
      </c>
      <c r="S1678" t="s">
        <v>7504</v>
      </c>
      <c r="T1678" t="s">
        <v>11650</v>
      </c>
      <c r="U1678" t="s">
        <v>11650</v>
      </c>
      <c r="V1678" t="s">
        <v>11650</v>
      </c>
      <c r="W1678" t="s">
        <v>13299</v>
      </c>
      <c r="X1678">
        <v>9</v>
      </c>
      <c r="Y1678" t="s">
        <v>19042</v>
      </c>
      <c r="Z1678" t="s">
        <v>24740</v>
      </c>
      <c r="AA1678">
        <v>0.91267936289109142</v>
      </c>
      <c r="AB1678" t="str">
        <f>HYPERLINK("Melting_Curves/meltCurve_P00167_2_CYB5A.pdf", "Melting_Curves/meltCurve_P00167_2_CYB5A.pdf")</f>
        <v>Melting_Curves/meltCurve_P00167_2_CYB5A.pdf</v>
      </c>
    </row>
    <row r="1679" spans="1:28" x14ac:dyDescent="0.25">
      <c r="A1679" t="s">
        <v>1683</v>
      </c>
      <c r="B1679">
        <v>0.99996721820229495</v>
      </c>
      <c r="C1679">
        <v>1.04172575949641</v>
      </c>
      <c r="D1679">
        <v>0.99042719181888605</v>
      </c>
      <c r="E1679">
        <v>0.88382820530115302</v>
      </c>
      <c r="F1679">
        <v>1.01377437816323</v>
      </c>
      <c r="G1679">
        <v>1.17117658989027</v>
      </c>
      <c r="H1679">
        <v>0.84038660147553901</v>
      </c>
      <c r="I1679">
        <v>0.99491228384486197</v>
      </c>
      <c r="J1679">
        <v>0.65491839643215599</v>
      </c>
      <c r="K1679">
        <v>0.34150487881593999</v>
      </c>
      <c r="L1679">
        <v>6515.9200959821201</v>
      </c>
      <c r="M1679">
        <v>97.318423805253701</v>
      </c>
      <c r="N1679">
        <v>67.713281381382401</v>
      </c>
      <c r="O1679">
        <v>66.926382535492493</v>
      </c>
      <c r="P1679">
        <v>-0.242856892133123</v>
      </c>
      <c r="Q1679">
        <v>0.33194428604132198</v>
      </c>
      <c r="R1679">
        <v>0.86193876885024401</v>
      </c>
      <c r="S1679" t="s">
        <v>7505</v>
      </c>
      <c r="T1679" t="s">
        <v>11650</v>
      </c>
      <c r="U1679" t="s">
        <v>11650</v>
      </c>
      <c r="V1679" t="s">
        <v>11650</v>
      </c>
      <c r="W1679" t="s">
        <v>13300</v>
      </c>
      <c r="X1679">
        <v>23</v>
      </c>
      <c r="Y1679" t="s">
        <v>19043</v>
      </c>
      <c r="Z1679" t="s">
        <v>24741</v>
      </c>
      <c r="AA1679">
        <v>0.93245663084793506</v>
      </c>
      <c r="AB1679" t="str">
        <f>HYPERLINK("Melting_Curves/meltCurve_P00325_ADH1B.pdf", "Melting_Curves/meltCurve_P00325_ADH1B.pdf")</f>
        <v>Melting_Curves/meltCurve_P00325_ADH1B.pdf</v>
      </c>
    </row>
    <row r="1680" spans="1:28" x14ac:dyDescent="0.25">
      <c r="A1680" t="s">
        <v>1684</v>
      </c>
      <c r="B1680">
        <v>0.99996721820229495</v>
      </c>
      <c r="C1680">
        <v>0.97976721011055601</v>
      </c>
      <c r="D1680">
        <v>1.1657660416371201</v>
      </c>
      <c r="E1680">
        <v>1.3726298418937499</v>
      </c>
      <c r="F1680">
        <v>1.79367635992431</v>
      </c>
      <c r="G1680">
        <v>2.0294521857155901</v>
      </c>
      <c r="H1680">
        <v>1.14051859647663</v>
      </c>
      <c r="I1680">
        <v>0.42765618387889998</v>
      </c>
      <c r="J1680">
        <v>0.14641626935451901</v>
      </c>
      <c r="K1680">
        <v>9.5710866294341806E-2</v>
      </c>
      <c r="L1680">
        <v>15000</v>
      </c>
      <c r="M1680">
        <v>234.99912326412201</v>
      </c>
      <c r="N1680">
        <v>63.9054173431877</v>
      </c>
      <c r="O1680">
        <v>63.825402653064302</v>
      </c>
      <c r="P1680">
        <v>-0.80904915991616599</v>
      </c>
      <c r="Q1680">
        <v>0.121053941537279</v>
      </c>
      <c r="R1680">
        <v>0.49904816242129502</v>
      </c>
      <c r="S1680" t="s">
        <v>7506</v>
      </c>
      <c r="T1680" t="s">
        <v>11650</v>
      </c>
      <c r="U1680" t="s">
        <v>11650</v>
      </c>
      <c r="V1680" t="s">
        <v>11650</v>
      </c>
      <c r="W1680" t="s">
        <v>13301</v>
      </c>
      <c r="X1680">
        <v>26</v>
      </c>
      <c r="Y1680" t="s">
        <v>19044</v>
      </c>
      <c r="Z1680" t="s">
        <v>24742</v>
      </c>
      <c r="AA1680">
        <v>0.81934227204236054</v>
      </c>
      <c r="AB1680" t="str">
        <f>HYPERLINK("Melting_Curves/meltCurve_P00338_LDHA.pdf", "Melting_Curves/meltCurve_P00338_LDHA.pdf")</f>
        <v>Melting_Curves/meltCurve_P00338_LDHA.pdf</v>
      </c>
    </row>
    <row r="1681" spans="1:28" x14ac:dyDescent="0.25">
      <c r="A1681" t="s">
        <v>1685</v>
      </c>
      <c r="B1681">
        <v>0.99996721820229495</v>
      </c>
      <c r="C1681">
        <v>1.02794244168639</v>
      </c>
      <c r="D1681">
        <v>1.2047824589001801</v>
      </c>
      <c r="E1681">
        <v>1.6178483611943799</v>
      </c>
      <c r="F1681">
        <v>2.2115912056581899</v>
      </c>
      <c r="G1681">
        <v>3.3321547090678001</v>
      </c>
      <c r="H1681">
        <v>2.4524338788862301</v>
      </c>
      <c r="I1681">
        <v>1.43056503133552</v>
      </c>
      <c r="J1681">
        <v>0.375864130942132</v>
      </c>
      <c r="K1681">
        <v>0.250750544023079</v>
      </c>
      <c r="L1681">
        <v>15000</v>
      </c>
      <c r="M1681">
        <v>225.481279871559</v>
      </c>
      <c r="N1681">
        <v>66.730032728214695</v>
      </c>
      <c r="O1681">
        <v>66.519122454416006</v>
      </c>
      <c r="P1681">
        <v>-0.63519339273329001</v>
      </c>
      <c r="Q1681">
        <v>0.25044747082198998</v>
      </c>
      <c r="R1681">
        <v>-0.177914951127534</v>
      </c>
      <c r="S1681" t="s">
        <v>7507</v>
      </c>
      <c r="T1681" t="s">
        <v>11650</v>
      </c>
      <c r="U1681" t="s">
        <v>11650</v>
      </c>
      <c r="V1681" t="s">
        <v>11650</v>
      </c>
      <c r="W1681" t="s">
        <v>13302</v>
      </c>
      <c r="X1681">
        <v>28</v>
      </c>
      <c r="Y1681" t="s">
        <v>19045</v>
      </c>
      <c r="Z1681" t="s">
        <v>24743</v>
      </c>
      <c r="AA1681">
        <v>0.91326854966845894</v>
      </c>
      <c r="AB1681" t="str">
        <f>HYPERLINK("Melting_Curves/meltCurve_P00352_ALDH1A1.pdf", "Melting_Curves/meltCurve_P00352_ALDH1A1.pdf")</f>
        <v>Melting_Curves/meltCurve_P00352_ALDH1A1.pdf</v>
      </c>
    </row>
    <row r="1682" spans="1:28" x14ac:dyDescent="0.25">
      <c r="A1682" t="s">
        <v>1686</v>
      </c>
      <c r="B1682">
        <v>0.99996721820229495</v>
      </c>
      <c r="C1682">
        <v>1.09047522533115</v>
      </c>
      <c r="D1682">
        <v>1.53999455437364</v>
      </c>
      <c r="E1682">
        <v>2.75385432002291</v>
      </c>
      <c r="F1682">
        <v>4.5577912519869503</v>
      </c>
      <c r="G1682">
        <v>6.6091104985064204</v>
      </c>
      <c r="H1682">
        <v>1.3940995556439599</v>
      </c>
      <c r="I1682">
        <v>0.42642612774045602</v>
      </c>
      <c r="J1682">
        <v>0.26143977020875298</v>
      </c>
      <c r="K1682">
        <v>0.185485223081125</v>
      </c>
      <c r="L1682">
        <v>10789.775596785201</v>
      </c>
      <c r="M1682">
        <v>250</v>
      </c>
      <c r="O1682">
        <v>43.156340682451599</v>
      </c>
      <c r="P1682">
        <v>0.72411144413974804</v>
      </c>
      <c r="Q1682">
        <v>1.5</v>
      </c>
      <c r="R1682">
        <v>-4.8148312954468399E-2</v>
      </c>
      <c r="S1682" t="s">
        <v>7508</v>
      </c>
      <c r="T1682" t="s">
        <v>11650</v>
      </c>
      <c r="U1682" t="s">
        <v>11650</v>
      </c>
      <c r="V1682" t="s">
        <v>11650</v>
      </c>
      <c r="W1682" t="s">
        <v>13303</v>
      </c>
      <c r="X1682">
        <v>23</v>
      </c>
      <c r="Y1682" t="s">
        <v>19046</v>
      </c>
      <c r="Z1682" t="s">
        <v>24744</v>
      </c>
      <c r="AA1682">
        <v>1.4473104217646311</v>
      </c>
      <c r="AB1682" t="str">
        <f>HYPERLINK("Melting_Curves/meltCurve_P00367_GLUD1.pdf", "Melting_Curves/meltCurve_P00367_GLUD1.pdf")</f>
        <v>Melting_Curves/meltCurve_P00367_GLUD1.pdf</v>
      </c>
    </row>
    <row r="1683" spans="1:28" x14ac:dyDescent="0.25">
      <c r="A1683" t="s">
        <v>1687</v>
      </c>
      <c r="B1683">
        <v>0.99996721820229495</v>
      </c>
      <c r="C1683">
        <v>0.83743996655446296</v>
      </c>
      <c r="D1683">
        <v>0.92497141763087098</v>
      </c>
      <c r="E1683">
        <v>0.88847136132984394</v>
      </c>
      <c r="F1683">
        <v>0.854071992322051</v>
      </c>
      <c r="G1683">
        <v>0.560193303907631</v>
      </c>
      <c r="H1683">
        <v>0.15282563137108901</v>
      </c>
      <c r="I1683">
        <v>8.3237415672515094E-2</v>
      </c>
      <c r="J1683">
        <v>6.0039292750967997E-2</v>
      </c>
      <c r="K1683">
        <v>4.5436891330211497E-2</v>
      </c>
      <c r="L1683">
        <v>1276.66110944507</v>
      </c>
      <c r="M1683">
        <v>22.350708498065099</v>
      </c>
      <c r="N1683">
        <v>57.176291858708801</v>
      </c>
      <c r="O1683">
        <v>56.668150292432301</v>
      </c>
      <c r="P1683">
        <v>-9.7522943188285E-2</v>
      </c>
      <c r="Q1683">
        <v>1.0979387282999801E-2</v>
      </c>
      <c r="R1683">
        <v>0.97240734145104701</v>
      </c>
      <c r="S1683" t="s">
        <v>7509</v>
      </c>
      <c r="T1683" t="s">
        <v>11650</v>
      </c>
      <c r="U1683" t="s">
        <v>11650</v>
      </c>
      <c r="V1683" t="s">
        <v>11650</v>
      </c>
      <c r="W1683" t="s">
        <v>13304</v>
      </c>
      <c r="X1683">
        <v>17</v>
      </c>
      <c r="Y1683" t="s">
        <v>19047</v>
      </c>
      <c r="Z1683" t="s">
        <v>24745</v>
      </c>
      <c r="AA1683">
        <v>0.58580626224732468</v>
      </c>
      <c r="AB1683" t="str">
        <f>HYPERLINK("Melting_Curves/meltCurve_P00387_2_CYB5R3.pdf", "Melting_Curves/meltCurve_P00387_2_CYB5R3.pdf")</f>
        <v>Melting_Curves/meltCurve_P00387_2_CYB5R3.pdf</v>
      </c>
    </row>
    <row r="1684" spans="1:28" x14ac:dyDescent="0.25">
      <c r="A1684" t="s">
        <v>1688</v>
      </c>
      <c r="B1684">
        <v>0.99996721820229495</v>
      </c>
      <c r="C1684">
        <v>1.06980554814127</v>
      </c>
      <c r="D1684">
        <v>1.0896899457423099</v>
      </c>
      <c r="E1684">
        <v>1.1630069080741201</v>
      </c>
      <c r="F1684">
        <v>1.16681738205395</v>
      </c>
      <c r="G1684">
        <v>1.19357092939319</v>
      </c>
      <c r="H1684">
        <v>0.87989198208089703</v>
      </c>
      <c r="I1684">
        <v>0.439760603866996</v>
      </c>
      <c r="J1684">
        <v>0.229244875550526</v>
      </c>
      <c r="K1684">
        <v>0.24845586634467501</v>
      </c>
      <c r="L1684">
        <v>3718.0523907676602</v>
      </c>
      <c r="M1684">
        <v>59.133984561285303</v>
      </c>
      <c r="N1684">
        <v>63.539799392692998</v>
      </c>
      <c r="O1684">
        <v>62.803273301847902</v>
      </c>
      <c r="P1684">
        <v>-0.18109699862030701</v>
      </c>
      <c r="Q1684">
        <v>0.23066383540161001</v>
      </c>
      <c r="R1684">
        <v>0.92183140393292295</v>
      </c>
      <c r="S1684" t="s">
        <v>7510</v>
      </c>
      <c r="T1684" t="s">
        <v>11650</v>
      </c>
      <c r="U1684" t="s">
        <v>11650</v>
      </c>
      <c r="V1684" t="s">
        <v>11650</v>
      </c>
      <c r="W1684" t="s">
        <v>13305</v>
      </c>
      <c r="X1684">
        <v>19</v>
      </c>
      <c r="Y1684" t="s">
        <v>19048</v>
      </c>
      <c r="Z1684" t="s">
        <v>24746</v>
      </c>
      <c r="AA1684">
        <v>0.81872164635411881</v>
      </c>
      <c r="AB1684" t="str">
        <f>HYPERLINK("Melting_Curves/meltCurve_P00390_2_GSR.pdf", "Melting_Curves/meltCurve_P00390_2_GSR.pdf")</f>
        <v>Melting_Curves/meltCurve_P00390_2_GSR.pdf</v>
      </c>
    </row>
    <row r="1685" spans="1:28" x14ac:dyDescent="0.25">
      <c r="A1685" t="s">
        <v>1689</v>
      </c>
      <c r="B1685">
        <v>0.99996721820229495</v>
      </c>
      <c r="C1685">
        <v>0.81192252414618404</v>
      </c>
      <c r="D1685">
        <v>1.1883535529115199</v>
      </c>
      <c r="E1685">
        <v>1.28317500457599</v>
      </c>
      <c r="F1685">
        <v>2.5746010655470299</v>
      </c>
      <c r="G1685">
        <v>3.3001842170515499</v>
      </c>
      <c r="H1685">
        <v>2.43952732371964</v>
      </c>
      <c r="I1685">
        <v>0.98348593809882601</v>
      </c>
      <c r="J1685">
        <v>0.45035370494787802</v>
      </c>
      <c r="K1685">
        <v>0.26300256021509599</v>
      </c>
      <c r="L1685">
        <v>7825.60136191127</v>
      </c>
      <c r="M1685">
        <v>117.869844136681</v>
      </c>
      <c r="N1685">
        <v>66.811351623379295</v>
      </c>
      <c r="O1685">
        <v>66.372781809187202</v>
      </c>
      <c r="P1685">
        <v>-0.32789405122182202</v>
      </c>
      <c r="Q1685">
        <v>0.261448432226002</v>
      </c>
      <c r="R1685">
        <v>-0.111055124339412</v>
      </c>
      <c r="S1685" t="s">
        <v>7511</v>
      </c>
      <c r="T1685" t="s">
        <v>11650</v>
      </c>
      <c r="U1685" t="s">
        <v>11650</v>
      </c>
      <c r="V1685" t="s">
        <v>11650</v>
      </c>
      <c r="W1685" t="s">
        <v>13306</v>
      </c>
      <c r="X1685">
        <v>2</v>
      </c>
      <c r="Y1685" t="s">
        <v>19049</v>
      </c>
      <c r="Z1685" t="s">
        <v>24747</v>
      </c>
      <c r="AA1685">
        <v>0.91152545920284822</v>
      </c>
      <c r="AB1685" t="str">
        <f>HYPERLINK("Melting_Curves/meltCurve_P00403_MT_CO2.pdf", "Melting_Curves/meltCurve_P00403_MT_CO2.pdf")</f>
        <v>Melting_Curves/meltCurve_P00403_MT_CO2.pdf</v>
      </c>
    </row>
    <row r="1686" spans="1:28" x14ac:dyDescent="0.25">
      <c r="A1686" t="s">
        <v>1690</v>
      </c>
      <c r="B1686">
        <v>0.99996721820229495</v>
      </c>
      <c r="C1686">
        <v>0.48781219735616199</v>
      </c>
      <c r="D1686">
        <v>0.51878714324981601</v>
      </c>
      <c r="E1686">
        <v>0.30370879302509302</v>
      </c>
      <c r="F1686">
        <v>0.15822715529383599</v>
      </c>
      <c r="G1686">
        <v>0.102855490441241</v>
      </c>
      <c r="H1686">
        <v>7.1938683195509404E-2</v>
      </c>
      <c r="I1686">
        <v>7.7035084549155794E-2</v>
      </c>
      <c r="J1686">
        <v>7.4162397394704802E-2</v>
      </c>
      <c r="K1686">
        <v>7.7443935092607094E-2</v>
      </c>
      <c r="L1686">
        <v>592.66898405003701</v>
      </c>
      <c r="M1686">
        <v>13.198760592826201</v>
      </c>
      <c r="N1686">
        <v>45.355124230344799</v>
      </c>
      <c r="O1686">
        <v>43.910142101693303</v>
      </c>
      <c r="P1686">
        <v>-7.0529642726298997E-2</v>
      </c>
      <c r="Q1686">
        <v>6.1593388998348403E-2</v>
      </c>
      <c r="R1686">
        <v>0.92260441335573995</v>
      </c>
      <c r="S1686" t="s">
        <v>7512</v>
      </c>
      <c r="T1686" t="s">
        <v>11650</v>
      </c>
      <c r="U1686" t="s">
        <v>11650</v>
      </c>
      <c r="V1686" t="s">
        <v>11650</v>
      </c>
      <c r="W1686" t="s">
        <v>13307</v>
      </c>
      <c r="X1686">
        <v>14</v>
      </c>
      <c r="Y1686" t="s">
        <v>19050</v>
      </c>
      <c r="Z1686" t="s">
        <v>24748</v>
      </c>
      <c r="AA1686">
        <v>0.25446060518236741</v>
      </c>
      <c r="AB1686" t="str">
        <f>HYPERLINK("Melting_Curves/meltCurve_P00441_SOD1.pdf", "Melting_Curves/meltCurve_P00441_SOD1.pdf")</f>
        <v>Melting_Curves/meltCurve_P00441_SOD1.pdf</v>
      </c>
    </row>
    <row r="1687" spans="1:28" x14ac:dyDescent="0.25">
      <c r="A1687" t="s">
        <v>1691</v>
      </c>
      <c r="B1687">
        <v>0.99996721820229495</v>
      </c>
      <c r="C1687">
        <v>0.94945463415985598</v>
      </c>
      <c r="D1687">
        <v>1.06570840606166</v>
      </c>
      <c r="E1687">
        <v>1.11144886047486</v>
      </c>
      <c r="F1687">
        <v>1.5184557484444301</v>
      </c>
      <c r="G1687">
        <v>1.5859946634883499</v>
      </c>
      <c r="H1687">
        <v>1.1920850148620801</v>
      </c>
      <c r="I1687">
        <v>0.88160621778484605</v>
      </c>
      <c r="J1687">
        <v>0.33595030236889001</v>
      </c>
      <c r="K1687">
        <v>0.178673357386082</v>
      </c>
      <c r="L1687">
        <v>4830.6407702824599</v>
      </c>
      <c r="M1687">
        <v>73.549153329341806</v>
      </c>
      <c r="N1687">
        <v>66.061602031107597</v>
      </c>
      <c r="O1687">
        <v>65.630589207929305</v>
      </c>
      <c r="P1687">
        <v>-0.23158147491301201</v>
      </c>
      <c r="Q1687">
        <v>0.17340598617290401</v>
      </c>
      <c r="R1687">
        <v>0.62681307462713898</v>
      </c>
      <c r="S1687" t="s">
        <v>7513</v>
      </c>
      <c r="T1687" t="s">
        <v>11650</v>
      </c>
      <c r="U1687" t="s">
        <v>11650</v>
      </c>
      <c r="V1687" t="s">
        <v>11650</v>
      </c>
      <c r="W1687" t="s">
        <v>13308</v>
      </c>
      <c r="X1687">
        <v>5</v>
      </c>
      <c r="Y1687" t="s">
        <v>19051</v>
      </c>
      <c r="Z1687" t="s">
        <v>24749</v>
      </c>
      <c r="AA1687">
        <v>0.88174278737191758</v>
      </c>
      <c r="AB1687" t="str">
        <f>HYPERLINK("Melting_Curves/meltCurve_P00491_PNP.pdf", "Melting_Curves/meltCurve_P00491_PNP.pdf")</f>
        <v>Melting_Curves/meltCurve_P00491_PNP.pdf</v>
      </c>
    </row>
    <row r="1688" spans="1:28" x14ac:dyDescent="0.25">
      <c r="A1688" t="s">
        <v>1692</v>
      </c>
      <c r="B1688">
        <v>0.99996721820229495</v>
      </c>
      <c r="C1688">
        <v>1.0142926912565799</v>
      </c>
      <c r="D1688">
        <v>1.08560435818879</v>
      </c>
      <c r="E1688">
        <v>1.11462645471215</v>
      </c>
      <c r="F1688">
        <v>1.38651388749976</v>
      </c>
      <c r="G1688">
        <v>1.5857860957227801</v>
      </c>
      <c r="H1688">
        <v>1.16478979377698</v>
      </c>
      <c r="I1688">
        <v>1.0370964078145299</v>
      </c>
      <c r="J1688">
        <v>0.72744410022139006</v>
      </c>
      <c r="K1688">
        <v>0.79514090760918099</v>
      </c>
      <c r="L1688">
        <v>15000</v>
      </c>
      <c r="M1688">
        <v>229.07792659338099</v>
      </c>
      <c r="O1688">
        <v>65.4749106744801</v>
      </c>
      <c r="P1688">
        <v>-0.20920081406650501</v>
      </c>
      <c r="Q1688">
        <v>0.760825413593754</v>
      </c>
      <c r="R1688">
        <v>5.3470003437705999E-2</v>
      </c>
      <c r="S1688" t="s">
        <v>7514</v>
      </c>
      <c r="T1688" t="s">
        <v>11650</v>
      </c>
      <c r="U1688" t="s">
        <v>11650</v>
      </c>
      <c r="V1688" t="s">
        <v>11650</v>
      </c>
      <c r="W1688" t="s">
        <v>13309</v>
      </c>
      <c r="X1688">
        <v>15</v>
      </c>
      <c r="Y1688" t="s">
        <v>19052</v>
      </c>
      <c r="Z1688" t="s">
        <v>24750</v>
      </c>
      <c r="AA1688">
        <v>0.96399630982322071</v>
      </c>
      <c r="AB1688" t="str">
        <f>HYPERLINK("Melting_Curves/meltCurve_P00492_HPRT1.pdf", "Melting_Curves/meltCurve_P00492_HPRT1.pdf")</f>
        <v>Melting_Curves/meltCurve_P00492_HPRT1.pdf</v>
      </c>
    </row>
    <row r="1689" spans="1:28" x14ac:dyDescent="0.25">
      <c r="A1689" t="s">
        <v>1693</v>
      </c>
      <c r="B1689">
        <v>0.99996721820229495</v>
      </c>
      <c r="C1689">
        <v>1.02626585687817</v>
      </c>
      <c r="D1689">
        <v>1.08145371542794</v>
      </c>
      <c r="E1689">
        <v>1.0820098550630799</v>
      </c>
      <c r="F1689">
        <v>1.5029465985163399</v>
      </c>
      <c r="G1689">
        <v>1.35714657730477</v>
      </c>
      <c r="H1689">
        <v>0.95549839078360799</v>
      </c>
      <c r="I1689">
        <v>0.759188706490735</v>
      </c>
      <c r="J1689">
        <v>0.34678809574611003</v>
      </c>
      <c r="K1689">
        <v>0.126436401566939</v>
      </c>
      <c r="L1689">
        <v>2851.36399111015</v>
      </c>
      <c r="M1689">
        <v>43.464441349015203</v>
      </c>
      <c r="N1689">
        <v>65.842034074474896</v>
      </c>
      <c r="O1689">
        <v>65.463809441495201</v>
      </c>
      <c r="P1689">
        <v>-0.153835546604187</v>
      </c>
      <c r="Q1689">
        <v>7.3205999790191198E-2</v>
      </c>
      <c r="R1689">
        <v>0.75050112304864802</v>
      </c>
      <c r="S1689" t="s">
        <v>7515</v>
      </c>
      <c r="T1689" t="s">
        <v>11650</v>
      </c>
      <c r="U1689" t="s">
        <v>11650</v>
      </c>
      <c r="V1689" t="s">
        <v>11650</v>
      </c>
      <c r="W1689" t="s">
        <v>13310</v>
      </c>
      <c r="X1689">
        <v>17</v>
      </c>
      <c r="Y1689" t="s">
        <v>19053</v>
      </c>
      <c r="Z1689" t="s">
        <v>24751</v>
      </c>
      <c r="AA1689">
        <v>0.86416143250115585</v>
      </c>
      <c r="AB1689" t="str">
        <f>HYPERLINK("Melting_Curves/meltCurve_P00505_GOT2.pdf", "Melting_Curves/meltCurve_P00505_GOT2.pdf")</f>
        <v>Melting_Curves/meltCurve_P00505_GOT2.pdf</v>
      </c>
    </row>
    <row r="1690" spans="1:28" x14ac:dyDescent="0.25">
      <c r="A1690" t="s">
        <v>1694</v>
      </c>
      <c r="B1690">
        <v>0.99996721820229495</v>
      </c>
      <c r="C1690">
        <v>0.93275555559449697</v>
      </c>
      <c r="D1690">
        <v>0.79528774677668701</v>
      </c>
      <c r="E1690">
        <v>0.64148690056684199</v>
      </c>
      <c r="F1690">
        <v>0.573244271979644</v>
      </c>
      <c r="G1690">
        <v>0.46417170240734701</v>
      </c>
      <c r="H1690">
        <v>0.34396833527538401</v>
      </c>
      <c r="I1690">
        <v>0.238695305145711</v>
      </c>
      <c r="J1690">
        <v>0.18197297327404099</v>
      </c>
      <c r="K1690">
        <v>0.17027994879438199</v>
      </c>
      <c r="L1690">
        <v>433.36216594990202</v>
      </c>
      <c r="M1690">
        <v>7.9099262927850598</v>
      </c>
      <c r="N1690">
        <v>54.991042815547601</v>
      </c>
      <c r="O1690">
        <v>51.617199005475101</v>
      </c>
      <c r="P1690">
        <v>-3.78013824498152E-2</v>
      </c>
      <c r="Q1690">
        <v>1.44524012730332E-2</v>
      </c>
      <c r="R1690">
        <v>0.98988371409692699</v>
      </c>
      <c r="S1690" t="s">
        <v>7516</v>
      </c>
      <c r="T1690" t="s">
        <v>11650</v>
      </c>
      <c r="U1690" t="s">
        <v>11650</v>
      </c>
      <c r="V1690" t="s">
        <v>11650</v>
      </c>
      <c r="W1690" t="s">
        <v>13311</v>
      </c>
      <c r="X1690">
        <v>6</v>
      </c>
      <c r="Y1690" t="s">
        <v>19054</v>
      </c>
      <c r="Z1690" t="s">
        <v>24752</v>
      </c>
      <c r="AA1690">
        <v>0.52853362715460428</v>
      </c>
      <c r="AB1690" t="str">
        <f>HYPERLINK("Melting_Curves/meltCurve_P00519_ABL1.pdf", "Melting_Curves/meltCurve_P00519_ABL1.pdf")</f>
        <v>Melting_Curves/meltCurve_P00519_ABL1.pdf</v>
      </c>
    </row>
    <row r="1691" spans="1:28" x14ac:dyDescent="0.25">
      <c r="A1691" t="s">
        <v>1695</v>
      </c>
      <c r="B1691">
        <v>0.99996721820229495</v>
      </c>
      <c r="C1691">
        <v>0.82021448205097702</v>
      </c>
      <c r="D1691">
        <v>0.93737617337738199</v>
      </c>
      <c r="E1691">
        <v>1.14591684098058</v>
      </c>
      <c r="F1691">
        <v>0.80298768644049101</v>
      </c>
      <c r="G1691">
        <v>0.55536444951595998</v>
      </c>
      <c r="H1691">
        <v>0.424483646901681</v>
      </c>
      <c r="I1691">
        <v>0.40401508927910501</v>
      </c>
      <c r="J1691">
        <v>0.19609059939939699</v>
      </c>
      <c r="K1691">
        <v>0.149498248841584</v>
      </c>
      <c r="L1691">
        <v>923.56342413612595</v>
      </c>
      <c r="M1691">
        <v>15.892397874543001</v>
      </c>
      <c r="N1691">
        <v>59.288321651882001</v>
      </c>
      <c r="O1691">
        <v>57.216751486032301</v>
      </c>
      <c r="P1691">
        <v>-6.00650410813044E-2</v>
      </c>
      <c r="Q1691">
        <v>0.13507079253225199</v>
      </c>
      <c r="R1691">
        <v>0.90859996941251198</v>
      </c>
      <c r="S1691" t="s">
        <v>7517</v>
      </c>
      <c r="T1691" t="s">
        <v>11650</v>
      </c>
      <c r="U1691" t="s">
        <v>11650</v>
      </c>
      <c r="V1691" t="s">
        <v>11650</v>
      </c>
      <c r="W1691" t="s">
        <v>13312</v>
      </c>
      <c r="X1691">
        <v>29</v>
      </c>
      <c r="Y1691" t="s">
        <v>19055</v>
      </c>
      <c r="Z1691" t="s">
        <v>24753</v>
      </c>
      <c r="AA1691">
        <v>0.66851429034669863</v>
      </c>
      <c r="AB1691" t="str">
        <f>HYPERLINK("Melting_Curves/meltCurve_P00533_EGFR.pdf", "Melting_Curves/meltCurve_P00533_EGFR.pdf")</f>
        <v>Melting_Curves/meltCurve_P00533_EGFR.pdf</v>
      </c>
    </row>
    <row r="1692" spans="1:28" x14ac:dyDescent="0.25">
      <c r="A1692" t="s">
        <v>1696</v>
      </c>
      <c r="B1692">
        <v>0.99996721820229495</v>
      </c>
      <c r="C1692">
        <v>1.0096850712472401</v>
      </c>
      <c r="D1692">
        <v>0.93463947343088405</v>
      </c>
      <c r="E1692">
        <v>0.90066901373646602</v>
      </c>
      <c r="F1692">
        <v>0.51782724895992505</v>
      </c>
      <c r="G1692">
        <v>0.17753621340138501</v>
      </c>
      <c r="H1692">
        <v>9.3124213055640698E-2</v>
      </c>
      <c r="I1692">
        <v>6.13178668465807E-2</v>
      </c>
      <c r="J1692">
        <v>4.7981386021437901E-2</v>
      </c>
      <c r="K1692">
        <v>3.6008053727575998E-2</v>
      </c>
      <c r="L1692">
        <v>1568.6803752169601</v>
      </c>
      <c r="M1692">
        <v>29.5501230588299</v>
      </c>
      <c r="N1692">
        <v>53.290832994226903</v>
      </c>
      <c r="O1692">
        <v>52.844082168626898</v>
      </c>
      <c r="P1692">
        <v>-0.132274141836496</v>
      </c>
      <c r="Q1692">
        <v>5.3830480531106797E-2</v>
      </c>
      <c r="R1692">
        <v>0.99676796668990597</v>
      </c>
      <c r="S1692" t="s">
        <v>7518</v>
      </c>
      <c r="T1692" t="s">
        <v>11650</v>
      </c>
      <c r="U1692" t="s">
        <v>11650</v>
      </c>
      <c r="V1692" t="s">
        <v>11650</v>
      </c>
      <c r="W1692" t="s">
        <v>13313</v>
      </c>
      <c r="X1692">
        <v>47</v>
      </c>
      <c r="Y1692" t="s">
        <v>19056</v>
      </c>
      <c r="Z1692" t="s">
        <v>24754</v>
      </c>
      <c r="AA1692">
        <v>0.47285829278220209</v>
      </c>
      <c r="AB1692" t="str">
        <f>HYPERLINK("Melting_Curves/meltCurve_P00558_PGK1.pdf", "Melting_Curves/meltCurve_P00558_PGK1.pdf")</f>
        <v>Melting_Curves/meltCurve_P00558_PGK1.pdf</v>
      </c>
    </row>
    <row r="1693" spans="1:28" x14ac:dyDescent="0.25">
      <c r="A1693" t="s">
        <v>1697</v>
      </c>
      <c r="B1693">
        <v>0.99996721820229495</v>
      </c>
      <c r="C1693">
        <v>0.93341164462892301</v>
      </c>
      <c r="D1693">
        <v>0.99310597291380098</v>
      </c>
      <c r="E1693">
        <v>0.88508292198613003</v>
      </c>
      <c r="F1693">
        <v>0.68164536254196295</v>
      </c>
      <c r="G1693">
        <v>0.57614804482251802</v>
      </c>
      <c r="H1693">
        <v>0.41644232781582402</v>
      </c>
      <c r="I1693">
        <v>0.18982058475447999</v>
      </c>
      <c r="J1693">
        <v>7.5454988185890096E-2</v>
      </c>
      <c r="K1693">
        <v>0.113983397488471</v>
      </c>
      <c r="L1693">
        <v>722.87313200729602</v>
      </c>
      <c r="M1693">
        <v>12.5209626494717</v>
      </c>
      <c r="N1693">
        <v>57.733045528099801</v>
      </c>
      <c r="O1693">
        <v>56.319733459383997</v>
      </c>
      <c r="P1693">
        <v>-5.5591182798749902E-2</v>
      </c>
      <c r="Q1693">
        <v>0</v>
      </c>
      <c r="R1693">
        <v>0.98057240677176005</v>
      </c>
      <c r="S1693" t="s">
        <v>7519</v>
      </c>
      <c r="T1693" t="s">
        <v>11650</v>
      </c>
      <c r="U1693" t="s">
        <v>11650</v>
      </c>
      <c r="V1693" t="s">
        <v>11650</v>
      </c>
      <c r="W1693" t="s">
        <v>13314</v>
      </c>
      <c r="X1693">
        <v>2</v>
      </c>
      <c r="Y1693" t="s">
        <v>19057</v>
      </c>
      <c r="Z1693" t="s">
        <v>24755</v>
      </c>
      <c r="AA1693">
        <v>0.60521808805270794</v>
      </c>
      <c r="AB1693" t="str">
        <f>HYPERLINK("Melting_Curves/meltCurve_P00736_C1R.pdf", "Melting_Curves/meltCurve_P00736_C1R.pdf")</f>
        <v>Melting_Curves/meltCurve_P00736_C1R.pdf</v>
      </c>
    </row>
    <row r="1694" spans="1:28" x14ac:dyDescent="0.25">
      <c r="A1694" t="s">
        <v>1698</v>
      </c>
      <c r="B1694">
        <v>0.99996721820229495</v>
      </c>
      <c r="C1694">
        <v>0.61745333022547999</v>
      </c>
      <c r="D1694">
        <v>0.48755495191417803</v>
      </c>
      <c r="E1694">
        <v>0.97368474364070301</v>
      </c>
      <c r="F1694">
        <v>1.18199541540512</v>
      </c>
      <c r="G1694">
        <v>1.1040625851911201</v>
      </c>
      <c r="H1694">
        <v>0.861053860506796</v>
      </c>
      <c r="I1694">
        <v>1.02840993454631</v>
      </c>
      <c r="J1694">
        <v>0.92268466374036795</v>
      </c>
      <c r="K1694">
        <v>0.79135466621339801</v>
      </c>
      <c r="L1694">
        <v>1.0000000000000001E-5</v>
      </c>
      <c r="M1694">
        <v>1.0000000000000001E-5</v>
      </c>
      <c r="Q1694">
        <v>0.79364528783763899</v>
      </c>
      <c r="R1694">
        <v>-4.7729347141256498E-9</v>
      </c>
      <c r="S1694" t="s">
        <v>7520</v>
      </c>
      <c r="T1694" t="s">
        <v>11650</v>
      </c>
      <c r="U1694" t="s">
        <v>11650</v>
      </c>
      <c r="V1694" t="s">
        <v>11650</v>
      </c>
      <c r="W1694" t="s">
        <v>13315</v>
      </c>
      <c r="X1694">
        <v>4</v>
      </c>
      <c r="Y1694" t="s">
        <v>19058</v>
      </c>
      <c r="Z1694" t="s">
        <v>24756</v>
      </c>
      <c r="AA1694">
        <v>0.89682213765531871</v>
      </c>
      <c r="AB1694" t="str">
        <f>HYPERLINK("Melting_Curves/meltCurve_P00738_HP.pdf", "Melting_Curves/meltCurve_P00738_HP.pdf")</f>
        <v>Melting_Curves/meltCurve_P00738_HP.pdf</v>
      </c>
    </row>
    <row r="1695" spans="1:28" x14ac:dyDescent="0.25">
      <c r="A1695" t="s">
        <v>1699</v>
      </c>
      <c r="B1695">
        <v>0.99996721820229495</v>
      </c>
      <c r="C1695">
        <v>0.82739949067552399</v>
      </c>
      <c r="D1695">
        <v>0.83625782241976199</v>
      </c>
      <c r="E1695">
        <v>0.94604300200826996</v>
      </c>
      <c r="F1695">
        <v>1.0355577117969801</v>
      </c>
      <c r="G1695">
        <v>0.98933907296854295</v>
      </c>
      <c r="H1695">
        <v>0.64250959156843401</v>
      </c>
      <c r="I1695">
        <v>0.60182610874500997</v>
      </c>
      <c r="J1695">
        <v>0.30694646404124398</v>
      </c>
      <c r="K1695">
        <v>0.24809862405823899</v>
      </c>
      <c r="L1695">
        <v>1347.7218555443701</v>
      </c>
      <c r="M1695">
        <v>21.298646176238702</v>
      </c>
      <c r="N1695">
        <v>64.301117149195804</v>
      </c>
      <c r="O1695">
        <v>62.727450440561803</v>
      </c>
      <c r="P1695">
        <v>-7.2681251115975204E-2</v>
      </c>
      <c r="Q1695">
        <v>0.14379649575821399</v>
      </c>
      <c r="R1695">
        <v>0.88838694825301701</v>
      </c>
      <c r="S1695" t="s">
        <v>7521</v>
      </c>
      <c r="T1695" t="s">
        <v>11650</v>
      </c>
      <c r="U1695" t="s">
        <v>11650</v>
      </c>
      <c r="V1695" t="s">
        <v>11650</v>
      </c>
      <c r="W1695" t="s">
        <v>13316</v>
      </c>
      <c r="X1695">
        <v>4</v>
      </c>
      <c r="Y1695" t="s">
        <v>19059</v>
      </c>
      <c r="Z1695" t="s">
        <v>24757</v>
      </c>
      <c r="AA1695">
        <v>0.80741591636233467</v>
      </c>
      <c r="AB1695" t="str">
        <f>HYPERLINK("Melting_Curves/meltCurve_P00813_ADA.pdf", "Melting_Curves/meltCurve_P00813_ADA.pdf")</f>
        <v>Melting_Curves/meltCurve_P00813_ADA.pdf</v>
      </c>
    </row>
    <row r="1696" spans="1:28" x14ac:dyDescent="0.25">
      <c r="A1696" t="s">
        <v>1700</v>
      </c>
      <c r="B1696">
        <v>0.99996721820229495</v>
      </c>
      <c r="C1696">
        <v>1.0347507889168801</v>
      </c>
      <c r="D1696">
        <v>1.1707786680663099</v>
      </c>
      <c r="E1696">
        <v>1.3026954656102301</v>
      </c>
      <c r="F1696">
        <v>0.70256882788989194</v>
      </c>
      <c r="G1696">
        <v>0.55440413574629199</v>
      </c>
      <c r="H1696">
        <v>0.31923844360686598</v>
      </c>
      <c r="I1696">
        <v>0.15625159451355899</v>
      </c>
      <c r="J1696">
        <v>0.10276979058122</v>
      </c>
      <c r="K1696">
        <v>0.13810550652867301</v>
      </c>
      <c r="L1696">
        <v>1344.9582563655899</v>
      </c>
      <c r="M1696">
        <v>23.653312822773099</v>
      </c>
      <c r="N1696">
        <v>57.498332495111697</v>
      </c>
      <c r="O1696">
        <v>56.459571468154401</v>
      </c>
      <c r="P1696">
        <v>-9.2664736332794803E-2</v>
      </c>
      <c r="Q1696">
        <v>0.115266074611216</v>
      </c>
      <c r="R1696">
        <v>0.90704402579574805</v>
      </c>
      <c r="S1696" t="s">
        <v>7522</v>
      </c>
      <c r="T1696" t="s">
        <v>11650</v>
      </c>
      <c r="U1696" t="s">
        <v>11650</v>
      </c>
      <c r="V1696" t="s">
        <v>11650</v>
      </c>
      <c r="W1696" t="s">
        <v>13317</v>
      </c>
      <c r="X1696">
        <v>13</v>
      </c>
      <c r="Y1696" t="s">
        <v>19060</v>
      </c>
      <c r="Z1696" t="s">
        <v>24758</v>
      </c>
      <c r="AA1696">
        <v>0.62122738575442915</v>
      </c>
      <c r="AB1696" t="str">
        <f>HYPERLINK("Melting_Curves/meltCurve_P00966_ASS1.pdf", "Melting_Curves/meltCurve_P00966_ASS1.pdf")</f>
        <v>Melting_Curves/meltCurve_P00966_ASS1.pdf</v>
      </c>
    </row>
    <row r="1697" spans="1:28" x14ac:dyDescent="0.25">
      <c r="A1697" t="s">
        <v>1701</v>
      </c>
      <c r="B1697">
        <v>0.99996721820229495</v>
      </c>
      <c r="C1697">
        <v>0.95941055290815802</v>
      </c>
      <c r="D1697">
        <v>0.88385995202246903</v>
      </c>
      <c r="E1697">
        <v>1.0156035454250101</v>
      </c>
      <c r="F1697">
        <v>1.5354236671794399</v>
      </c>
      <c r="G1697">
        <v>2.13334454952291</v>
      </c>
      <c r="H1697">
        <v>1.4878284480262101</v>
      </c>
      <c r="I1697">
        <v>0.50307184124950199</v>
      </c>
      <c r="J1697">
        <v>0.24542452243118801</v>
      </c>
      <c r="K1697">
        <v>0.22805711805811499</v>
      </c>
      <c r="L1697">
        <v>15000</v>
      </c>
      <c r="M1697">
        <v>234.99842078693899</v>
      </c>
      <c r="N1697">
        <v>64.004915809149395</v>
      </c>
      <c r="O1697">
        <v>63.825593417687102</v>
      </c>
      <c r="P1697">
        <v>-0.70257105734071201</v>
      </c>
      <c r="Q1697">
        <v>0.23672653792727599</v>
      </c>
      <c r="R1697">
        <v>0.43625915939361098</v>
      </c>
      <c r="S1697" t="s">
        <v>7523</v>
      </c>
      <c r="T1697" t="s">
        <v>11650</v>
      </c>
      <c r="U1697" t="s">
        <v>11650</v>
      </c>
      <c r="V1697" t="s">
        <v>11650</v>
      </c>
      <c r="W1697" t="s">
        <v>13318</v>
      </c>
      <c r="X1697">
        <v>8</v>
      </c>
      <c r="Y1697" t="s">
        <v>19061</v>
      </c>
      <c r="Z1697" t="s">
        <v>24759</v>
      </c>
      <c r="AA1697">
        <v>0.8431223617553455</v>
      </c>
      <c r="AB1697" t="str">
        <f>HYPERLINK("Melting_Curves/meltCurve_P01023_A2M.pdf", "Melting_Curves/meltCurve_P01023_A2M.pdf")</f>
        <v>Melting_Curves/meltCurve_P01023_A2M.pdf</v>
      </c>
    </row>
    <row r="1698" spans="1:28" x14ac:dyDescent="0.25">
      <c r="A1698" t="s">
        <v>1702</v>
      </c>
      <c r="B1698">
        <v>0.99996721820229495</v>
      </c>
      <c r="C1698">
        <v>1.0344353218129601</v>
      </c>
      <c r="D1698">
        <v>1.0004146837646899</v>
      </c>
      <c r="E1698">
        <v>1.0288686630639701</v>
      </c>
      <c r="F1698">
        <v>1.27451473837746</v>
      </c>
      <c r="G1698">
        <v>1.3412309151722599</v>
      </c>
      <c r="H1698">
        <v>0.83972319903983295</v>
      </c>
      <c r="I1698">
        <v>0.66176755233919504</v>
      </c>
      <c r="J1698">
        <v>0.46317926084051603</v>
      </c>
      <c r="K1698">
        <v>0.26705584744414301</v>
      </c>
      <c r="L1698">
        <v>2128.6239809977601</v>
      </c>
      <c r="M1698">
        <v>32.953206467123003</v>
      </c>
      <c r="N1698">
        <v>65.8922028982266</v>
      </c>
      <c r="O1698">
        <v>64.358863743834505</v>
      </c>
      <c r="P1698">
        <v>-9.7463684888698096E-2</v>
      </c>
      <c r="Q1698">
        <v>0.23860230207255201</v>
      </c>
      <c r="R1698">
        <v>0.80028252773567599</v>
      </c>
      <c r="S1698" t="s">
        <v>7524</v>
      </c>
      <c r="T1698" t="s">
        <v>11650</v>
      </c>
      <c r="U1698" t="s">
        <v>11650</v>
      </c>
      <c r="V1698" t="s">
        <v>11650</v>
      </c>
      <c r="W1698" t="s">
        <v>13319</v>
      </c>
      <c r="X1698">
        <v>7</v>
      </c>
      <c r="Y1698" t="s">
        <v>19062</v>
      </c>
      <c r="Z1698" t="s">
        <v>24760</v>
      </c>
      <c r="AA1698">
        <v>0.86311546001529904</v>
      </c>
      <c r="AB1698" t="str">
        <f>HYPERLINK("Melting_Curves/meltCurve_P01034_CST3.pdf", "Melting_Curves/meltCurve_P01034_CST3.pdf")</f>
        <v>Melting_Curves/meltCurve_P01034_CST3.pdf</v>
      </c>
    </row>
    <row r="1699" spans="1:28" x14ac:dyDescent="0.25">
      <c r="A1699" t="s">
        <v>1703</v>
      </c>
      <c r="B1699">
        <v>0.99996721820229495</v>
      </c>
      <c r="C1699">
        <v>0.93490195813832</v>
      </c>
      <c r="D1699">
        <v>1.0200759506944299</v>
      </c>
      <c r="E1699">
        <v>0.98348915670438697</v>
      </c>
      <c r="F1699">
        <v>1.2170917257181399</v>
      </c>
      <c r="G1699">
        <v>1.3104536985428199</v>
      </c>
      <c r="H1699">
        <v>0.79698619518007296</v>
      </c>
      <c r="I1699">
        <v>0.35976807114359</v>
      </c>
      <c r="J1699">
        <v>0.14672092388724201</v>
      </c>
      <c r="K1699">
        <v>6.8898188059598395E-2</v>
      </c>
      <c r="L1699">
        <v>3075.1954519754099</v>
      </c>
      <c r="M1699">
        <v>48.946486057176102</v>
      </c>
      <c r="N1699">
        <v>63.068358820515002</v>
      </c>
      <c r="O1699">
        <v>62.7231202252431</v>
      </c>
      <c r="P1699">
        <v>-0.17847177530074401</v>
      </c>
      <c r="Q1699">
        <v>8.5181112231961398E-2</v>
      </c>
      <c r="R1699">
        <v>0.91068304006731604</v>
      </c>
      <c r="S1699" t="s">
        <v>7525</v>
      </c>
      <c r="T1699" t="s">
        <v>11650</v>
      </c>
      <c r="U1699" t="s">
        <v>11650</v>
      </c>
      <c r="V1699" t="s">
        <v>11650</v>
      </c>
      <c r="W1699" t="s">
        <v>13320</v>
      </c>
      <c r="X1699">
        <v>12</v>
      </c>
      <c r="Y1699" t="s">
        <v>19063</v>
      </c>
      <c r="Z1699" t="s">
        <v>24761</v>
      </c>
      <c r="AA1699">
        <v>0.78359742364968354</v>
      </c>
      <c r="AB1699" t="str">
        <f>HYPERLINK("Melting_Curves/meltCurve_P01111_NRAS.pdf", "Melting_Curves/meltCurve_P01111_NRAS.pdf")</f>
        <v>Melting_Curves/meltCurve_P01111_NRAS.pdf</v>
      </c>
    </row>
    <row r="1700" spans="1:28" x14ac:dyDescent="0.25">
      <c r="A1700" t="s">
        <v>1704</v>
      </c>
      <c r="B1700">
        <v>0.99996721820229495</v>
      </c>
      <c r="C1700">
        <v>0.86295229641479498</v>
      </c>
      <c r="D1700">
        <v>1.00674282345614</v>
      </c>
      <c r="E1700">
        <v>1.09289481075093</v>
      </c>
      <c r="F1700">
        <v>1.2689942278217801</v>
      </c>
      <c r="G1700">
        <v>1.33733111550344</v>
      </c>
      <c r="H1700">
        <v>0.84557994659969604</v>
      </c>
      <c r="I1700">
        <v>0.42369301553244998</v>
      </c>
      <c r="J1700">
        <v>0.17623941605767901</v>
      </c>
      <c r="K1700">
        <v>0.125511582952264</v>
      </c>
      <c r="L1700">
        <v>3227.8192581830199</v>
      </c>
      <c r="M1700">
        <v>51.144339376453701</v>
      </c>
      <c r="N1700">
        <v>63.479221866760597</v>
      </c>
      <c r="O1700">
        <v>63.015698103908903</v>
      </c>
      <c r="P1700">
        <v>-0.176917598545378</v>
      </c>
      <c r="Q1700">
        <v>0.128069620272764</v>
      </c>
      <c r="R1700">
        <v>0.86981427918179799</v>
      </c>
      <c r="S1700" t="s">
        <v>7526</v>
      </c>
      <c r="T1700" t="s">
        <v>11650</v>
      </c>
      <c r="U1700" t="s">
        <v>11650</v>
      </c>
      <c r="V1700" t="s">
        <v>11650</v>
      </c>
      <c r="W1700" t="s">
        <v>13321</v>
      </c>
      <c r="X1700">
        <v>14</v>
      </c>
      <c r="Y1700" t="s">
        <v>19064</v>
      </c>
      <c r="Z1700" t="s">
        <v>24762</v>
      </c>
      <c r="AA1700">
        <v>0.80182270490274921</v>
      </c>
      <c r="AB1700" t="str">
        <f>HYPERLINK("Melting_Curves/meltCurve_P01112_HRAS.pdf", "Melting_Curves/meltCurve_P01112_HRAS.pdf")</f>
        <v>Melting_Curves/meltCurve_P01112_HRAS.pdf</v>
      </c>
    </row>
    <row r="1701" spans="1:28" x14ac:dyDescent="0.25">
      <c r="A1701" t="s">
        <v>1705</v>
      </c>
      <c r="B1701">
        <v>0.99996721820229495</v>
      </c>
      <c r="C1701">
        <v>0.84703741450469605</v>
      </c>
      <c r="D1701">
        <v>0.97509331849567804</v>
      </c>
      <c r="E1701">
        <v>0.99406020713008503</v>
      </c>
      <c r="F1701">
        <v>1.1887157715742001</v>
      </c>
      <c r="G1701">
        <v>1.06641079160844</v>
      </c>
      <c r="H1701">
        <v>0.65334552636379095</v>
      </c>
      <c r="I1701">
        <v>0.243195247996008</v>
      </c>
      <c r="J1701">
        <v>5.8391194153985901E-2</v>
      </c>
      <c r="K1701">
        <v>6.9549142243110901E-2</v>
      </c>
      <c r="L1701">
        <v>2897.1940634805801</v>
      </c>
      <c r="M1701">
        <v>46.859222624438203</v>
      </c>
      <c r="N1701">
        <v>61.990563339819801</v>
      </c>
      <c r="O1701">
        <v>61.715329347843699</v>
      </c>
      <c r="P1701">
        <v>-0.17882121545718399</v>
      </c>
      <c r="Q1701">
        <v>5.7944437889347097E-2</v>
      </c>
      <c r="R1701">
        <v>0.958835869430674</v>
      </c>
      <c r="S1701" t="s">
        <v>7527</v>
      </c>
      <c r="T1701" t="s">
        <v>11650</v>
      </c>
      <c r="U1701" t="s">
        <v>11650</v>
      </c>
      <c r="V1701" t="s">
        <v>11650</v>
      </c>
      <c r="W1701" t="s">
        <v>13322</v>
      </c>
      <c r="X1701">
        <v>12</v>
      </c>
      <c r="Y1701" t="s">
        <v>19065</v>
      </c>
      <c r="Z1701" t="s">
        <v>24763</v>
      </c>
      <c r="AA1701">
        <v>0.74606480710538037</v>
      </c>
      <c r="AB1701" t="str">
        <f>HYPERLINK("Melting_Curves/meltCurve_P01116_2_KRAS.pdf", "Melting_Curves/meltCurve_P01116_2_KRAS.pdf")</f>
        <v>Melting_Curves/meltCurve_P01116_2_KRAS.pdf</v>
      </c>
    </row>
    <row r="1702" spans="1:28" x14ac:dyDescent="0.25">
      <c r="A1702" t="s">
        <v>1706</v>
      </c>
      <c r="B1702">
        <v>0.99996721820229495</v>
      </c>
      <c r="C1702">
        <v>0.95571691888843902</v>
      </c>
      <c r="D1702">
        <v>1.1026199667041201</v>
      </c>
      <c r="E1702">
        <v>1.2425497739742799</v>
      </c>
      <c r="F1702">
        <v>1.53640409197494</v>
      </c>
      <c r="G1702">
        <v>1.3238365730155801</v>
      </c>
      <c r="H1702">
        <v>0.85104275196191104</v>
      </c>
      <c r="I1702">
        <v>0.57372834897304303</v>
      </c>
      <c r="J1702">
        <v>0.40017288098422199</v>
      </c>
      <c r="K1702">
        <v>0.42596078920056701</v>
      </c>
      <c r="L1702">
        <v>3324.7543979369102</v>
      </c>
      <c r="M1702">
        <v>53.1030420787731</v>
      </c>
      <c r="N1702">
        <v>64.695495863778902</v>
      </c>
      <c r="O1702">
        <v>62.520889963754001</v>
      </c>
      <c r="P1702">
        <v>-0.12533062872130901</v>
      </c>
      <c r="Q1702">
        <v>0.40976811259054902</v>
      </c>
      <c r="R1702">
        <v>0.64575979656162197</v>
      </c>
      <c r="S1702" t="s">
        <v>7528</v>
      </c>
      <c r="T1702" t="s">
        <v>11650</v>
      </c>
      <c r="U1702" t="s">
        <v>11650</v>
      </c>
      <c r="V1702" t="s">
        <v>11650</v>
      </c>
      <c r="W1702" t="s">
        <v>13323</v>
      </c>
      <c r="X1702">
        <v>6</v>
      </c>
      <c r="Y1702" t="s">
        <v>19066</v>
      </c>
      <c r="Z1702" t="s">
        <v>24764</v>
      </c>
      <c r="AA1702">
        <v>0.8559292666685816</v>
      </c>
      <c r="AB1702" t="str">
        <f>HYPERLINK("Melting_Curves/meltCurve_P01137_TGFB1.pdf", "Melting_Curves/meltCurve_P01137_TGFB1.pdf")</f>
        <v>Melting_Curves/meltCurve_P01137_TGFB1.pdf</v>
      </c>
    </row>
    <row r="1703" spans="1:28" x14ac:dyDescent="0.25">
      <c r="A1703" t="s">
        <v>1707</v>
      </c>
      <c r="B1703">
        <v>0.99996721820229495</v>
      </c>
      <c r="C1703">
        <v>0.99680171159794095</v>
      </c>
      <c r="D1703">
        <v>0.95644738409584695</v>
      </c>
      <c r="E1703">
        <v>1.3403933182508501</v>
      </c>
      <c r="F1703">
        <v>2.09765357420663</v>
      </c>
      <c r="G1703">
        <v>2.16581442510922</v>
      </c>
      <c r="H1703">
        <v>1.17172580574665</v>
      </c>
      <c r="I1703">
        <v>0.72343104142673098</v>
      </c>
      <c r="J1703">
        <v>0.47339856874729502</v>
      </c>
      <c r="K1703">
        <v>0.48846420778225902</v>
      </c>
      <c r="L1703">
        <v>15000</v>
      </c>
      <c r="M1703">
        <v>234.506376193779</v>
      </c>
      <c r="N1703">
        <v>64.867619510143399</v>
      </c>
      <c r="O1703">
        <v>63.959493301001501</v>
      </c>
      <c r="P1703">
        <v>-0.47579554332720903</v>
      </c>
      <c r="Q1703">
        <v>0.48092427177903102</v>
      </c>
      <c r="R1703">
        <v>0.13284972881179799</v>
      </c>
      <c r="S1703" t="s">
        <v>7529</v>
      </c>
      <c r="T1703" t="s">
        <v>11650</v>
      </c>
      <c r="U1703" t="s">
        <v>11650</v>
      </c>
      <c r="V1703" t="s">
        <v>11650</v>
      </c>
      <c r="W1703" t="s">
        <v>13324</v>
      </c>
      <c r="X1703">
        <v>106</v>
      </c>
      <c r="Y1703" t="s">
        <v>19067</v>
      </c>
      <c r="Z1703" t="s">
        <v>24765</v>
      </c>
      <c r="AA1703">
        <v>0.89563070875877959</v>
      </c>
      <c r="AB1703" t="str">
        <f>HYPERLINK("Melting_Curves/meltCurve_P02452_COL1A1.pdf", "Melting_Curves/meltCurve_P02452_COL1A1.pdf")</f>
        <v>Melting_Curves/meltCurve_P02452_COL1A1.pdf</v>
      </c>
    </row>
    <row r="1704" spans="1:28" x14ac:dyDescent="0.25">
      <c r="A1704" t="s">
        <v>1708</v>
      </c>
      <c r="B1704">
        <v>0.99996721820229495</v>
      </c>
      <c r="C1704">
        <v>1.0838578780692401</v>
      </c>
      <c r="D1704">
        <v>1.17993436930438</v>
      </c>
      <c r="E1704">
        <v>1.3448936736822801</v>
      </c>
      <c r="F1704">
        <v>2.1068707878576598</v>
      </c>
      <c r="G1704">
        <v>3.5123704107692402</v>
      </c>
      <c r="H1704">
        <v>2.7957650308445099</v>
      </c>
      <c r="I1704">
        <v>1.6920954255737699</v>
      </c>
      <c r="J1704">
        <v>0.98695035653012098</v>
      </c>
      <c r="K1704">
        <v>1.2513636440964799</v>
      </c>
      <c r="L1704">
        <v>2000.51831781173</v>
      </c>
      <c r="M1704">
        <v>42.896701221955198</v>
      </c>
      <c r="O1704">
        <v>46.534692634395199</v>
      </c>
      <c r="P1704">
        <v>0.115227892968236</v>
      </c>
      <c r="Q1704">
        <v>1.5</v>
      </c>
      <c r="R1704">
        <v>2.1384317199798601E-2</v>
      </c>
      <c r="S1704" t="s">
        <v>7530</v>
      </c>
      <c r="T1704" t="s">
        <v>11650</v>
      </c>
      <c r="U1704" t="s">
        <v>11650</v>
      </c>
      <c r="V1704" t="s">
        <v>11650</v>
      </c>
      <c r="W1704" t="s">
        <v>13325</v>
      </c>
      <c r="X1704">
        <v>7</v>
      </c>
      <c r="Y1704" t="s">
        <v>19068</v>
      </c>
      <c r="Z1704" t="s">
        <v>24766</v>
      </c>
      <c r="AA1704">
        <v>1.38799413026124</v>
      </c>
      <c r="AB1704" t="str">
        <f>HYPERLINK("Melting_Curves/meltCurve_P02458_COL2A1.pdf", "Melting_Curves/meltCurve_P02458_COL2A1.pdf")</f>
        <v>Melting_Curves/meltCurve_P02458_COL2A1.pdf</v>
      </c>
    </row>
    <row r="1705" spans="1:28" x14ac:dyDescent="0.25">
      <c r="A1705" t="s">
        <v>1709</v>
      </c>
      <c r="B1705">
        <v>0.99996721820229495</v>
      </c>
      <c r="C1705">
        <v>0.96949090402962801</v>
      </c>
      <c r="D1705">
        <v>0.97783727258817399</v>
      </c>
      <c r="E1705">
        <v>1.33023926984816</v>
      </c>
      <c r="F1705">
        <v>2.02931077238817</v>
      </c>
      <c r="G1705">
        <v>4.1279072735678302</v>
      </c>
      <c r="H1705">
        <v>3.3036217664155498</v>
      </c>
      <c r="I1705">
        <v>2.06174018816938</v>
      </c>
      <c r="J1705">
        <v>1.1945585361439299</v>
      </c>
      <c r="K1705">
        <v>1.77025853393376</v>
      </c>
      <c r="S1705" t="s">
        <v>7531</v>
      </c>
      <c r="T1705" t="s">
        <v>11650</v>
      </c>
      <c r="U1705" t="s">
        <v>11651</v>
      </c>
      <c r="V1705" t="s">
        <v>11650</v>
      </c>
      <c r="W1705" t="s">
        <v>13326</v>
      </c>
      <c r="X1705">
        <v>50</v>
      </c>
      <c r="Y1705" t="s">
        <v>19069</v>
      </c>
      <c r="Z1705" t="s">
        <v>24767</v>
      </c>
      <c r="AB1705" t="str">
        <f>HYPERLINK("Melting_Curves/meltCurve_P02461_COL3A1.pdf", "Melting_Curves/meltCurve_P02461_COL3A1.pdf")</f>
        <v>Melting_Curves/meltCurve_P02461_COL3A1.pdf</v>
      </c>
    </row>
    <row r="1706" spans="1:28" x14ac:dyDescent="0.25">
      <c r="A1706" t="s">
        <v>1710</v>
      </c>
      <c r="B1706">
        <v>0.99996721820229495</v>
      </c>
      <c r="C1706">
        <v>1.06944678256836</v>
      </c>
      <c r="D1706">
        <v>1.1867503174206</v>
      </c>
      <c r="E1706">
        <v>1.6589119958471501</v>
      </c>
      <c r="F1706">
        <v>1.56614044522424</v>
      </c>
      <c r="G1706">
        <v>1.2213407787817701</v>
      </c>
      <c r="H1706">
        <v>0.65305390197061697</v>
      </c>
      <c r="I1706">
        <v>0.55257315656837003</v>
      </c>
      <c r="J1706">
        <v>0.38866068977282098</v>
      </c>
      <c r="K1706">
        <v>0.43077189344994699</v>
      </c>
      <c r="L1706">
        <v>6189.7236714049704</v>
      </c>
      <c r="M1706">
        <v>102.008639358783</v>
      </c>
      <c r="N1706">
        <v>62.1546825298093</v>
      </c>
      <c r="O1706">
        <v>60.6551175864128</v>
      </c>
      <c r="P1706">
        <v>-0.22886251128806201</v>
      </c>
      <c r="Q1706">
        <v>0.45566643895522502</v>
      </c>
      <c r="R1706">
        <v>0.537445588566133</v>
      </c>
      <c r="S1706" t="s">
        <v>7532</v>
      </c>
      <c r="T1706" t="s">
        <v>11650</v>
      </c>
      <c r="U1706" t="s">
        <v>11650</v>
      </c>
      <c r="V1706" t="s">
        <v>11650</v>
      </c>
      <c r="W1706" t="s">
        <v>13327</v>
      </c>
      <c r="X1706">
        <v>4</v>
      </c>
      <c r="Y1706" t="s">
        <v>19070</v>
      </c>
      <c r="Z1706" t="s">
        <v>24768</v>
      </c>
      <c r="AA1706">
        <v>0.83121367510010546</v>
      </c>
      <c r="AB1706" t="str">
        <f>HYPERLINK("Melting_Curves/meltCurve_P02462_2_COL4A1.pdf", "Melting_Curves/meltCurve_P02462_2_COL4A1.pdf")</f>
        <v>Melting_Curves/meltCurve_P02462_2_COL4A1.pdf</v>
      </c>
    </row>
    <row r="1707" spans="1:28" x14ac:dyDescent="0.25">
      <c r="A1707" t="s">
        <v>1711</v>
      </c>
      <c r="B1707">
        <v>0.99996721820229495</v>
      </c>
      <c r="C1707">
        <v>1.02600219048564</v>
      </c>
      <c r="D1707">
        <v>1.0489742033010301</v>
      </c>
      <c r="E1707">
        <v>1.24475515791193</v>
      </c>
      <c r="F1707">
        <v>2.53932472951765</v>
      </c>
      <c r="G1707">
        <v>1.45592469790476</v>
      </c>
      <c r="H1707">
        <v>0.67226742703304099</v>
      </c>
      <c r="I1707">
        <v>0.48194118095214</v>
      </c>
      <c r="J1707">
        <v>0.45481001617372202</v>
      </c>
      <c r="K1707">
        <v>0.30901805035088398</v>
      </c>
      <c r="L1707">
        <v>7328.3592053106104</v>
      </c>
      <c r="M1707">
        <v>120.36816833903301</v>
      </c>
      <c r="N1707">
        <v>61.789128280631097</v>
      </c>
      <c r="O1707">
        <v>60.866066484178297</v>
      </c>
      <c r="P1707">
        <v>-0.28949798333252802</v>
      </c>
      <c r="Q1707">
        <v>0.41444309596747703</v>
      </c>
      <c r="R1707">
        <v>0.29793976246678</v>
      </c>
      <c r="S1707" t="s">
        <v>7533</v>
      </c>
      <c r="T1707" t="s">
        <v>11650</v>
      </c>
      <c r="U1707" t="s">
        <v>11650</v>
      </c>
      <c r="V1707" t="s">
        <v>11650</v>
      </c>
      <c r="W1707" t="s">
        <v>13328</v>
      </c>
      <c r="X1707">
        <v>78</v>
      </c>
      <c r="Y1707" t="s">
        <v>19071</v>
      </c>
      <c r="Z1707" t="s">
        <v>24769</v>
      </c>
      <c r="AA1707">
        <v>0.82231675508346069</v>
      </c>
      <c r="AB1707" t="str">
        <f>HYPERLINK("Melting_Curves/meltCurve_P02545_LMNA.pdf", "Melting_Curves/meltCurve_P02545_LMNA.pdf")</f>
        <v>Melting_Curves/meltCurve_P02545_LMNA.pdf</v>
      </c>
    </row>
    <row r="1708" spans="1:28" x14ac:dyDescent="0.25">
      <c r="A1708" t="s">
        <v>1712</v>
      </c>
      <c r="B1708">
        <v>0.99996721820229495</v>
      </c>
      <c r="C1708">
        <v>0.959011786953057</v>
      </c>
      <c r="D1708">
        <v>0.95116509413689498</v>
      </c>
      <c r="E1708">
        <v>0.90601433440943102</v>
      </c>
      <c r="F1708">
        <v>0.95786612265959903</v>
      </c>
      <c r="G1708">
        <v>0.83710076532141398</v>
      </c>
      <c r="H1708">
        <v>0.56648885043388797</v>
      </c>
      <c r="I1708">
        <v>0.434595075211544</v>
      </c>
      <c r="J1708">
        <v>0.29566715001181698</v>
      </c>
      <c r="K1708">
        <v>0.32101495848989497</v>
      </c>
      <c r="L1708">
        <v>1239.96865069613</v>
      </c>
      <c r="M1708">
        <v>20.614184267628101</v>
      </c>
      <c r="N1708">
        <v>62.2982056349218</v>
      </c>
      <c r="O1708">
        <v>59.593768651733797</v>
      </c>
      <c r="P1708">
        <v>-6.4490081185737097E-2</v>
      </c>
      <c r="Q1708">
        <v>0.25428137799696698</v>
      </c>
      <c r="R1708">
        <v>0.98149618660043803</v>
      </c>
      <c r="S1708" t="s">
        <v>7534</v>
      </c>
      <c r="T1708" t="s">
        <v>11650</v>
      </c>
      <c r="U1708" t="s">
        <v>11650</v>
      </c>
      <c r="V1708" t="s">
        <v>11650</v>
      </c>
      <c r="W1708" t="s">
        <v>13329</v>
      </c>
      <c r="X1708">
        <v>5</v>
      </c>
      <c r="Y1708" t="s">
        <v>19072</v>
      </c>
      <c r="Z1708" t="s">
        <v>24770</v>
      </c>
      <c r="AA1708">
        <v>0.7611739841048778</v>
      </c>
      <c r="AB1708" t="str">
        <f>HYPERLINK("Melting_Curves/meltCurve_P02649_APOE.pdf", "Melting_Curves/meltCurve_P02649_APOE.pdf")</f>
        <v>Melting_Curves/meltCurve_P02649_APOE.pdf</v>
      </c>
    </row>
    <row r="1709" spans="1:28" x14ac:dyDescent="0.25">
      <c r="A1709" t="s">
        <v>1713</v>
      </c>
      <c r="B1709">
        <v>0.99996721820229495</v>
      </c>
      <c r="C1709">
        <v>1.0139256165380599</v>
      </c>
      <c r="D1709">
        <v>0.95953131471710196</v>
      </c>
      <c r="E1709">
        <v>1.0750117581697101</v>
      </c>
      <c r="F1709">
        <v>1.50636647561467</v>
      </c>
      <c r="G1709">
        <v>1.7820263253042401</v>
      </c>
      <c r="H1709">
        <v>1.41261634267249</v>
      </c>
      <c r="I1709">
        <v>1.47168714647546</v>
      </c>
      <c r="J1709">
        <v>1.19339872070897</v>
      </c>
      <c r="K1709">
        <v>0.99444783103277201</v>
      </c>
      <c r="L1709">
        <v>12572.2834914781</v>
      </c>
      <c r="M1709">
        <v>250</v>
      </c>
      <c r="O1709">
        <v>50.285920321102701</v>
      </c>
      <c r="P1709">
        <v>0.48898368264750802</v>
      </c>
      <c r="Q1709">
        <v>1.3934238762395299</v>
      </c>
      <c r="R1709">
        <v>0.48808554489998801</v>
      </c>
      <c r="S1709" t="s">
        <v>7535</v>
      </c>
      <c r="T1709" t="s">
        <v>11650</v>
      </c>
      <c r="U1709" t="s">
        <v>11650</v>
      </c>
      <c r="V1709" t="s">
        <v>11650</v>
      </c>
      <c r="W1709" t="s">
        <v>13330</v>
      </c>
      <c r="X1709">
        <v>2</v>
      </c>
      <c r="Y1709" t="s">
        <v>19073</v>
      </c>
      <c r="Z1709" t="s">
        <v>24771</v>
      </c>
      <c r="AA1709">
        <v>1.258456121699955</v>
      </c>
      <c r="AB1709" t="str">
        <f>HYPERLINK("Melting_Curves/meltCurve_P02652_APOA2.pdf", "Melting_Curves/meltCurve_P02652_APOA2.pdf")</f>
        <v>Melting_Curves/meltCurve_P02652_APOA2.pdf</v>
      </c>
    </row>
    <row r="1710" spans="1:28" x14ac:dyDescent="0.25">
      <c r="A1710" t="s">
        <v>1714</v>
      </c>
      <c r="B1710">
        <v>0.99996721820229495</v>
      </c>
      <c r="C1710">
        <v>0.95959596481401799</v>
      </c>
      <c r="D1710">
        <v>0.922305477740201</v>
      </c>
      <c r="E1710">
        <v>1.06071974988676</v>
      </c>
      <c r="F1710">
        <v>1.21810827955862</v>
      </c>
      <c r="G1710">
        <v>1.3424995701540201</v>
      </c>
      <c r="H1710">
        <v>1.0391999593604599</v>
      </c>
      <c r="I1710">
        <v>0.78838053129725005</v>
      </c>
      <c r="J1710">
        <v>0.60705139810447895</v>
      </c>
      <c r="K1710">
        <v>0.55152487495517999</v>
      </c>
      <c r="L1710">
        <v>7503.6739302803999</v>
      </c>
      <c r="M1710">
        <v>117.240242835668</v>
      </c>
      <c r="O1710">
        <v>63.983929204200201</v>
      </c>
      <c r="P1710">
        <v>-0.19335751618240299</v>
      </c>
      <c r="Q1710">
        <v>0.57790011681155196</v>
      </c>
      <c r="R1710">
        <v>0.67519411106483496</v>
      </c>
      <c r="S1710" t="s">
        <v>7536</v>
      </c>
      <c r="T1710" t="s">
        <v>11650</v>
      </c>
      <c r="U1710" t="s">
        <v>11650</v>
      </c>
      <c r="V1710" t="s">
        <v>11650</v>
      </c>
      <c r="W1710" t="s">
        <v>13331</v>
      </c>
      <c r="X1710">
        <v>55</v>
      </c>
      <c r="Y1710" t="s">
        <v>19074</v>
      </c>
      <c r="Z1710" t="s">
        <v>24772</v>
      </c>
      <c r="AA1710">
        <v>0.91583117793555746</v>
      </c>
      <c r="AB1710" t="str">
        <f>HYPERLINK("Melting_Curves/meltCurve_P02751_17_FN1.pdf", "Melting_Curves/meltCurve_P02751_17_FN1.pdf")</f>
        <v>Melting_Curves/meltCurve_P02751_17_FN1.pdf</v>
      </c>
    </row>
    <row r="1711" spans="1:28" x14ac:dyDescent="0.25">
      <c r="A1711" t="s">
        <v>1715</v>
      </c>
      <c r="B1711">
        <v>0.99996721820229495</v>
      </c>
      <c r="C1711">
        <v>0.93263038594260395</v>
      </c>
      <c r="D1711">
        <v>1.0946766767442999</v>
      </c>
      <c r="E1711">
        <v>1.3572122035282801</v>
      </c>
      <c r="F1711">
        <v>1.62686185928715</v>
      </c>
      <c r="G1711">
        <v>1.7432468802686201</v>
      </c>
      <c r="H1711">
        <v>1.30270530763763</v>
      </c>
      <c r="I1711">
        <v>0.677038844011565</v>
      </c>
      <c r="J1711">
        <v>0.247097191192159</v>
      </c>
      <c r="K1711">
        <v>0.27045542585699101</v>
      </c>
      <c r="L1711">
        <v>15000</v>
      </c>
      <c r="M1711">
        <v>234.116348139379</v>
      </c>
      <c r="N1711">
        <v>64.270788942179195</v>
      </c>
      <c r="O1711">
        <v>64.066032005266905</v>
      </c>
      <c r="P1711">
        <v>-0.67717541769682499</v>
      </c>
      <c r="Q1711">
        <v>0.258762709265483</v>
      </c>
      <c r="R1711">
        <v>0.50387301468078805</v>
      </c>
      <c r="S1711" t="s">
        <v>7537</v>
      </c>
      <c r="T1711" t="s">
        <v>11650</v>
      </c>
      <c r="U1711" t="s">
        <v>11650</v>
      </c>
      <c r="V1711" t="s">
        <v>11650</v>
      </c>
      <c r="W1711" t="s">
        <v>13332</v>
      </c>
      <c r="X1711">
        <v>33</v>
      </c>
      <c r="Y1711" t="s">
        <v>19075</v>
      </c>
      <c r="Z1711" t="s">
        <v>24773</v>
      </c>
      <c r="AA1711">
        <v>0.85359461273453363</v>
      </c>
      <c r="AB1711" t="str">
        <f>HYPERLINK("Melting_Curves/meltCurve_P02786_TFRC.pdf", "Melting_Curves/meltCurve_P02786_TFRC.pdf")</f>
        <v>Melting_Curves/meltCurve_P02786_TFRC.pdf</v>
      </c>
    </row>
    <row r="1712" spans="1:28" x14ac:dyDescent="0.25">
      <c r="A1712" t="s">
        <v>1716</v>
      </c>
      <c r="B1712">
        <v>0.99996721820229495</v>
      </c>
      <c r="C1712">
        <v>1.00325839986306</v>
      </c>
      <c r="D1712">
        <v>1.06973780554991</v>
      </c>
      <c r="E1712">
        <v>1.26731772585129</v>
      </c>
      <c r="F1712">
        <v>1.6826664952841801</v>
      </c>
      <c r="G1712">
        <v>1.9350493827328299</v>
      </c>
      <c r="H1712">
        <v>1.4296682938440699</v>
      </c>
      <c r="I1712">
        <v>0.90148459290841998</v>
      </c>
      <c r="J1712">
        <v>0.481301112925685</v>
      </c>
      <c r="K1712">
        <v>0.75492874670939802</v>
      </c>
      <c r="L1712">
        <v>15000</v>
      </c>
      <c r="M1712">
        <v>233.31912379222101</v>
      </c>
      <c r="O1712">
        <v>64.284902122885697</v>
      </c>
      <c r="P1712">
        <v>-0.34651101615090701</v>
      </c>
      <c r="Q1712">
        <v>0.618112262238248</v>
      </c>
      <c r="R1712">
        <v>4.0229908161811198E-2</v>
      </c>
      <c r="S1712" t="s">
        <v>7538</v>
      </c>
      <c r="T1712" t="s">
        <v>11650</v>
      </c>
      <c r="U1712" t="s">
        <v>11650</v>
      </c>
      <c r="V1712" t="s">
        <v>11650</v>
      </c>
      <c r="W1712" t="s">
        <v>13333</v>
      </c>
      <c r="X1712">
        <v>22</v>
      </c>
      <c r="Y1712" t="s">
        <v>19076</v>
      </c>
      <c r="Z1712" t="s">
        <v>24774</v>
      </c>
      <c r="AA1712">
        <v>0.92735878645308789</v>
      </c>
      <c r="AB1712" t="str">
        <f>HYPERLINK("Melting_Curves/meltCurve_P02787_TF.pdf", "Melting_Curves/meltCurve_P02787_TF.pdf")</f>
        <v>Melting_Curves/meltCurve_P02787_TF.pdf</v>
      </c>
    </row>
    <row r="1713" spans="1:28" x14ac:dyDescent="0.25">
      <c r="A1713" t="s">
        <v>1717</v>
      </c>
      <c r="B1713">
        <v>0.99996721820229495</v>
      </c>
      <c r="C1713">
        <v>0.73173970527183896</v>
      </c>
      <c r="D1713">
        <v>0.68052024605997397</v>
      </c>
      <c r="E1713">
        <v>0.66446939460352294</v>
      </c>
      <c r="F1713">
        <v>0.89953492768592802</v>
      </c>
      <c r="G1713">
        <v>1.1168249210225101</v>
      </c>
      <c r="H1713">
        <v>1.0301057098603299</v>
      </c>
      <c r="I1713">
        <v>1.22577694722436</v>
      </c>
      <c r="J1713">
        <v>1.29011284522688</v>
      </c>
      <c r="K1713">
        <v>1.00016310571226</v>
      </c>
      <c r="L1713">
        <v>14148.5795090047</v>
      </c>
      <c r="M1713">
        <v>250</v>
      </c>
      <c r="O1713">
        <v>56.590696372372399</v>
      </c>
      <c r="P1713">
        <v>0.150797382534374</v>
      </c>
      <c r="Q1713">
        <v>1.1365396620664301</v>
      </c>
      <c r="R1713">
        <v>0.17352712371004</v>
      </c>
      <c r="S1713" t="s">
        <v>7539</v>
      </c>
      <c r="T1713" t="s">
        <v>11650</v>
      </c>
      <c r="U1713" t="s">
        <v>11650</v>
      </c>
      <c r="V1713" t="s">
        <v>11650</v>
      </c>
      <c r="W1713" t="s">
        <v>13334</v>
      </c>
      <c r="X1713">
        <v>1</v>
      </c>
      <c r="Y1713" t="s">
        <v>19077</v>
      </c>
      <c r="Z1713" t="s">
        <v>24775</v>
      </c>
      <c r="AA1713">
        <v>1.0610000147586329</v>
      </c>
      <c r="AB1713" t="str">
        <f>HYPERLINK("Melting_Curves/meltCurve_P02792_FTL.pdf", "Melting_Curves/meltCurve_P02792_FTL.pdf")</f>
        <v>Melting_Curves/meltCurve_P02792_FTL.pdf</v>
      </c>
    </row>
    <row r="1714" spans="1:28" x14ac:dyDescent="0.25">
      <c r="A1714" t="s">
        <v>1718</v>
      </c>
      <c r="B1714">
        <v>0.99996721820229495</v>
      </c>
      <c r="C1714">
        <v>1.0782173195440401</v>
      </c>
      <c r="D1714">
        <v>0.90134280396956701</v>
      </c>
      <c r="E1714">
        <v>0.591870734443115</v>
      </c>
      <c r="F1714">
        <v>0.54743550009574005</v>
      </c>
      <c r="G1714">
        <v>0.49693434114059898</v>
      </c>
      <c r="H1714">
        <v>0.33428031536161701</v>
      </c>
      <c r="I1714">
        <v>0.24981058946107601</v>
      </c>
      <c r="J1714">
        <v>0.19759001932465001</v>
      </c>
      <c r="K1714">
        <v>0.15783283240729101</v>
      </c>
      <c r="L1714">
        <v>587.91345491699099</v>
      </c>
      <c r="M1714">
        <v>11.059905173436601</v>
      </c>
      <c r="N1714">
        <v>54.697783031948603</v>
      </c>
      <c r="O1714">
        <v>51.508072774910097</v>
      </c>
      <c r="P1714">
        <v>-4.6511788336184898E-2</v>
      </c>
      <c r="Q1714">
        <v>0.133829350254491</v>
      </c>
      <c r="R1714">
        <v>0.95638135505460797</v>
      </c>
      <c r="S1714" t="s">
        <v>7540</v>
      </c>
      <c r="T1714" t="s">
        <v>11650</v>
      </c>
      <c r="U1714" t="s">
        <v>11650</v>
      </c>
      <c r="V1714" t="s">
        <v>11650</v>
      </c>
      <c r="W1714" t="s">
        <v>13335</v>
      </c>
      <c r="X1714">
        <v>4</v>
      </c>
      <c r="Y1714" t="s">
        <v>19078</v>
      </c>
      <c r="Z1714" t="s">
        <v>24776</v>
      </c>
      <c r="AA1714">
        <v>0.54021516392314095</v>
      </c>
      <c r="AB1714" t="str">
        <f>HYPERLINK("Melting_Curves/meltCurve_P02794_FTH1.pdf", "Melting_Curves/meltCurve_P02794_FTH1.pdf")</f>
        <v>Melting_Curves/meltCurve_P02794_FTH1.pdf</v>
      </c>
    </row>
    <row r="1715" spans="1:28" x14ac:dyDescent="0.25">
      <c r="A1715" t="s">
        <v>1719</v>
      </c>
      <c r="B1715">
        <v>0.99996721820229495</v>
      </c>
      <c r="C1715">
        <v>0.98789902872425495</v>
      </c>
      <c r="D1715">
        <v>0.99119334146481997</v>
      </c>
      <c r="E1715">
        <v>1.35120196987103</v>
      </c>
      <c r="F1715">
        <v>2.8023319156839102</v>
      </c>
      <c r="G1715">
        <v>7.57559292215839</v>
      </c>
      <c r="H1715">
        <v>7.7896634655772798</v>
      </c>
      <c r="I1715">
        <v>8.46844552186543</v>
      </c>
      <c r="J1715">
        <v>7.6775598518623704</v>
      </c>
      <c r="K1715">
        <v>4.4075460721727504</v>
      </c>
      <c r="L1715">
        <v>12457.060526491299</v>
      </c>
      <c r="M1715">
        <v>250</v>
      </c>
      <c r="O1715">
        <v>49.825057695451001</v>
      </c>
      <c r="P1715">
        <v>0.62719451124346404</v>
      </c>
      <c r="Q1715">
        <v>1.5</v>
      </c>
      <c r="R1715">
        <v>-0.81608835896115195</v>
      </c>
      <c r="S1715" t="s">
        <v>7541</v>
      </c>
      <c r="T1715" t="s">
        <v>11650</v>
      </c>
      <c r="U1715" t="s">
        <v>11650</v>
      </c>
      <c r="V1715" t="s">
        <v>11650</v>
      </c>
      <c r="W1715" t="s">
        <v>13336</v>
      </c>
      <c r="X1715">
        <v>14</v>
      </c>
      <c r="Y1715" t="s">
        <v>19079</v>
      </c>
      <c r="Z1715" t="s">
        <v>24777</v>
      </c>
      <c r="AA1715">
        <v>1.336152241005895</v>
      </c>
      <c r="AB1715" t="str">
        <f>HYPERLINK("Melting_Curves/meltCurve_P02795_MT2A.pdf", "Melting_Curves/meltCurve_P02795_MT2A.pdf")</f>
        <v>Melting_Curves/meltCurve_P02795_MT2A.pdf</v>
      </c>
    </row>
    <row r="1716" spans="1:28" x14ac:dyDescent="0.25">
      <c r="A1716" t="s">
        <v>1720</v>
      </c>
      <c r="B1716">
        <v>0.99996721820229495</v>
      </c>
      <c r="C1716">
        <v>0.80541238190537601</v>
      </c>
      <c r="D1716">
        <v>0.88521099902550304</v>
      </c>
      <c r="E1716">
        <v>1.05845593798704</v>
      </c>
      <c r="F1716">
        <v>1.1463996978017501</v>
      </c>
      <c r="G1716">
        <v>1.4901004181684101</v>
      </c>
      <c r="H1716">
        <v>0.94356479799847903</v>
      </c>
      <c r="I1716">
        <v>0.43207688077657402</v>
      </c>
      <c r="J1716">
        <v>0.25593843002711097</v>
      </c>
      <c r="K1716">
        <v>0.196094293266246</v>
      </c>
      <c r="L1716">
        <v>4636.9369335088004</v>
      </c>
      <c r="M1716">
        <v>73.420873684807603</v>
      </c>
      <c r="N1716">
        <v>63.655683824614798</v>
      </c>
      <c r="O1716">
        <v>63.108762236589101</v>
      </c>
      <c r="P1716">
        <v>-0.22710660776692601</v>
      </c>
      <c r="Q1716">
        <v>0.21916406025608601</v>
      </c>
      <c r="R1716">
        <v>0.79140275313836905</v>
      </c>
      <c r="S1716" t="s">
        <v>7542</v>
      </c>
      <c r="T1716" t="s">
        <v>11650</v>
      </c>
      <c r="U1716" t="s">
        <v>11650</v>
      </c>
      <c r="V1716" t="s">
        <v>11650</v>
      </c>
      <c r="W1716" t="s">
        <v>13337</v>
      </c>
      <c r="X1716">
        <v>1</v>
      </c>
      <c r="Y1716" t="s">
        <v>19080</v>
      </c>
      <c r="Z1716" t="s">
        <v>24778</v>
      </c>
      <c r="AA1716">
        <v>0.82283819718558748</v>
      </c>
      <c r="AB1716" t="str">
        <f>HYPERLINK("Melting_Curves/meltCurve_P03928_MT_ATP8.pdf", "Melting_Curves/meltCurve_P03928_MT_ATP8.pdf")</f>
        <v>Melting_Curves/meltCurve_P03928_MT_ATP8.pdf</v>
      </c>
    </row>
    <row r="1717" spans="1:28" x14ac:dyDescent="0.25">
      <c r="A1717" t="s">
        <v>1721</v>
      </c>
      <c r="B1717">
        <v>0.99996721820229495</v>
      </c>
      <c r="C1717">
        <v>0.89095822701501703</v>
      </c>
      <c r="D1717">
        <v>0.83630359867321402</v>
      </c>
      <c r="E1717">
        <v>0.86052692251444796</v>
      </c>
      <c r="F1717">
        <v>0.91247598249381701</v>
      </c>
      <c r="G1717">
        <v>1.10687237765338</v>
      </c>
      <c r="H1717">
        <v>0.61042904138563303</v>
      </c>
      <c r="I1717">
        <v>0.405052851184873</v>
      </c>
      <c r="J1717">
        <v>0.27635265374393803</v>
      </c>
      <c r="K1717">
        <v>0.18981956292942401</v>
      </c>
      <c r="L1717">
        <v>2578.7788940944802</v>
      </c>
      <c r="M1717">
        <v>42.050072304819501</v>
      </c>
      <c r="N1717">
        <v>62.271835293933997</v>
      </c>
      <c r="O1717">
        <v>61.188174104516101</v>
      </c>
      <c r="P1717">
        <v>-0.13127035887747199</v>
      </c>
      <c r="Q1717">
        <v>0.235941391685765</v>
      </c>
      <c r="R1717">
        <v>0.89838608363471595</v>
      </c>
      <c r="S1717" t="s">
        <v>7543</v>
      </c>
      <c r="T1717" t="s">
        <v>11650</v>
      </c>
      <c r="U1717" t="s">
        <v>11650</v>
      </c>
      <c r="V1717" t="s">
        <v>11650</v>
      </c>
      <c r="W1717" t="s">
        <v>13338</v>
      </c>
      <c r="X1717">
        <v>2</v>
      </c>
      <c r="Y1717" t="s">
        <v>19081</v>
      </c>
      <c r="Z1717" t="s">
        <v>24779</v>
      </c>
      <c r="AA1717">
        <v>0.78174498168586859</v>
      </c>
      <c r="AB1717" t="str">
        <f>HYPERLINK("Melting_Curves/meltCurve_P03956_MMP1.pdf", "Melting_Curves/meltCurve_P03956_MMP1.pdf")</f>
        <v>Melting_Curves/meltCurve_P03956_MMP1.pdf</v>
      </c>
    </row>
    <row r="1718" spans="1:28" x14ac:dyDescent="0.25">
      <c r="A1718" t="s">
        <v>1722</v>
      </c>
      <c r="B1718">
        <v>0.99996721820229495</v>
      </c>
      <c r="C1718">
        <v>0.92626117144749298</v>
      </c>
      <c r="D1718">
        <v>1.0547612386612899</v>
      </c>
      <c r="E1718">
        <v>1.42081481935233</v>
      </c>
      <c r="F1718">
        <v>2.2657035923934101</v>
      </c>
      <c r="G1718">
        <v>3.2970834607472201</v>
      </c>
      <c r="H1718">
        <v>2.3350700759315202</v>
      </c>
      <c r="I1718">
        <v>1.2583796060114401</v>
      </c>
      <c r="J1718">
        <v>0.37977512374601402</v>
      </c>
      <c r="K1718">
        <v>0.28895701291575698</v>
      </c>
      <c r="L1718">
        <v>15000</v>
      </c>
      <c r="M1718">
        <v>225.79271669013099</v>
      </c>
      <c r="N1718">
        <v>66.6868958029022</v>
      </c>
      <c r="O1718">
        <v>66.427406851778002</v>
      </c>
      <c r="P1718">
        <v>-0.60450940765897698</v>
      </c>
      <c r="Q1718">
        <v>0.288622074529987</v>
      </c>
      <c r="R1718">
        <v>-0.111808708516464</v>
      </c>
      <c r="S1718" t="s">
        <v>7544</v>
      </c>
      <c r="T1718" t="s">
        <v>11650</v>
      </c>
      <c r="U1718" t="s">
        <v>11650</v>
      </c>
      <c r="V1718" t="s">
        <v>11650</v>
      </c>
      <c r="W1718" t="s">
        <v>13339</v>
      </c>
      <c r="X1718">
        <v>23</v>
      </c>
      <c r="Y1718" t="s">
        <v>19082</v>
      </c>
      <c r="Z1718" t="s">
        <v>24780</v>
      </c>
      <c r="AA1718">
        <v>0.91550957209276085</v>
      </c>
      <c r="AB1718" t="str">
        <f>HYPERLINK("Melting_Curves/meltCurve_P04040_CAT.pdf", "Melting_Curves/meltCurve_P04040_CAT.pdf")</f>
        <v>Melting_Curves/meltCurve_P04040_CAT.pdf</v>
      </c>
    </row>
    <row r="1719" spans="1:28" x14ac:dyDescent="0.25">
      <c r="A1719" t="s">
        <v>1723</v>
      </c>
      <c r="B1719">
        <v>0.99996721820229495</v>
      </c>
      <c r="C1719">
        <v>0.82433469458089303</v>
      </c>
      <c r="D1719">
        <v>1.57813146856736</v>
      </c>
      <c r="E1719">
        <v>3.4511838592503898</v>
      </c>
      <c r="F1719">
        <v>4.1100583294562902</v>
      </c>
      <c r="G1719">
        <v>4.6272073313076802</v>
      </c>
      <c r="H1719">
        <v>2.9246385707931499</v>
      </c>
      <c r="I1719">
        <v>0.30121462729022103</v>
      </c>
      <c r="J1719">
        <v>4.82974140378052E-2</v>
      </c>
      <c r="K1719">
        <v>5.77074472400625E-2</v>
      </c>
      <c r="L1719">
        <v>15000</v>
      </c>
      <c r="M1719">
        <v>235.40823658461099</v>
      </c>
      <c r="N1719">
        <v>63.749392885356599</v>
      </c>
      <c r="O1719">
        <v>63.714500805417401</v>
      </c>
      <c r="P1719">
        <v>-0.87479991672937196</v>
      </c>
      <c r="Q1719">
        <v>5.2922912820313001E-2</v>
      </c>
      <c r="R1719">
        <v>-0.20860509309113201</v>
      </c>
      <c r="S1719" t="s">
        <v>7545</v>
      </c>
      <c r="T1719" t="s">
        <v>11650</v>
      </c>
      <c r="U1719" t="s">
        <v>11650</v>
      </c>
      <c r="V1719" t="s">
        <v>11650</v>
      </c>
      <c r="W1719" t="s">
        <v>13340</v>
      </c>
      <c r="X1719">
        <v>7</v>
      </c>
      <c r="Y1719" t="s">
        <v>18414</v>
      </c>
      <c r="Z1719" t="s">
        <v>24781</v>
      </c>
      <c r="AA1719">
        <v>0.80183610185289511</v>
      </c>
      <c r="AB1719" t="str">
        <f>HYPERLINK("Melting_Curves/meltCurve_P04062_3_GBA.pdf", "Melting_Curves/meltCurve_P04062_3_GBA.pdf")</f>
        <v>Melting_Curves/meltCurve_P04062_3_GBA.pdf</v>
      </c>
    </row>
    <row r="1720" spans="1:28" x14ac:dyDescent="0.25">
      <c r="A1720" t="s">
        <v>1724</v>
      </c>
      <c r="B1720">
        <v>0.99996721820229495</v>
      </c>
      <c r="C1720">
        <v>0.859526400379515</v>
      </c>
      <c r="D1720">
        <v>0.951563760641291</v>
      </c>
      <c r="E1720">
        <v>0.95161242319311701</v>
      </c>
      <c r="F1720">
        <v>1.2517815354945401</v>
      </c>
      <c r="G1720">
        <v>0.89256635644277804</v>
      </c>
      <c r="H1720">
        <v>0.65500443205165504</v>
      </c>
      <c r="I1720">
        <v>0.32364584195552198</v>
      </c>
      <c r="J1720">
        <v>0.21448597755368701</v>
      </c>
      <c r="K1720">
        <v>0.14906477925688899</v>
      </c>
      <c r="L1720">
        <v>2019.9078419255</v>
      </c>
      <c r="M1720">
        <v>32.781846407562902</v>
      </c>
      <c r="N1720">
        <v>62.245980603709498</v>
      </c>
      <c r="O1720">
        <v>61.388705246261999</v>
      </c>
      <c r="P1720">
        <v>-0.11467114543606</v>
      </c>
      <c r="Q1720">
        <v>0.14105103912121</v>
      </c>
      <c r="R1720">
        <v>0.92607092571937399</v>
      </c>
      <c r="S1720" t="s">
        <v>7546</v>
      </c>
      <c r="T1720" t="s">
        <v>11650</v>
      </c>
      <c r="U1720" t="s">
        <v>11650</v>
      </c>
      <c r="V1720" t="s">
        <v>11650</v>
      </c>
      <c r="W1720" t="s">
        <v>13341</v>
      </c>
      <c r="X1720">
        <v>2</v>
      </c>
      <c r="Y1720" t="s">
        <v>19083</v>
      </c>
      <c r="Z1720" t="s">
        <v>24782</v>
      </c>
      <c r="AA1720">
        <v>0.76398112946064811</v>
      </c>
      <c r="AB1720" t="str">
        <f>HYPERLINK("Melting_Curves/meltCurve_P04066_FUCA1.pdf", "Melting_Curves/meltCurve_P04066_FUCA1.pdf")</f>
        <v>Melting_Curves/meltCurve_P04066_FUCA1.pdf</v>
      </c>
    </row>
    <row r="1721" spans="1:28" x14ac:dyDescent="0.25">
      <c r="A1721" t="s">
        <v>1725</v>
      </c>
      <c r="B1721">
        <v>0.99996721820229495</v>
      </c>
      <c r="C1721">
        <v>0.94739580136549895</v>
      </c>
      <c r="D1721">
        <v>1.13277856725907</v>
      </c>
      <c r="E1721">
        <v>1.57659233500989</v>
      </c>
      <c r="F1721">
        <v>1.9972606081509401</v>
      </c>
      <c r="G1721">
        <v>2.5315170328034999</v>
      </c>
      <c r="H1721">
        <v>1.8777587452304301</v>
      </c>
      <c r="I1721">
        <v>0.75984647611935396</v>
      </c>
      <c r="J1721">
        <v>0.182585039054702</v>
      </c>
      <c r="K1721">
        <v>0.12671285506420099</v>
      </c>
      <c r="L1721">
        <v>15000</v>
      </c>
      <c r="M1721">
        <v>233.450515854701</v>
      </c>
      <c r="N1721">
        <v>64.355450673742396</v>
      </c>
      <c r="O1721">
        <v>64.248721737809703</v>
      </c>
      <c r="P1721">
        <v>-0.767934348972654</v>
      </c>
      <c r="Q1721">
        <v>0.15461644599817601</v>
      </c>
      <c r="R1721">
        <v>0.18776826485067299</v>
      </c>
      <c r="S1721" t="s">
        <v>7547</v>
      </c>
      <c r="T1721" t="s">
        <v>11650</v>
      </c>
      <c r="U1721" t="s">
        <v>11650</v>
      </c>
      <c r="V1721" t="s">
        <v>11650</v>
      </c>
      <c r="W1721" t="s">
        <v>13342</v>
      </c>
      <c r="X1721">
        <v>44</v>
      </c>
      <c r="Y1721" t="s">
        <v>18273</v>
      </c>
      <c r="Z1721" t="s">
        <v>24783</v>
      </c>
      <c r="AA1721">
        <v>0.83817457184514488</v>
      </c>
      <c r="AB1721" t="str">
        <f>HYPERLINK("Melting_Curves/meltCurve_P04075_ALDOA.pdf", "Melting_Curves/meltCurve_P04075_ALDOA.pdf")</f>
        <v>Melting_Curves/meltCurve_P04075_ALDOA.pdf</v>
      </c>
    </row>
    <row r="1722" spans="1:28" x14ac:dyDescent="0.25">
      <c r="A1722" t="s">
        <v>1726</v>
      </c>
      <c r="B1722">
        <v>0.99996721820229495</v>
      </c>
      <c r="C1722">
        <v>0.529863365438347</v>
      </c>
      <c r="D1722">
        <v>0.48380789166017502</v>
      </c>
      <c r="E1722">
        <v>0.367268780526948</v>
      </c>
      <c r="F1722">
        <v>0.31385597794124998</v>
      </c>
      <c r="G1722">
        <v>0.25717227043052598</v>
      </c>
      <c r="H1722">
        <v>0.14515105313662799</v>
      </c>
      <c r="I1722">
        <v>0.127367366291912</v>
      </c>
      <c r="J1722">
        <v>0.126921551044578</v>
      </c>
      <c r="K1722">
        <v>0.123551988941419</v>
      </c>
      <c r="L1722">
        <v>514.226286541165</v>
      </c>
      <c r="M1722">
        <v>11.436581449334801</v>
      </c>
      <c r="N1722">
        <v>46.151421011434799</v>
      </c>
      <c r="O1722">
        <v>43.654433322434599</v>
      </c>
      <c r="P1722">
        <v>-5.7159597859712898E-2</v>
      </c>
      <c r="Q1722">
        <v>0.12752064875534799</v>
      </c>
      <c r="R1722">
        <v>0.90865100035371804</v>
      </c>
      <c r="S1722" t="s">
        <v>7548</v>
      </c>
      <c r="T1722" t="s">
        <v>11650</v>
      </c>
      <c r="U1722" t="s">
        <v>11650</v>
      </c>
      <c r="V1722" t="s">
        <v>11650</v>
      </c>
      <c r="W1722" t="s">
        <v>13343</v>
      </c>
      <c r="X1722">
        <v>6</v>
      </c>
      <c r="Y1722" t="s">
        <v>19084</v>
      </c>
      <c r="Z1722" t="s">
        <v>24784</v>
      </c>
      <c r="AA1722">
        <v>0.31960380445222197</v>
      </c>
      <c r="AB1722" t="str">
        <f>HYPERLINK("Melting_Curves/meltCurve_P04080_CSTB.pdf", "Melting_Curves/meltCurve_P04080_CSTB.pdf")</f>
        <v>Melting_Curves/meltCurve_P04080_CSTB.pdf</v>
      </c>
    </row>
    <row r="1723" spans="1:28" x14ac:dyDescent="0.25">
      <c r="A1723" t="s">
        <v>1727</v>
      </c>
      <c r="B1723">
        <v>0.99996721820229495</v>
      </c>
      <c r="C1723">
        <v>0.99664850561006801</v>
      </c>
      <c r="D1723">
        <v>0.95556029248660401</v>
      </c>
      <c r="E1723">
        <v>0.52157060410702105</v>
      </c>
      <c r="F1723">
        <v>0.181599885562125</v>
      </c>
      <c r="G1723">
        <v>0.146585392579615</v>
      </c>
      <c r="H1723">
        <v>8.4739603902181299E-2</v>
      </c>
      <c r="I1723">
        <v>5.4770299592799498E-2</v>
      </c>
      <c r="J1723">
        <v>4.30895595568637E-2</v>
      </c>
      <c r="K1723">
        <v>3.3249752396623498E-2</v>
      </c>
      <c r="L1723">
        <v>1590.16267920321</v>
      </c>
      <c r="M1723">
        <v>31.842695980979599</v>
      </c>
      <c r="N1723">
        <v>50.160025398613698</v>
      </c>
      <c r="O1723">
        <v>49.7423428777346</v>
      </c>
      <c r="P1723">
        <v>-0.14952234588838101</v>
      </c>
      <c r="Q1723">
        <v>6.57129532468613E-2</v>
      </c>
      <c r="R1723">
        <v>0.99614196433838598</v>
      </c>
      <c r="S1723" t="s">
        <v>7549</v>
      </c>
      <c r="T1723" t="s">
        <v>11650</v>
      </c>
      <c r="U1723" t="s">
        <v>11650</v>
      </c>
      <c r="V1723" t="s">
        <v>11650</v>
      </c>
      <c r="W1723" t="s">
        <v>13344</v>
      </c>
      <c r="X1723">
        <v>46</v>
      </c>
      <c r="Y1723" t="s">
        <v>19085</v>
      </c>
      <c r="Z1723" t="s">
        <v>24785</v>
      </c>
      <c r="AA1723">
        <v>0.38032966621875652</v>
      </c>
      <c r="AB1723" t="str">
        <f>HYPERLINK("Melting_Curves/meltCurve_P04083_ANXA1.pdf", "Melting_Curves/meltCurve_P04083_ANXA1.pdf")</f>
        <v>Melting_Curves/meltCurve_P04083_ANXA1.pdf</v>
      </c>
    </row>
    <row r="1724" spans="1:28" x14ac:dyDescent="0.25">
      <c r="A1724" t="s">
        <v>1728</v>
      </c>
      <c r="B1724">
        <v>0.99996721820229495</v>
      </c>
      <c r="C1724">
        <v>1.01935998100424</v>
      </c>
      <c r="D1724">
        <v>1.0499844356880601</v>
      </c>
      <c r="E1724">
        <v>1.16809343304683</v>
      </c>
      <c r="F1724">
        <v>0.69880044105665196</v>
      </c>
      <c r="G1724">
        <v>0.46739898841504002</v>
      </c>
      <c r="H1724">
        <v>0.226975590601632</v>
      </c>
      <c r="I1724">
        <v>0.15003543759552401</v>
      </c>
      <c r="J1724">
        <v>0.107384618164651</v>
      </c>
      <c r="K1724">
        <v>7.9082059388628695E-2</v>
      </c>
      <c r="L1724">
        <v>1366.9719283341001</v>
      </c>
      <c r="M1724">
        <v>24.451512054248902</v>
      </c>
      <c r="N1724">
        <v>56.416289871465402</v>
      </c>
      <c r="O1724">
        <v>55.535507747822003</v>
      </c>
      <c r="P1724">
        <v>-9.9141868220133794E-2</v>
      </c>
      <c r="Q1724">
        <v>9.9309199962587302E-2</v>
      </c>
      <c r="R1724">
        <v>0.96278538088670795</v>
      </c>
      <c r="S1724" t="s">
        <v>7550</v>
      </c>
      <c r="T1724" t="s">
        <v>11650</v>
      </c>
      <c r="U1724" t="s">
        <v>11650</v>
      </c>
      <c r="V1724" t="s">
        <v>11650</v>
      </c>
      <c r="W1724" t="s">
        <v>13345</v>
      </c>
      <c r="X1724">
        <v>18</v>
      </c>
      <c r="Y1724" t="s">
        <v>19086</v>
      </c>
      <c r="Z1724" t="s">
        <v>24786</v>
      </c>
      <c r="AA1724">
        <v>0.5854256549814908</v>
      </c>
      <c r="AB1724" t="str">
        <f>HYPERLINK("Melting_Curves/meltCurve_P04181_OAT.pdf", "Melting_Curves/meltCurve_P04181_OAT.pdf")</f>
        <v>Melting_Curves/meltCurve_P04181_OAT.pdf</v>
      </c>
    </row>
    <row r="1725" spans="1:28" x14ac:dyDescent="0.25">
      <c r="A1725" t="s">
        <v>1729</v>
      </c>
      <c r="B1725">
        <v>0.99996721820229495</v>
      </c>
      <c r="C1725">
        <v>0.75307321117220605</v>
      </c>
      <c r="D1725">
        <v>0.76693913766560595</v>
      </c>
      <c r="E1725">
        <v>1.3732290140158001</v>
      </c>
      <c r="F1725">
        <v>1.10066514183186</v>
      </c>
      <c r="G1725">
        <v>0.65371842853871798</v>
      </c>
      <c r="H1725">
        <v>0.31430114880348198</v>
      </c>
      <c r="I1725">
        <v>0.264388257318242</v>
      </c>
      <c r="J1725">
        <v>0.15276500450585601</v>
      </c>
      <c r="K1725">
        <v>0.13997048481949401</v>
      </c>
      <c r="L1725">
        <v>2328.7236050148899</v>
      </c>
      <c r="M1725">
        <v>40.367395970609202</v>
      </c>
      <c r="N1725">
        <v>58.3746746692903</v>
      </c>
      <c r="O1725">
        <v>57.5472168496416</v>
      </c>
      <c r="P1725">
        <v>-0.142228489605355</v>
      </c>
      <c r="Q1725">
        <v>0.188965784621732</v>
      </c>
      <c r="R1725">
        <v>0.82828625533282896</v>
      </c>
      <c r="S1725" t="s">
        <v>7551</v>
      </c>
      <c r="T1725" t="s">
        <v>11650</v>
      </c>
      <c r="U1725" t="s">
        <v>11650</v>
      </c>
      <c r="V1725" t="s">
        <v>11650</v>
      </c>
      <c r="W1725" t="s">
        <v>13346</v>
      </c>
      <c r="X1725">
        <v>10</v>
      </c>
      <c r="Y1725" t="s">
        <v>19086</v>
      </c>
      <c r="Z1725" t="s">
        <v>24787</v>
      </c>
      <c r="AA1725">
        <v>0.67028359420845796</v>
      </c>
      <c r="AB1725" t="str">
        <f>HYPERLINK("Melting_Curves/meltCurve_P04181_2_OAT.pdf", "Melting_Curves/meltCurve_P04181_2_OAT.pdf")</f>
        <v>Melting_Curves/meltCurve_P04181_2_OAT.pdf</v>
      </c>
    </row>
    <row r="1726" spans="1:28" x14ac:dyDescent="0.25">
      <c r="A1726" t="s">
        <v>1730</v>
      </c>
      <c r="B1726">
        <v>0.99996721820229495</v>
      </c>
      <c r="C1726">
        <v>0.79959129311851196</v>
      </c>
      <c r="D1726">
        <v>0.88675253811184895</v>
      </c>
      <c r="E1726">
        <v>0.96198870973016104</v>
      </c>
      <c r="F1726">
        <v>1.5809565740031599</v>
      </c>
      <c r="G1726">
        <v>1.73763789067451</v>
      </c>
      <c r="H1726">
        <v>1.08741809860543</v>
      </c>
      <c r="I1726">
        <v>0.71770705876021901</v>
      </c>
      <c r="J1726">
        <v>0.455110991721493</v>
      </c>
      <c r="K1726">
        <v>0.449844793846846</v>
      </c>
      <c r="L1726">
        <v>15000</v>
      </c>
      <c r="M1726">
        <v>234.437293134382</v>
      </c>
      <c r="N1726">
        <v>64.631738421938607</v>
      </c>
      <c r="O1726">
        <v>63.978331512948998</v>
      </c>
      <c r="P1726">
        <v>-0.50158152549193302</v>
      </c>
      <c r="Q1726">
        <v>0.45247017599842299</v>
      </c>
      <c r="R1726">
        <v>0.41476237725402398</v>
      </c>
      <c r="S1726" t="s">
        <v>7552</v>
      </c>
      <c r="T1726" t="s">
        <v>11650</v>
      </c>
      <c r="U1726" t="s">
        <v>11650</v>
      </c>
      <c r="V1726" t="s">
        <v>11650</v>
      </c>
      <c r="W1726" t="s">
        <v>13347</v>
      </c>
      <c r="X1726">
        <v>3</v>
      </c>
      <c r="Y1726" t="s">
        <v>19087</v>
      </c>
      <c r="Z1726" t="s">
        <v>24788</v>
      </c>
      <c r="AA1726">
        <v>0.89025358243430119</v>
      </c>
      <c r="AB1726" t="str">
        <f>HYPERLINK("Melting_Curves/meltCurve_P04217_A1BG.pdf", "Melting_Curves/meltCurve_P04217_A1BG.pdf")</f>
        <v>Melting_Curves/meltCurve_P04217_A1BG.pdf</v>
      </c>
    </row>
    <row r="1727" spans="1:28" x14ac:dyDescent="0.25">
      <c r="A1727" t="s">
        <v>1731</v>
      </c>
      <c r="B1727">
        <v>0.99996721820229495</v>
      </c>
      <c r="C1727">
        <v>0.94705626347554095</v>
      </c>
      <c r="D1727">
        <v>0.94125934015294399</v>
      </c>
      <c r="E1727">
        <v>0.97941014884893696</v>
      </c>
      <c r="F1727">
        <v>1.2812733305245601</v>
      </c>
      <c r="G1727">
        <v>1.1115264558301601</v>
      </c>
      <c r="H1727">
        <v>0.45666878839749903</v>
      </c>
      <c r="I1727">
        <v>0.19748377492268199</v>
      </c>
      <c r="J1727">
        <v>0.13514650299193001</v>
      </c>
      <c r="K1727">
        <v>0.109784054594566</v>
      </c>
      <c r="L1727">
        <v>6225.0350435944101</v>
      </c>
      <c r="M1727">
        <v>102.599592124162</v>
      </c>
      <c r="N1727">
        <v>60.877511598251097</v>
      </c>
      <c r="O1727">
        <v>60.650057980168199</v>
      </c>
      <c r="P1727">
        <v>-0.361291070226327</v>
      </c>
      <c r="Q1727">
        <v>0.14571500772807999</v>
      </c>
      <c r="R1727">
        <v>0.94231572134606301</v>
      </c>
      <c r="S1727" t="s">
        <v>7553</v>
      </c>
      <c r="T1727" t="s">
        <v>11650</v>
      </c>
      <c r="U1727" t="s">
        <v>11650</v>
      </c>
      <c r="V1727" t="s">
        <v>11650</v>
      </c>
      <c r="W1727" t="s">
        <v>13348</v>
      </c>
      <c r="X1727">
        <v>24</v>
      </c>
      <c r="Y1727" t="s">
        <v>18516</v>
      </c>
      <c r="Z1727" t="s">
        <v>24789</v>
      </c>
      <c r="AA1727">
        <v>0.73494621726389298</v>
      </c>
      <c r="AB1727" t="str">
        <f>HYPERLINK("Melting_Curves/meltCurve_P04350_TUBB4A.pdf", "Melting_Curves/meltCurve_P04350_TUBB4A.pdf")</f>
        <v>Melting_Curves/meltCurve_P04350_TUBB4A.pdf</v>
      </c>
    </row>
    <row r="1728" spans="1:28" x14ac:dyDescent="0.25">
      <c r="A1728" t="s">
        <v>1732</v>
      </c>
      <c r="B1728">
        <v>0.99996721820229495</v>
      </c>
      <c r="C1728">
        <v>0.79657772728107001</v>
      </c>
      <c r="D1728">
        <v>0.84734395588979405</v>
      </c>
      <c r="E1728">
        <v>0.97308837404667103</v>
      </c>
      <c r="F1728">
        <v>1.1302287918382601</v>
      </c>
      <c r="G1728">
        <v>1.07919055276148</v>
      </c>
      <c r="H1728">
        <v>0.68268545057446495</v>
      </c>
      <c r="I1728">
        <v>0.30984784702046098</v>
      </c>
      <c r="J1728">
        <v>8.3584473168431705E-2</v>
      </c>
      <c r="K1728">
        <v>7.3368082054527203E-2</v>
      </c>
      <c r="L1728">
        <v>2598.5500303456301</v>
      </c>
      <c r="M1728">
        <v>41.776379544418702</v>
      </c>
      <c r="N1728">
        <v>62.390211088218699</v>
      </c>
      <c r="O1728">
        <v>62.059399978989802</v>
      </c>
      <c r="P1728">
        <v>-0.15829977966383499</v>
      </c>
      <c r="Q1728">
        <v>5.9375440292826501E-2</v>
      </c>
      <c r="R1728">
        <v>0.93472364235251004</v>
      </c>
      <c r="S1728" t="s">
        <v>7554</v>
      </c>
      <c r="T1728" t="s">
        <v>11650</v>
      </c>
      <c r="U1728" t="s">
        <v>11650</v>
      </c>
      <c r="V1728" t="s">
        <v>11650</v>
      </c>
      <c r="W1728" t="s">
        <v>13349</v>
      </c>
      <c r="X1728">
        <v>34</v>
      </c>
      <c r="Y1728" t="s">
        <v>19088</v>
      </c>
      <c r="Z1728" t="s">
        <v>24790</v>
      </c>
      <c r="AA1728">
        <v>0.7585947439660784</v>
      </c>
      <c r="AB1728" t="str">
        <f>HYPERLINK("Melting_Curves/meltCurve_P04406_GAPDH.pdf", "Melting_Curves/meltCurve_P04406_GAPDH.pdf")</f>
        <v>Melting_Curves/meltCurve_P04406_GAPDH.pdf</v>
      </c>
    </row>
    <row r="1729" spans="1:28" x14ac:dyDescent="0.25">
      <c r="A1729" t="s">
        <v>1733</v>
      </c>
      <c r="B1729">
        <v>0.99996721820229495</v>
      </c>
      <c r="C1729">
        <v>1.0063322344833501</v>
      </c>
      <c r="D1729">
        <v>1.0482117090284599</v>
      </c>
      <c r="E1729">
        <v>0.94530209893907002</v>
      </c>
      <c r="F1729">
        <v>0.97636235156278905</v>
      </c>
      <c r="G1729">
        <v>1.2756419866541799</v>
      </c>
      <c r="H1729">
        <v>0.97466442037951195</v>
      </c>
      <c r="I1729">
        <v>0.37748376364856401</v>
      </c>
      <c r="J1729">
        <v>0.17095273839203001</v>
      </c>
      <c r="K1729">
        <v>0.183766813118663</v>
      </c>
      <c r="L1729">
        <v>6065.5198203724203</v>
      </c>
      <c r="M1729">
        <v>95.902694031662804</v>
      </c>
      <c r="N1729">
        <v>63.533174242063197</v>
      </c>
      <c r="O1729">
        <v>63.219105014608502</v>
      </c>
      <c r="P1729">
        <v>-0.31265837981419897</v>
      </c>
      <c r="Q1729">
        <v>0.17558161921245</v>
      </c>
      <c r="R1729">
        <v>0.94168349742866098</v>
      </c>
      <c r="S1729" t="s">
        <v>7555</v>
      </c>
      <c r="T1729" t="s">
        <v>11650</v>
      </c>
      <c r="U1729" t="s">
        <v>11650</v>
      </c>
      <c r="V1729" t="s">
        <v>11650</v>
      </c>
      <c r="W1729" t="s">
        <v>13350</v>
      </c>
      <c r="X1729">
        <v>33</v>
      </c>
      <c r="Y1729" t="s">
        <v>19088</v>
      </c>
      <c r="Z1729" t="s">
        <v>24791</v>
      </c>
      <c r="AA1729">
        <v>0.81503302854331217</v>
      </c>
      <c r="AB1729" t="str">
        <f>HYPERLINK("Melting_Curves/meltCurve_P04406_2_GAPDH.pdf", "Melting_Curves/meltCurve_P04406_2_GAPDH.pdf")</f>
        <v>Melting_Curves/meltCurve_P04406_2_GAPDH.pdf</v>
      </c>
    </row>
    <row r="1730" spans="1:28" x14ac:dyDescent="0.25">
      <c r="A1730" t="s">
        <v>1734</v>
      </c>
      <c r="B1730">
        <v>0.99996721820229495</v>
      </c>
      <c r="C1730">
        <v>0.99335233696033598</v>
      </c>
      <c r="D1730">
        <v>1.1357242739248301</v>
      </c>
      <c r="E1730">
        <v>1.5322062428823</v>
      </c>
      <c r="F1730">
        <v>2.12695294520115</v>
      </c>
      <c r="G1730">
        <v>2.0316262902667601</v>
      </c>
      <c r="H1730">
        <v>0.44169571216606202</v>
      </c>
      <c r="I1730">
        <v>0.25237622323359099</v>
      </c>
      <c r="J1730">
        <v>0.17457079938242501</v>
      </c>
      <c r="K1730">
        <v>0.136195002886903</v>
      </c>
      <c r="L1730">
        <v>12430.6494996081</v>
      </c>
      <c r="M1730">
        <v>204.56863837799401</v>
      </c>
      <c r="N1730">
        <v>60.905294343105901</v>
      </c>
      <c r="O1730">
        <v>60.7593735483971</v>
      </c>
      <c r="P1730">
        <v>-0.683725153813451</v>
      </c>
      <c r="Q1730">
        <v>0.187701309577606</v>
      </c>
      <c r="R1730">
        <v>0.46401015478776902</v>
      </c>
      <c r="S1730" t="s">
        <v>7556</v>
      </c>
      <c r="T1730" t="s">
        <v>11650</v>
      </c>
      <c r="U1730" t="s">
        <v>11650</v>
      </c>
      <c r="V1730" t="s">
        <v>11650</v>
      </c>
      <c r="W1730" t="s">
        <v>13351</v>
      </c>
      <c r="X1730">
        <v>19</v>
      </c>
      <c r="Y1730" t="s">
        <v>19089</v>
      </c>
      <c r="Z1730" t="s">
        <v>24792</v>
      </c>
      <c r="AA1730">
        <v>0.75008156410885329</v>
      </c>
      <c r="AB1730" t="str">
        <f>HYPERLINK("Melting_Curves/meltCurve_P04424_ASL.pdf", "Melting_Curves/meltCurve_P04424_ASL.pdf")</f>
        <v>Melting_Curves/meltCurve_P04424_ASL.pdf</v>
      </c>
    </row>
    <row r="1731" spans="1:28" x14ac:dyDescent="0.25">
      <c r="A1731" t="s">
        <v>1735</v>
      </c>
      <c r="B1731">
        <v>0.99996721820229495</v>
      </c>
      <c r="C1731">
        <v>0.96405810185498997</v>
      </c>
      <c r="D1731">
        <v>1.0056572514433699</v>
      </c>
      <c r="E1731">
        <v>1.28610996986506</v>
      </c>
      <c r="F1731">
        <v>1.68659833104928</v>
      </c>
      <c r="G1731">
        <v>2.0912190669889399</v>
      </c>
      <c r="H1731">
        <v>1.0428906794742101</v>
      </c>
      <c r="I1731">
        <v>0.63124063552326304</v>
      </c>
      <c r="J1731">
        <v>0.478202704406538</v>
      </c>
      <c r="K1731">
        <v>0.36792675414050002</v>
      </c>
      <c r="L1731">
        <v>14292.647169035101</v>
      </c>
      <c r="M1731">
        <v>223.894233846188</v>
      </c>
      <c r="N1731">
        <v>64.374701890684406</v>
      </c>
      <c r="O1731">
        <v>63.831509191084699</v>
      </c>
      <c r="P1731">
        <v>-0.50592161572489203</v>
      </c>
      <c r="Q1731">
        <v>0.42305365109828402</v>
      </c>
      <c r="R1731">
        <v>0.30543787185662502</v>
      </c>
      <c r="S1731" t="s">
        <v>7557</v>
      </c>
      <c r="T1731" t="s">
        <v>11650</v>
      </c>
      <c r="U1731" t="s">
        <v>11650</v>
      </c>
      <c r="V1731" t="s">
        <v>11650</v>
      </c>
      <c r="W1731" t="s">
        <v>12719</v>
      </c>
      <c r="X1731">
        <v>13</v>
      </c>
      <c r="Y1731" t="s">
        <v>18475</v>
      </c>
      <c r="Z1731" t="s">
        <v>24793</v>
      </c>
      <c r="AA1731">
        <v>0.88154893330414619</v>
      </c>
      <c r="AB1731" t="str">
        <f>HYPERLINK("Melting_Curves/meltCurve_P04632_CAPNS1.pdf", "Melting_Curves/meltCurve_P04632_CAPNS1.pdf")</f>
        <v>Melting_Curves/meltCurve_P04632_CAPNS1.pdf</v>
      </c>
    </row>
    <row r="1732" spans="1:28" x14ac:dyDescent="0.25">
      <c r="A1732" t="s">
        <v>1736</v>
      </c>
      <c r="B1732">
        <v>0.99996721820229495</v>
      </c>
      <c r="C1732">
        <v>0.88344996151809096</v>
      </c>
      <c r="D1732">
        <v>0.89407331213513497</v>
      </c>
      <c r="E1732">
        <v>0.87900419994885204</v>
      </c>
      <c r="F1732">
        <v>1.4150102482720199</v>
      </c>
      <c r="G1732">
        <v>1.8574103188195701</v>
      </c>
      <c r="H1732">
        <v>1.6046342423547799</v>
      </c>
      <c r="I1732">
        <v>2.1760103624139799</v>
      </c>
      <c r="J1732">
        <v>2.3520418166236499</v>
      </c>
      <c r="K1732">
        <v>1.33827209077426</v>
      </c>
      <c r="L1732">
        <v>13165.9551680564</v>
      </c>
      <c r="M1732">
        <v>250</v>
      </c>
      <c r="O1732">
        <v>52.660448682958403</v>
      </c>
      <c r="P1732">
        <v>0.59342447163554601</v>
      </c>
      <c r="Q1732">
        <v>1.5</v>
      </c>
      <c r="R1732">
        <v>0.48657590498126202</v>
      </c>
      <c r="S1732" t="s">
        <v>7558</v>
      </c>
      <c r="T1732" t="s">
        <v>11650</v>
      </c>
      <c r="U1732" t="s">
        <v>11650</v>
      </c>
      <c r="V1732" t="s">
        <v>11650</v>
      </c>
      <c r="W1732" t="s">
        <v>13352</v>
      </c>
      <c r="X1732">
        <v>3</v>
      </c>
      <c r="Y1732" t="s">
        <v>19090</v>
      </c>
      <c r="Z1732" t="s">
        <v>24794</v>
      </c>
      <c r="AA1732">
        <v>1.2888901100367489</v>
      </c>
      <c r="AB1732" t="str">
        <f>HYPERLINK("Melting_Curves/meltCurve_P04731_MT1A.pdf", "Melting_Curves/meltCurve_P04731_MT1A.pdf")</f>
        <v>Melting_Curves/meltCurve_P04731_MT1A.pdf</v>
      </c>
    </row>
    <row r="1733" spans="1:28" x14ac:dyDescent="0.25">
      <c r="A1733" t="s">
        <v>1737</v>
      </c>
      <c r="B1733">
        <v>0.99996721820229495</v>
      </c>
      <c r="C1733">
        <v>0.87169154508381297</v>
      </c>
      <c r="D1733">
        <v>0.67627970232941104</v>
      </c>
      <c r="E1733">
        <v>0.40501636516045603</v>
      </c>
      <c r="F1733">
        <v>0.32736022141857901</v>
      </c>
      <c r="G1733">
        <v>0.28723926657325299</v>
      </c>
      <c r="H1733">
        <v>0.203823650009225</v>
      </c>
      <c r="I1733">
        <v>0.23488885188974801</v>
      </c>
      <c r="J1733">
        <v>0.37654125825283302</v>
      </c>
      <c r="K1733">
        <v>0.53408993192327803</v>
      </c>
      <c r="L1733">
        <v>1140.6271067416301</v>
      </c>
      <c r="M1733">
        <v>24.816095348079401</v>
      </c>
      <c r="N1733">
        <v>47.973250477805102</v>
      </c>
      <c r="O1733">
        <v>45.667840668192099</v>
      </c>
      <c r="P1733">
        <v>-9.1940571754127606E-2</v>
      </c>
      <c r="Q1733">
        <v>0.32323437576958802</v>
      </c>
      <c r="R1733">
        <v>0.89163809847078601</v>
      </c>
      <c r="S1733" t="s">
        <v>7559</v>
      </c>
      <c r="T1733" t="s">
        <v>11650</v>
      </c>
      <c r="U1733" t="s">
        <v>11650</v>
      </c>
      <c r="V1733" t="s">
        <v>11650</v>
      </c>
      <c r="W1733" t="s">
        <v>13353</v>
      </c>
      <c r="X1733">
        <v>21</v>
      </c>
      <c r="Y1733" t="s">
        <v>19091</v>
      </c>
      <c r="Z1733" t="s">
        <v>24795</v>
      </c>
      <c r="AA1733">
        <v>0.46412905900286772</v>
      </c>
      <c r="AB1733" t="str">
        <f>HYPERLINK("Melting_Curves/meltCurve_P04792_HSPB1.pdf", "Melting_Curves/meltCurve_P04792_HSPB1.pdf")</f>
        <v>Melting_Curves/meltCurve_P04792_HSPB1.pdf</v>
      </c>
    </row>
    <row r="1734" spans="1:28" x14ac:dyDescent="0.25">
      <c r="A1734" t="s">
        <v>1738</v>
      </c>
      <c r="B1734">
        <v>0.99996721820229495</v>
      </c>
      <c r="C1734">
        <v>0.90222767370222401</v>
      </c>
      <c r="D1734">
        <v>1.2404091819876399</v>
      </c>
      <c r="E1734">
        <v>2.1079726247127999</v>
      </c>
      <c r="F1734">
        <v>2.5618667610573298</v>
      </c>
      <c r="G1734">
        <v>0.785547482379781</v>
      </c>
      <c r="H1734">
        <v>0.35287462812501402</v>
      </c>
      <c r="I1734">
        <v>0.22312767354884999</v>
      </c>
      <c r="J1734">
        <v>0.16374593712931701</v>
      </c>
      <c r="K1734">
        <v>0.13356178646368499</v>
      </c>
      <c r="L1734">
        <v>2940.17505937852</v>
      </c>
      <c r="M1734">
        <v>49.814556492254098</v>
      </c>
      <c r="N1734">
        <v>59.5388719076999</v>
      </c>
      <c r="O1734">
        <v>58.927522689035897</v>
      </c>
      <c r="P1734">
        <v>-0.17426232751926199</v>
      </c>
      <c r="Q1734">
        <v>0.17543472970819199</v>
      </c>
      <c r="R1734">
        <v>0.39644115946105601</v>
      </c>
      <c r="S1734" t="s">
        <v>7560</v>
      </c>
      <c r="T1734" t="s">
        <v>11650</v>
      </c>
      <c r="U1734" t="s">
        <v>11650</v>
      </c>
      <c r="V1734" t="s">
        <v>11650</v>
      </c>
      <c r="W1734" t="s">
        <v>13354</v>
      </c>
      <c r="X1734">
        <v>41</v>
      </c>
      <c r="Y1734" t="s">
        <v>19092</v>
      </c>
      <c r="Z1734" t="s">
        <v>24796</v>
      </c>
      <c r="AA1734">
        <v>0.70041865723641328</v>
      </c>
      <c r="AB1734" t="str">
        <f>HYPERLINK("Melting_Curves/meltCurve_P04843_RPN1.pdf", "Melting_Curves/meltCurve_P04843_RPN1.pdf")</f>
        <v>Melting_Curves/meltCurve_P04843_RPN1.pdf</v>
      </c>
    </row>
    <row r="1735" spans="1:28" x14ac:dyDescent="0.25">
      <c r="A1735" t="s">
        <v>1739</v>
      </c>
      <c r="B1735">
        <v>0.99996721820229495</v>
      </c>
      <c r="C1735">
        <v>0.92174629311789602</v>
      </c>
      <c r="D1735">
        <v>1.2588007463297499</v>
      </c>
      <c r="E1735">
        <v>1.5863953200833101</v>
      </c>
      <c r="F1735">
        <v>0.96079049861203503</v>
      </c>
      <c r="G1735">
        <v>0.51623045746781804</v>
      </c>
      <c r="H1735">
        <v>0.28861615535304902</v>
      </c>
      <c r="I1735">
        <v>0.18803241058285999</v>
      </c>
      <c r="J1735">
        <v>0.17589344532016499</v>
      </c>
      <c r="K1735">
        <v>0.13519936827818199</v>
      </c>
      <c r="L1735">
        <v>2630.1785729488902</v>
      </c>
      <c r="M1735">
        <v>46.4550152901015</v>
      </c>
      <c r="N1735">
        <v>57.192081832712198</v>
      </c>
      <c r="O1735">
        <v>56.5131343309911</v>
      </c>
      <c r="P1735">
        <v>-0.167198331494501</v>
      </c>
      <c r="Q1735">
        <v>0.186405090222688</v>
      </c>
      <c r="R1735">
        <v>0.81913630435648899</v>
      </c>
      <c r="S1735" t="s">
        <v>7561</v>
      </c>
      <c r="T1735" t="s">
        <v>11650</v>
      </c>
      <c r="U1735" t="s">
        <v>11650</v>
      </c>
      <c r="V1735" t="s">
        <v>11650</v>
      </c>
      <c r="W1735" t="s">
        <v>13355</v>
      </c>
      <c r="X1735">
        <v>10</v>
      </c>
      <c r="Y1735" t="s">
        <v>19093</v>
      </c>
      <c r="Z1735" t="s">
        <v>24797</v>
      </c>
      <c r="AA1735">
        <v>0.63942424561891564</v>
      </c>
      <c r="AB1735" t="str">
        <f>HYPERLINK("Melting_Curves/meltCurve_P04844_2_RPN2.pdf", "Melting_Curves/meltCurve_P04844_2_RPN2.pdf")</f>
        <v>Melting_Curves/meltCurve_P04844_2_RPN2.pdf</v>
      </c>
    </row>
    <row r="1736" spans="1:28" x14ac:dyDescent="0.25">
      <c r="A1736" t="s">
        <v>1740</v>
      </c>
      <c r="B1736">
        <v>0.99996721820229495</v>
      </c>
      <c r="C1736">
        <v>0.779817214274243</v>
      </c>
      <c r="D1736">
        <v>1.04352305563491</v>
      </c>
      <c r="E1736">
        <v>1.3093505858838399</v>
      </c>
      <c r="F1736">
        <v>1.11725779213055</v>
      </c>
      <c r="G1736">
        <v>0.39825346622966301</v>
      </c>
      <c r="H1736">
        <v>0.24022527695798801</v>
      </c>
      <c r="I1736">
        <v>0.15373757289523299</v>
      </c>
      <c r="J1736">
        <v>0.11999682859907899</v>
      </c>
      <c r="K1736">
        <v>9.46725142451528E-2</v>
      </c>
      <c r="L1736">
        <v>12839.437772261401</v>
      </c>
      <c r="M1736">
        <v>226.14741086683799</v>
      </c>
      <c r="N1736">
        <v>56.8658859542968</v>
      </c>
      <c r="O1736">
        <v>56.770180236717003</v>
      </c>
      <c r="P1736">
        <v>-0.844357056640752</v>
      </c>
      <c r="Q1736">
        <v>0.15215799124594301</v>
      </c>
      <c r="R1736">
        <v>0.91439178079693995</v>
      </c>
      <c r="S1736" t="s">
        <v>7562</v>
      </c>
      <c r="T1736" t="s">
        <v>11650</v>
      </c>
      <c r="U1736" t="s">
        <v>11650</v>
      </c>
      <c r="V1736" t="s">
        <v>11650</v>
      </c>
      <c r="W1736" t="s">
        <v>13356</v>
      </c>
      <c r="X1736">
        <v>25</v>
      </c>
      <c r="Y1736" t="s">
        <v>19094</v>
      </c>
      <c r="Z1736" t="s">
        <v>24798</v>
      </c>
      <c r="AA1736">
        <v>0.62633604173076185</v>
      </c>
      <c r="AB1736" t="str">
        <f>HYPERLINK("Melting_Curves/meltCurve_P04899_GNAI2.pdf", "Melting_Curves/meltCurve_P04899_GNAI2.pdf")</f>
        <v>Melting_Curves/meltCurve_P04899_GNAI2.pdf</v>
      </c>
    </row>
    <row r="1737" spans="1:28" x14ac:dyDescent="0.25">
      <c r="A1737" t="s">
        <v>1741</v>
      </c>
      <c r="B1737">
        <v>0.99996721820229495</v>
      </c>
      <c r="C1737">
        <v>1.17684204726398</v>
      </c>
      <c r="D1737">
        <v>1.2415961336596499</v>
      </c>
      <c r="E1737">
        <v>1.41271480894875</v>
      </c>
      <c r="F1737">
        <v>2.1107792763265598</v>
      </c>
      <c r="G1737">
        <v>3.0394062943976499</v>
      </c>
      <c r="H1737">
        <v>2.2691798658594902</v>
      </c>
      <c r="I1737">
        <v>1.4066394127069901</v>
      </c>
      <c r="J1737">
        <v>1.2146975973509799</v>
      </c>
      <c r="K1737">
        <v>0.87290982242082304</v>
      </c>
      <c r="L1737">
        <v>1448.2569653426001</v>
      </c>
      <c r="M1737">
        <v>32.043490249593098</v>
      </c>
      <c r="O1737">
        <v>45.021672076474303</v>
      </c>
      <c r="P1737">
        <v>8.8967300173293601E-2</v>
      </c>
      <c r="Q1737">
        <v>1.5</v>
      </c>
      <c r="R1737">
        <v>8.2427046428250605E-2</v>
      </c>
      <c r="S1737" t="s">
        <v>7563</v>
      </c>
      <c r="T1737" t="s">
        <v>11650</v>
      </c>
      <c r="U1737" t="s">
        <v>11650</v>
      </c>
      <c r="V1737" t="s">
        <v>11650</v>
      </c>
      <c r="W1737" t="s">
        <v>13357</v>
      </c>
      <c r="X1737">
        <v>2</v>
      </c>
      <c r="Y1737" t="s">
        <v>19095</v>
      </c>
      <c r="Z1737" t="s">
        <v>24799</v>
      </c>
      <c r="AA1737">
        <v>1.410673849093802</v>
      </c>
      <c r="AB1737" t="str">
        <f>HYPERLINK("Melting_Curves/meltCurve_P04921_2_GYPC.pdf", "Melting_Curves/meltCurve_P04921_2_GYPC.pdf")</f>
        <v>Melting_Curves/meltCurve_P04921_2_GYPC.pdf</v>
      </c>
    </row>
    <row r="1738" spans="1:28" x14ac:dyDescent="0.25">
      <c r="A1738" t="s">
        <v>1742</v>
      </c>
      <c r="B1738">
        <v>0.99996721820229495</v>
      </c>
      <c r="C1738">
        <v>0.69686355269034606</v>
      </c>
      <c r="D1738">
        <v>0.93087170414491305</v>
      </c>
      <c r="E1738">
        <v>1.9825300957030201</v>
      </c>
      <c r="F1738">
        <v>2.0283501683308001</v>
      </c>
      <c r="G1738">
        <v>1.7237224668684299</v>
      </c>
      <c r="H1738">
        <v>0.73065110031432401</v>
      </c>
      <c r="I1738">
        <v>0.32528942195044502</v>
      </c>
      <c r="J1738">
        <v>0.22703619821127699</v>
      </c>
      <c r="K1738">
        <v>0.18184599746150901</v>
      </c>
      <c r="L1738">
        <v>4427.0558638369503</v>
      </c>
      <c r="M1738">
        <v>71.803067511355806</v>
      </c>
      <c r="N1738">
        <v>62.168455854025297</v>
      </c>
      <c r="O1738">
        <v>61.6077567284484</v>
      </c>
      <c r="P1738">
        <v>-0.22625045059999699</v>
      </c>
      <c r="Q1738">
        <v>0.22349952957410901</v>
      </c>
      <c r="R1738">
        <v>0.40218339214189402</v>
      </c>
      <c r="S1738" t="s">
        <v>7564</v>
      </c>
      <c r="T1738" t="s">
        <v>11650</v>
      </c>
      <c r="U1738" t="s">
        <v>11650</v>
      </c>
      <c r="V1738" t="s">
        <v>11650</v>
      </c>
      <c r="W1738" t="s">
        <v>13358</v>
      </c>
      <c r="X1738">
        <v>41</v>
      </c>
      <c r="Y1738" t="s">
        <v>19096</v>
      </c>
      <c r="Z1738" t="s">
        <v>24800</v>
      </c>
      <c r="AA1738">
        <v>0.78503244826596907</v>
      </c>
      <c r="AB1738" t="str">
        <f>HYPERLINK("Melting_Curves/meltCurve_P05023_4_ATP1A1.pdf", "Melting_Curves/meltCurve_P05023_4_ATP1A1.pdf")</f>
        <v>Melting_Curves/meltCurve_P05023_4_ATP1A1.pdf</v>
      </c>
    </row>
    <row r="1739" spans="1:28" x14ac:dyDescent="0.25">
      <c r="A1739" t="s">
        <v>1743</v>
      </c>
      <c r="B1739">
        <v>0.99996721820229495</v>
      </c>
      <c r="C1739">
        <v>0.90224039310399295</v>
      </c>
      <c r="D1739">
        <v>0.94983140418494505</v>
      </c>
      <c r="E1739">
        <v>1.0863266294721201</v>
      </c>
      <c r="F1739">
        <v>1.3391563642370801</v>
      </c>
      <c r="G1739">
        <v>1.4052318097390299</v>
      </c>
      <c r="H1739">
        <v>0.86904848678276003</v>
      </c>
      <c r="I1739">
        <v>0.60391002582291198</v>
      </c>
      <c r="J1739">
        <v>0.46867962600903301</v>
      </c>
      <c r="K1739">
        <v>0.39111794436039299</v>
      </c>
      <c r="L1739">
        <v>3137.8652024964099</v>
      </c>
      <c r="M1739">
        <v>49.818746173542003</v>
      </c>
      <c r="N1739">
        <v>65.291764685469502</v>
      </c>
      <c r="O1739">
        <v>62.884393047563798</v>
      </c>
      <c r="P1739">
        <v>-0.116072367856268</v>
      </c>
      <c r="Q1739">
        <v>0.41394478651779198</v>
      </c>
      <c r="R1739">
        <v>0.70456448171283204</v>
      </c>
      <c r="S1739" t="s">
        <v>7565</v>
      </c>
      <c r="T1739" t="s">
        <v>11650</v>
      </c>
      <c r="U1739" t="s">
        <v>11650</v>
      </c>
      <c r="V1739" t="s">
        <v>11650</v>
      </c>
      <c r="W1739" t="s">
        <v>13359</v>
      </c>
      <c r="X1739">
        <v>21</v>
      </c>
      <c r="Y1739" t="s">
        <v>19097</v>
      </c>
      <c r="Z1739" t="s">
        <v>24801</v>
      </c>
      <c r="AA1739">
        <v>0.86439690361810972</v>
      </c>
      <c r="AB1739" t="str">
        <f>HYPERLINK("Melting_Curves/meltCurve_P05067_7_APP.pdf", "Melting_Curves/meltCurve_P05067_7_APP.pdf")</f>
        <v>Melting_Curves/meltCurve_P05067_7_APP.pdf</v>
      </c>
    </row>
    <row r="1740" spans="1:28" x14ac:dyDescent="0.25">
      <c r="A1740" t="s">
        <v>1744</v>
      </c>
      <c r="B1740">
        <v>0.99996721820229495</v>
      </c>
      <c r="C1740">
        <v>1.1106957961159201</v>
      </c>
      <c r="D1740">
        <v>1.06700131939842</v>
      </c>
      <c r="E1740">
        <v>1.0418495520391</v>
      </c>
      <c r="F1740">
        <v>1.36758671408582</v>
      </c>
      <c r="G1740">
        <v>1.54176219405987</v>
      </c>
      <c r="H1740">
        <v>1.13545961156552</v>
      </c>
      <c r="I1740">
        <v>1.0832872696890501</v>
      </c>
      <c r="J1740">
        <v>0.83804144633789501</v>
      </c>
      <c r="K1740">
        <v>0.57532888398539495</v>
      </c>
      <c r="L1740">
        <v>15000</v>
      </c>
      <c r="M1740">
        <v>223.396634953247</v>
      </c>
      <c r="O1740">
        <v>67.1397661726363</v>
      </c>
      <c r="P1740">
        <v>-0.35329573628129002</v>
      </c>
      <c r="Q1740">
        <v>0.57528110154143497</v>
      </c>
      <c r="R1740">
        <v>0.23936918312125299</v>
      </c>
      <c r="S1740" t="s">
        <v>7566</v>
      </c>
      <c r="T1740" t="s">
        <v>11650</v>
      </c>
      <c r="U1740" t="s">
        <v>11650</v>
      </c>
      <c r="V1740" t="s">
        <v>11650</v>
      </c>
      <c r="W1740" t="s">
        <v>13360</v>
      </c>
      <c r="X1740">
        <v>9</v>
      </c>
      <c r="Y1740" t="s">
        <v>19098</v>
      </c>
      <c r="Z1740" t="s">
        <v>24802</v>
      </c>
      <c r="AA1740">
        <v>0.95964517209227929</v>
      </c>
      <c r="AB1740" t="str">
        <f>HYPERLINK("Melting_Curves/meltCurve_P05090_APOD.pdf", "Melting_Curves/meltCurve_P05090_APOD.pdf")</f>
        <v>Melting_Curves/meltCurve_P05090_APOD.pdf</v>
      </c>
    </row>
    <row r="1741" spans="1:28" x14ac:dyDescent="0.25">
      <c r="A1741" t="s">
        <v>1745</v>
      </c>
      <c r="B1741">
        <v>0.99996721820229495</v>
      </c>
      <c r="C1741">
        <v>1.13573408365456</v>
      </c>
      <c r="D1741">
        <v>1.3960687964107299</v>
      </c>
      <c r="E1741">
        <v>2.03928301309932</v>
      </c>
      <c r="F1741">
        <v>2.1935224535253699</v>
      </c>
      <c r="G1741">
        <v>0.96994398673659199</v>
      </c>
      <c r="H1741">
        <v>0.36611860158736398</v>
      </c>
      <c r="I1741">
        <v>0.22111312922506801</v>
      </c>
      <c r="J1741">
        <v>0.178199532833963</v>
      </c>
      <c r="K1741">
        <v>0.119844231227038</v>
      </c>
      <c r="L1741">
        <v>3911.55362936458</v>
      </c>
      <c r="M1741">
        <v>65.254056212612596</v>
      </c>
      <c r="N1741">
        <v>60.319535990387699</v>
      </c>
      <c r="O1741">
        <v>59.887226207635301</v>
      </c>
      <c r="P1741">
        <v>-0.226880054326174</v>
      </c>
      <c r="Q1741">
        <v>0.16711906620004499</v>
      </c>
      <c r="R1741">
        <v>0.47621259600390398</v>
      </c>
      <c r="S1741" t="s">
        <v>7567</v>
      </c>
      <c r="T1741" t="s">
        <v>11650</v>
      </c>
      <c r="U1741" t="s">
        <v>11650</v>
      </c>
      <c r="V1741" t="s">
        <v>11650</v>
      </c>
      <c r="W1741" t="s">
        <v>13361</v>
      </c>
      <c r="X1741">
        <v>19</v>
      </c>
      <c r="Y1741" t="s">
        <v>19099</v>
      </c>
      <c r="Z1741" t="s">
        <v>24803</v>
      </c>
      <c r="AA1741">
        <v>0.72209012220652746</v>
      </c>
      <c r="AB1741" t="str">
        <f>HYPERLINK("Melting_Curves/meltCurve_P05091_ALDH2.pdf", "Melting_Curves/meltCurve_P05091_ALDH2.pdf")</f>
        <v>Melting_Curves/meltCurve_P05091_ALDH2.pdf</v>
      </c>
    </row>
    <row r="1742" spans="1:28" x14ac:dyDescent="0.25">
      <c r="A1742" t="s">
        <v>1746</v>
      </c>
      <c r="B1742">
        <v>0.99996721820229495</v>
      </c>
      <c r="C1742">
        <v>1.02131271763152</v>
      </c>
      <c r="D1742">
        <v>1.06117850285065</v>
      </c>
      <c r="E1742">
        <v>1.0593645503958899</v>
      </c>
      <c r="F1742">
        <v>1.07310840989294</v>
      </c>
      <c r="G1742">
        <v>1.1620275396192099</v>
      </c>
      <c r="H1742">
        <v>0.57678564219406503</v>
      </c>
      <c r="I1742">
        <v>0.44561373784634001</v>
      </c>
      <c r="J1742">
        <v>0.30362162374383</v>
      </c>
      <c r="K1742">
        <v>0.28026884643955402</v>
      </c>
      <c r="L1742">
        <v>5237.1518062914301</v>
      </c>
      <c r="M1742">
        <v>86.384987393196596</v>
      </c>
      <c r="N1742">
        <v>61.432363399712301</v>
      </c>
      <c r="O1742">
        <v>60.593249405515202</v>
      </c>
      <c r="P1742">
        <v>-0.23552563847819599</v>
      </c>
      <c r="Q1742">
        <v>0.33917858662268002</v>
      </c>
      <c r="R1742">
        <v>0.95105666717832205</v>
      </c>
      <c r="S1742" t="s">
        <v>7568</v>
      </c>
      <c r="T1742" t="s">
        <v>11650</v>
      </c>
      <c r="U1742" t="s">
        <v>11650</v>
      </c>
      <c r="V1742" t="s">
        <v>11650</v>
      </c>
      <c r="W1742" t="s">
        <v>13362</v>
      </c>
      <c r="X1742">
        <v>3</v>
      </c>
      <c r="Y1742" t="s">
        <v>19100</v>
      </c>
      <c r="Z1742" t="s">
        <v>24804</v>
      </c>
      <c r="AA1742">
        <v>0.79409873568852141</v>
      </c>
      <c r="AB1742" t="str">
        <f>HYPERLINK("Melting_Curves/meltCurve_P05106_ITGB3.pdf", "Melting_Curves/meltCurve_P05106_ITGB3.pdf")</f>
        <v>Melting_Curves/meltCurve_P05106_ITGB3.pdf</v>
      </c>
    </row>
    <row r="1743" spans="1:28" x14ac:dyDescent="0.25">
      <c r="A1743" t="s">
        <v>1747</v>
      </c>
      <c r="B1743">
        <v>0.99996721820229495</v>
      </c>
      <c r="C1743">
        <v>0.87118241291192899</v>
      </c>
      <c r="D1743">
        <v>0.75641710828626196</v>
      </c>
      <c r="E1743">
        <v>1.0533465862131199</v>
      </c>
      <c r="F1743">
        <v>1.55153278754223</v>
      </c>
      <c r="G1743">
        <v>1.23755879151737</v>
      </c>
      <c r="H1743">
        <v>1.1157098311137099</v>
      </c>
      <c r="I1743">
        <v>1.11728654860823</v>
      </c>
      <c r="J1743">
        <v>1.0555488531008601</v>
      </c>
      <c r="K1743">
        <v>0.96672135414500204</v>
      </c>
      <c r="L1743">
        <v>12540.8267623586</v>
      </c>
      <c r="M1743">
        <v>250</v>
      </c>
      <c r="O1743">
        <v>50.160096190532201</v>
      </c>
      <c r="P1743">
        <v>0.21687995086734699</v>
      </c>
      <c r="Q1743">
        <v>1.1740595095212301</v>
      </c>
      <c r="R1743">
        <v>0.31574883330586601</v>
      </c>
      <c r="S1743" t="s">
        <v>7569</v>
      </c>
      <c r="T1743" t="s">
        <v>11650</v>
      </c>
      <c r="U1743" t="s">
        <v>11650</v>
      </c>
      <c r="V1743" t="s">
        <v>11650</v>
      </c>
      <c r="W1743" t="s">
        <v>13363</v>
      </c>
      <c r="X1743">
        <v>5</v>
      </c>
      <c r="Y1743" t="s">
        <v>19101</v>
      </c>
      <c r="Z1743" t="s">
        <v>24805</v>
      </c>
      <c r="AA1743">
        <v>1.1150768447110899</v>
      </c>
      <c r="AB1743" t="str">
        <f>HYPERLINK("Melting_Curves/meltCurve_P05114_HMGN1.pdf", "Melting_Curves/meltCurve_P05114_HMGN1.pdf")</f>
        <v>Melting_Curves/meltCurve_P05114_HMGN1.pdf</v>
      </c>
    </row>
    <row r="1744" spans="1:28" x14ac:dyDescent="0.25">
      <c r="A1744" t="s">
        <v>1748</v>
      </c>
      <c r="B1744">
        <v>0.99996721820229495</v>
      </c>
      <c r="C1744">
        <v>1.03551872487165</v>
      </c>
      <c r="D1744">
        <v>0.98590126500853403</v>
      </c>
      <c r="E1744">
        <v>0.97638548507133605</v>
      </c>
      <c r="F1744">
        <v>1.13141684510583</v>
      </c>
      <c r="G1744">
        <v>1.1632766910755901</v>
      </c>
      <c r="H1744">
        <v>0.60799053106666101</v>
      </c>
      <c r="I1744">
        <v>0.220644832278556</v>
      </c>
      <c r="J1744">
        <v>0.15520298625402501</v>
      </c>
      <c r="K1744">
        <v>0.11563307297900501</v>
      </c>
      <c r="L1744">
        <v>4315.0159638189998</v>
      </c>
      <c r="M1744">
        <v>70.535714493319105</v>
      </c>
      <c r="N1744">
        <v>61.484550818038798</v>
      </c>
      <c r="O1744">
        <v>61.125792484532901</v>
      </c>
      <c r="P1744">
        <v>-0.24535971039645099</v>
      </c>
      <c r="Q1744">
        <v>0.14949165140288101</v>
      </c>
      <c r="R1744">
        <v>0.96916372380546001</v>
      </c>
      <c r="S1744" t="s">
        <v>7570</v>
      </c>
      <c r="T1744" t="s">
        <v>11650</v>
      </c>
      <c r="U1744" t="s">
        <v>11650</v>
      </c>
      <c r="V1744" t="s">
        <v>11650</v>
      </c>
      <c r="W1744" t="s">
        <v>13364</v>
      </c>
      <c r="X1744">
        <v>20</v>
      </c>
      <c r="Y1744" t="s">
        <v>19102</v>
      </c>
      <c r="Z1744" t="s">
        <v>24806</v>
      </c>
      <c r="AA1744">
        <v>0.75095167362760418</v>
      </c>
      <c r="AB1744" t="str">
        <f>HYPERLINK("Melting_Curves/meltCurve_P05120_SERPINB2.pdf", "Melting_Curves/meltCurve_P05120_SERPINB2.pdf")</f>
        <v>Melting_Curves/meltCurve_P05120_SERPINB2.pdf</v>
      </c>
    </row>
    <row r="1745" spans="1:28" x14ac:dyDescent="0.25">
      <c r="A1745" t="s">
        <v>1749</v>
      </c>
      <c r="B1745">
        <v>0.99996721820229495</v>
      </c>
      <c r="C1745">
        <v>1.0215275512675599</v>
      </c>
      <c r="D1745">
        <v>0.90986445597768195</v>
      </c>
      <c r="E1745">
        <v>0.65676301504855195</v>
      </c>
      <c r="F1745">
        <v>0.54617987294437698</v>
      </c>
      <c r="G1745">
        <v>0.54946398038353605</v>
      </c>
      <c r="H1745">
        <v>0.35880157176048999</v>
      </c>
      <c r="I1745">
        <v>0.243871906286943</v>
      </c>
      <c r="J1745">
        <v>0.14871124982710099</v>
      </c>
      <c r="K1745">
        <v>0.12619169332300101</v>
      </c>
      <c r="L1745">
        <v>499.46274088357399</v>
      </c>
      <c r="M1745">
        <v>8.9354907192482393</v>
      </c>
      <c r="N1745">
        <v>55.896509387137797</v>
      </c>
      <c r="O1745">
        <v>53.309606207477401</v>
      </c>
      <c r="P1745">
        <v>-4.1935026261139402E-2</v>
      </c>
      <c r="Q1745">
        <v>0</v>
      </c>
      <c r="R1745">
        <v>0.96777029385820501</v>
      </c>
      <c r="S1745" t="s">
        <v>7571</v>
      </c>
      <c r="T1745" t="s">
        <v>11650</v>
      </c>
      <c r="U1745" t="s">
        <v>11650</v>
      </c>
      <c r="V1745" t="s">
        <v>11650</v>
      </c>
      <c r="W1745" t="s">
        <v>13365</v>
      </c>
      <c r="X1745">
        <v>11</v>
      </c>
      <c r="Y1745" t="s">
        <v>19103</v>
      </c>
      <c r="Z1745" t="s">
        <v>24807</v>
      </c>
      <c r="AA1745">
        <v>0.55128047535809199</v>
      </c>
      <c r="AB1745" t="str">
        <f>HYPERLINK("Melting_Curves/meltCurve_P05121_SERPINE1.pdf", "Melting_Curves/meltCurve_P05121_SERPINE1.pdf")</f>
        <v>Melting_Curves/meltCurve_P05121_SERPINE1.pdf</v>
      </c>
    </row>
    <row r="1746" spans="1:28" x14ac:dyDescent="0.25">
      <c r="A1746" t="s">
        <v>1750</v>
      </c>
      <c r="B1746">
        <v>0.99996721820229495</v>
      </c>
      <c r="C1746">
        <v>0.98166405903660903</v>
      </c>
      <c r="D1746">
        <v>1.1173264080030001</v>
      </c>
      <c r="E1746">
        <v>1.5051396759098601</v>
      </c>
      <c r="F1746">
        <v>1.9715979129466401</v>
      </c>
      <c r="G1746">
        <v>2.3982345021363098</v>
      </c>
      <c r="H1746">
        <v>1.9135997525836601</v>
      </c>
      <c r="I1746">
        <v>1.17044244141285</v>
      </c>
      <c r="J1746">
        <v>0.68035053037784898</v>
      </c>
      <c r="K1746">
        <v>0.33570352059402597</v>
      </c>
      <c r="L1746">
        <v>15000</v>
      </c>
      <c r="M1746">
        <v>223.80504226711699</v>
      </c>
      <c r="N1746">
        <v>67.3574769655186</v>
      </c>
      <c r="O1746">
        <v>67.017261626354099</v>
      </c>
      <c r="P1746">
        <v>-0.55465081018644602</v>
      </c>
      <c r="Q1746">
        <v>0.33565068932650099</v>
      </c>
      <c r="R1746">
        <v>-0.11059044308428199</v>
      </c>
      <c r="S1746" t="s">
        <v>7572</v>
      </c>
      <c r="T1746" t="s">
        <v>11650</v>
      </c>
      <c r="U1746" t="s">
        <v>11650</v>
      </c>
      <c r="V1746" t="s">
        <v>11650</v>
      </c>
      <c r="W1746" t="s">
        <v>13366</v>
      </c>
      <c r="X1746">
        <v>18</v>
      </c>
      <c r="Y1746" t="s">
        <v>19104</v>
      </c>
      <c r="Z1746" t="s">
        <v>24808</v>
      </c>
      <c r="AA1746">
        <v>0.9341629336795213</v>
      </c>
      <c r="AB1746" t="str">
        <f>HYPERLINK("Melting_Curves/meltCurve_P05141_SLC25A5.pdf", "Melting_Curves/meltCurve_P05141_SLC25A5.pdf")</f>
        <v>Melting_Curves/meltCurve_P05141_SLC25A5.pdf</v>
      </c>
    </row>
    <row r="1747" spans="1:28" x14ac:dyDescent="0.25">
      <c r="A1747" t="s">
        <v>1751</v>
      </c>
      <c r="B1747">
        <v>0.99996721820229495</v>
      </c>
      <c r="C1747">
        <v>0.79041772753675699</v>
      </c>
      <c r="D1747">
        <v>0.68182065527414504</v>
      </c>
      <c r="E1747">
        <v>0.66316017630260504</v>
      </c>
      <c r="F1747">
        <v>0.34246983248351398</v>
      </c>
      <c r="G1747">
        <v>0.11759001836895901</v>
      </c>
      <c r="H1747">
        <v>7.7153071202950896E-2</v>
      </c>
      <c r="I1747">
        <v>5.0978908581821802E-2</v>
      </c>
      <c r="J1747">
        <v>4.3261900597543299E-2</v>
      </c>
      <c r="K1747">
        <v>3.6880392137208597E-2</v>
      </c>
      <c r="L1747">
        <v>604.56589598498203</v>
      </c>
      <c r="M1747">
        <v>12.038754521634599</v>
      </c>
      <c r="N1747">
        <v>50.218309037411899</v>
      </c>
      <c r="O1747">
        <v>48.892879668782101</v>
      </c>
      <c r="P1747">
        <v>-6.1571444378727802E-2</v>
      </c>
      <c r="Q1747">
        <v>0</v>
      </c>
      <c r="R1747">
        <v>0.96299968616404297</v>
      </c>
      <c r="S1747" t="s">
        <v>7573</v>
      </c>
      <c r="T1747" t="s">
        <v>11650</v>
      </c>
      <c r="U1747" t="s">
        <v>11650</v>
      </c>
      <c r="V1747" t="s">
        <v>11650</v>
      </c>
      <c r="W1747" t="s">
        <v>13367</v>
      </c>
      <c r="X1747">
        <v>2</v>
      </c>
      <c r="Y1747" t="s">
        <v>19105</v>
      </c>
      <c r="Z1747" t="s">
        <v>24809</v>
      </c>
      <c r="AA1747">
        <v>0.37461536287629082</v>
      </c>
      <c r="AB1747" t="str">
        <f>HYPERLINK("Melting_Curves/meltCurve_P05161_ISG15.pdf", "Melting_Curves/meltCurve_P05161_ISG15.pdf")</f>
        <v>Melting_Curves/meltCurve_P05161_ISG15.pdf</v>
      </c>
    </row>
    <row r="1748" spans="1:28" x14ac:dyDescent="0.25">
      <c r="A1748" t="s">
        <v>1752</v>
      </c>
      <c r="B1748">
        <v>0.99996721820229495</v>
      </c>
      <c r="C1748">
        <v>1.1176792548802299</v>
      </c>
      <c r="D1748">
        <v>1.05516845783531</v>
      </c>
      <c r="E1748">
        <v>1.287607369014</v>
      </c>
      <c r="F1748">
        <v>1.17340959423282</v>
      </c>
      <c r="G1748">
        <v>0.77983732767958203</v>
      </c>
      <c r="H1748">
        <v>0.65506764584594401</v>
      </c>
      <c r="I1748">
        <v>0.380521945788725</v>
      </c>
      <c r="J1748">
        <v>0.32898350916312502</v>
      </c>
      <c r="K1748">
        <v>0.20991381980847101</v>
      </c>
      <c r="L1748">
        <v>1501.7806914646801</v>
      </c>
      <c r="M1748">
        <v>24.546561874104899</v>
      </c>
      <c r="N1748">
        <v>62.5124837826869</v>
      </c>
      <c r="O1748">
        <v>60.7791744672001</v>
      </c>
      <c r="P1748">
        <v>-8.0411487164459505E-2</v>
      </c>
      <c r="Q1748">
        <v>0.203591376493413</v>
      </c>
      <c r="R1748">
        <v>0.88588933562081296</v>
      </c>
      <c r="S1748" t="s">
        <v>7574</v>
      </c>
      <c r="T1748" t="s">
        <v>11650</v>
      </c>
      <c r="U1748" t="s">
        <v>11650</v>
      </c>
      <c r="V1748" t="s">
        <v>11650</v>
      </c>
      <c r="W1748" t="s">
        <v>13368</v>
      </c>
      <c r="X1748">
        <v>2</v>
      </c>
      <c r="Y1748" t="s">
        <v>19106</v>
      </c>
      <c r="Z1748" t="s">
        <v>24810</v>
      </c>
      <c r="AA1748">
        <v>0.77069220121241011</v>
      </c>
      <c r="AB1748" t="str">
        <f>HYPERLINK("Melting_Curves/meltCurve_P05165_3_PCCA.pdf", "Melting_Curves/meltCurve_P05165_3_PCCA.pdf")</f>
        <v>Melting_Curves/meltCurve_P05165_3_PCCA.pdf</v>
      </c>
    </row>
    <row r="1749" spans="1:28" x14ac:dyDescent="0.25">
      <c r="A1749" t="s">
        <v>1753</v>
      </c>
      <c r="B1749">
        <v>0.99996721820229495</v>
      </c>
      <c r="C1749">
        <v>1.09505921610182</v>
      </c>
      <c r="D1749">
        <v>1.4437897905194199</v>
      </c>
      <c r="E1749">
        <v>2.96988860346534</v>
      </c>
      <c r="F1749">
        <v>4.2749972523054103</v>
      </c>
      <c r="G1749">
        <v>4.1954855279412797</v>
      </c>
      <c r="H1749">
        <v>3.4387506123653502</v>
      </c>
      <c r="I1749">
        <v>2.6936281776767999</v>
      </c>
      <c r="J1749">
        <v>2.05710931213458</v>
      </c>
      <c r="K1749">
        <v>2.03164438669786</v>
      </c>
      <c r="L1749">
        <v>2799.0051974331</v>
      </c>
      <c r="M1749">
        <v>63.722950167157698</v>
      </c>
      <c r="O1749">
        <v>43.881403764888198</v>
      </c>
      <c r="P1749">
        <v>0.181520432234891</v>
      </c>
      <c r="Q1749">
        <v>1.5</v>
      </c>
      <c r="R1749">
        <v>-0.77339603689413206</v>
      </c>
      <c r="S1749" t="s">
        <v>7575</v>
      </c>
      <c r="T1749" t="s">
        <v>11650</v>
      </c>
      <c r="U1749" t="s">
        <v>11650</v>
      </c>
      <c r="V1749" t="s">
        <v>11650</v>
      </c>
      <c r="W1749" t="s">
        <v>13369</v>
      </c>
      <c r="X1749">
        <v>17</v>
      </c>
      <c r="Y1749" t="s">
        <v>19107</v>
      </c>
      <c r="Z1749" t="s">
        <v>24811</v>
      </c>
      <c r="AA1749">
        <v>1.433976987546262</v>
      </c>
      <c r="AB1749" t="str">
        <f>HYPERLINK("Melting_Curves/meltCurve_P05186_ALPL.pdf", "Melting_Curves/meltCurve_P05186_ALPL.pdf")</f>
        <v>Melting_Curves/meltCurve_P05186_ALPL.pdf</v>
      </c>
    </row>
    <row r="1750" spans="1:28" x14ac:dyDescent="0.25">
      <c r="A1750" t="s">
        <v>1754</v>
      </c>
      <c r="B1750">
        <v>0.99996721820229495</v>
      </c>
      <c r="C1750">
        <v>1.0791092306144201</v>
      </c>
      <c r="D1750">
        <v>0.949531260240839</v>
      </c>
      <c r="E1750">
        <v>0.721392654234566</v>
      </c>
      <c r="F1750">
        <v>0.52919316475595302</v>
      </c>
      <c r="G1750">
        <v>0.34741043087632201</v>
      </c>
      <c r="H1750">
        <v>0.18553874644091201</v>
      </c>
      <c r="I1750">
        <v>0.18267881452457799</v>
      </c>
      <c r="J1750">
        <v>0.10609722205523101</v>
      </c>
      <c r="K1750">
        <v>8.4847715941640298E-2</v>
      </c>
      <c r="L1750">
        <v>843.90521389329399</v>
      </c>
      <c r="M1750">
        <v>15.911669282737201</v>
      </c>
      <c r="N1750">
        <v>53.709403285816002</v>
      </c>
      <c r="O1750">
        <v>52.220339828115399</v>
      </c>
      <c r="P1750">
        <v>-6.9300722285409594E-2</v>
      </c>
      <c r="Q1750">
        <v>9.0323267921683298E-2</v>
      </c>
      <c r="R1750">
        <v>0.98930429846927004</v>
      </c>
      <c r="S1750" t="s">
        <v>7576</v>
      </c>
      <c r="T1750" t="s">
        <v>11650</v>
      </c>
      <c r="U1750" t="s">
        <v>11650</v>
      </c>
      <c r="V1750" t="s">
        <v>11650</v>
      </c>
      <c r="W1750" t="s">
        <v>11806</v>
      </c>
      <c r="X1750">
        <v>21</v>
      </c>
      <c r="Y1750" t="s">
        <v>19108</v>
      </c>
      <c r="Z1750" t="s">
        <v>24812</v>
      </c>
      <c r="AA1750">
        <v>0.50360614043111229</v>
      </c>
      <c r="AB1750" t="str">
        <f>HYPERLINK("Melting_Curves/meltCurve_P05198_EIF2S1.pdf", "Melting_Curves/meltCurve_P05198_EIF2S1.pdf")</f>
        <v>Melting_Curves/meltCurve_P05198_EIF2S1.pdf</v>
      </c>
    </row>
    <row r="1751" spans="1:28" x14ac:dyDescent="0.25">
      <c r="A1751" t="s">
        <v>1755</v>
      </c>
      <c r="B1751">
        <v>0.99996721820229495</v>
      </c>
      <c r="C1751">
        <v>0.88633338918298898</v>
      </c>
      <c r="D1751">
        <v>0.68719203199700396</v>
      </c>
      <c r="E1751">
        <v>1.06502404635804</v>
      </c>
      <c r="F1751">
        <v>1.1466535356233201</v>
      </c>
      <c r="G1751">
        <v>1.10339733608366</v>
      </c>
      <c r="H1751">
        <v>1.03082925578206</v>
      </c>
      <c r="I1751">
        <v>0.88579900799186195</v>
      </c>
      <c r="J1751">
        <v>0.82657045414805597</v>
      </c>
      <c r="K1751">
        <v>0.89085851832655405</v>
      </c>
      <c r="L1751">
        <v>15000</v>
      </c>
      <c r="M1751">
        <v>235.813589465722</v>
      </c>
      <c r="O1751">
        <v>63.604990291265402</v>
      </c>
      <c r="P1751">
        <v>-0.13095527395397799</v>
      </c>
      <c r="Q1751">
        <v>0.85871197707384705</v>
      </c>
      <c r="R1751">
        <v>0.16728291165252701</v>
      </c>
      <c r="S1751" t="s">
        <v>7577</v>
      </c>
      <c r="T1751" t="s">
        <v>11650</v>
      </c>
      <c r="U1751" t="s">
        <v>11650</v>
      </c>
      <c r="V1751" t="s">
        <v>11650</v>
      </c>
      <c r="W1751" t="s">
        <v>13370</v>
      </c>
      <c r="X1751">
        <v>7</v>
      </c>
      <c r="Y1751" t="s">
        <v>19109</v>
      </c>
      <c r="Z1751" t="s">
        <v>24813</v>
      </c>
      <c r="AA1751">
        <v>0.96992133331461394</v>
      </c>
      <c r="AB1751" t="str">
        <f>HYPERLINK("Melting_Curves/meltCurve_P05204_HMGN2.pdf", "Melting_Curves/meltCurve_P05204_HMGN2.pdf")</f>
        <v>Melting_Curves/meltCurve_P05204_HMGN2.pdf</v>
      </c>
    </row>
    <row r="1752" spans="1:28" x14ac:dyDescent="0.25">
      <c r="A1752" t="s">
        <v>1756</v>
      </c>
      <c r="B1752">
        <v>0.99996721820229495</v>
      </c>
      <c r="C1752">
        <v>0.86803946299036205</v>
      </c>
      <c r="D1752">
        <v>0.96554352044512903</v>
      </c>
      <c r="E1752">
        <v>1.0209020092096199</v>
      </c>
      <c r="F1752">
        <v>1.3585879933337801</v>
      </c>
      <c r="G1752">
        <v>1.6232227669898001</v>
      </c>
      <c r="H1752">
        <v>1.2190217167819299</v>
      </c>
      <c r="I1752">
        <v>0.881260439563747</v>
      </c>
      <c r="J1752">
        <v>0.63295252067341601</v>
      </c>
      <c r="K1752">
        <v>0.63963101908772002</v>
      </c>
      <c r="L1752">
        <v>15000</v>
      </c>
      <c r="M1752">
        <v>233.65071106494199</v>
      </c>
      <c r="O1752">
        <v>64.193687185370706</v>
      </c>
      <c r="P1752">
        <v>-0.330963679188995</v>
      </c>
      <c r="Q1752">
        <v>0.63628136436766203</v>
      </c>
      <c r="R1752">
        <v>0.31957021336514901</v>
      </c>
      <c r="S1752" t="s">
        <v>7578</v>
      </c>
      <c r="T1752" t="s">
        <v>11650</v>
      </c>
      <c r="U1752" t="s">
        <v>11650</v>
      </c>
      <c r="V1752" t="s">
        <v>11650</v>
      </c>
      <c r="W1752" t="s">
        <v>13371</v>
      </c>
      <c r="X1752">
        <v>7</v>
      </c>
      <c r="Y1752" t="s">
        <v>19110</v>
      </c>
      <c r="Z1752" t="s">
        <v>24814</v>
      </c>
      <c r="AA1752">
        <v>0.92970848774102499</v>
      </c>
      <c r="AB1752" t="str">
        <f>HYPERLINK("Melting_Curves/meltCurve_P05362_ICAM1.pdf", "Melting_Curves/meltCurve_P05362_ICAM1.pdf")</f>
        <v>Melting_Curves/meltCurve_P05362_ICAM1.pdf</v>
      </c>
    </row>
    <row r="1753" spans="1:28" x14ac:dyDescent="0.25">
      <c r="A1753" t="s">
        <v>1757</v>
      </c>
      <c r="B1753">
        <v>0.99996721820229495</v>
      </c>
      <c r="C1753">
        <v>1.07123480309568</v>
      </c>
      <c r="D1753">
        <v>1.0342079009685801</v>
      </c>
      <c r="E1753">
        <v>1.04810669554199</v>
      </c>
      <c r="F1753">
        <v>1.77619976016627</v>
      </c>
      <c r="G1753">
        <v>2.6893261306551</v>
      </c>
      <c r="H1753">
        <v>3.71107587974282</v>
      </c>
      <c r="I1753">
        <v>5.3931427828446896</v>
      </c>
      <c r="J1753">
        <v>4.9974523966383</v>
      </c>
      <c r="K1753">
        <v>3.4101219445141702</v>
      </c>
      <c r="L1753">
        <v>12611.9808953417</v>
      </c>
      <c r="M1753">
        <v>250</v>
      </c>
      <c r="O1753">
        <v>50.444704530431501</v>
      </c>
      <c r="P1753">
        <v>0.61949031242944497</v>
      </c>
      <c r="Q1753">
        <v>1.5</v>
      </c>
      <c r="R1753">
        <v>-0.445891409378601</v>
      </c>
      <c r="S1753" t="s">
        <v>7579</v>
      </c>
      <c r="T1753" t="s">
        <v>11650</v>
      </c>
      <c r="U1753" t="s">
        <v>11650</v>
      </c>
      <c r="V1753" t="s">
        <v>11650</v>
      </c>
      <c r="W1753" t="s">
        <v>13372</v>
      </c>
      <c r="X1753">
        <v>9</v>
      </c>
      <c r="Y1753" t="s">
        <v>19111</v>
      </c>
      <c r="Z1753" t="s">
        <v>24815</v>
      </c>
      <c r="AA1753">
        <v>1.325823672650182</v>
      </c>
      <c r="AB1753" t="str">
        <f>HYPERLINK("Melting_Curves/meltCurve_P05387_RPLP2.pdf", "Melting_Curves/meltCurve_P05387_RPLP2.pdf")</f>
        <v>Melting_Curves/meltCurve_P05387_RPLP2.pdf</v>
      </c>
    </row>
    <row r="1754" spans="1:28" x14ac:dyDescent="0.25">
      <c r="A1754" t="s">
        <v>1758</v>
      </c>
      <c r="B1754">
        <v>0.99996721820229495</v>
      </c>
      <c r="C1754">
        <v>1.0419650237567</v>
      </c>
      <c r="D1754">
        <v>0.84166945466141596</v>
      </c>
      <c r="E1754">
        <v>0.63201812790700496</v>
      </c>
      <c r="F1754">
        <v>0.52002002155792204</v>
      </c>
      <c r="G1754">
        <v>0.46276827987478197</v>
      </c>
      <c r="H1754">
        <v>0.25249413998848702</v>
      </c>
      <c r="I1754">
        <v>0.18205094844156899</v>
      </c>
      <c r="J1754">
        <v>5.7487552227032203E-2</v>
      </c>
      <c r="K1754">
        <v>6.0848038804413397E-2</v>
      </c>
      <c r="L1754">
        <v>561.51248335547098</v>
      </c>
      <c r="M1754">
        <v>10.3810696833515</v>
      </c>
      <c r="N1754">
        <v>54.0900406575239</v>
      </c>
      <c r="O1754">
        <v>52.198340132995099</v>
      </c>
      <c r="P1754">
        <v>-4.9740303918675101E-2</v>
      </c>
      <c r="Q1754">
        <v>0</v>
      </c>
      <c r="R1754">
        <v>0.97466185472565103</v>
      </c>
      <c r="S1754" t="s">
        <v>7580</v>
      </c>
      <c r="T1754" t="s">
        <v>11650</v>
      </c>
      <c r="U1754" t="s">
        <v>11650</v>
      </c>
      <c r="V1754" t="s">
        <v>11650</v>
      </c>
      <c r="W1754" t="s">
        <v>13373</v>
      </c>
      <c r="X1754">
        <v>10</v>
      </c>
      <c r="Y1754" t="s">
        <v>19112</v>
      </c>
      <c r="Z1754" t="s">
        <v>24816</v>
      </c>
      <c r="AA1754">
        <v>0.4987552673097283</v>
      </c>
      <c r="AB1754" t="str">
        <f>HYPERLINK("Melting_Curves/meltCurve_P05388_RPLP0.pdf", "Melting_Curves/meltCurve_P05388_RPLP0.pdf")</f>
        <v>Melting_Curves/meltCurve_P05388_RPLP0.pdf</v>
      </c>
    </row>
    <row r="1755" spans="1:28" x14ac:dyDescent="0.25">
      <c r="A1755" t="s">
        <v>1759</v>
      </c>
      <c r="B1755">
        <v>0.99996721820229495</v>
      </c>
      <c r="C1755">
        <v>1.0448660302580499</v>
      </c>
      <c r="D1755">
        <v>1.1259325468916901</v>
      </c>
      <c r="E1755">
        <v>1.21604419200645</v>
      </c>
      <c r="F1755">
        <v>1.8948611700576901</v>
      </c>
      <c r="G1755">
        <v>1.7191333932324899</v>
      </c>
      <c r="H1755">
        <v>1.08981148869564</v>
      </c>
      <c r="I1755">
        <v>1.0200902142065</v>
      </c>
      <c r="J1755">
        <v>1.03606618666862</v>
      </c>
      <c r="K1755">
        <v>0.82377091145493397</v>
      </c>
      <c r="L1755">
        <v>15000</v>
      </c>
      <c r="M1755">
        <v>212.74358166991101</v>
      </c>
      <c r="Q1755">
        <v>0</v>
      </c>
      <c r="R1755">
        <v>-0.34516777526355202</v>
      </c>
      <c r="S1755" t="s">
        <v>7581</v>
      </c>
      <c r="T1755" t="s">
        <v>11650</v>
      </c>
      <c r="U1755" t="s">
        <v>11650</v>
      </c>
      <c r="V1755" t="s">
        <v>11650</v>
      </c>
      <c r="W1755" t="s">
        <v>13374</v>
      </c>
      <c r="X1755">
        <v>2</v>
      </c>
      <c r="Y1755" t="s">
        <v>19113</v>
      </c>
      <c r="Z1755" t="s">
        <v>24817</v>
      </c>
      <c r="AA1755">
        <v>0.99790948319710637</v>
      </c>
      <c r="AB1755" t="str">
        <f>HYPERLINK("Melting_Curves/meltCurve_P05412_JUN.pdf", "Melting_Curves/meltCurve_P05412_JUN.pdf")</f>
        <v>Melting_Curves/meltCurve_P05412_JUN.pdf</v>
      </c>
    </row>
    <row r="1756" spans="1:28" x14ac:dyDescent="0.25">
      <c r="A1756" t="s">
        <v>1760</v>
      </c>
      <c r="B1756">
        <v>0.99996721820229495</v>
      </c>
      <c r="C1756">
        <v>0.94469597554626406</v>
      </c>
      <c r="D1756">
        <v>0.94756886636052795</v>
      </c>
      <c r="E1756">
        <v>0.85429674798409705</v>
      </c>
      <c r="F1756">
        <v>0.90746534423893799</v>
      </c>
      <c r="G1756">
        <v>0.57254442278166096</v>
      </c>
      <c r="H1756">
        <v>0.26677079063895498</v>
      </c>
      <c r="I1756">
        <v>0.14344295959607201</v>
      </c>
      <c r="J1756">
        <v>9.7050053843189599E-2</v>
      </c>
      <c r="K1756">
        <v>7.3693523246966694E-2</v>
      </c>
      <c r="L1756">
        <v>1126.50771645741</v>
      </c>
      <c r="M1756">
        <v>19.543969311693399</v>
      </c>
      <c r="N1756">
        <v>57.844713690052501</v>
      </c>
      <c r="O1756">
        <v>57.046377871991297</v>
      </c>
      <c r="P1756">
        <v>-8.2785941401978397E-2</v>
      </c>
      <c r="Q1756">
        <v>3.34676526865565E-2</v>
      </c>
      <c r="R1756">
        <v>0.98694381098518602</v>
      </c>
      <c r="S1756" t="s">
        <v>7582</v>
      </c>
      <c r="T1756" t="s">
        <v>11650</v>
      </c>
      <c r="U1756" t="s">
        <v>11650</v>
      </c>
      <c r="V1756" t="s">
        <v>11650</v>
      </c>
      <c r="W1756" t="s">
        <v>13375</v>
      </c>
      <c r="X1756">
        <v>13</v>
      </c>
      <c r="Y1756" t="s">
        <v>19114</v>
      </c>
      <c r="Z1756" t="s">
        <v>24818</v>
      </c>
      <c r="AA1756">
        <v>0.61335020892355563</v>
      </c>
      <c r="AB1756" t="str">
        <f>HYPERLINK("Melting_Curves/meltCurve_P05413_FABP3.pdf", "Melting_Curves/meltCurve_P05413_FABP3.pdf")</f>
        <v>Melting_Curves/meltCurve_P05413_FABP3.pdf</v>
      </c>
    </row>
    <row r="1757" spans="1:28" x14ac:dyDescent="0.25">
      <c r="A1757" t="s">
        <v>1761</v>
      </c>
      <c r="B1757">
        <v>0.99996721820229495</v>
      </c>
      <c r="C1757">
        <v>0.99942906944705601</v>
      </c>
      <c r="D1757">
        <v>1.0425924236199799</v>
      </c>
      <c r="E1757">
        <v>1.1454037024144901</v>
      </c>
      <c r="F1757">
        <v>0.94278377083084197</v>
      </c>
      <c r="G1757">
        <v>0.55298249222319795</v>
      </c>
      <c r="H1757">
        <v>0.225679290643963</v>
      </c>
      <c r="I1757">
        <v>0.146029946489448</v>
      </c>
      <c r="J1757">
        <v>9.5783408993271299E-2</v>
      </c>
      <c r="K1757">
        <v>8.1827390122976296E-2</v>
      </c>
      <c r="L1757">
        <v>1909.6319891805599</v>
      </c>
      <c r="M1757">
        <v>33.414906043606898</v>
      </c>
      <c r="N1757">
        <v>57.543225189192498</v>
      </c>
      <c r="O1757">
        <v>56.9455859934099</v>
      </c>
      <c r="P1757">
        <v>-0.13169264651464099</v>
      </c>
      <c r="Q1757">
        <v>0.10228290209966701</v>
      </c>
      <c r="R1757">
        <v>0.98481066878002799</v>
      </c>
      <c r="S1757" t="s">
        <v>7583</v>
      </c>
      <c r="T1757" t="s">
        <v>11650</v>
      </c>
      <c r="U1757" t="s">
        <v>11650</v>
      </c>
      <c r="V1757" t="s">
        <v>11650</v>
      </c>
      <c r="W1757" t="s">
        <v>13376</v>
      </c>
      <c r="X1757">
        <v>28</v>
      </c>
      <c r="Y1757" t="s">
        <v>19115</v>
      </c>
      <c r="Z1757" t="s">
        <v>24819</v>
      </c>
      <c r="AA1757">
        <v>0.62037408953169204</v>
      </c>
      <c r="AB1757" t="str">
        <f>HYPERLINK("Melting_Curves/meltCurve_P05455_SSB.pdf", "Melting_Curves/meltCurve_P05455_SSB.pdf")</f>
        <v>Melting_Curves/meltCurve_P05455_SSB.pdf</v>
      </c>
    </row>
    <row r="1758" spans="1:28" x14ac:dyDescent="0.25">
      <c r="A1758" t="s">
        <v>1762</v>
      </c>
      <c r="B1758">
        <v>0.99996721820229495</v>
      </c>
      <c r="C1758">
        <v>0.90125189069050504</v>
      </c>
      <c r="D1758">
        <v>1.0304025896784701</v>
      </c>
      <c r="E1758">
        <v>1.1908952369544099</v>
      </c>
      <c r="F1758">
        <v>1.38176466721654</v>
      </c>
      <c r="G1758">
        <v>1.52190018108213</v>
      </c>
      <c r="H1758">
        <v>1.1374141236558799</v>
      </c>
      <c r="I1758">
        <v>0.82105271958084203</v>
      </c>
      <c r="J1758">
        <v>0.54994784047385004</v>
      </c>
      <c r="K1758">
        <v>0.70578035211135004</v>
      </c>
      <c r="L1758">
        <v>15000</v>
      </c>
      <c r="M1758">
        <v>234.298456336116</v>
      </c>
      <c r="O1758">
        <v>64.016244020825994</v>
      </c>
      <c r="P1758">
        <v>-0.34050540740588298</v>
      </c>
      <c r="Q1758">
        <v>0.62786136025092598</v>
      </c>
      <c r="R1758">
        <v>0.37926134242722398</v>
      </c>
      <c r="S1758" t="s">
        <v>7584</v>
      </c>
      <c r="T1758" t="s">
        <v>11650</v>
      </c>
      <c r="U1758" t="s">
        <v>11650</v>
      </c>
      <c r="V1758" t="s">
        <v>11650</v>
      </c>
      <c r="W1758" t="s">
        <v>13377</v>
      </c>
      <c r="X1758">
        <v>45</v>
      </c>
      <c r="Y1758" t="s">
        <v>19116</v>
      </c>
      <c r="Z1758" t="s">
        <v>24820</v>
      </c>
      <c r="AA1758">
        <v>0.92587923741931566</v>
      </c>
      <c r="AB1758" t="str">
        <f>HYPERLINK("Melting_Curves/meltCurve_P05556_ITGB1.pdf", "Melting_Curves/meltCurve_P05556_ITGB1.pdf")</f>
        <v>Melting_Curves/meltCurve_P05556_ITGB1.pdf</v>
      </c>
    </row>
    <row r="1759" spans="1:28" x14ac:dyDescent="0.25">
      <c r="A1759" t="s">
        <v>1763</v>
      </c>
      <c r="B1759">
        <v>0.99996721820229495</v>
      </c>
      <c r="C1759">
        <v>0.98196681864180602</v>
      </c>
      <c r="D1759">
        <v>0.97065937537617497</v>
      </c>
      <c r="E1759">
        <v>1.20777493995574</v>
      </c>
      <c r="F1759">
        <v>1.8036714299401999</v>
      </c>
      <c r="G1759">
        <v>2.4093503205630999</v>
      </c>
      <c r="H1759">
        <v>1.74038967854347</v>
      </c>
      <c r="I1759">
        <v>1.19517341497656</v>
      </c>
      <c r="J1759">
        <v>0.84464017065244301</v>
      </c>
      <c r="K1759">
        <v>0.876560996179512</v>
      </c>
      <c r="L1759">
        <v>12513.194533662399</v>
      </c>
      <c r="M1759">
        <v>250</v>
      </c>
      <c r="O1759">
        <v>50.049594562687403</v>
      </c>
      <c r="P1759">
        <v>0.59727980640004996</v>
      </c>
      <c r="Q1759">
        <v>1.4782976088813</v>
      </c>
      <c r="R1759">
        <v>0.208726637388604</v>
      </c>
      <c r="S1759" t="s">
        <v>7585</v>
      </c>
      <c r="T1759" t="s">
        <v>11650</v>
      </c>
      <c r="U1759" t="s">
        <v>11650</v>
      </c>
      <c r="V1759" t="s">
        <v>11650</v>
      </c>
      <c r="W1759" t="s">
        <v>13378</v>
      </c>
      <c r="X1759">
        <v>33</v>
      </c>
      <c r="Y1759" t="s">
        <v>19117</v>
      </c>
      <c r="Z1759" t="s">
        <v>24821</v>
      </c>
      <c r="AA1759">
        <v>1.3179816028555249</v>
      </c>
      <c r="AB1759" t="str">
        <f>HYPERLINK("Melting_Curves/meltCurve_P05997_COL5A2.pdf", "Melting_Curves/meltCurve_P05997_COL5A2.pdf")</f>
        <v>Melting_Curves/meltCurve_P05997_COL5A2.pdf</v>
      </c>
    </row>
    <row r="1760" spans="1:28" x14ac:dyDescent="0.25">
      <c r="A1760" t="s">
        <v>1764</v>
      </c>
      <c r="B1760">
        <v>0.99996721820229495</v>
      </c>
      <c r="C1760">
        <v>0.98352625577820596</v>
      </c>
      <c r="D1760">
        <v>1.02113668464762</v>
      </c>
      <c r="E1760">
        <v>0.96952782859550202</v>
      </c>
      <c r="F1760">
        <v>1.2543864621829</v>
      </c>
      <c r="G1760">
        <v>1.29740734549014</v>
      </c>
      <c r="H1760">
        <v>0.84532906099342897</v>
      </c>
      <c r="I1760">
        <v>0.44544553582816399</v>
      </c>
      <c r="J1760">
        <v>0.18079374087164701</v>
      </c>
      <c r="K1760">
        <v>0.115037819697221</v>
      </c>
      <c r="L1760">
        <v>3055.4889919125399</v>
      </c>
      <c r="M1760">
        <v>48.2971972151174</v>
      </c>
      <c r="N1760">
        <v>63.613306514519103</v>
      </c>
      <c r="O1760">
        <v>63.156138476554098</v>
      </c>
      <c r="P1760">
        <v>-0.16893173431953301</v>
      </c>
      <c r="Q1760">
        <v>0.116382257504513</v>
      </c>
      <c r="R1760">
        <v>0.89996359920417202</v>
      </c>
      <c r="S1760" t="s">
        <v>7586</v>
      </c>
      <c r="T1760" t="s">
        <v>11650</v>
      </c>
      <c r="U1760" t="s">
        <v>11650</v>
      </c>
      <c r="V1760" t="s">
        <v>11650</v>
      </c>
      <c r="W1760" t="s">
        <v>13379</v>
      </c>
      <c r="X1760">
        <v>13</v>
      </c>
      <c r="Y1760" t="s">
        <v>19118</v>
      </c>
      <c r="Z1760" t="s">
        <v>24822</v>
      </c>
      <c r="AA1760">
        <v>0.80377847777840361</v>
      </c>
      <c r="AB1760" t="str">
        <f>HYPERLINK("Melting_Curves/meltCurve_P06132_UROD.pdf", "Melting_Curves/meltCurve_P06132_UROD.pdf")</f>
        <v>Melting_Curves/meltCurve_P06132_UROD.pdf</v>
      </c>
    </row>
    <row r="1761" spans="1:28" x14ac:dyDescent="0.25">
      <c r="A1761" t="s">
        <v>1765</v>
      </c>
      <c r="B1761">
        <v>0.99996721820229495</v>
      </c>
      <c r="C1761">
        <v>0.843408267536773</v>
      </c>
      <c r="D1761">
        <v>1.07746919279241</v>
      </c>
      <c r="E1761">
        <v>1.43867454230586</v>
      </c>
      <c r="F1761">
        <v>1.2527979290460001</v>
      </c>
      <c r="G1761">
        <v>0.72668664944181705</v>
      </c>
      <c r="H1761">
        <v>0.44913735503361402</v>
      </c>
      <c r="I1761">
        <v>0.36812452147784502</v>
      </c>
      <c r="J1761">
        <v>0.268517682222911</v>
      </c>
      <c r="K1761">
        <v>0.29162152368880301</v>
      </c>
      <c r="L1761">
        <v>2505.7802275981398</v>
      </c>
      <c r="M1761">
        <v>43.244968910847199</v>
      </c>
      <c r="N1761">
        <v>59.3379745764775</v>
      </c>
      <c r="O1761">
        <v>57.820362941530497</v>
      </c>
      <c r="P1761">
        <v>-0.12733651345508401</v>
      </c>
      <c r="Q1761">
        <v>0.31898373003990699</v>
      </c>
      <c r="R1761">
        <v>0.80712939760285096</v>
      </c>
      <c r="S1761" t="s">
        <v>7587</v>
      </c>
      <c r="T1761" t="s">
        <v>11650</v>
      </c>
      <c r="U1761" t="s">
        <v>11650</v>
      </c>
      <c r="V1761" t="s">
        <v>11650</v>
      </c>
      <c r="W1761" t="s">
        <v>13380</v>
      </c>
      <c r="X1761">
        <v>6</v>
      </c>
      <c r="Y1761" t="s">
        <v>19119</v>
      </c>
      <c r="Z1761" t="s">
        <v>24823</v>
      </c>
      <c r="AA1761">
        <v>0.72862287197659503</v>
      </c>
      <c r="AB1761" t="str">
        <f>HYPERLINK("Melting_Curves/meltCurve_P06241_FYN.pdf", "Melting_Curves/meltCurve_P06241_FYN.pdf")</f>
        <v>Melting_Curves/meltCurve_P06241_FYN.pdf</v>
      </c>
    </row>
    <row r="1762" spans="1:28" x14ac:dyDescent="0.25">
      <c r="A1762" t="s">
        <v>1766</v>
      </c>
      <c r="B1762">
        <v>0.99996721820229495</v>
      </c>
      <c r="C1762">
        <v>0.98490708629914403</v>
      </c>
      <c r="D1762">
        <v>1.01242661038263</v>
      </c>
      <c r="E1762">
        <v>1.1002284088993299</v>
      </c>
      <c r="F1762">
        <v>1.3346181351153901</v>
      </c>
      <c r="G1762">
        <v>1.3170956226364301</v>
      </c>
      <c r="H1762">
        <v>0.78386398236867905</v>
      </c>
      <c r="I1762">
        <v>0.33831639910256101</v>
      </c>
      <c r="J1762">
        <v>0.18566208931133499</v>
      </c>
      <c r="K1762">
        <v>0.153250219488509</v>
      </c>
      <c r="L1762">
        <v>3486.7311422636299</v>
      </c>
      <c r="M1762">
        <v>55.9483563618491</v>
      </c>
      <c r="N1762">
        <v>62.770521464106501</v>
      </c>
      <c r="O1762">
        <v>62.241061925532399</v>
      </c>
      <c r="P1762">
        <v>-0.18759940115100199</v>
      </c>
      <c r="Q1762">
        <v>0.16520304797563901</v>
      </c>
      <c r="R1762">
        <v>0.87159782364662397</v>
      </c>
      <c r="S1762" t="s">
        <v>7588</v>
      </c>
      <c r="T1762" t="s">
        <v>11650</v>
      </c>
      <c r="U1762" t="s">
        <v>11650</v>
      </c>
      <c r="V1762" t="s">
        <v>11650</v>
      </c>
      <c r="W1762" t="s">
        <v>13381</v>
      </c>
      <c r="X1762">
        <v>8</v>
      </c>
      <c r="Y1762" t="s">
        <v>19120</v>
      </c>
      <c r="Z1762" t="s">
        <v>24824</v>
      </c>
      <c r="AA1762">
        <v>0.78804946401147724</v>
      </c>
      <c r="AB1762" t="str">
        <f>HYPERLINK("Melting_Curves/meltCurve_P06280_GLA.pdf", "Melting_Curves/meltCurve_P06280_GLA.pdf")</f>
        <v>Melting_Curves/meltCurve_P06280_GLA.pdf</v>
      </c>
    </row>
    <row r="1763" spans="1:28" x14ac:dyDescent="0.25">
      <c r="A1763" t="s">
        <v>1767</v>
      </c>
      <c r="B1763">
        <v>0.99996721820229495</v>
      </c>
      <c r="C1763">
        <v>0.81160260447661003</v>
      </c>
      <c r="D1763">
        <v>0.97847607285607796</v>
      </c>
      <c r="E1763">
        <v>1.0727135584869201</v>
      </c>
      <c r="F1763">
        <v>0.67698333045652503</v>
      </c>
      <c r="G1763">
        <v>0.34897828059789898</v>
      </c>
      <c r="H1763">
        <v>0.22668574478640199</v>
      </c>
      <c r="I1763">
        <v>0.19726353738015701</v>
      </c>
      <c r="J1763">
        <v>0.18754019027494301</v>
      </c>
      <c r="K1763">
        <v>0.140899670834399</v>
      </c>
      <c r="L1763">
        <v>1812.6901449111599</v>
      </c>
      <c r="M1763">
        <v>33.497582270933002</v>
      </c>
      <c r="N1763">
        <v>54.880593039093597</v>
      </c>
      <c r="O1763">
        <v>53.922295733523498</v>
      </c>
      <c r="P1763">
        <v>-0.12628936628163201</v>
      </c>
      <c r="Q1763">
        <v>0.186832829581144</v>
      </c>
      <c r="R1763">
        <v>0.95618384098457698</v>
      </c>
      <c r="S1763" t="s">
        <v>7589</v>
      </c>
      <c r="T1763" t="s">
        <v>11650</v>
      </c>
      <c r="U1763" t="s">
        <v>11650</v>
      </c>
      <c r="V1763" t="s">
        <v>11650</v>
      </c>
      <c r="W1763" t="s">
        <v>13382</v>
      </c>
      <c r="X1763">
        <v>46</v>
      </c>
      <c r="Y1763" t="s">
        <v>19121</v>
      </c>
      <c r="Z1763" t="s">
        <v>24825</v>
      </c>
      <c r="AA1763">
        <v>0.5737178684936336</v>
      </c>
      <c r="AB1763" t="str">
        <f>HYPERLINK("Melting_Curves/meltCurve_P06396_2_GSN.pdf", "Melting_Curves/meltCurve_P06396_2_GSN.pdf")</f>
        <v>Melting_Curves/meltCurve_P06396_2_GSN.pdf</v>
      </c>
    </row>
    <row r="1764" spans="1:28" x14ac:dyDescent="0.25">
      <c r="A1764" t="s">
        <v>1768</v>
      </c>
      <c r="B1764">
        <v>0.99996721820229495</v>
      </c>
      <c r="C1764">
        <v>1.0474095964485399</v>
      </c>
      <c r="D1764">
        <v>1.0496331365926199</v>
      </c>
      <c r="E1764">
        <v>1.2433755400992199</v>
      </c>
      <c r="F1764">
        <v>1.5317801960364099</v>
      </c>
      <c r="G1764">
        <v>2.0635795094935498</v>
      </c>
      <c r="H1764">
        <v>1.7967502368356401</v>
      </c>
      <c r="I1764">
        <v>1.21383997998543</v>
      </c>
      <c r="J1764">
        <v>0.20328018536325601</v>
      </c>
      <c r="K1764">
        <v>0.115126775547118</v>
      </c>
      <c r="L1764">
        <v>15000</v>
      </c>
      <c r="M1764">
        <v>226.069311309581</v>
      </c>
      <c r="N1764">
        <v>66.427862895459199</v>
      </c>
      <c r="O1764">
        <v>66.346143398787603</v>
      </c>
      <c r="P1764">
        <v>-0.75419193667138096</v>
      </c>
      <c r="Q1764">
        <v>0.114648098936288</v>
      </c>
      <c r="R1764">
        <v>0.36815253195209402</v>
      </c>
      <c r="S1764" t="s">
        <v>7590</v>
      </c>
      <c r="T1764" t="s">
        <v>11650</v>
      </c>
      <c r="U1764" t="s">
        <v>11650</v>
      </c>
      <c r="V1764" t="s">
        <v>11650</v>
      </c>
      <c r="W1764" t="s">
        <v>13383</v>
      </c>
      <c r="X1764">
        <v>25</v>
      </c>
      <c r="Y1764" t="s">
        <v>19122</v>
      </c>
      <c r="Z1764" t="s">
        <v>24826</v>
      </c>
      <c r="AA1764">
        <v>0.89244751308237713</v>
      </c>
      <c r="AB1764" t="str">
        <f>HYPERLINK("Melting_Curves/meltCurve_P06576_ATP5B.pdf", "Melting_Curves/meltCurve_P06576_ATP5B.pdf")</f>
        <v>Melting_Curves/meltCurve_P06576_ATP5B.pdf</v>
      </c>
    </row>
    <row r="1765" spans="1:28" x14ac:dyDescent="0.25">
      <c r="A1765" t="s">
        <v>1769</v>
      </c>
      <c r="B1765">
        <v>0.99996721820229495</v>
      </c>
      <c r="C1765">
        <v>1.02146495529883</v>
      </c>
      <c r="D1765">
        <v>1.04165560063743</v>
      </c>
      <c r="E1765">
        <v>1.1568839798610899</v>
      </c>
      <c r="F1765">
        <v>1.3640427616433699</v>
      </c>
      <c r="G1765">
        <v>1.4913715389311999</v>
      </c>
      <c r="H1765">
        <v>0.903253394786524</v>
      </c>
      <c r="I1765">
        <v>0.23412915289671701</v>
      </c>
      <c r="J1765">
        <v>0.104390324248298</v>
      </c>
      <c r="K1765">
        <v>8.0072910799483699E-2</v>
      </c>
      <c r="L1765">
        <v>5022.6857391774502</v>
      </c>
      <c r="M1765">
        <v>80.160112402119907</v>
      </c>
      <c r="N1765">
        <v>62.8136639259913</v>
      </c>
      <c r="O1765">
        <v>62.6191878804593</v>
      </c>
      <c r="P1765">
        <v>-0.29122899040471001</v>
      </c>
      <c r="Q1765">
        <v>8.9995046607674697E-2</v>
      </c>
      <c r="R1765">
        <v>0.83196307140966397</v>
      </c>
      <c r="S1765" t="s">
        <v>7591</v>
      </c>
      <c r="T1765" t="s">
        <v>11650</v>
      </c>
      <c r="U1765" t="s">
        <v>11650</v>
      </c>
      <c r="V1765" t="s">
        <v>11650</v>
      </c>
      <c r="W1765" t="s">
        <v>13384</v>
      </c>
      <c r="X1765">
        <v>48</v>
      </c>
      <c r="Y1765" t="s">
        <v>19123</v>
      </c>
      <c r="Z1765" t="s">
        <v>24827</v>
      </c>
      <c r="AA1765">
        <v>0.7782649478584176</v>
      </c>
      <c r="AB1765" t="str">
        <f>HYPERLINK("Melting_Curves/meltCurve_P06733_ENO1.pdf", "Melting_Curves/meltCurve_P06733_ENO1.pdf")</f>
        <v>Melting_Curves/meltCurve_P06733_ENO1.pdf</v>
      </c>
    </row>
    <row r="1766" spans="1:28" x14ac:dyDescent="0.25">
      <c r="A1766" t="s">
        <v>1770</v>
      </c>
      <c r="B1766">
        <v>0.99996721820229495</v>
      </c>
      <c r="C1766">
        <v>0.876692769275349</v>
      </c>
      <c r="D1766">
        <v>0.92972875537781596</v>
      </c>
      <c r="E1766">
        <v>1.4520406400499799</v>
      </c>
      <c r="F1766">
        <v>1.66356956018445</v>
      </c>
      <c r="G1766">
        <v>0.89401860123661003</v>
      </c>
      <c r="H1766">
        <v>0.40294459421193002</v>
      </c>
      <c r="I1766">
        <v>0.21118810322703499</v>
      </c>
      <c r="J1766">
        <v>0.18713350870856199</v>
      </c>
      <c r="K1766">
        <v>0.152045006727314</v>
      </c>
      <c r="L1766">
        <v>2907.35389681673</v>
      </c>
      <c r="M1766">
        <v>48.642504924773597</v>
      </c>
      <c r="N1766">
        <v>60.2915022042963</v>
      </c>
      <c r="O1766">
        <v>59.669063078082303</v>
      </c>
      <c r="P1766">
        <v>-0.16879479742085399</v>
      </c>
      <c r="Q1766">
        <v>0.17176816481596299</v>
      </c>
      <c r="R1766">
        <v>0.73633716583693498</v>
      </c>
      <c r="S1766" t="s">
        <v>7592</v>
      </c>
      <c r="T1766" t="s">
        <v>11650</v>
      </c>
      <c r="U1766" t="s">
        <v>11650</v>
      </c>
      <c r="V1766" t="s">
        <v>11650</v>
      </c>
      <c r="W1766" t="s">
        <v>13385</v>
      </c>
      <c r="X1766">
        <v>21</v>
      </c>
      <c r="Y1766" t="s">
        <v>19124</v>
      </c>
      <c r="Z1766" t="s">
        <v>24828</v>
      </c>
      <c r="AA1766">
        <v>0.71983596209737555</v>
      </c>
      <c r="AB1766" t="str">
        <f>HYPERLINK("Melting_Curves/meltCurve_P06737_2_PYGL.pdf", "Melting_Curves/meltCurve_P06737_2_PYGL.pdf")</f>
        <v>Melting_Curves/meltCurve_P06737_2_PYGL.pdf</v>
      </c>
    </row>
    <row r="1767" spans="1:28" x14ac:dyDescent="0.25">
      <c r="A1767" t="s">
        <v>1771</v>
      </c>
      <c r="B1767">
        <v>0.99996721820229495</v>
      </c>
      <c r="C1767">
        <v>0.95405960807416701</v>
      </c>
      <c r="D1767">
        <v>1.0841096260497101</v>
      </c>
      <c r="E1767">
        <v>1.35943631247332</v>
      </c>
      <c r="F1767">
        <v>1.2845867773364601</v>
      </c>
      <c r="G1767">
        <v>0.71572357470618098</v>
      </c>
      <c r="H1767">
        <v>0.186235270211563</v>
      </c>
      <c r="I1767">
        <v>0.13723885894405499</v>
      </c>
      <c r="J1767">
        <v>0.10165196482956899</v>
      </c>
      <c r="K1767">
        <v>8.4483508681649097E-2</v>
      </c>
      <c r="L1767">
        <v>3607.6463472242199</v>
      </c>
      <c r="M1767">
        <v>62.491353322059197</v>
      </c>
      <c r="N1767">
        <v>57.981259241951697</v>
      </c>
      <c r="O1767">
        <v>57.6712976042771</v>
      </c>
      <c r="P1767">
        <v>-0.23879594981758101</v>
      </c>
      <c r="Q1767">
        <v>0.118491337879542</v>
      </c>
      <c r="R1767">
        <v>0.90624584726415103</v>
      </c>
      <c r="S1767" t="s">
        <v>7593</v>
      </c>
      <c r="T1767" t="s">
        <v>11650</v>
      </c>
      <c r="U1767" t="s">
        <v>11650</v>
      </c>
      <c r="V1767" t="s">
        <v>11650</v>
      </c>
      <c r="W1767" t="s">
        <v>13386</v>
      </c>
      <c r="X1767">
        <v>34</v>
      </c>
      <c r="Y1767" t="s">
        <v>19125</v>
      </c>
      <c r="Z1767" t="s">
        <v>24829</v>
      </c>
      <c r="AA1767">
        <v>0.64090602789021744</v>
      </c>
      <c r="AB1767" t="str">
        <f>HYPERLINK("Melting_Curves/meltCurve_P06744_GPI.pdf", "Melting_Curves/meltCurve_P06744_GPI.pdf")</f>
        <v>Melting_Curves/meltCurve_P06744_GPI.pdf</v>
      </c>
    </row>
    <row r="1768" spans="1:28" x14ac:dyDescent="0.25">
      <c r="A1768" t="s">
        <v>1772</v>
      </c>
      <c r="B1768">
        <v>0.99996721820229495</v>
      </c>
      <c r="C1768">
        <v>0.93342551371220694</v>
      </c>
      <c r="D1768">
        <v>0.92247752189380905</v>
      </c>
      <c r="E1768">
        <v>0.99370220239817697</v>
      </c>
      <c r="F1768">
        <v>1.3430096170902399</v>
      </c>
      <c r="G1768">
        <v>1.3757129599904101</v>
      </c>
      <c r="H1768">
        <v>1.0362888795282701</v>
      </c>
      <c r="I1768">
        <v>1.81990588750056</v>
      </c>
      <c r="J1768">
        <v>0.73958176477267601</v>
      </c>
      <c r="K1768">
        <v>0.681944437518747</v>
      </c>
      <c r="L1768">
        <v>15000</v>
      </c>
      <c r="M1768">
        <v>225.36697663678899</v>
      </c>
      <c r="O1768">
        <v>66.552868808086501</v>
      </c>
      <c r="P1768">
        <v>-0.26963648731497297</v>
      </c>
      <c r="Q1768">
        <v>0.68149580754147399</v>
      </c>
      <c r="R1768">
        <v>9.3570712093560701E-2</v>
      </c>
      <c r="S1768" t="s">
        <v>7594</v>
      </c>
      <c r="T1768" t="s">
        <v>11650</v>
      </c>
      <c r="U1768" t="s">
        <v>11650</v>
      </c>
      <c r="V1768" t="s">
        <v>11650</v>
      </c>
      <c r="W1768" t="s">
        <v>13387</v>
      </c>
      <c r="X1768">
        <v>17</v>
      </c>
      <c r="Y1768" t="s">
        <v>19126</v>
      </c>
      <c r="Z1768" t="s">
        <v>24830</v>
      </c>
      <c r="AA1768">
        <v>0.96350384896659957</v>
      </c>
      <c r="AB1768" t="str">
        <f>HYPERLINK("Melting_Curves/meltCurve_P06748_NPM1.pdf", "Melting_Curves/meltCurve_P06748_NPM1.pdf")</f>
        <v>Melting_Curves/meltCurve_P06748_NPM1.pdf</v>
      </c>
    </row>
    <row r="1769" spans="1:28" x14ac:dyDescent="0.25">
      <c r="A1769" t="s">
        <v>1773</v>
      </c>
      <c r="B1769">
        <v>0.99996721820229495</v>
      </c>
      <c r="C1769">
        <v>1.2341723413435799</v>
      </c>
      <c r="D1769">
        <v>1.19712270497961</v>
      </c>
      <c r="E1769">
        <v>1.7304216779016499</v>
      </c>
      <c r="F1769">
        <v>2.5548748145140201</v>
      </c>
      <c r="G1769">
        <v>3.9393321833721</v>
      </c>
      <c r="H1769">
        <v>3.4938032586663201</v>
      </c>
      <c r="I1769">
        <v>1.0059120127187899</v>
      </c>
      <c r="J1769">
        <v>0.31958590306697898</v>
      </c>
      <c r="K1769">
        <v>1.9110081404835999</v>
      </c>
      <c r="L1769">
        <v>1476.3363027151299</v>
      </c>
      <c r="M1769">
        <v>33.211992266140399</v>
      </c>
      <c r="O1769">
        <v>44.291674682361702</v>
      </c>
      <c r="P1769">
        <v>9.3731321078266205E-2</v>
      </c>
      <c r="Q1769">
        <v>1.5</v>
      </c>
      <c r="R1769">
        <v>-6.5216460933719994E-2</v>
      </c>
      <c r="S1769" t="s">
        <v>7595</v>
      </c>
      <c r="T1769" t="s">
        <v>11650</v>
      </c>
      <c r="U1769" t="s">
        <v>11650</v>
      </c>
      <c r="V1769" t="s">
        <v>11650</v>
      </c>
      <c r="W1769" t="s">
        <v>13388</v>
      </c>
      <c r="X1769">
        <v>46</v>
      </c>
      <c r="Y1769" t="s">
        <v>19127</v>
      </c>
      <c r="Z1769" t="s">
        <v>24831</v>
      </c>
      <c r="AA1769">
        <v>1.423143399459238</v>
      </c>
      <c r="AB1769" t="str">
        <f>HYPERLINK("Melting_Curves/meltCurve_P06756_2_ITGAV.pdf", "Melting_Curves/meltCurve_P06756_2_ITGAV.pdf")</f>
        <v>Melting_Curves/meltCurve_P06756_2_ITGAV.pdf</v>
      </c>
    </row>
    <row r="1770" spans="1:28" x14ac:dyDescent="0.25">
      <c r="A1770" t="s">
        <v>1774</v>
      </c>
      <c r="B1770">
        <v>0.99996721820229495</v>
      </c>
      <c r="C1770">
        <v>1.0016740565439799</v>
      </c>
      <c r="D1770">
        <v>1.1115512669235199</v>
      </c>
      <c r="E1770">
        <v>1.1568440013159</v>
      </c>
      <c r="F1770">
        <v>1.5055087070777899</v>
      </c>
      <c r="G1770">
        <v>1.7927293809993801</v>
      </c>
      <c r="H1770">
        <v>1.1769166219448399</v>
      </c>
      <c r="I1770">
        <v>0.54107193006149501</v>
      </c>
      <c r="J1770">
        <v>0.21148445068633601</v>
      </c>
      <c r="K1770">
        <v>0.411922479453876</v>
      </c>
      <c r="L1770">
        <v>15000</v>
      </c>
      <c r="M1770">
        <v>235.068477840003</v>
      </c>
      <c r="N1770">
        <v>64.077396162523598</v>
      </c>
      <c r="O1770">
        <v>63.8065755264007</v>
      </c>
      <c r="P1770">
        <v>-0.63393981954982304</v>
      </c>
      <c r="Q1770">
        <v>0.31169796127618099</v>
      </c>
      <c r="R1770">
        <v>0.54340929271485705</v>
      </c>
      <c r="S1770" t="s">
        <v>7596</v>
      </c>
      <c r="T1770" t="s">
        <v>11650</v>
      </c>
      <c r="U1770" t="s">
        <v>11650</v>
      </c>
      <c r="V1770" t="s">
        <v>11650</v>
      </c>
      <c r="W1770" t="s">
        <v>13389</v>
      </c>
      <c r="X1770">
        <v>46</v>
      </c>
      <c r="Y1770" t="s">
        <v>19127</v>
      </c>
      <c r="Z1770" t="s">
        <v>24832</v>
      </c>
      <c r="AA1770">
        <v>0.8580949039889556</v>
      </c>
      <c r="AB1770" t="str">
        <f>HYPERLINK("Melting_Curves/meltCurve_P06756_3_ITGAV.pdf", "Melting_Curves/meltCurve_P06756_3_ITGAV.pdf")</f>
        <v>Melting_Curves/meltCurve_P06756_3_ITGAV.pdf</v>
      </c>
    </row>
    <row r="1771" spans="1:28" x14ac:dyDescent="0.25">
      <c r="A1771" t="s">
        <v>1775</v>
      </c>
      <c r="B1771">
        <v>0.99996721820229495</v>
      </c>
      <c r="C1771">
        <v>0.92033553844204297</v>
      </c>
      <c r="D1771">
        <v>0.90622814486263703</v>
      </c>
      <c r="E1771">
        <v>1.0957021338886399</v>
      </c>
      <c r="F1771">
        <v>1.4228669929926501</v>
      </c>
      <c r="G1771">
        <v>1.2400444661080201</v>
      </c>
      <c r="H1771">
        <v>0.76179584593803296</v>
      </c>
      <c r="I1771">
        <v>0.56767307398322497</v>
      </c>
      <c r="J1771">
        <v>0.45002904512814401</v>
      </c>
      <c r="K1771">
        <v>0.43992519533445401</v>
      </c>
      <c r="L1771">
        <v>3454.9742451311399</v>
      </c>
      <c r="M1771">
        <v>56.164547024775501</v>
      </c>
      <c r="N1771">
        <v>64.438980235043701</v>
      </c>
      <c r="O1771">
        <v>61.437372543778103</v>
      </c>
      <c r="P1771">
        <v>-0.123209428536004</v>
      </c>
      <c r="Q1771">
        <v>0.460894077721128</v>
      </c>
      <c r="R1771">
        <v>0.72561580027561801</v>
      </c>
      <c r="S1771" t="s">
        <v>7597</v>
      </c>
      <c r="T1771" t="s">
        <v>11650</v>
      </c>
      <c r="U1771" t="s">
        <v>11650</v>
      </c>
      <c r="V1771" t="s">
        <v>11650</v>
      </c>
      <c r="W1771" t="s">
        <v>13390</v>
      </c>
      <c r="X1771">
        <v>15</v>
      </c>
      <c r="Y1771" t="s">
        <v>19128</v>
      </c>
      <c r="Z1771" t="s">
        <v>24833</v>
      </c>
      <c r="AA1771">
        <v>0.84865538535562868</v>
      </c>
      <c r="AB1771" t="str">
        <f>HYPERLINK("Melting_Curves/meltCurve_P07093_2_SERPINE2.pdf", "Melting_Curves/meltCurve_P07093_2_SERPINE2.pdf")</f>
        <v>Melting_Curves/meltCurve_P07093_2_SERPINE2.pdf</v>
      </c>
    </row>
    <row r="1772" spans="1:28" x14ac:dyDescent="0.25">
      <c r="A1772" t="s">
        <v>1776</v>
      </c>
      <c r="B1772">
        <v>0.99996721820229495</v>
      </c>
      <c r="C1772">
        <v>1.0365147862124999</v>
      </c>
      <c r="D1772">
        <v>1.1629305657586499</v>
      </c>
      <c r="E1772">
        <v>1.3848629874898499</v>
      </c>
      <c r="F1772">
        <v>1.5473458060932399</v>
      </c>
      <c r="G1772">
        <v>1.45405237351276</v>
      </c>
      <c r="H1772">
        <v>1.02078942216832</v>
      </c>
      <c r="I1772">
        <v>0.48083291593331101</v>
      </c>
      <c r="J1772">
        <v>0.22693895323065499</v>
      </c>
      <c r="K1772">
        <v>0.11011571760767799</v>
      </c>
      <c r="L1772">
        <v>6539.6999449344703</v>
      </c>
      <c r="M1772">
        <v>102.665455966548</v>
      </c>
      <c r="N1772">
        <v>63.948508459824602</v>
      </c>
      <c r="O1772">
        <v>63.674968750805199</v>
      </c>
      <c r="P1772">
        <v>-0.33659019281330899</v>
      </c>
      <c r="Q1772">
        <v>0.164962789936342</v>
      </c>
      <c r="R1772">
        <v>0.70154216366226796</v>
      </c>
      <c r="S1772" t="s">
        <v>7598</v>
      </c>
      <c r="T1772" t="s">
        <v>11650</v>
      </c>
      <c r="U1772" t="s">
        <v>11650</v>
      </c>
      <c r="V1772" t="s">
        <v>11650</v>
      </c>
      <c r="W1772" t="s">
        <v>13391</v>
      </c>
      <c r="X1772">
        <v>13</v>
      </c>
      <c r="Y1772" t="s">
        <v>19129</v>
      </c>
      <c r="Z1772" t="s">
        <v>24834</v>
      </c>
      <c r="AA1772">
        <v>0.82516996542733001</v>
      </c>
      <c r="AB1772" t="str">
        <f>HYPERLINK("Melting_Curves/meltCurve_P07099_EPHX1.pdf", "Melting_Curves/meltCurve_P07099_EPHX1.pdf")</f>
        <v>Melting_Curves/meltCurve_P07099_EPHX1.pdf</v>
      </c>
    </row>
    <row r="1773" spans="1:28" x14ac:dyDescent="0.25">
      <c r="A1773" t="s">
        <v>1777</v>
      </c>
      <c r="B1773">
        <v>0.99996721820229495</v>
      </c>
      <c r="C1773">
        <v>1.14302832748634</v>
      </c>
      <c r="D1773">
        <v>1.0562674502546501</v>
      </c>
      <c r="E1773">
        <v>1.0240292702662599</v>
      </c>
      <c r="F1773">
        <v>1.22366794808903</v>
      </c>
      <c r="G1773">
        <v>1.4731943202961999</v>
      </c>
      <c r="H1773">
        <v>1.0956509808097199</v>
      </c>
      <c r="I1773">
        <v>1.16238197981513</v>
      </c>
      <c r="J1773">
        <v>1.2575207774494801</v>
      </c>
      <c r="K1773">
        <v>0.98555305238301205</v>
      </c>
      <c r="L1773">
        <v>664.20132110582301</v>
      </c>
      <c r="M1773">
        <v>14.668113669759</v>
      </c>
      <c r="O1773">
        <v>44.465320379911297</v>
      </c>
      <c r="P1773">
        <v>1.53380841726432E-2</v>
      </c>
      <c r="Q1773">
        <v>1.18596464084057</v>
      </c>
      <c r="R1773">
        <v>0.14451498309065899</v>
      </c>
      <c r="S1773" t="s">
        <v>7599</v>
      </c>
      <c r="T1773" t="s">
        <v>11650</v>
      </c>
      <c r="U1773" t="s">
        <v>11650</v>
      </c>
      <c r="V1773" t="s">
        <v>11650</v>
      </c>
      <c r="W1773" t="s">
        <v>13392</v>
      </c>
      <c r="X1773">
        <v>9</v>
      </c>
      <c r="Y1773" t="s">
        <v>19130</v>
      </c>
      <c r="Z1773" t="s">
        <v>24835</v>
      </c>
      <c r="AA1773">
        <v>1.1471436434870059</v>
      </c>
      <c r="AB1773" t="str">
        <f>HYPERLINK("Melting_Curves/meltCurve_P07108_DBI.pdf", "Melting_Curves/meltCurve_P07108_DBI.pdf")</f>
        <v>Melting_Curves/meltCurve_P07108_DBI.pdf</v>
      </c>
    </row>
    <row r="1774" spans="1:28" x14ac:dyDescent="0.25">
      <c r="A1774" t="s">
        <v>1778</v>
      </c>
      <c r="B1774">
        <v>0.99996721820229495</v>
      </c>
      <c r="C1774">
        <v>1.0461390441768801</v>
      </c>
      <c r="D1774">
        <v>1.21137027182403</v>
      </c>
      <c r="E1774">
        <v>1.40847388108747</v>
      </c>
      <c r="F1774">
        <v>1.9485767736472399</v>
      </c>
      <c r="G1774">
        <v>2.4922662091432199</v>
      </c>
      <c r="H1774">
        <v>1.63744664967274</v>
      </c>
      <c r="I1774">
        <v>0.78111040995841696</v>
      </c>
      <c r="J1774">
        <v>0.24530597491485101</v>
      </c>
      <c r="K1774">
        <v>0.15877890496408101</v>
      </c>
      <c r="L1774">
        <v>12223.098056803299</v>
      </c>
      <c r="M1774">
        <v>190.01131503043101</v>
      </c>
      <c r="N1774">
        <v>64.5037252889895</v>
      </c>
      <c r="O1774">
        <v>64.321145286760398</v>
      </c>
      <c r="P1774">
        <v>-0.58948688605561705</v>
      </c>
      <c r="Q1774">
        <v>0.20180611397748999</v>
      </c>
      <c r="R1774">
        <v>0.20196077359652601</v>
      </c>
      <c r="S1774" t="s">
        <v>7600</v>
      </c>
      <c r="T1774" t="s">
        <v>11650</v>
      </c>
      <c r="U1774" t="s">
        <v>11650</v>
      </c>
      <c r="V1774" t="s">
        <v>11650</v>
      </c>
      <c r="W1774" t="s">
        <v>13393</v>
      </c>
      <c r="X1774">
        <v>20</v>
      </c>
      <c r="Y1774" t="s">
        <v>19131</v>
      </c>
      <c r="Z1774" t="s">
        <v>24836</v>
      </c>
      <c r="AA1774">
        <v>0.84925118543043732</v>
      </c>
      <c r="AB1774" t="str">
        <f>HYPERLINK("Melting_Curves/meltCurve_P07195_LDHB.pdf", "Melting_Curves/meltCurve_P07195_LDHB.pdf")</f>
        <v>Melting_Curves/meltCurve_P07195_LDHB.pdf</v>
      </c>
    </row>
    <row r="1775" spans="1:28" x14ac:dyDescent="0.25">
      <c r="A1775" t="s">
        <v>1779</v>
      </c>
      <c r="B1775">
        <v>0.99996721820229495</v>
      </c>
      <c r="C1775">
        <v>1.04532095677846</v>
      </c>
      <c r="D1775">
        <v>1.0404437122038399</v>
      </c>
      <c r="E1775">
        <v>1.04474340709349</v>
      </c>
      <c r="F1775">
        <v>1.2664171810989999</v>
      </c>
      <c r="G1775">
        <v>1.15104758757263</v>
      </c>
      <c r="H1775">
        <v>0.70168167348728705</v>
      </c>
      <c r="I1775">
        <v>0.50211662565900705</v>
      </c>
      <c r="J1775">
        <v>0.34042825596231202</v>
      </c>
      <c r="K1775">
        <v>0.19393069688758</v>
      </c>
      <c r="L1775">
        <v>2124.9112476117102</v>
      </c>
      <c r="M1775">
        <v>33.919684782275702</v>
      </c>
      <c r="N1775">
        <v>63.7205219155625</v>
      </c>
      <c r="O1775">
        <v>62.428831225758699</v>
      </c>
      <c r="P1775">
        <v>-0.106236608721914</v>
      </c>
      <c r="Q1775">
        <v>0.217893579531931</v>
      </c>
      <c r="R1775">
        <v>0.90270454008774204</v>
      </c>
      <c r="S1775" t="s">
        <v>7601</v>
      </c>
      <c r="T1775" t="s">
        <v>11650</v>
      </c>
      <c r="U1775" t="s">
        <v>11650</v>
      </c>
      <c r="V1775" t="s">
        <v>11650</v>
      </c>
      <c r="W1775" t="s">
        <v>13394</v>
      </c>
      <c r="X1775">
        <v>14</v>
      </c>
      <c r="Y1775" t="s">
        <v>19132</v>
      </c>
      <c r="Z1775" t="s">
        <v>24837</v>
      </c>
      <c r="AA1775">
        <v>0.81118712467336773</v>
      </c>
      <c r="AB1775" t="str">
        <f>HYPERLINK("Melting_Curves/meltCurve_P07203_GPX1.pdf", "Melting_Curves/meltCurve_P07203_GPX1.pdf")</f>
        <v>Melting_Curves/meltCurve_P07203_GPX1.pdf</v>
      </c>
    </row>
    <row r="1776" spans="1:28" x14ac:dyDescent="0.25">
      <c r="A1776" t="s">
        <v>1780</v>
      </c>
      <c r="B1776">
        <v>0.99996721820229495</v>
      </c>
      <c r="C1776">
        <v>1.0136251552364901</v>
      </c>
      <c r="D1776">
        <v>1.0387442371128299</v>
      </c>
      <c r="E1776">
        <v>0.96173433944804598</v>
      </c>
      <c r="F1776">
        <v>0.55332924109457904</v>
      </c>
      <c r="G1776">
        <v>0.244420890453067</v>
      </c>
      <c r="H1776">
        <v>0.13169446887928801</v>
      </c>
      <c r="I1776">
        <v>6.4013605963876896E-2</v>
      </c>
      <c r="J1776">
        <v>4.5634607066584898E-2</v>
      </c>
      <c r="K1776">
        <v>3.49133017002465E-2</v>
      </c>
      <c r="L1776">
        <v>1537.56837392229</v>
      </c>
      <c r="M1776">
        <v>28.685858879038701</v>
      </c>
      <c r="N1776">
        <v>53.853030526584803</v>
      </c>
      <c r="O1776">
        <v>53.341779551661098</v>
      </c>
      <c r="P1776">
        <v>-0.12597536696282399</v>
      </c>
      <c r="Q1776">
        <v>6.2995350877633596E-2</v>
      </c>
      <c r="R1776">
        <v>0.99224563129861698</v>
      </c>
      <c r="S1776" t="s">
        <v>7602</v>
      </c>
      <c r="T1776" t="s">
        <v>11650</v>
      </c>
      <c r="U1776" t="s">
        <v>11650</v>
      </c>
      <c r="V1776" t="s">
        <v>11650</v>
      </c>
      <c r="W1776" t="s">
        <v>13395</v>
      </c>
      <c r="X1776">
        <v>8</v>
      </c>
      <c r="Y1776" t="s">
        <v>19133</v>
      </c>
      <c r="Z1776" t="s">
        <v>24838</v>
      </c>
      <c r="AA1776">
        <v>0.49445688600028648</v>
      </c>
      <c r="AB1776" t="str">
        <f>HYPERLINK("Melting_Curves/meltCurve_P07205_PGK2.pdf", "Melting_Curves/meltCurve_P07205_PGK2.pdf")</f>
        <v>Melting_Curves/meltCurve_P07205_PGK2.pdf</v>
      </c>
    </row>
    <row r="1777" spans="1:28" x14ac:dyDescent="0.25">
      <c r="A1777" t="s">
        <v>1781</v>
      </c>
      <c r="B1777">
        <v>0.99996721820229495</v>
      </c>
      <c r="C1777">
        <v>1.07209222879286</v>
      </c>
      <c r="D1777">
        <v>0.75706163952240502</v>
      </c>
      <c r="E1777">
        <v>1.02441125911338</v>
      </c>
      <c r="F1777">
        <v>2.7345374158405802</v>
      </c>
      <c r="G1777">
        <v>4.0746362576414397</v>
      </c>
      <c r="H1777">
        <v>4.5889854707962501</v>
      </c>
      <c r="I1777">
        <v>5.0120786308976903</v>
      </c>
      <c r="J1777">
        <v>5.0213764873089604</v>
      </c>
      <c r="K1777">
        <v>12.0264777604377</v>
      </c>
      <c r="S1777" t="s">
        <v>7603</v>
      </c>
      <c r="T1777" t="s">
        <v>11650</v>
      </c>
      <c r="U1777" t="s">
        <v>11651</v>
      </c>
      <c r="V1777" t="s">
        <v>11650</v>
      </c>
      <c r="W1777" t="s">
        <v>13396</v>
      </c>
      <c r="X1777">
        <v>3</v>
      </c>
      <c r="Y1777" t="s">
        <v>19134</v>
      </c>
      <c r="Z1777" t="s">
        <v>24839</v>
      </c>
      <c r="AB1777" t="str">
        <f>HYPERLINK("Melting_Curves/meltCurve_P07225_PROS1.pdf", "Melting_Curves/meltCurve_P07225_PROS1.pdf")</f>
        <v>Melting_Curves/meltCurve_P07225_PROS1.pdf</v>
      </c>
    </row>
    <row r="1778" spans="1:28" x14ac:dyDescent="0.25">
      <c r="A1778" t="s">
        <v>1782</v>
      </c>
      <c r="B1778">
        <v>0.99996721820229495</v>
      </c>
      <c r="C1778">
        <v>1.0521219739327301</v>
      </c>
      <c r="D1778">
        <v>1.03229933911737</v>
      </c>
      <c r="E1778">
        <v>1.04778149161909</v>
      </c>
      <c r="F1778">
        <v>1.22859924398358</v>
      </c>
      <c r="G1778">
        <v>1.1061998027389</v>
      </c>
      <c r="H1778">
        <v>0.60460910329064199</v>
      </c>
      <c r="I1778">
        <v>0.404333378421662</v>
      </c>
      <c r="J1778">
        <v>0.29509674023926202</v>
      </c>
      <c r="K1778">
        <v>0.23881630116850799</v>
      </c>
      <c r="L1778">
        <v>3401.3420902466901</v>
      </c>
      <c r="M1778">
        <v>55.8415701747629</v>
      </c>
      <c r="N1778">
        <v>61.877329829825797</v>
      </c>
      <c r="O1778">
        <v>60.832587111837498</v>
      </c>
      <c r="P1778">
        <v>-0.162699502112676</v>
      </c>
      <c r="Q1778">
        <v>0.29103501640510898</v>
      </c>
      <c r="R1778">
        <v>0.93556819577716199</v>
      </c>
      <c r="S1778" t="s">
        <v>7604</v>
      </c>
      <c r="T1778" t="s">
        <v>11650</v>
      </c>
      <c r="U1778" t="s">
        <v>11650</v>
      </c>
      <c r="V1778" t="s">
        <v>11650</v>
      </c>
      <c r="W1778" t="s">
        <v>12551</v>
      </c>
      <c r="X1778">
        <v>61</v>
      </c>
      <c r="Y1778" t="s">
        <v>18310</v>
      </c>
      <c r="Z1778" t="s">
        <v>24840</v>
      </c>
      <c r="AA1778">
        <v>0.78669742137142618</v>
      </c>
      <c r="AB1778" t="str">
        <f>HYPERLINK("Melting_Curves/meltCurve_P07237_P4HB.pdf", "Melting_Curves/meltCurve_P07237_P4HB.pdf")</f>
        <v>Melting_Curves/meltCurve_P07237_P4HB.pdf</v>
      </c>
    </row>
    <row r="1779" spans="1:28" x14ac:dyDescent="0.25">
      <c r="A1779" t="s">
        <v>1783</v>
      </c>
      <c r="B1779">
        <v>0.99996721820229495</v>
      </c>
      <c r="C1779">
        <v>0.85473082365142505</v>
      </c>
      <c r="D1779">
        <v>1.0231745289766101</v>
      </c>
      <c r="E1779">
        <v>1.4598278929708399</v>
      </c>
      <c r="F1779">
        <v>2.2579141757497299</v>
      </c>
      <c r="G1779">
        <v>2.1924626220500198</v>
      </c>
      <c r="H1779">
        <v>1.51158046660483</v>
      </c>
      <c r="I1779">
        <v>0.94411781729799304</v>
      </c>
      <c r="J1779">
        <v>0.476181077675219</v>
      </c>
      <c r="K1779">
        <v>0.81729966987495795</v>
      </c>
      <c r="L1779">
        <v>15000</v>
      </c>
      <c r="M1779">
        <v>232.707077771831</v>
      </c>
      <c r="O1779">
        <v>64.453959189721502</v>
      </c>
      <c r="P1779">
        <v>-0.31885432620238702</v>
      </c>
      <c r="Q1779">
        <v>0.64674175920827404</v>
      </c>
      <c r="R1779">
        <v>-0.123515159906607</v>
      </c>
      <c r="S1779" t="s">
        <v>7605</v>
      </c>
      <c r="T1779" t="s">
        <v>11650</v>
      </c>
      <c r="U1779" t="s">
        <v>11650</v>
      </c>
      <c r="V1779" t="s">
        <v>11650</v>
      </c>
      <c r="W1779" t="s">
        <v>13397</v>
      </c>
      <c r="X1779">
        <v>4</v>
      </c>
      <c r="Y1779" t="s">
        <v>19135</v>
      </c>
      <c r="Z1779" t="s">
        <v>24841</v>
      </c>
      <c r="AA1779">
        <v>0.93479601074967822</v>
      </c>
      <c r="AB1779" t="str">
        <f>HYPERLINK("Melting_Curves/meltCurve_P07305_2_H1F0.pdf", "Melting_Curves/meltCurve_P07305_2_H1F0.pdf")</f>
        <v>Melting_Curves/meltCurve_P07305_2_H1F0.pdf</v>
      </c>
    </row>
    <row r="1780" spans="1:28" x14ac:dyDescent="0.25">
      <c r="A1780" t="s">
        <v>1784</v>
      </c>
      <c r="B1780">
        <v>0.99996721820229495</v>
      </c>
      <c r="C1780">
        <v>1.01750088982805</v>
      </c>
      <c r="D1780">
        <v>0.97843918820947995</v>
      </c>
      <c r="E1780">
        <v>0.96062460034720498</v>
      </c>
      <c r="F1780">
        <v>1.11822230612475</v>
      </c>
      <c r="G1780">
        <v>1.13574901278012</v>
      </c>
      <c r="H1780">
        <v>0.61866130750964399</v>
      </c>
      <c r="I1780">
        <v>0.241897378027918</v>
      </c>
      <c r="J1780">
        <v>0.15629193370946001</v>
      </c>
      <c r="K1780">
        <v>0.111464986848185</v>
      </c>
      <c r="L1780">
        <v>3661.8371890963699</v>
      </c>
      <c r="M1780">
        <v>59.734721501864101</v>
      </c>
      <c r="N1780">
        <v>61.652409429428097</v>
      </c>
      <c r="O1780">
        <v>61.233057504645899</v>
      </c>
      <c r="P1780">
        <v>-0.208749030527353</v>
      </c>
      <c r="Q1780">
        <v>0.14405982283736499</v>
      </c>
      <c r="R1780">
        <v>0.97420942689673196</v>
      </c>
      <c r="S1780" t="s">
        <v>7606</v>
      </c>
      <c r="T1780" t="s">
        <v>11650</v>
      </c>
      <c r="U1780" t="s">
        <v>11650</v>
      </c>
      <c r="V1780" t="s">
        <v>11650</v>
      </c>
      <c r="W1780" t="s">
        <v>13398</v>
      </c>
      <c r="X1780">
        <v>28</v>
      </c>
      <c r="Y1780" t="s">
        <v>19136</v>
      </c>
      <c r="Z1780" t="s">
        <v>24842</v>
      </c>
      <c r="AA1780">
        <v>0.75341966135741845</v>
      </c>
      <c r="AB1780" t="str">
        <f>HYPERLINK("Melting_Curves/meltCurve_P07339_CTSD.pdf", "Melting_Curves/meltCurve_P07339_CTSD.pdf")</f>
        <v>Melting_Curves/meltCurve_P07339_CTSD.pdf</v>
      </c>
    </row>
    <row r="1781" spans="1:28" x14ac:dyDescent="0.25">
      <c r="A1781" t="s">
        <v>1785</v>
      </c>
      <c r="B1781">
        <v>0.99996721820229495</v>
      </c>
      <c r="C1781">
        <v>0.72946280612278203</v>
      </c>
      <c r="D1781">
        <v>0.58726790062800704</v>
      </c>
      <c r="E1781">
        <v>1.10207995109457</v>
      </c>
      <c r="F1781">
        <v>0.70381508251508096</v>
      </c>
      <c r="G1781">
        <v>0.175554312761038</v>
      </c>
      <c r="H1781">
        <v>9.8054658207064799E-2</v>
      </c>
      <c r="I1781">
        <v>6.6545066456929702E-2</v>
      </c>
      <c r="J1781">
        <v>5.1836512675443203E-2</v>
      </c>
      <c r="K1781">
        <v>3.73037730341629E-2</v>
      </c>
      <c r="L1781">
        <v>2422.39611930704</v>
      </c>
      <c r="M1781">
        <v>44.811191768344898</v>
      </c>
      <c r="N1781">
        <v>54.2301709094153</v>
      </c>
      <c r="O1781">
        <v>53.950507669917599</v>
      </c>
      <c r="P1781">
        <v>-0.19386971072445999</v>
      </c>
      <c r="Q1781">
        <v>6.6362150491663593E-2</v>
      </c>
      <c r="R1781">
        <v>0.83238230872209196</v>
      </c>
      <c r="S1781" t="s">
        <v>7607</v>
      </c>
      <c r="T1781" t="s">
        <v>11650</v>
      </c>
      <c r="U1781" t="s">
        <v>11650</v>
      </c>
      <c r="V1781" t="s">
        <v>11650</v>
      </c>
      <c r="W1781" t="s">
        <v>13399</v>
      </c>
      <c r="X1781">
        <v>64</v>
      </c>
      <c r="Y1781" t="s">
        <v>18246</v>
      </c>
      <c r="Z1781" t="s">
        <v>24843</v>
      </c>
      <c r="AA1781">
        <v>0.50663285241981837</v>
      </c>
      <c r="AB1781" t="str">
        <f>HYPERLINK("Melting_Curves/meltCurve_P07355_ANXA2.pdf", "Melting_Curves/meltCurve_P07355_ANXA2.pdf")</f>
        <v>Melting_Curves/meltCurve_P07355_ANXA2.pdf</v>
      </c>
    </row>
    <row r="1782" spans="1:28" x14ac:dyDescent="0.25">
      <c r="A1782" t="s">
        <v>1786</v>
      </c>
      <c r="B1782">
        <v>0.99996721820229495</v>
      </c>
      <c r="C1782">
        <v>1.0543188464823701</v>
      </c>
      <c r="D1782">
        <v>1.0909020437459001</v>
      </c>
      <c r="E1782">
        <v>1.216265136139</v>
      </c>
      <c r="F1782">
        <v>1.6736562537925099</v>
      </c>
      <c r="G1782">
        <v>2.00343572432925</v>
      </c>
      <c r="H1782">
        <v>1.33420867383676</v>
      </c>
      <c r="I1782">
        <v>0.45622812203789498</v>
      </c>
      <c r="J1782">
        <v>0.17308849064922999</v>
      </c>
      <c r="K1782">
        <v>0.120368484460656</v>
      </c>
      <c r="L1782">
        <v>15000</v>
      </c>
      <c r="M1782">
        <v>234.93839612961699</v>
      </c>
      <c r="N1782">
        <v>63.941054534006803</v>
      </c>
      <c r="O1782">
        <v>63.841897907401098</v>
      </c>
      <c r="P1782">
        <v>-0.78502207920550104</v>
      </c>
      <c r="Q1782">
        <v>0.146715902335461</v>
      </c>
      <c r="R1782">
        <v>0.51752601946019094</v>
      </c>
      <c r="S1782" t="s">
        <v>7608</v>
      </c>
      <c r="T1782" t="s">
        <v>11650</v>
      </c>
      <c r="U1782" t="s">
        <v>11650</v>
      </c>
      <c r="V1782" t="s">
        <v>11650</v>
      </c>
      <c r="W1782" t="s">
        <v>13400</v>
      </c>
      <c r="X1782">
        <v>47</v>
      </c>
      <c r="Y1782" t="s">
        <v>19137</v>
      </c>
      <c r="Z1782" t="s">
        <v>24844</v>
      </c>
      <c r="AA1782">
        <v>0.82508616440771887</v>
      </c>
      <c r="AB1782" t="str">
        <f>HYPERLINK("Melting_Curves/meltCurve_P07384_CAPN1.pdf", "Melting_Curves/meltCurve_P07384_CAPN1.pdf")</f>
        <v>Melting_Curves/meltCurve_P07384_CAPN1.pdf</v>
      </c>
    </row>
    <row r="1783" spans="1:28" x14ac:dyDescent="0.25">
      <c r="A1783" t="s">
        <v>1787</v>
      </c>
      <c r="B1783">
        <v>0.99996721820229495</v>
      </c>
      <c r="C1783">
        <v>0.998646002777418</v>
      </c>
      <c r="D1783">
        <v>0.94828761505951698</v>
      </c>
      <c r="E1783">
        <v>1.0366344865801</v>
      </c>
      <c r="F1783">
        <v>1.3246770696107699</v>
      </c>
      <c r="G1783">
        <v>1.49714110620269</v>
      </c>
      <c r="H1783">
        <v>1.17141988777237</v>
      </c>
      <c r="I1783">
        <v>1.0848010617474499</v>
      </c>
      <c r="J1783">
        <v>0.93682213826795602</v>
      </c>
      <c r="K1783">
        <v>0.74108230832214905</v>
      </c>
      <c r="L1783">
        <v>15000</v>
      </c>
      <c r="M1783">
        <v>222.74939826334</v>
      </c>
      <c r="O1783">
        <v>67.334821229876297</v>
      </c>
      <c r="P1783">
        <v>-0.21417589926064001</v>
      </c>
      <c r="Q1783">
        <v>0.74102743324319498</v>
      </c>
      <c r="R1783">
        <v>3.9917701184515299E-2</v>
      </c>
      <c r="S1783" t="s">
        <v>7609</v>
      </c>
      <c r="T1783" t="s">
        <v>11650</v>
      </c>
      <c r="U1783" t="s">
        <v>11650</v>
      </c>
      <c r="V1783" t="s">
        <v>11650</v>
      </c>
      <c r="W1783" t="s">
        <v>13401</v>
      </c>
      <c r="X1783">
        <v>23</v>
      </c>
      <c r="Y1783" t="s">
        <v>19138</v>
      </c>
      <c r="Z1783" t="s">
        <v>24845</v>
      </c>
      <c r="AA1783">
        <v>0.97707787122160739</v>
      </c>
      <c r="AB1783" t="str">
        <f>HYPERLINK("Melting_Curves/meltCurve_P07476_IVL.pdf", "Melting_Curves/meltCurve_P07476_IVL.pdf")</f>
        <v>Melting_Curves/meltCurve_P07476_IVL.pdf</v>
      </c>
    </row>
    <row r="1784" spans="1:28" x14ac:dyDescent="0.25">
      <c r="A1784" t="s">
        <v>1788</v>
      </c>
      <c r="B1784">
        <v>0.99996721820229495</v>
      </c>
      <c r="C1784">
        <v>0.77058936209224604</v>
      </c>
      <c r="D1784">
        <v>0.73408537920098105</v>
      </c>
      <c r="E1784">
        <v>0.76876978261647999</v>
      </c>
      <c r="F1784">
        <v>0.546321103128517</v>
      </c>
      <c r="G1784">
        <v>0.39223050465438802</v>
      </c>
      <c r="H1784">
        <v>0.27920872194351298</v>
      </c>
      <c r="I1784">
        <v>0.20533841523996599</v>
      </c>
      <c r="J1784">
        <v>0.13685174930282101</v>
      </c>
      <c r="K1784">
        <v>0.16050501579548801</v>
      </c>
      <c r="L1784">
        <v>425.64964859765399</v>
      </c>
      <c r="M1784">
        <v>7.8836903183985303</v>
      </c>
      <c r="N1784">
        <v>53.9911678789598</v>
      </c>
      <c r="O1784">
        <v>50.848417862904597</v>
      </c>
      <c r="P1784">
        <v>-3.8807038649042898E-2</v>
      </c>
      <c r="Q1784">
        <v>0</v>
      </c>
      <c r="R1784">
        <v>0.95654149026302204</v>
      </c>
      <c r="S1784" t="s">
        <v>7610</v>
      </c>
      <c r="T1784" t="s">
        <v>11650</v>
      </c>
      <c r="U1784" t="s">
        <v>11650</v>
      </c>
      <c r="V1784" t="s">
        <v>11650</v>
      </c>
      <c r="W1784" t="s">
        <v>12318</v>
      </c>
      <c r="X1784">
        <v>10</v>
      </c>
      <c r="Y1784" t="s">
        <v>18079</v>
      </c>
      <c r="Z1784" t="s">
        <v>24846</v>
      </c>
      <c r="AA1784">
        <v>0.50074134526689251</v>
      </c>
      <c r="AB1784" t="str">
        <f>HYPERLINK("Melting_Curves/meltCurve_P07585_DCN.pdf", "Melting_Curves/meltCurve_P07585_DCN.pdf")</f>
        <v>Melting_Curves/meltCurve_P07585_DCN.pdf</v>
      </c>
    </row>
    <row r="1785" spans="1:28" x14ac:dyDescent="0.25">
      <c r="A1785" t="s">
        <v>1789</v>
      </c>
      <c r="B1785">
        <v>0.99996721820229495</v>
      </c>
      <c r="C1785">
        <v>1.04121860125973</v>
      </c>
      <c r="D1785">
        <v>1.14622340040838</v>
      </c>
      <c r="E1785">
        <v>1.3392368052727699</v>
      </c>
      <c r="F1785">
        <v>1.63123181811364</v>
      </c>
      <c r="G1785">
        <v>1.7944082522643801</v>
      </c>
      <c r="H1785">
        <v>1.06905947864866</v>
      </c>
      <c r="I1785">
        <v>0.43670478156610298</v>
      </c>
      <c r="J1785">
        <v>0.29059160819075502</v>
      </c>
      <c r="K1785">
        <v>0.19706222430783699</v>
      </c>
      <c r="L1785">
        <v>15000</v>
      </c>
      <c r="M1785">
        <v>235.44661827570701</v>
      </c>
      <c r="N1785">
        <v>63.890185195467801</v>
      </c>
      <c r="O1785">
        <v>63.704116237757901</v>
      </c>
      <c r="P1785">
        <v>-0.69869971695845301</v>
      </c>
      <c r="Q1785">
        <v>0.24381933531848399</v>
      </c>
      <c r="R1785">
        <v>0.55379343194429098</v>
      </c>
      <c r="S1785" t="s">
        <v>7611</v>
      </c>
      <c r="T1785" t="s">
        <v>11650</v>
      </c>
      <c r="U1785" t="s">
        <v>11650</v>
      </c>
      <c r="V1785" t="s">
        <v>11650</v>
      </c>
      <c r="W1785" t="s">
        <v>13402</v>
      </c>
      <c r="X1785">
        <v>30</v>
      </c>
      <c r="Y1785" t="s">
        <v>19139</v>
      </c>
      <c r="Z1785" t="s">
        <v>24847</v>
      </c>
      <c r="AA1785">
        <v>0.84151689475561364</v>
      </c>
      <c r="AB1785" t="str">
        <f>HYPERLINK("Melting_Curves/meltCurve_P07686_HEXB.pdf", "Melting_Curves/meltCurve_P07686_HEXB.pdf")</f>
        <v>Melting_Curves/meltCurve_P07686_HEXB.pdf</v>
      </c>
    </row>
    <row r="1786" spans="1:28" x14ac:dyDescent="0.25">
      <c r="A1786" t="s">
        <v>1790</v>
      </c>
      <c r="B1786">
        <v>0.99996721820229495</v>
      </c>
      <c r="C1786">
        <v>0.99883541326234204</v>
      </c>
      <c r="D1786">
        <v>0.90870658888002998</v>
      </c>
      <c r="E1786">
        <v>0.92645637182665597</v>
      </c>
      <c r="F1786">
        <v>0.80990227781817403</v>
      </c>
      <c r="G1786">
        <v>0.59631925978701195</v>
      </c>
      <c r="H1786">
        <v>0.32530478902582699</v>
      </c>
      <c r="I1786">
        <v>0.31149919634225098</v>
      </c>
      <c r="J1786">
        <v>0.38985773936569701</v>
      </c>
      <c r="K1786">
        <v>0.36607616389710401</v>
      </c>
      <c r="L1786">
        <v>1267.9962965675099</v>
      </c>
      <c r="M1786">
        <v>22.9624038073161</v>
      </c>
      <c r="N1786">
        <v>57.927675914119597</v>
      </c>
      <c r="O1786">
        <v>54.806841209768997</v>
      </c>
      <c r="P1786">
        <v>-7.0280712563082395E-2</v>
      </c>
      <c r="Q1786">
        <v>0.32902643763431</v>
      </c>
      <c r="R1786">
        <v>0.97394398370087698</v>
      </c>
      <c r="S1786" t="s">
        <v>7612</v>
      </c>
      <c r="T1786" t="s">
        <v>11650</v>
      </c>
      <c r="U1786" t="s">
        <v>11650</v>
      </c>
      <c r="V1786" t="s">
        <v>11650</v>
      </c>
      <c r="W1786" t="s">
        <v>13403</v>
      </c>
      <c r="X1786">
        <v>12</v>
      </c>
      <c r="Y1786" t="s">
        <v>19140</v>
      </c>
      <c r="Z1786" t="s">
        <v>24848</v>
      </c>
      <c r="AA1786">
        <v>0.67660526923111031</v>
      </c>
      <c r="AB1786" t="str">
        <f>HYPERLINK("Melting_Curves/meltCurve_P07711_CTSL1.pdf", "Melting_Curves/meltCurve_P07711_CTSL1.pdf")</f>
        <v>Melting_Curves/meltCurve_P07711_CTSL1.pdf</v>
      </c>
    </row>
    <row r="1787" spans="1:28" x14ac:dyDescent="0.25">
      <c r="A1787" t="s">
        <v>1791</v>
      </c>
      <c r="B1787">
        <v>0.99996721820229495</v>
      </c>
      <c r="C1787">
        <v>1.1110862596403399</v>
      </c>
      <c r="D1787">
        <v>1.08978412617339</v>
      </c>
      <c r="E1787">
        <v>1.0718937110976601</v>
      </c>
      <c r="F1787">
        <v>0.88229901050774695</v>
      </c>
      <c r="G1787">
        <v>0.43615958411422801</v>
      </c>
      <c r="H1787">
        <v>0.20644713664876699</v>
      </c>
      <c r="I1787">
        <v>0.12755571368770399</v>
      </c>
      <c r="J1787">
        <v>9.5989128122456704E-2</v>
      </c>
      <c r="K1787">
        <v>7.1567914401652305E-2</v>
      </c>
      <c r="L1787">
        <v>1810.40250916389</v>
      </c>
      <c r="M1787">
        <v>32.2026479223371</v>
      </c>
      <c r="N1787">
        <v>56.609853974568303</v>
      </c>
      <c r="O1787">
        <v>56.003590709220397</v>
      </c>
      <c r="P1787">
        <v>-0.12942616569193</v>
      </c>
      <c r="Q1787">
        <v>9.9664797151258797E-2</v>
      </c>
      <c r="R1787">
        <v>0.98356755781028704</v>
      </c>
      <c r="S1787" t="s">
        <v>7613</v>
      </c>
      <c r="T1787" t="s">
        <v>11650</v>
      </c>
      <c r="U1787" t="s">
        <v>11650</v>
      </c>
      <c r="V1787" t="s">
        <v>11650</v>
      </c>
      <c r="W1787" t="s">
        <v>13404</v>
      </c>
      <c r="X1787">
        <v>17</v>
      </c>
      <c r="Y1787" t="s">
        <v>19141</v>
      </c>
      <c r="Z1787" t="s">
        <v>24849</v>
      </c>
      <c r="AA1787">
        <v>0.59168811807672816</v>
      </c>
      <c r="AB1787" t="str">
        <f>HYPERLINK("Melting_Curves/meltCurve_P07737_PFN1.pdf", "Melting_Curves/meltCurve_P07737_PFN1.pdf")</f>
        <v>Melting_Curves/meltCurve_P07737_PFN1.pdf</v>
      </c>
    </row>
    <row r="1788" spans="1:28" x14ac:dyDescent="0.25">
      <c r="A1788" t="s">
        <v>1792</v>
      </c>
      <c r="B1788">
        <v>0.99996721820229495</v>
      </c>
      <c r="C1788">
        <v>0.98322272721786697</v>
      </c>
      <c r="D1788">
        <v>0.93308925995761205</v>
      </c>
      <c r="E1788">
        <v>0.93855354988700002</v>
      </c>
      <c r="F1788">
        <v>1.1207154196950899</v>
      </c>
      <c r="G1788">
        <v>0.99883363051481699</v>
      </c>
      <c r="H1788">
        <v>0.51440661716088398</v>
      </c>
      <c r="I1788">
        <v>0.22292475911902199</v>
      </c>
      <c r="J1788">
        <v>0.126332023643285</v>
      </c>
      <c r="K1788">
        <v>9.22800700282536E-2</v>
      </c>
      <c r="L1788">
        <v>2854.88727988336</v>
      </c>
      <c r="M1788">
        <v>46.920114914180999</v>
      </c>
      <c r="N1788">
        <v>61.1791080961736</v>
      </c>
      <c r="O1788">
        <v>60.735482047675802</v>
      </c>
      <c r="P1788">
        <v>-0.17134533999743901</v>
      </c>
      <c r="Q1788">
        <v>0.112812890576295</v>
      </c>
      <c r="R1788">
        <v>0.98263529587778198</v>
      </c>
      <c r="S1788" t="s">
        <v>7614</v>
      </c>
      <c r="T1788" t="s">
        <v>11650</v>
      </c>
      <c r="U1788" t="s">
        <v>11650</v>
      </c>
      <c r="V1788" t="s">
        <v>11650</v>
      </c>
      <c r="W1788" t="s">
        <v>13405</v>
      </c>
      <c r="X1788">
        <v>15</v>
      </c>
      <c r="Y1788" t="s">
        <v>19142</v>
      </c>
      <c r="Z1788" t="s">
        <v>24850</v>
      </c>
      <c r="AA1788">
        <v>0.73187135762749422</v>
      </c>
      <c r="AB1788" t="str">
        <f>HYPERLINK("Melting_Curves/meltCurve_P07738_BPGM.pdf", "Melting_Curves/meltCurve_P07738_BPGM.pdf")</f>
        <v>Melting_Curves/meltCurve_P07738_BPGM.pdf</v>
      </c>
    </row>
    <row r="1789" spans="1:28" x14ac:dyDescent="0.25">
      <c r="A1789" t="s">
        <v>1793</v>
      </c>
      <c r="B1789">
        <v>0.99996721820229495</v>
      </c>
      <c r="C1789">
        <v>1.06156498421851</v>
      </c>
      <c r="D1789">
        <v>0.94934388184565199</v>
      </c>
      <c r="E1789">
        <v>0.81074831741193398</v>
      </c>
      <c r="F1789">
        <v>1.06368966567735</v>
      </c>
      <c r="G1789">
        <v>0.994954846342615</v>
      </c>
      <c r="H1789">
        <v>0.66479926623958396</v>
      </c>
      <c r="I1789">
        <v>0.66613368153873698</v>
      </c>
      <c r="J1789">
        <v>0.64978687061589802</v>
      </c>
      <c r="K1789">
        <v>0.31097150344157898</v>
      </c>
      <c r="L1789">
        <v>845.26366737335798</v>
      </c>
      <c r="M1789">
        <v>12.5233224188433</v>
      </c>
      <c r="N1789">
        <v>67.495164413770397</v>
      </c>
      <c r="O1789">
        <v>65.843484620429606</v>
      </c>
      <c r="P1789">
        <v>-4.75593021171258E-2</v>
      </c>
      <c r="Q1789">
        <v>0</v>
      </c>
      <c r="R1789">
        <v>0.82721838893556399</v>
      </c>
      <c r="S1789" t="s">
        <v>7615</v>
      </c>
      <c r="T1789" t="s">
        <v>11650</v>
      </c>
      <c r="U1789" t="s">
        <v>11650</v>
      </c>
      <c r="V1789" t="s">
        <v>11650</v>
      </c>
      <c r="W1789" t="s">
        <v>13406</v>
      </c>
      <c r="X1789">
        <v>9</v>
      </c>
      <c r="Y1789" t="s">
        <v>19143</v>
      </c>
      <c r="Z1789" t="s">
        <v>24851</v>
      </c>
      <c r="AA1789">
        <v>0.84794090094194285</v>
      </c>
      <c r="AB1789" t="str">
        <f>HYPERLINK("Melting_Curves/meltCurve_P07741_APRT.pdf", "Melting_Curves/meltCurve_P07741_APRT.pdf")</f>
        <v>Melting_Curves/meltCurve_P07741_APRT.pdf</v>
      </c>
    </row>
    <row r="1790" spans="1:28" x14ac:dyDescent="0.25">
      <c r="A1790" t="s">
        <v>1794</v>
      </c>
      <c r="B1790">
        <v>0.99996721820229495</v>
      </c>
      <c r="C1790">
        <v>0.98384800910333203</v>
      </c>
      <c r="D1790">
        <v>0.95835815124979595</v>
      </c>
      <c r="E1790">
        <v>1.17168442585953</v>
      </c>
      <c r="F1790">
        <v>1.4208409069522201</v>
      </c>
      <c r="G1790">
        <v>1.7594212687789501</v>
      </c>
      <c r="H1790">
        <v>1.02761281630916</v>
      </c>
      <c r="I1790">
        <v>0.42866644163480999</v>
      </c>
      <c r="J1790">
        <v>0.23947609817399801</v>
      </c>
      <c r="K1790">
        <v>0.16460630523588399</v>
      </c>
      <c r="L1790">
        <v>15000</v>
      </c>
      <c r="M1790">
        <v>235.29961493263801</v>
      </c>
      <c r="N1790">
        <v>63.889059165119697</v>
      </c>
      <c r="O1790">
        <v>63.743921222028199</v>
      </c>
      <c r="P1790">
        <v>-0.736387464307664</v>
      </c>
      <c r="Q1790">
        <v>0.202035023357472</v>
      </c>
      <c r="R1790">
        <v>0.65957215148046799</v>
      </c>
      <c r="S1790" t="s">
        <v>7616</v>
      </c>
      <c r="T1790" t="s">
        <v>11650</v>
      </c>
      <c r="U1790" t="s">
        <v>11650</v>
      </c>
      <c r="V1790" t="s">
        <v>11650</v>
      </c>
      <c r="W1790" t="s">
        <v>11828</v>
      </c>
      <c r="X1790">
        <v>33</v>
      </c>
      <c r="Y1790" t="s">
        <v>19144</v>
      </c>
      <c r="Z1790" t="s">
        <v>24852</v>
      </c>
      <c r="AA1790">
        <v>0.83381846123626047</v>
      </c>
      <c r="AB1790" t="str">
        <f>HYPERLINK("Melting_Curves/meltCurve_P07814_EPRS.pdf", "Melting_Curves/meltCurve_P07814_EPRS.pdf")</f>
        <v>Melting_Curves/meltCurve_P07814_EPRS.pdf</v>
      </c>
    </row>
    <row r="1791" spans="1:28" x14ac:dyDescent="0.25">
      <c r="A1791" t="s">
        <v>1795</v>
      </c>
      <c r="B1791">
        <v>0.99996721820229495</v>
      </c>
      <c r="C1791">
        <v>1.1561101104015601</v>
      </c>
      <c r="D1791">
        <v>1.08771537944925</v>
      </c>
      <c r="E1791">
        <v>1.06180584513959</v>
      </c>
      <c r="F1791">
        <v>1.1312733602475999</v>
      </c>
      <c r="G1791">
        <v>1.2514235596794601</v>
      </c>
      <c r="H1791">
        <v>0.74255672915396997</v>
      </c>
      <c r="I1791">
        <v>0.53666626891949998</v>
      </c>
      <c r="J1791">
        <v>0.484263244522534</v>
      </c>
      <c r="K1791">
        <v>0.35388284300281497</v>
      </c>
      <c r="L1791">
        <v>3410.4839050300402</v>
      </c>
      <c r="M1791">
        <v>55.4827022578067</v>
      </c>
      <c r="N1791">
        <v>63.764977058497202</v>
      </c>
      <c r="O1791">
        <v>61.389624107167499</v>
      </c>
      <c r="P1791">
        <v>-0.12830028612762401</v>
      </c>
      <c r="Q1791">
        <v>0.432161681643078</v>
      </c>
      <c r="R1791">
        <v>0.85951945590105105</v>
      </c>
      <c r="S1791" t="s">
        <v>7617</v>
      </c>
      <c r="T1791" t="s">
        <v>11650</v>
      </c>
      <c r="U1791" t="s">
        <v>11650</v>
      </c>
      <c r="V1791" t="s">
        <v>11650</v>
      </c>
      <c r="W1791" t="s">
        <v>13407</v>
      </c>
      <c r="X1791">
        <v>18</v>
      </c>
      <c r="Y1791" t="s">
        <v>17934</v>
      </c>
      <c r="Z1791" t="s">
        <v>24853</v>
      </c>
      <c r="AA1791">
        <v>0.83974798366291448</v>
      </c>
      <c r="AB1791" t="str">
        <f>HYPERLINK("Melting_Curves/meltCurve_P07858_CTSB.pdf", "Melting_Curves/meltCurve_P07858_CTSB.pdf")</f>
        <v>Melting_Curves/meltCurve_P07858_CTSB.pdf</v>
      </c>
    </row>
    <row r="1792" spans="1:28" x14ac:dyDescent="0.25">
      <c r="A1792" t="s">
        <v>1796</v>
      </c>
      <c r="B1792">
        <v>0.99996721820229495</v>
      </c>
      <c r="C1792">
        <v>1.0436255432316099</v>
      </c>
      <c r="D1792">
        <v>1.17022662111041</v>
      </c>
      <c r="E1792">
        <v>1.18583675308946</v>
      </c>
      <c r="F1792">
        <v>0.31157276466186001</v>
      </c>
      <c r="G1792">
        <v>0.27982181589654798</v>
      </c>
      <c r="H1792">
        <v>0.14634737216398</v>
      </c>
      <c r="I1792">
        <v>0.14479290188626001</v>
      </c>
      <c r="J1792">
        <v>6.4484476680570099E-2</v>
      </c>
      <c r="K1792">
        <v>5.5750574629111198E-2</v>
      </c>
      <c r="L1792">
        <v>13176.903966538999</v>
      </c>
      <c r="M1792">
        <v>250</v>
      </c>
      <c r="N1792">
        <v>52.775934208123097</v>
      </c>
      <c r="O1792">
        <v>52.704243058331201</v>
      </c>
      <c r="P1792">
        <v>-1.0219301494078299</v>
      </c>
      <c r="Q1792">
        <v>0.13823912340703501</v>
      </c>
      <c r="R1792">
        <v>0.95494774652908798</v>
      </c>
      <c r="S1792" t="s">
        <v>7618</v>
      </c>
      <c r="T1792" t="s">
        <v>11650</v>
      </c>
      <c r="U1792" t="s">
        <v>11650</v>
      </c>
      <c r="V1792" t="s">
        <v>11650</v>
      </c>
      <c r="W1792" t="s">
        <v>13408</v>
      </c>
      <c r="X1792">
        <v>62</v>
      </c>
      <c r="Y1792" t="s">
        <v>19145</v>
      </c>
      <c r="Z1792" t="s">
        <v>24854</v>
      </c>
      <c r="AA1792">
        <v>0.50334971012997387</v>
      </c>
      <c r="AB1792" t="str">
        <f>HYPERLINK("Melting_Curves/meltCurve_P07900_HSP90AA1.pdf", "Melting_Curves/meltCurve_P07900_HSP90AA1.pdf")</f>
        <v>Melting_Curves/meltCurve_P07900_HSP90AA1.pdf</v>
      </c>
    </row>
    <row r="1793" spans="1:28" x14ac:dyDescent="0.25">
      <c r="A1793" t="s">
        <v>1797</v>
      </c>
      <c r="B1793">
        <v>0.99996721820229495</v>
      </c>
      <c r="C1793">
        <v>1.0333688669463399</v>
      </c>
      <c r="D1793">
        <v>1.04062091497957</v>
      </c>
      <c r="E1793">
        <v>1.06055966551526</v>
      </c>
      <c r="F1793">
        <v>1.2731044269898799</v>
      </c>
      <c r="G1793">
        <v>0.96262315153182298</v>
      </c>
      <c r="H1793">
        <v>0.34384455322067098</v>
      </c>
      <c r="I1793">
        <v>0.31914022117881502</v>
      </c>
      <c r="J1793">
        <v>0.24087241953168401</v>
      </c>
      <c r="K1793">
        <v>0.168735730905332</v>
      </c>
      <c r="L1793">
        <v>4005.3757460996098</v>
      </c>
      <c r="M1793">
        <v>67.418119288429494</v>
      </c>
      <c r="N1793">
        <v>59.988431891970102</v>
      </c>
      <c r="O1793">
        <v>59.358783672701101</v>
      </c>
      <c r="P1793">
        <v>-0.216164223840457</v>
      </c>
      <c r="Q1793">
        <v>0.23870691278842299</v>
      </c>
      <c r="R1793">
        <v>0.942357446618306</v>
      </c>
      <c r="S1793" t="s">
        <v>7619</v>
      </c>
      <c r="T1793" t="s">
        <v>11650</v>
      </c>
      <c r="U1793" t="s">
        <v>11650</v>
      </c>
      <c r="V1793" t="s">
        <v>11650</v>
      </c>
      <c r="W1793" t="s">
        <v>13409</v>
      </c>
      <c r="X1793">
        <v>4</v>
      </c>
      <c r="Y1793" t="s">
        <v>19146</v>
      </c>
      <c r="Z1793" t="s">
        <v>24855</v>
      </c>
      <c r="AA1793">
        <v>0.73238149920861417</v>
      </c>
      <c r="AB1793" t="str">
        <f>HYPERLINK("Melting_Curves/meltCurve_P07902_GALT.pdf", "Melting_Curves/meltCurve_P07902_GALT.pdf")</f>
        <v>Melting_Curves/meltCurve_P07902_GALT.pdf</v>
      </c>
    </row>
    <row r="1794" spans="1:28" x14ac:dyDescent="0.25">
      <c r="A1794" t="s">
        <v>1798</v>
      </c>
      <c r="B1794">
        <v>0.99996721820229495</v>
      </c>
      <c r="C1794">
        <v>0.89565883993233297</v>
      </c>
      <c r="D1794">
        <v>0.917477225135789</v>
      </c>
      <c r="E1794">
        <v>1.02389983535607</v>
      </c>
      <c r="F1794">
        <v>1.5601868714689</v>
      </c>
      <c r="G1794">
        <v>1.7005456085664401</v>
      </c>
      <c r="H1794">
        <v>2.1690322667697099</v>
      </c>
      <c r="I1794">
        <v>3.3375013269025202</v>
      </c>
      <c r="J1794">
        <v>3.3606996226178198</v>
      </c>
      <c r="K1794">
        <v>2.28579062877261</v>
      </c>
      <c r="L1794">
        <v>12649.5549230825</v>
      </c>
      <c r="M1794">
        <v>250</v>
      </c>
      <c r="O1794">
        <v>50.594989266990702</v>
      </c>
      <c r="P1794">
        <v>0.61765018881283995</v>
      </c>
      <c r="Q1794">
        <v>1.5</v>
      </c>
      <c r="R1794">
        <v>1.3233774980214399E-2</v>
      </c>
      <c r="S1794" t="s">
        <v>7620</v>
      </c>
      <c r="T1794" t="s">
        <v>11650</v>
      </c>
      <c r="U1794" t="s">
        <v>11650</v>
      </c>
      <c r="V1794" t="s">
        <v>11650</v>
      </c>
      <c r="W1794" t="s">
        <v>13410</v>
      </c>
      <c r="X1794">
        <v>7</v>
      </c>
      <c r="Y1794" t="s">
        <v>19147</v>
      </c>
      <c r="Z1794" t="s">
        <v>24856</v>
      </c>
      <c r="AA1794">
        <v>1.323318605583794</v>
      </c>
      <c r="AB1794" t="str">
        <f>HYPERLINK("Melting_Curves/meltCurve_P07919_UQCRH.pdf", "Melting_Curves/meltCurve_P07919_UQCRH.pdf")</f>
        <v>Melting_Curves/meltCurve_P07919_UQCRH.pdf</v>
      </c>
    </row>
    <row r="1795" spans="1:28" x14ac:dyDescent="0.25">
      <c r="A1795" t="s">
        <v>1799</v>
      </c>
      <c r="B1795">
        <v>0.99996721820229495</v>
      </c>
      <c r="C1795">
        <v>0.96660727146349201</v>
      </c>
      <c r="D1795">
        <v>1.09391315671525</v>
      </c>
      <c r="E1795">
        <v>1.8719298990990501</v>
      </c>
      <c r="F1795">
        <v>0.58323285003520398</v>
      </c>
      <c r="G1795">
        <v>0.35877672186347798</v>
      </c>
      <c r="H1795">
        <v>0.19234972486294999</v>
      </c>
      <c r="I1795">
        <v>0.15578603783132899</v>
      </c>
      <c r="J1795">
        <v>0.13169031443294699</v>
      </c>
      <c r="K1795">
        <v>0.100083633066663</v>
      </c>
      <c r="L1795">
        <v>13247.2237567186</v>
      </c>
      <c r="M1795">
        <v>250</v>
      </c>
      <c r="N1795">
        <v>53.088866352091401</v>
      </c>
      <c r="O1795">
        <v>52.985498127341003</v>
      </c>
      <c r="P1795">
        <v>-0.95811911434951902</v>
      </c>
      <c r="Q1795">
        <v>0.18773721277206401</v>
      </c>
      <c r="R1795">
        <v>0.73194573969597398</v>
      </c>
      <c r="S1795" t="s">
        <v>7621</v>
      </c>
      <c r="T1795" t="s">
        <v>11650</v>
      </c>
      <c r="U1795" t="s">
        <v>11650</v>
      </c>
      <c r="V1795" t="s">
        <v>11650</v>
      </c>
      <c r="W1795" t="s">
        <v>13411</v>
      </c>
      <c r="X1795">
        <v>18</v>
      </c>
      <c r="Y1795" t="s">
        <v>19148</v>
      </c>
      <c r="Z1795" t="s">
        <v>24857</v>
      </c>
      <c r="AA1795">
        <v>0.53949261814631511</v>
      </c>
      <c r="AB1795" t="str">
        <f>HYPERLINK("Melting_Curves/meltCurve_P07954_2_FH.pdf", "Melting_Curves/meltCurve_P07954_2_FH.pdf")</f>
        <v>Melting_Curves/meltCurve_P07954_2_FH.pdf</v>
      </c>
    </row>
    <row r="1796" spans="1:28" x14ac:dyDescent="0.25">
      <c r="A1796" t="s">
        <v>1800</v>
      </c>
      <c r="B1796">
        <v>0.99996721820229495</v>
      </c>
      <c r="C1796">
        <v>1.06498742975665</v>
      </c>
      <c r="D1796">
        <v>1.00222940723994</v>
      </c>
      <c r="E1796">
        <v>0.90848500661264298</v>
      </c>
      <c r="F1796">
        <v>1.1289601035349499</v>
      </c>
      <c r="G1796">
        <v>1.3030206924588601</v>
      </c>
      <c r="H1796">
        <v>0.93390814184985604</v>
      </c>
      <c r="I1796">
        <v>0.90887896495561304</v>
      </c>
      <c r="J1796">
        <v>0.85253855343824503</v>
      </c>
      <c r="K1796">
        <v>0.54775591810077595</v>
      </c>
      <c r="L1796">
        <v>2042.2577240236301</v>
      </c>
      <c r="M1796">
        <v>28.948103387812001</v>
      </c>
      <c r="Q1796">
        <v>0</v>
      </c>
      <c r="R1796">
        <v>0.63338342538637804</v>
      </c>
      <c r="S1796" t="s">
        <v>7622</v>
      </c>
      <c r="T1796" t="s">
        <v>11650</v>
      </c>
      <c r="U1796" t="s">
        <v>11650</v>
      </c>
      <c r="V1796" t="s">
        <v>11650</v>
      </c>
      <c r="W1796" t="s">
        <v>13412</v>
      </c>
      <c r="X1796">
        <v>45</v>
      </c>
      <c r="Y1796" t="s">
        <v>19149</v>
      </c>
      <c r="Z1796" t="s">
        <v>24858</v>
      </c>
      <c r="AA1796">
        <v>0.9564801626677204</v>
      </c>
      <c r="AB1796" t="str">
        <f>HYPERLINK("Melting_Curves/meltCurve_P07996_THBS1.pdf", "Melting_Curves/meltCurve_P07996_THBS1.pdf")</f>
        <v>Melting_Curves/meltCurve_P07996_THBS1.pdf</v>
      </c>
    </row>
    <row r="1797" spans="1:28" x14ac:dyDescent="0.25">
      <c r="A1797" t="s">
        <v>1801</v>
      </c>
      <c r="B1797">
        <v>0.99996721820229495</v>
      </c>
      <c r="C1797">
        <v>1.1005138943110899</v>
      </c>
      <c r="D1797">
        <v>1.09280518127796</v>
      </c>
      <c r="E1797">
        <v>1.0365288290211101</v>
      </c>
      <c r="F1797">
        <v>0.80222838515833095</v>
      </c>
      <c r="G1797">
        <v>0.42200894336563999</v>
      </c>
      <c r="H1797">
        <v>0.165316876261621</v>
      </c>
      <c r="I1797">
        <v>0.119102905962467</v>
      </c>
      <c r="J1797">
        <v>7.9691878332758995E-2</v>
      </c>
      <c r="K1797">
        <v>6.2357980131717797E-2</v>
      </c>
      <c r="L1797">
        <v>1546.26538147982</v>
      </c>
      <c r="M1797">
        <v>27.658590560773899</v>
      </c>
      <c r="N1797">
        <v>56.2381232773985</v>
      </c>
      <c r="O1797">
        <v>55.615642546204199</v>
      </c>
      <c r="P1797">
        <v>-0.11494724754632001</v>
      </c>
      <c r="Q1797">
        <v>7.5468929513424099E-2</v>
      </c>
      <c r="R1797">
        <v>0.98639014685569903</v>
      </c>
      <c r="S1797" t="s">
        <v>7623</v>
      </c>
      <c r="T1797" t="s">
        <v>11650</v>
      </c>
      <c r="U1797" t="s">
        <v>11650</v>
      </c>
      <c r="V1797" t="s">
        <v>11650</v>
      </c>
      <c r="W1797" t="s">
        <v>13413</v>
      </c>
      <c r="X1797">
        <v>45</v>
      </c>
      <c r="Y1797" t="s">
        <v>19150</v>
      </c>
      <c r="Z1797" t="s">
        <v>24859</v>
      </c>
      <c r="AA1797">
        <v>0.57277607539616793</v>
      </c>
      <c r="AB1797" t="str">
        <f>HYPERLINK("Melting_Curves/meltCurve_P08107_HSPA1A.pdf", "Melting_Curves/meltCurve_P08107_HSPA1A.pdf")</f>
        <v>Melting_Curves/meltCurve_P08107_HSPA1A.pdf</v>
      </c>
    </row>
    <row r="1798" spans="1:28" x14ac:dyDescent="0.25">
      <c r="A1798" t="s">
        <v>1802</v>
      </c>
      <c r="B1798">
        <v>0.99996721820229495</v>
      </c>
      <c r="C1798">
        <v>0.94514762812543196</v>
      </c>
      <c r="D1798">
        <v>0.88839247044244596</v>
      </c>
      <c r="E1798">
        <v>1.1852145032417301</v>
      </c>
      <c r="F1798">
        <v>1.67581857502267</v>
      </c>
      <c r="G1798">
        <v>1.5596882474695499</v>
      </c>
      <c r="H1798">
        <v>0.876412184848121</v>
      </c>
      <c r="I1798">
        <v>0.59426192600956795</v>
      </c>
      <c r="J1798">
        <v>0.41841958307674998</v>
      </c>
      <c r="K1798">
        <v>0.44010470136757601</v>
      </c>
      <c r="L1798">
        <v>3584.8260164286698</v>
      </c>
      <c r="M1798">
        <v>57.053566462552503</v>
      </c>
      <c r="N1798">
        <v>65.004661402297899</v>
      </c>
      <c r="O1798">
        <v>62.755585038141099</v>
      </c>
      <c r="P1798">
        <v>-0.130532126059206</v>
      </c>
      <c r="Q1798">
        <v>0.42568949694411801</v>
      </c>
      <c r="R1798">
        <v>0.49572784730283298</v>
      </c>
      <c r="S1798" t="s">
        <v>7624</v>
      </c>
      <c r="T1798" t="s">
        <v>11650</v>
      </c>
      <c r="U1798" t="s">
        <v>11650</v>
      </c>
      <c r="V1798" t="s">
        <v>11650</v>
      </c>
      <c r="W1798" t="s">
        <v>13414</v>
      </c>
      <c r="X1798">
        <v>87</v>
      </c>
      <c r="Y1798" t="s">
        <v>19151</v>
      </c>
      <c r="Z1798" t="s">
        <v>24860</v>
      </c>
      <c r="AA1798">
        <v>0.86393214468411939</v>
      </c>
      <c r="AB1798" t="str">
        <f>HYPERLINK("Melting_Curves/meltCurve_P08123_COL1A2.pdf", "Melting_Curves/meltCurve_P08123_COL1A2.pdf")</f>
        <v>Melting_Curves/meltCurve_P08123_COL1A2.pdf</v>
      </c>
    </row>
    <row r="1799" spans="1:28" x14ac:dyDescent="0.25">
      <c r="A1799" t="s">
        <v>1803</v>
      </c>
      <c r="B1799">
        <v>0.99996721820229495</v>
      </c>
      <c r="C1799">
        <v>1.05370662694771</v>
      </c>
      <c r="D1799">
        <v>0.99547925878279397</v>
      </c>
      <c r="E1799">
        <v>0.717653439072095</v>
      </c>
      <c r="F1799">
        <v>0.33527686634919202</v>
      </c>
      <c r="G1799">
        <v>0.28083696889758503</v>
      </c>
      <c r="H1799">
        <v>0.172063493565772</v>
      </c>
      <c r="I1799">
        <v>9.3032479606488305E-2</v>
      </c>
      <c r="J1799">
        <v>7.5089124591484702E-2</v>
      </c>
      <c r="K1799">
        <v>5.7551638982218503E-2</v>
      </c>
      <c r="L1799">
        <v>1263.4665255771899</v>
      </c>
      <c r="M1799">
        <v>24.563828622165001</v>
      </c>
      <c r="N1799">
        <v>51.9398035562158</v>
      </c>
      <c r="O1799">
        <v>51.098799934941297</v>
      </c>
      <c r="P1799">
        <v>-0.107441816725816</v>
      </c>
      <c r="Q1799">
        <v>0.105991477149203</v>
      </c>
      <c r="R1799">
        <v>0.98353807986240205</v>
      </c>
      <c r="S1799" t="s">
        <v>7625</v>
      </c>
      <c r="T1799" t="s">
        <v>11650</v>
      </c>
      <c r="U1799" t="s">
        <v>11650</v>
      </c>
      <c r="V1799" t="s">
        <v>11650</v>
      </c>
      <c r="W1799" t="s">
        <v>13415</v>
      </c>
      <c r="X1799">
        <v>74</v>
      </c>
      <c r="Y1799" t="s">
        <v>17458</v>
      </c>
      <c r="Z1799" t="s">
        <v>24861</v>
      </c>
      <c r="AA1799">
        <v>0.45518651228654272</v>
      </c>
      <c r="AB1799" t="str">
        <f>HYPERLINK("Melting_Curves/meltCurve_P08133_ANXA6.pdf", "Melting_Curves/meltCurve_P08133_ANXA6.pdf")</f>
        <v>Melting_Curves/meltCurve_P08133_ANXA6.pdf</v>
      </c>
    </row>
    <row r="1800" spans="1:28" x14ac:dyDescent="0.25">
      <c r="A1800" t="s">
        <v>1804</v>
      </c>
      <c r="B1800">
        <v>0.99996721820229495</v>
      </c>
      <c r="C1800">
        <v>0.90538757844344298</v>
      </c>
      <c r="D1800">
        <v>0.95705442848613398</v>
      </c>
      <c r="E1800">
        <v>1.2751564031682101</v>
      </c>
      <c r="F1800">
        <v>1.6850569213922999</v>
      </c>
      <c r="G1800">
        <v>1.90917441861996</v>
      </c>
      <c r="H1800">
        <v>1.89556295986261</v>
      </c>
      <c r="I1800">
        <v>1.0583486118513501</v>
      </c>
      <c r="J1800">
        <v>0.42558411837596799</v>
      </c>
      <c r="K1800">
        <v>0.151936922738312</v>
      </c>
      <c r="L1800">
        <v>15000</v>
      </c>
      <c r="M1800">
        <v>224.62190067736901</v>
      </c>
      <c r="N1800">
        <v>66.886723521367003</v>
      </c>
      <c r="O1800">
        <v>66.773576045193494</v>
      </c>
      <c r="P1800">
        <v>-0.71323601506518497</v>
      </c>
      <c r="Q1800">
        <v>0.151902287126887</v>
      </c>
      <c r="R1800">
        <v>0.28906666170275003</v>
      </c>
      <c r="S1800" t="s">
        <v>7626</v>
      </c>
      <c r="T1800" t="s">
        <v>11650</v>
      </c>
      <c r="U1800" t="s">
        <v>11650</v>
      </c>
      <c r="V1800" t="s">
        <v>11650</v>
      </c>
      <c r="W1800" t="s">
        <v>13416</v>
      </c>
      <c r="X1800">
        <v>25</v>
      </c>
      <c r="Y1800" t="s">
        <v>19152</v>
      </c>
      <c r="Z1800" t="s">
        <v>24862</v>
      </c>
      <c r="AA1800">
        <v>0.9090621409149332</v>
      </c>
      <c r="AB1800" t="str">
        <f>HYPERLINK("Melting_Curves/meltCurve_P08237_PFKM.pdf", "Melting_Curves/meltCurve_P08237_PFKM.pdf")</f>
        <v>Melting_Curves/meltCurve_P08237_PFKM.pdf</v>
      </c>
    </row>
    <row r="1801" spans="1:28" x14ac:dyDescent="0.25">
      <c r="A1801" t="s">
        <v>1805</v>
      </c>
      <c r="B1801">
        <v>0.99996721820229495</v>
      </c>
      <c r="C1801">
        <v>1.04455211662896</v>
      </c>
      <c r="D1801">
        <v>1.18070001990189</v>
      </c>
      <c r="E1801">
        <v>1.15471017957314</v>
      </c>
      <c r="F1801">
        <v>0.27843152649977498</v>
      </c>
      <c r="G1801">
        <v>0.246054418698997</v>
      </c>
      <c r="H1801">
        <v>0.12784897213503901</v>
      </c>
      <c r="I1801">
        <v>8.6926541332050494E-2</v>
      </c>
      <c r="J1801">
        <v>6.0926527709372402E-2</v>
      </c>
      <c r="K1801">
        <v>5.1100734070931998E-2</v>
      </c>
      <c r="L1801">
        <v>13171.4327468956</v>
      </c>
      <c r="M1801">
        <v>250</v>
      </c>
      <c r="N1801">
        <v>52.740642048571203</v>
      </c>
      <c r="O1801">
        <v>52.682359581020002</v>
      </c>
      <c r="P1801">
        <v>-1.05043318367953</v>
      </c>
      <c r="Q1801">
        <v>0.11457122406046701</v>
      </c>
      <c r="R1801">
        <v>0.96279923197281703</v>
      </c>
      <c r="S1801" t="s">
        <v>7627</v>
      </c>
      <c r="T1801" t="s">
        <v>11650</v>
      </c>
      <c r="U1801" t="s">
        <v>11650</v>
      </c>
      <c r="V1801" t="s">
        <v>11650</v>
      </c>
      <c r="W1801" t="s">
        <v>13417</v>
      </c>
      <c r="X1801">
        <v>70</v>
      </c>
      <c r="Y1801" t="s">
        <v>19153</v>
      </c>
      <c r="Z1801" t="s">
        <v>24863</v>
      </c>
      <c r="AA1801">
        <v>0.48906346848188309</v>
      </c>
      <c r="AB1801" t="str">
        <f>HYPERLINK("Melting_Curves/meltCurve_P08238_HSP90AB1.pdf", "Melting_Curves/meltCurve_P08238_HSP90AB1.pdf")</f>
        <v>Melting_Curves/meltCurve_P08238_HSP90AB1.pdf</v>
      </c>
    </row>
    <row r="1802" spans="1:28" x14ac:dyDescent="0.25">
      <c r="A1802" t="s">
        <v>1806</v>
      </c>
      <c r="B1802">
        <v>0.99996721820229495</v>
      </c>
      <c r="C1802">
        <v>0.89101730503823595</v>
      </c>
      <c r="D1802">
        <v>0.80749018741870005</v>
      </c>
      <c r="E1802">
        <v>0.49556448546044202</v>
      </c>
      <c r="F1802">
        <v>0.296260659927081</v>
      </c>
      <c r="G1802">
        <v>0.26139165645226198</v>
      </c>
      <c r="H1802">
        <v>0.166011719881307</v>
      </c>
      <c r="I1802">
        <v>9.7962056266311298E-2</v>
      </c>
      <c r="J1802">
        <v>7.0109596479167105E-2</v>
      </c>
      <c r="K1802">
        <v>5.7348712199722103E-2</v>
      </c>
      <c r="L1802">
        <v>701.04786824275698</v>
      </c>
      <c r="M1802">
        <v>14.102635795710301</v>
      </c>
      <c r="N1802">
        <v>50.222678969980898</v>
      </c>
      <c r="O1802">
        <v>48.742901465770203</v>
      </c>
      <c r="P1802">
        <v>-6.7494992912244395E-2</v>
      </c>
      <c r="Q1802">
        <v>6.6989001258851696E-2</v>
      </c>
      <c r="R1802">
        <v>0.99062273909720999</v>
      </c>
      <c r="S1802" t="s">
        <v>7628</v>
      </c>
      <c r="T1802" t="s">
        <v>11650</v>
      </c>
      <c r="U1802" t="s">
        <v>11650</v>
      </c>
      <c r="V1802" t="s">
        <v>11650</v>
      </c>
      <c r="W1802" t="s">
        <v>13418</v>
      </c>
      <c r="X1802">
        <v>27</v>
      </c>
      <c r="Y1802" t="s">
        <v>19154</v>
      </c>
      <c r="Z1802" t="s">
        <v>24864</v>
      </c>
      <c r="AA1802">
        <v>0.39405128011184598</v>
      </c>
      <c r="AB1802" t="str">
        <f>HYPERLINK("Melting_Curves/meltCurve_P08240_SRPR.pdf", "Melting_Curves/meltCurve_P08240_SRPR.pdf")</f>
        <v>Melting_Curves/meltCurve_P08240_SRPR.pdf</v>
      </c>
    </row>
    <row r="1803" spans="1:28" x14ac:dyDescent="0.25">
      <c r="A1803" t="s">
        <v>1807</v>
      </c>
      <c r="B1803">
        <v>0.99996721820229495</v>
      </c>
      <c r="C1803">
        <v>0.98133239058277699</v>
      </c>
      <c r="D1803">
        <v>0.92531132191425702</v>
      </c>
      <c r="E1803">
        <v>0.86669205172376895</v>
      </c>
      <c r="F1803">
        <v>0.84749159042780997</v>
      </c>
      <c r="G1803">
        <v>0.73386219495815397</v>
      </c>
      <c r="H1803">
        <v>0.45515494765328102</v>
      </c>
      <c r="I1803">
        <v>0.26838992205080098</v>
      </c>
      <c r="J1803">
        <v>0.152443188746134</v>
      </c>
      <c r="K1803">
        <v>0.119759733690588</v>
      </c>
      <c r="L1803">
        <v>847.82422347574004</v>
      </c>
      <c r="M1803">
        <v>14.1378046252249</v>
      </c>
      <c r="N1803">
        <v>59.968591193436097</v>
      </c>
      <c r="O1803">
        <v>58.807039579336703</v>
      </c>
      <c r="P1803">
        <v>-6.01101776315675E-2</v>
      </c>
      <c r="Q1803">
        <v>0</v>
      </c>
      <c r="R1803">
        <v>0.98620546326219605</v>
      </c>
      <c r="S1803" t="s">
        <v>7629</v>
      </c>
      <c r="T1803" t="s">
        <v>11650</v>
      </c>
      <c r="U1803" t="s">
        <v>11650</v>
      </c>
      <c r="V1803" t="s">
        <v>11650</v>
      </c>
      <c r="W1803" t="s">
        <v>13419</v>
      </c>
      <c r="X1803">
        <v>23</v>
      </c>
      <c r="Y1803" t="s">
        <v>19155</v>
      </c>
      <c r="Z1803" t="s">
        <v>24865</v>
      </c>
      <c r="AA1803">
        <v>0.67176588981172602</v>
      </c>
      <c r="AB1803" t="str">
        <f>HYPERLINK("Melting_Curves/meltCurve_P08253_MMP2.pdf", "Melting_Curves/meltCurve_P08253_MMP2.pdf")</f>
        <v>Melting_Curves/meltCurve_P08253_MMP2.pdf</v>
      </c>
    </row>
    <row r="1804" spans="1:28" x14ac:dyDescent="0.25">
      <c r="A1804" t="s">
        <v>1808</v>
      </c>
      <c r="B1804">
        <v>0.99996721820229495</v>
      </c>
      <c r="C1804">
        <v>0.93481133280023498</v>
      </c>
      <c r="D1804">
        <v>0.95473428524431103</v>
      </c>
      <c r="E1804">
        <v>0.99517772339166899</v>
      </c>
      <c r="F1804">
        <v>1.405654512181</v>
      </c>
      <c r="G1804">
        <v>1.21087101905869</v>
      </c>
      <c r="H1804">
        <v>0.83224630813279699</v>
      </c>
      <c r="I1804">
        <v>0.61034474491090396</v>
      </c>
      <c r="J1804">
        <v>0.33887800870412099</v>
      </c>
      <c r="K1804">
        <v>0.16551910881475701</v>
      </c>
      <c r="L1804">
        <v>2159.13970512576</v>
      </c>
      <c r="M1804">
        <v>33.511669977487401</v>
      </c>
      <c r="N1804">
        <v>64.985808188589303</v>
      </c>
      <c r="O1804">
        <v>64.201367348364101</v>
      </c>
      <c r="P1804">
        <v>-0.114221960991891</v>
      </c>
      <c r="Q1804">
        <v>0.12470204726552001</v>
      </c>
      <c r="R1804">
        <v>0.82592668971078698</v>
      </c>
      <c r="S1804" t="s">
        <v>7630</v>
      </c>
      <c r="T1804" t="s">
        <v>11650</v>
      </c>
      <c r="U1804" t="s">
        <v>11650</v>
      </c>
      <c r="V1804" t="s">
        <v>11650</v>
      </c>
      <c r="W1804" t="s">
        <v>13420</v>
      </c>
      <c r="X1804">
        <v>9</v>
      </c>
      <c r="Y1804" t="s">
        <v>19156</v>
      </c>
      <c r="Z1804" t="s">
        <v>24866</v>
      </c>
      <c r="AA1804">
        <v>0.83827415110182357</v>
      </c>
      <c r="AB1804" t="str">
        <f>HYPERLINK("Melting_Curves/meltCurve_P08294_SOD3.pdf", "Melting_Curves/meltCurve_P08294_SOD3.pdf")</f>
        <v>Melting_Curves/meltCurve_P08294_SOD3.pdf</v>
      </c>
    </row>
    <row r="1805" spans="1:28" x14ac:dyDescent="0.25">
      <c r="A1805" t="s">
        <v>1809</v>
      </c>
      <c r="B1805">
        <v>0.99996721820229495</v>
      </c>
      <c r="C1805">
        <v>0.91636608115796203</v>
      </c>
      <c r="D1805">
        <v>0.86093567412729799</v>
      </c>
      <c r="E1805">
        <v>0.787797774673752</v>
      </c>
      <c r="F1805">
        <v>0.95327213915131004</v>
      </c>
      <c r="G1805">
        <v>0.86867130912570301</v>
      </c>
      <c r="H1805">
        <v>0.67635248144261395</v>
      </c>
      <c r="I1805">
        <v>0.60754568972554202</v>
      </c>
      <c r="J1805">
        <v>0.50910156546304297</v>
      </c>
      <c r="K1805">
        <v>0.34464817375319001</v>
      </c>
      <c r="L1805">
        <v>523.62369800658905</v>
      </c>
      <c r="M1805">
        <v>7.8425549778987698</v>
      </c>
      <c r="N1805">
        <v>66.766978108191907</v>
      </c>
      <c r="O1805">
        <v>62.8435928491959</v>
      </c>
      <c r="P1805">
        <v>-3.1236709185438801E-2</v>
      </c>
      <c r="Q1805">
        <v>0</v>
      </c>
      <c r="R1805">
        <v>0.86756287472060301</v>
      </c>
      <c r="S1805" t="s">
        <v>7631</v>
      </c>
      <c r="T1805" t="s">
        <v>11650</v>
      </c>
      <c r="U1805" t="s">
        <v>11650</v>
      </c>
      <c r="V1805" t="s">
        <v>11650</v>
      </c>
      <c r="W1805" t="s">
        <v>13421</v>
      </c>
      <c r="X1805">
        <v>14</v>
      </c>
      <c r="Y1805" t="s">
        <v>19157</v>
      </c>
      <c r="Z1805" t="s">
        <v>24867</v>
      </c>
      <c r="AA1805">
        <v>0.7878177617148866</v>
      </c>
      <c r="AB1805" t="str">
        <f>HYPERLINK("Melting_Curves/meltCurve_P08397_2_HMBS.pdf", "Melting_Curves/meltCurve_P08397_2_HMBS.pdf")</f>
        <v>Melting_Curves/meltCurve_P08397_2_HMBS.pdf</v>
      </c>
    </row>
    <row r="1806" spans="1:28" x14ac:dyDescent="0.25">
      <c r="A1806" t="s">
        <v>1810</v>
      </c>
      <c r="B1806">
        <v>0.99996721820229495</v>
      </c>
      <c r="C1806">
        <v>0.70808769162153595</v>
      </c>
      <c r="D1806">
        <v>0.85741955163439099</v>
      </c>
      <c r="E1806">
        <v>1.27993035909935</v>
      </c>
      <c r="F1806">
        <v>1.21423488046725</v>
      </c>
      <c r="G1806">
        <v>0.81768438837128998</v>
      </c>
      <c r="H1806">
        <v>0.50956658541965405</v>
      </c>
      <c r="I1806">
        <v>0.256906869740753</v>
      </c>
      <c r="J1806">
        <v>0.15835996281341899</v>
      </c>
      <c r="K1806">
        <v>0.17514349464314499</v>
      </c>
      <c r="L1806">
        <v>1953.8827952914</v>
      </c>
      <c r="M1806">
        <v>32.454673719698903</v>
      </c>
      <c r="N1806">
        <v>60.875645460700802</v>
      </c>
      <c r="O1806">
        <v>59.976242238068103</v>
      </c>
      <c r="P1806">
        <v>-0.114909591765714</v>
      </c>
      <c r="Q1806">
        <v>0.15059225098731999</v>
      </c>
      <c r="R1806">
        <v>0.84301944911425497</v>
      </c>
      <c r="S1806" t="s">
        <v>7632</v>
      </c>
      <c r="T1806" t="s">
        <v>11650</v>
      </c>
      <c r="U1806" t="s">
        <v>11650</v>
      </c>
      <c r="V1806" t="s">
        <v>11650</v>
      </c>
      <c r="W1806" t="s">
        <v>13422</v>
      </c>
      <c r="X1806">
        <v>21</v>
      </c>
      <c r="Y1806" t="s">
        <v>19158</v>
      </c>
      <c r="Z1806" t="s">
        <v>24868</v>
      </c>
      <c r="AA1806">
        <v>0.72720688041042714</v>
      </c>
      <c r="AB1806" t="str">
        <f>HYPERLINK("Melting_Curves/meltCurve_P08473_MME.pdf", "Melting_Curves/meltCurve_P08473_MME.pdf")</f>
        <v>Melting_Curves/meltCurve_P08473_MME.pdf</v>
      </c>
    </row>
    <row r="1807" spans="1:28" x14ac:dyDescent="0.25">
      <c r="A1807" t="s">
        <v>1811</v>
      </c>
      <c r="B1807">
        <v>0.99996721820229495</v>
      </c>
      <c r="C1807">
        <v>1.0608630529937499</v>
      </c>
      <c r="D1807">
        <v>1.0639033982822199</v>
      </c>
      <c r="E1807">
        <v>1.0800812071958099</v>
      </c>
      <c r="F1807">
        <v>1.3822393698164299</v>
      </c>
      <c r="G1807">
        <v>1.44653846444068</v>
      </c>
      <c r="H1807">
        <v>0.84037943315497199</v>
      </c>
      <c r="I1807">
        <v>0.45665775485826299</v>
      </c>
      <c r="J1807">
        <v>0.28319307732730398</v>
      </c>
      <c r="K1807">
        <v>0.21639833157541299</v>
      </c>
      <c r="L1807">
        <v>3340.4683839313898</v>
      </c>
      <c r="M1807">
        <v>53.1571647785292</v>
      </c>
      <c r="N1807">
        <v>63.605488674579</v>
      </c>
      <c r="O1807">
        <v>62.752609557713001</v>
      </c>
      <c r="P1807">
        <v>-0.16179734471534299</v>
      </c>
      <c r="Q1807">
        <v>0.23598643160105301</v>
      </c>
      <c r="R1807">
        <v>0.78180317221589501</v>
      </c>
      <c r="S1807" t="s">
        <v>7633</v>
      </c>
      <c r="T1807" t="s">
        <v>11650</v>
      </c>
      <c r="U1807" t="s">
        <v>11650</v>
      </c>
      <c r="V1807" t="s">
        <v>11650</v>
      </c>
      <c r="W1807" t="s">
        <v>13423</v>
      </c>
      <c r="X1807">
        <v>1</v>
      </c>
      <c r="Y1807" t="s">
        <v>19159</v>
      </c>
      <c r="Z1807" t="s">
        <v>24869</v>
      </c>
      <c r="AA1807">
        <v>0.81939284178207727</v>
      </c>
      <c r="AB1807" t="str">
        <f>HYPERLINK("Melting_Curves/meltCurve_P08476_INHBA.pdf", "Melting_Curves/meltCurve_P08476_INHBA.pdf")</f>
        <v>Melting_Curves/meltCurve_P08476_INHBA.pdf</v>
      </c>
    </row>
    <row r="1808" spans="1:28" x14ac:dyDescent="0.25">
      <c r="A1808" t="s">
        <v>1812</v>
      </c>
      <c r="B1808">
        <v>0.99996721820229495</v>
      </c>
      <c r="C1808">
        <v>0.90271445309069598</v>
      </c>
      <c r="D1808">
        <v>0.96654248445341095</v>
      </c>
      <c r="E1808">
        <v>0.988698640761836</v>
      </c>
      <c r="F1808">
        <v>0.70404435760431705</v>
      </c>
      <c r="G1808">
        <v>0.48111873413929401</v>
      </c>
      <c r="H1808">
        <v>0.233957802460385</v>
      </c>
      <c r="I1808">
        <v>0.13503487401522801</v>
      </c>
      <c r="J1808">
        <v>9.1691681220934101E-2</v>
      </c>
      <c r="K1808">
        <v>8.40601819730179E-2</v>
      </c>
      <c r="L1808">
        <v>1032.97161543583</v>
      </c>
      <c r="M1808">
        <v>18.4016195332674</v>
      </c>
      <c r="N1808">
        <v>56.479461674867302</v>
      </c>
      <c r="O1808">
        <v>55.484487608766003</v>
      </c>
      <c r="P1808">
        <v>-7.8513816522869706E-2</v>
      </c>
      <c r="Q1808">
        <v>5.3104725253987198E-2</v>
      </c>
      <c r="R1808">
        <v>0.98650831892968005</v>
      </c>
      <c r="S1808" t="s">
        <v>7634</v>
      </c>
      <c r="T1808" t="s">
        <v>11650</v>
      </c>
      <c r="U1808" t="s">
        <v>11650</v>
      </c>
      <c r="V1808" t="s">
        <v>11650</v>
      </c>
      <c r="W1808" t="s">
        <v>13424</v>
      </c>
      <c r="X1808">
        <v>13</v>
      </c>
      <c r="Y1808" t="s">
        <v>19160</v>
      </c>
      <c r="Z1808" t="s">
        <v>24870</v>
      </c>
      <c r="AA1808">
        <v>0.5758518314965656</v>
      </c>
      <c r="AB1808" t="str">
        <f>HYPERLINK("Melting_Curves/meltCurve_P08559_3_PDHA1.pdf", "Melting_Curves/meltCurve_P08559_3_PDHA1.pdf")</f>
        <v>Melting_Curves/meltCurve_P08559_3_PDHA1.pdf</v>
      </c>
    </row>
    <row r="1809" spans="1:28" x14ac:dyDescent="0.25">
      <c r="A1809" t="s">
        <v>1813</v>
      </c>
      <c r="B1809">
        <v>0.99996721820229495</v>
      </c>
      <c r="C1809">
        <v>1.1114333216535699</v>
      </c>
      <c r="D1809">
        <v>1.1589758027283099</v>
      </c>
      <c r="E1809">
        <v>1.44858275973668</v>
      </c>
      <c r="F1809">
        <v>1.9998880541516599</v>
      </c>
      <c r="G1809">
        <v>1.4620326728370501</v>
      </c>
      <c r="H1809">
        <v>0.89991395039126099</v>
      </c>
      <c r="I1809">
        <v>0.55180775141615901</v>
      </c>
      <c r="J1809">
        <v>0.439948394277143</v>
      </c>
      <c r="K1809">
        <v>0.44161727573477499</v>
      </c>
      <c r="L1809">
        <v>4150.3843779577701</v>
      </c>
      <c r="M1809">
        <v>66.328333280633601</v>
      </c>
      <c r="N1809">
        <v>64.634249666939994</v>
      </c>
      <c r="O1809">
        <v>62.516519510402098</v>
      </c>
      <c r="P1809">
        <v>-0.14862118556342899</v>
      </c>
      <c r="Q1809">
        <v>0.439679773638736</v>
      </c>
      <c r="R1809">
        <v>0.357544674235803</v>
      </c>
      <c r="S1809" t="s">
        <v>7635</v>
      </c>
      <c r="T1809" t="s">
        <v>11650</v>
      </c>
      <c r="U1809" t="s">
        <v>11650</v>
      </c>
      <c r="V1809" t="s">
        <v>11650</v>
      </c>
      <c r="W1809" t="s">
        <v>13425</v>
      </c>
      <c r="X1809">
        <v>3</v>
      </c>
      <c r="Y1809" t="s">
        <v>19161</v>
      </c>
      <c r="Z1809" t="s">
        <v>24871</v>
      </c>
      <c r="AA1809">
        <v>0.86214612124484735</v>
      </c>
      <c r="AB1809" t="str">
        <f>HYPERLINK("Melting_Curves/meltCurve_P08572_COL4A2.pdf", "Melting_Curves/meltCurve_P08572_COL4A2.pdf")</f>
        <v>Melting_Curves/meltCurve_P08572_COL4A2.pdf</v>
      </c>
    </row>
    <row r="1810" spans="1:28" x14ac:dyDescent="0.25">
      <c r="A1810" t="s">
        <v>1814</v>
      </c>
      <c r="B1810">
        <v>0.99996721820229495</v>
      </c>
      <c r="C1810">
        <v>0.90142994085354999</v>
      </c>
      <c r="D1810">
        <v>0.92984493414086</v>
      </c>
      <c r="E1810">
        <v>1.1277239790615601</v>
      </c>
      <c r="F1810">
        <v>1.3833096294627301</v>
      </c>
      <c r="G1810">
        <v>1.53391059361914</v>
      </c>
      <c r="H1810">
        <v>0.76660833431358999</v>
      </c>
      <c r="I1810">
        <v>0.27535328160734102</v>
      </c>
      <c r="J1810">
        <v>0.19612918748672201</v>
      </c>
      <c r="K1810">
        <v>0.15656138878724599</v>
      </c>
      <c r="L1810">
        <v>4414.2581757857797</v>
      </c>
      <c r="M1810">
        <v>71.355046371995698</v>
      </c>
      <c r="N1810">
        <v>62.262349502610803</v>
      </c>
      <c r="O1810">
        <v>61.8147609036848</v>
      </c>
      <c r="P1810">
        <v>-0.23562472054980299</v>
      </c>
      <c r="Q1810">
        <v>0.18351497718878901</v>
      </c>
      <c r="R1810">
        <v>0.77797589594092298</v>
      </c>
      <c r="S1810" t="s">
        <v>7636</v>
      </c>
      <c r="T1810" t="s">
        <v>11650</v>
      </c>
      <c r="U1810" t="s">
        <v>11650</v>
      </c>
      <c r="V1810" t="s">
        <v>11650</v>
      </c>
      <c r="W1810" t="s">
        <v>13426</v>
      </c>
      <c r="X1810">
        <v>4</v>
      </c>
      <c r="Y1810" t="s">
        <v>19162</v>
      </c>
      <c r="Z1810" t="s">
        <v>24872</v>
      </c>
      <c r="AA1810">
        <v>0.77963310211880166</v>
      </c>
      <c r="AB1810" t="str">
        <f>HYPERLINK("Melting_Curves/meltCurve_P08574_CYC1.pdf", "Melting_Curves/meltCurve_P08574_CYC1.pdf")</f>
        <v>Melting_Curves/meltCurve_P08574_CYC1.pdf</v>
      </c>
    </row>
    <row r="1811" spans="1:28" x14ac:dyDescent="0.25">
      <c r="A1811" t="s">
        <v>1815</v>
      </c>
      <c r="B1811">
        <v>0.99996721820229495</v>
      </c>
      <c r="C1811">
        <v>0.92282564036098802</v>
      </c>
      <c r="D1811">
        <v>1.04749347495834</v>
      </c>
      <c r="E1811">
        <v>1.81795089263902</v>
      </c>
      <c r="F1811">
        <v>2.8163979498024601</v>
      </c>
      <c r="G1811">
        <v>2.3226708337392399</v>
      </c>
      <c r="H1811">
        <v>1.0517876392280101</v>
      </c>
      <c r="I1811">
        <v>1.21017890157473</v>
      </c>
      <c r="J1811">
        <v>0.65146479773173904</v>
      </c>
      <c r="K1811">
        <v>0.72973588895956698</v>
      </c>
      <c r="L1811">
        <v>2465.69640952278</v>
      </c>
      <c r="M1811">
        <v>36.589171618520702</v>
      </c>
      <c r="O1811">
        <v>67.188345026772595</v>
      </c>
      <c r="P1811">
        <v>-5.2295412956815002E-2</v>
      </c>
      <c r="Q1811">
        <v>0.61588288336973995</v>
      </c>
      <c r="R1811">
        <v>-0.24246459079808999</v>
      </c>
      <c r="S1811" t="s">
        <v>7637</v>
      </c>
      <c r="T1811" t="s">
        <v>11650</v>
      </c>
      <c r="U1811" t="s">
        <v>11650</v>
      </c>
      <c r="V1811" t="s">
        <v>11650</v>
      </c>
      <c r="W1811" t="s">
        <v>13427</v>
      </c>
      <c r="X1811">
        <v>1</v>
      </c>
      <c r="Y1811" t="s">
        <v>19163</v>
      </c>
      <c r="Z1811" t="s">
        <v>24873</v>
      </c>
      <c r="AA1811">
        <v>0.96253796534403369</v>
      </c>
      <c r="AB1811" t="str">
        <f>HYPERLINK("Melting_Curves/meltCurve_P08579_SNRPB2.pdf", "Melting_Curves/meltCurve_P08579_SNRPB2.pdf")</f>
        <v>Melting_Curves/meltCurve_P08579_SNRPB2.pdf</v>
      </c>
    </row>
    <row r="1812" spans="1:28" x14ac:dyDescent="0.25">
      <c r="A1812" t="s">
        <v>1816</v>
      </c>
      <c r="B1812">
        <v>0.99996721820229495</v>
      </c>
      <c r="C1812">
        <v>1.0476597858734999</v>
      </c>
      <c r="D1812">
        <v>1.16197507378396</v>
      </c>
      <c r="E1812">
        <v>1.5892396016777199</v>
      </c>
      <c r="F1812">
        <v>2.5629270425310802</v>
      </c>
      <c r="G1812">
        <v>3.1032463944280502</v>
      </c>
      <c r="H1812">
        <v>2.26602622534292</v>
      </c>
      <c r="I1812">
        <v>2.2711552619178899</v>
      </c>
      <c r="J1812">
        <v>2.28303290552673</v>
      </c>
      <c r="K1812">
        <v>1.6613417105694199</v>
      </c>
      <c r="S1812" t="s">
        <v>7638</v>
      </c>
      <c r="T1812" t="s">
        <v>11650</v>
      </c>
      <c r="U1812" t="s">
        <v>11651</v>
      </c>
      <c r="V1812" t="s">
        <v>11650</v>
      </c>
      <c r="W1812" t="s">
        <v>13428</v>
      </c>
      <c r="X1812">
        <v>3</v>
      </c>
      <c r="Y1812" t="s">
        <v>19164</v>
      </c>
      <c r="Z1812" t="s">
        <v>24874</v>
      </c>
      <c r="AB1812" t="str">
        <f>HYPERLINK("Melting_Curves/meltCurve_P08590_MYL3.pdf", "Melting_Curves/meltCurve_P08590_MYL3.pdf")</f>
        <v>Melting_Curves/meltCurve_P08590_MYL3.pdf</v>
      </c>
    </row>
    <row r="1813" spans="1:28" x14ac:dyDescent="0.25">
      <c r="A1813" t="s">
        <v>1817</v>
      </c>
      <c r="B1813">
        <v>0.99996721820229495</v>
      </c>
      <c r="C1813">
        <v>0.95608862571270303</v>
      </c>
      <c r="D1813">
        <v>0.986464099139576</v>
      </c>
      <c r="E1813">
        <v>0.85508952650623204</v>
      </c>
      <c r="F1813">
        <v>1.1650544300294201</v>
      </c>
      <c r="G1813">
        <v>1.7324412590521201</v>
      </c>
      <c r="H1813">
        <v>1.1577224755109401</v>
      </c>
      <c r="I1813">
        <v>0.82319108324906798</v>
      </c>
      <c r="J1813">
        <v>0.69046080255939002</v>
      </c>
      <c r="K1813">
        <v>0.58884452589848801</v>
      </c>
      <c r="L1813">
        <v>15000</v>
      </c>
      <c r="M1813">
        <v>234.337470150505</v>
      </c>
      <c r="O1813">
        <v>64.005587796785093</v>
      </c>
      <c r="P1813">
        <v>-0.32983359878004298</v>
      </c>
      <c r="Q1813">
        <v>0.639644597871312</v>
      </c>
      <c r="R1813">
        <v>0.320354911380965</v>
      </c>
      <c r="S1813" t="s">
        <v>7639</v>
      </c>
      <c r="T1813" t="s">
        <v>11650</v>
      </c>
      <c r="U1813" t="s">
        <v>11650</v>
      </c>
      <c r="V1813" t="s">
        <v>11650</v>
      </c>
      <c r="W1813" t="s">
        <v>13429</v>
      </c>
      <c r="X1813">
        <v>1</v>
      </c>
      <c r="Y1813" t="s">
        <v>19165</v>
      </c>
      <c r="Z1813" t="s">
        <v>24875</v>
      </c>
      <c r="AA1813">
        <v>0.9280981133190862</v>
      </c>
      <c r="AB1813" t="str">
        <f>HYPERLINK("Melting_Curves/meltCurve_P08603_CFH.pdf", "Melting_Curves/meltCurve_P08603_CFH.pdf")</f>
        <v>Melting_Curves/meltCurve_P08603_CFH.pdf</v>
      </c>
    </row>
    <row r="1814" spans="1:28" x14ac:dyDescent="0.25">
      <c r="A1814" t="s">
        <v>1818</v>
      </c>
      <c r="B1814">
        <v>0.99996721820229495</v>
      </c>
      <c r="C1814">
        <v>0.94692830157612196</v>
      </c>
      <c r="D1814">
        <v>1.0313848203549101</v>
      </c>
      <c r="E1814">
        <v>1.44940982556372</v>
      </c>
      <c r="F1814">
        <v>1.1860530202924799</v>
      </c>
      <c r="G1814">
        <v>1.0159780195671799</v>
      </c>
      <c r="H1814">
        <v>0.75469427895071395</v>
      </c>
      <c r="I1814">
        <v>1.0861518096973699</v>
      </c>
      <c r="J1814">
        <v>0.53851469886401404</v>
      </c>
      <c r="K1814">
        <v>1.17860234229178</v>
      </c>
      <c r="L1814">
        <v>10321.707982321699</v>
      </c>
      <c r="M1814">
        <v>176.29678697097199</v>
      </c>
      <c r="O1814">
        <v>58.539807059849203</v>
      </c>
      <c r="P1814">
        <v>-8.3147599047985202E-2</v>
      </c>
      <c r="Q1814">
        <v>0.88956249382830499</v>
      </c>
      <c r="R1814">
        <v>8.2374510954340299E-2</v>
      </c>
      <c r="S1814" t="s">
        <v>7640</v>
      </c>
      <c r="T1814" t="s">
        <v>11650</v>
      </c>
      <c r="U1814" t="s">
        <v>11650</v>
      </c>
      <c r="V1814" t="s">
        <v>11650</v>
      </c>
      <c r="W1814" t="s">
        <v>13430</v>
      </c>
      <c r="X1814">
        <v>4</v>
      </c>
      <c r="Y1814" t="s">
        <v>19166</v>
      </c>
      <c r="Z1814" t="s">
        <v>24876</v>
      </c>
      <c r="AA1814">
        <v>0.95786271782685062</v>
      </c>
      <c r="AB1814" t="str">
        <f>HYPERLINK("Melting_Curves/meltCurve_P08621_2_SNRNP70.pdf", "Melting_Curves/meltCurve_P08621_2_SNRNP70.pdf")</f>
        <v>Melting_Curves/meltCurve_P08621_2_SNRNP70.pdf</v>
      </c>
    </row>
    <row r="1815" spans="1:28" x14ac:dyDescent="0.25">
      <c r="A1815" t="s">
        <v>1819</v>
      </c>
      <c r="B1815">
        <v>0.99996721820229495</v>
      </c>
      <c r="C1815">
        <v>0.96881141921132397</v>
      </c>
      <c r="D1815">
        <v>1.36325853150317</v>
      </c>
      <c r="E1815">
        <v>1.75785148317422</v>
      </c>
      <c r="F1815">
        <v>2.1856376612669002</v>
      </c>
      <c r="G1815">
        <v>2.2789927367829002</v>
      </c>
      <c r="H1815">
        <v>1.5034359275106399</v>
      </c>
      <c r="I1815">
        <v>0.84056644013955095</v>
      </c>
      <c r="J1815">
        <v>0.36899376080454999</v>
      </c>
      <c r="K1815">
        <v>0.71324632722548198</v>
      </c>
      <c r="L1815">
        <v>15000</v>
      </c>
      <c r="M1815">
        <v>233.74495475657901</v>
      </c>
      <c r="O1815">
        <v>64.167810586265006</v>
      </c>
      <c r="P1815">
        <v>-0.41789324915748199</v>
      </c>
      <c r="Q1815">
        <v>0.54111874085688005</v>
      </c>
      <c r="R1815">
        <v>-0.12209753878912299</v>
      </c>
      <c r="S1815" t="s">
        <v>7641</v>
      </c>
      <c r="T1815" t="s">
        <v>11650</v>
      </c>
      <c r="U1815" t="s">
        <v>11650</v>
      </c>
      <c r="V1815" t="s">
        <v>11650</v>
      </c>
      <c r="W1815" t="s">
        <v>13431</v>
      </c>
      <c r="X1815">
        <v>27</v>
      </c>
      <c r="Y1815" t="s">
        <v>19167</v>
      </c>
      <c r="Z1815" t="s">
        <v>24877</v>
      </c>
      <c r="AA1815">
        <v>0.91092155879554693</v>
      </c>
      <c r="AB1815" t="str">
        <f>HYPERLINK("Melting_Curves/meltCurve_P08648_ITGA5.pdf", "Melting_Curves/meltCurve_P08648_ITGA5.pdf")</f>
        <v>Melting_Curves/meltCurve_P08648_ITGA5.pdf</v>
      </c>
    </row>
    <row r="1816" spans="1:28" x14ac:dyDescent="0.25">
      <c r="A1816" t="s">
        <v>1820</v>
      </c>
      <c r="B1816">
        <v>0.99996721820229495</v>
      </c>
      <c r="C1816">
        <v>1.03601524003089</v>
      </c>
      <c r="D1816">
        <v>1.0820629214848001</v>
      </c>
      <c r="E1816">
        <v>1.04315558279904</v>
      </c>
      <c r="F1816">
        <v>1.40436349606751</v>
      </c>
      <c r="G1816">
        <v>1.31214540089219</v>
      </c>
      <c r="H1816">
        <v>0.90043987299134198</v>
      </c>
      <c r="I1816">
        <v>0.841239316956089</v>
      </c>
      <c r="J1816">
        <v>0.82668465497273802</v>
      </c>
      <c r="K1816">
        <v>0.659676420309384</v>
      </c>
      <c r="L1816">
        <v>1819.35452879267</v>
      </c>
      <c r="M1816">
        <v>27.575465425490901</v>
      </c>
      <c r="O1816">
        <v>65.633243443882407</v>
      </c>
      <c r="P1816">
        <v>-4.0082688416599399E-2</v>
      </c>
      <c r="Q1816">
        <v>0.61839515840000503</v>
      </c>
      <c r="R1816">
        <v>0.369675651527958</v>
      </c>
      <c r="S1816" t="s">
        <v>7642</v>
      </c>
      <c r="T1816" t="s">
        <v>11650</v>
      </c>
      <c r="U1816" t="s">
        <v>11650</v>
      </c>
      <c r="V1816" t="s">
        <v>11650</v>
      </c>
      <c r="W1816" t="s">
        <v>13432</v>
      </c>
      <c r="X1816">
        <v>1</v>
      </c>
      <c r="Y1816" t="s">
        <v>19168</v>
      </c>
      <c r="Z1816" t="s">
        <v>24878</v>
      </c>
      <c r="AA1816">
        <v>0.94555365945196146</v>
      </c>
      <c r="AB1816" t="str">
        <f>HYPERLINK("Melting_Curves/meltCurve_P08651_2_NFIC.pdf", "Melting_Curves/meltCurve_P08651_2_NFIC.pdf")</f>
        <v>Melting_Curves/meltCurve_P08651_2_NFIC.pdf</v>
      </c>
    </row>
    <row r="1817" spans="1:28" x14ac:dyDescent="0.25">
      <c r="A1817" t="s">
        <v>1821</v>
      </c>
      <c r="B1817">
        <v>0.99996721820229495</v>
      </c>
      <c r="C1817">
        <v>0.97892845145222795</v>
      </c>
      <c r="D1817">
        <v>1.0160177698414099</v>
      </c>
      <c r="E1817">
        <v>1.2924139505502801</v>
      </c>
      <c r="F1817">
        <v>2.4135880320683101</v>
      </c>
      <c r="G1817">
        <v>3.3282879111569699</v>
      </c>
      <c r="H1817">
        <v>2.7147385858539801</v>
      </c>
      <c r="I1817">
        <v>2.26329532533435</v>
      </c>
      <c r="J1817">
        <v>1.8298381290116601</v>
      </c>
      <c r="K1817">
        <v>1.8422944668008401</v>
      </c>
      <c r="L1817">
        <v>12482.868019341</v>
      </c>
      <c r="M1817">
        <v>250</v>
      </c>
      <c r="O1817">
        <v>49.928271944576501</v>
      </c>
      <c r="P1817">
        <v>0.62589782861375098</v>
      </c>
      <c r="Q1817">
        <v>1.5</v>
      </c>
      <c r="R1817">
        <v>-9.40647416215801E-2</v>
      </c>
      <c r="S1817" t="s">
        <v>7643</v>
      </c>
      <c r="T1817" t="s">
        <v>11650</v>
      </c>
      <c r="U1817" t="s">
        <v>11650</v>
      </c>
      <c r="V1817" t="s">
        <v>11650</v>
      </c>
      <c r="W1817" t="s">
        <v>13433</v>
      </c>
      <c r="X1817">
        <v>74</v>
      </c>
      <c r="Y1817" t="s">
        <v>19169</v>
      </c>
      <c r="Z1817" t="s">
        <v>24879</v>
      </c>
      <c r="AA1817">
        <v>1.334431650899071</v>
      </c>
      <c r="AB1817" t="str">
        <f>HYPERLINK("Melting_Curves/meltCurve_P08670_VIM.pdf", "Melting_Curves/meltCurve_P08670_VIM.pdf")</f>
        <v>Melting_Curves/meltCurve_P08670_VIM.pdf</v>
      </c>
    </row>
    <row r="1818" spans="1:28" x14ac:dyDescent="0.25">
      <c r="A1818" t="s">
        <v>1822</v>
      </c>
      <c r="B1818">
        <v>0.99996721820229495</v>
      </c>
      <c r="C1818">
        <v>0.80459369496553901</v>
      </c>
      <c r="D1818">
        <v>1.0576668758562</v>
      </c>
      <c r="E1818">
        <v>1.2244031561006301</v>
      </c>
      <c r="F1818">
        <v>1.2532613103428201</v>
      </c>
      <c r="G1818">
        <v>0.39784599657061398</v>
      </c>
      <c r="H1818">
        <v>0.18575301908863701</v>
      </c>
      <c r="I1818">
        <v>0.12875758431426401</v>
      </c>
      <c r="J1818">
        <v>8.7101126348405999E-2</v>
      </c>
      <c r="K1818">
        <v>8.1185898612227303E-2</v>
      </c>
      <c r="L1818">
        <v>14205.769911736799</v>
      </c>
      <c r="M1818">
        <v>250</v>
      </c>
      <c r="N1818">
        <v>56.885946559518899</v>
      </c>
      <c r="O1818">
        <v>56.819462426336599</v>
      </c>
      <c r="P1818">
        <v>-0.96720919167519104</v>
      </c>
      <c r="Q1818">
        <v>0.120699393549574</v>
      </c>
      <c r="R1818">
        <v>0.92556752673008102</v>
      </c>
      <c r="S1818" t="s">
        <v>7644</v>
      </c>
      <c r="T1818" t="s">
        <v>11650</v>
      </c>
      <c r="U1818" t="s">
        <v>11650</v>
      </c>
      <c r="V1818" t="s">
        <v>11650</v>
      </c>
      <c r="W1818" t="s">
        <v>13434</v>
      </c>
      <c r="X1818">
        <v>20</v>
      </c>
      <c r="Y1818" t="s">
        <v>19170</v>
      </c>
      <c r="Z1818" t="s">
        <v>24880</v>
      </c>
      <c r="AA1818">
        <v>0.613871885120301</v>
      </c>
      <c r="AB1818" t="str">
        <f>HYPERLINK("Melting_Curves/meltCurve_P08754_GNAI3.pdf", "Melting_Curves/meltCurve_P08754_GNAI3.pdf")</f>
        <v>Melting_Curves/meltCurve_P08754_GNAI3.pdf</v>
      </c>
    </row>
    <row r="1819" spans="1:28" x14ac:dyDescent="0.25">
      <c r="A1819" t="s">
        <v>1823</v>
      </c>
      <c r="B1819">
        <v>0.99996721820229495</v>
      </c>
      <c r="C1819">
        <v>1.13607473233861</v>
      </c>
      <c r="D1819">
        <v>0.97345965431602799</v>
      </c>
      <c r="E1819">
        <v>0.54062685248612896</v>
      </c>
      <c r="F1819">
        <v>0.17725334350329899</v>
      </c>
      <c r="G1819">
        <v>0.13449321956108001</v>
      </c>
      <c r="H1819">
        <v>7.9086998778691506E-2</v>
      </c>
      <c r="I1819">
        <v>5.2897244535067597E-2</v>
      </c>
      <c r="J1819">
        <v>3.6306893568293502E-2</v>
      </c>
      <c r="K1819">
        <v>3.1664488214125097E-2</v>
      </c>
      <c r="L1819">
        <v>1798.70280855702</v>
      </c>
      <c r="M1819">
        <v>35.911463951116801</v>
      </c>
      <c r="N1819">
        <v>50.277189902027601</v>
      </c>
      <c r="O1819">
        <v>49.9325938934007</v>
      </c>
      <c r="P1819">
        <v>-0.16838915153294201</v>
      </c>
      <c r="Q1819">
        <v>6.3465611794219404E-2</v>
      </c>
      <c r="R1819">
        <v>0.98662952546518701</v>
      </c>
      <c r="S1819" t="s">
        <v>7645</v>
      </c>
      <c r="T1819" t="s">
        <v>11650</v>
      </c>
      <c r="U1819" t="s">
        <v>11650</v>
      </c>
      <c r="V1819" t="s">
        <v>11650</v>
      </c>
      <c r="W1819" t="s">
        <v>13435</v>
      </c>
      <c r="X1819">
        <v>37</v>
      </c>
      <c r="Y1819" t="s">
        <v>19171</v>
      </c>
      <c r="Z1819" t="s">
        <v>24881</v>
      </c>
      <c r="AA1819">
        <v>0.38239663614532021</v>
      </c>
      <c r="AB1819" t="str">
        <f>HYPERLINK("Melting_Curves/meltCurve_P08758_ANXA5.pdf", "Melting_Curves/meltCurve_P08758_ANXA5.pdf")</f>
        <v>Melting_Curves/meltCurve_P08758_ANXA5.pdf</v>
      </c>
    </row>
    <row r="1820" spans="1:28" x14ac:dyDescent="0.25">
      <c r="A1820" t="s">
        <v>1824</v>
      </c>
      <c r="B1820">
        <v>0.99996721820229495</v>
      </c>
      <c r="C1820">
        <v>0.951353577596735</v>
      </c>
      <c r="D1820">
        <v>0.99594198606796602</v>
      </c>
      <c r="E1820">
        <v>0.91843224402760704</v>
      </c>
      <c r="F1820">
        <v>1.03716433340032</v>
      </c>
      <c r="G1820">
        <v>1.0316159613339599</v>
      </c>
      <c r="H1820">
        <v>0.66048811374129202</v>
      </c>
      <c r="I1820">
        <v>0.47491874738749501</v>
      </c>
      <c r="J1820">
        <v>0.30313418640922102</v>
      </c>
      <c r="K1820">
        <v>0.231860113130157</v>
      </c>
      <c r="L1820">
        <v>1960.2607358696</v>
      </c>
      <c r="M1820">
        <v>31.630359738304598</v>
      </c>
      <c r="N1820">
        <v>63.214718445106797</v>
      </c>
      <c r="O1820">
        <v>61.727866029202403</v>
      </c>
      <c r="P1820">
        <v>-9.8481335186084901E-2</v>
      </c>
      <c r="Q1820">
        <v>0.231243309549343</v>
      </c>
      <c r="R1820">
        <v>0.97685736115561805</v>
      </c>
      <c r="S1820" t="s">
        <v>7646</v>
      </c>
      <c r="T1820" t="s">
        <v>11650</v>
      </c>
      <c r="U1820" t="s">
        <v>11650</v>
      </c>
      <c r="V1820" t="s">
        <v>11650</v>
      </c>
      <c r="W1820" t="s">
        <v>13436</v>
      </c>
      <c r="X1820">
        <v>4</v>
      </c>
      <c r="Y1820" t="s">
        <v>19172</v>
      </c>
      <c r="Z1820" t="s">
        <v>24882</v>
      </c>
      <c r="AA1820">
        <v>0.79781114064654013</v>
      </c>
      <c r="AB1820" t="str">
        <f>HYPERLINK("Melting_Curves/meltCurve_P08842_STS.pdf", "Melting_Curves/meltCurve_P08842_STS.pdf")</f>
        <v>Melting_Curves/meltCurve_P08842_STS.pdf</v>
      </c>
    </row>
    <row r="1821" spans="1:28" x14ac:dyDescent="0.25">
      <c r="A1821" t="s">
        <v>1825</v>
      </c>
      <c r="B1821">
        <v>0.99996721820229495</v>
      </c>
      <c r="C1821">
        <v>0.99738895476614697</v>
      </c>
      <c r="D1821">
        <v>1.18919666863521</v>
      </c>
      <c r="E1821">
        <v>2.2455259163596901</v>
      </c>
      <c r="F1821">
        <v>3.6694190303188199</v>
      </c>
      <c r="G1821">
        <v>2.2780390671186401</v>
      </c>
      <c r="H1821">
        <v>1.0998273243994401</v>
      </c>
      <c r="I1821">
        <v>1.1028612682436301</v>
      </c>
      <c r="J1821">
        <v>0.40883165057677801</v>
      </c>
      <c r="K1821">
        <v>0.30873471885166098</v>
      </c>
      <c r="L1821">
        <v>15000</v>
      </c>
      <c r="M1821">
        <v>225.65391324907</v>
      </c>
      <c r="N1821">
        <v>66.757614381293394</v>
      </c>
      <c r="O1821">
        <v>66.4682555212826</v>
      </c>
      <c r="P1821">
        <v>-0.58678700312407694</v>
      </c>
      <c r="Q1821">
        <v>0.30862784585578201</v>
      </c>
      <c r="R1821">
        <v>-0.109307211371322</v>
      </c>
      <c r="S1821" t="s">
        <v>7647</v>
      </c>
      <c r="T1821" t="s">
        <v>11650</v>
      </c>
      <c r="U1821" t="s">
        <v>11650</v>
      </c>
      <c r="V1821" t="s">
        <v>11650</v>
      </c>
      <c r="W1821" t="s">
        <v>13437</v>
      </c>
      <c r="X1821">
        <v>2</v>
      </c>
      <c r="Y1821" t="s">
        <v>19173</v>
      </c>
      <c r="Z1821" t="s">
        <v>24883</v>
      </c>
      <c r="AA1821">
        <v>0.91882756701622859</v>
      </c>
      <c r="AB1821" t="str">
        <f>HYPERLINK("Melting_Curves/meltCurve_P09012_SNRPA.pdf", "Melting_Curves/meltCurve_P09012_SNRPA.pdf")</f>
        <v>Melting_Curves/meltCurve_P09012_SNRPA.pdf</v>
      </c>
    </row>
    <row r="1822" spans="1:28" x14ac:dyDescent="0.25">
      <c r="A1822" t="s">
        <v>1826</v>
      </c>
      <c r="B1822">
        <v>0.99996721820229495</v>
      </c>
      <c r="C1822">
        <v>0.79855882884045903</v>
      </c>
      <c r="D1822">
        <v>0.77473415132956502</v>
      </c>
      <c r="E1822">
        <v>0.71420041312193305</v>
      </c>
      <c r="F1822">
        <v>0.57881695436570602</v>
      </c>
      <c r="G1822">
        <v>0.40457662555865198</v>
      </c>
      <c r="H1822">
        <v>0.29568619744582098</v>
      </c>
      <c r="I1822">
        <v>0.203944148387909</v>
      </c>
      <c r="J1822">
        <v>0.16815352488354901</v>
      </c>
      <c r="K1822">
        <v>0.14923014297974099</v>
      </c>
      <c r="L1822">
        <v>429.57331845552397</v>
      </c>
      <c r="M1822">
        <v>7.9092165566813604</v>
      </c>
      <c r="N1822">
        <v>54.313004924123497</v>
      </c>
      <c r="O1822">
        <v>51.169979752268802</v>
      </c>
      <c r="P1822">
        <v>-3.8687471236685103E-2</v>
      </c>
      <c r="Q1822">
        <v>0</v>
      </c>
      <c r="R1822">
        <v>0.97952050808451496</v>
      </c>
      <c r="S1822" t="s">
        <v>7648</v>
      </c>
      <c r="T1822" t="s">
        <v>11650</v>
      </c>
      <c r="U1822" t="s">
        <v>11650</v>
      </c>
      <c r="V1822" t="s">
        <v>11650</v>
      </c>
      <c r="W1822" t="s">
        <v>13438</v>
      </c>
      <c r="X1822">
        <v>7</v>
      </c>
      <c r="Y1822" t="s">
        <v>19174</v>
      </c>
      <c r="Z1822" t="s">
        <v>24884</v>
      </c>
      <c r="AA1822">
        <v>0.5091833521654745</v>
      </c>
      <c r="AB1822" t="str">
        <f>HYPERLINK("Melting_Curves/meltCurve_P09038_2_FGF2.pdf", "Melting_Curves/meltCurve_P09038_2_FGF2.pdf")</f>
        <v>Melting_Curves/meltCurve_P09038_2_FGF2.pdf</v>
      </c>
    </row>
    <row r="1823" spans="1:28" x14ac:dyDescent="0.25">
      <c r="A1823" t="s">
        <v>1827</v>
      </c>
      <c r="B1823">
        <v>0.99996721820229495</v>
      </c>
      <c r="C1823">
        <v>1.0659202658835401</v>
      </c>
      <c r="D1823">
        <v>1.11882330405713</v>
      </c>
      <c r="E1823">
        <v>1.18452327748702</v>
      </c>
      <c r="F1823">
        <v>1.4415304659394199</v>
      </c>
      <c r="G1823">
        <v>1.7379253836657</v>
      </c>
      <c r="H1823">
        <v>1.1203390720044799</v>
      </c>
      <c r="I1823">
        <v>0.43395357824752101</v>
      </c>
      <c r="J1823">
        <v>0.155100498445636</v>
      </c>
      <c r="K1823">
        <v>0.109055099061958</v>
      </c>
      <c r="L1823">
        <v>15000</v>
      </c>
      <c r="M1823">
        <v>235.00357263424499</v>
      </c>
      <c r="N1823">
        <v>63.912247483560002</v>
      </c>
      <c r="O1823">
        <v>63.824194409015497</v>
      </c>
      <c r="P1823">
        <v>-0.79894065796427804</v>
      </c>
      <c r="Q1823">
        <v>0.132068620218631</v>
      </c>
      <c r="R1823">
        <v>0.68874557666199798</v>
      </c>
      <c r="S1823" t="s">
        <v>7649</v>
      </c>
      <c r="T1823" t="s">
        <v>11650</v>
      </c>
      <c r="U1823" t="s">
        <v>11650</v>
      </c>
      <c r="V1823" t="s">
        <v>11650</v>
      </c>
      <c r="W1823" t="s">
        <v>13439</v>
      </c>
      <c r="X1823">
        <v>23</v>
      </c>
      <c r="Y1823" t="s">
        <v>19175</v>
      </c>
      <c r="Z1823" t="s">
        <v>24885</v>
      </c>
      <c r="AA1823">
        <v>0.82157124889463939</v>
      </c>
      <c r="AB1823" t="str">
        <f>HYPERLINK("Melting_Curves/meltCurve_P09104_ENO2.pdf", "Melting_Curves/meltCurve_P09104_ENO2.pdf")</f>
        <v>Melting_Curves/meltCurve_P09104_ENO2.pdf</v>
      </c>
    </row>
    <row r="1824" spans="1:28" x14ac:dyDescent="0.25">
      <c r="A1824" t="s">
        <v>1828</v>
      </c>
      <c r="B1824">
        <v>0.99996721820229495</v>
      </c>
      <c r="C1824">
        <v>1.07376341112175</v>
      </c>
      <c r="D1824">
        <v>1.1035569178939599</v>
      </c>
      <c r="E1824">
        <v>1.11253682004434</v>
      </c>
      <c r="F1824">
        <v>1.18658510439503</v>
      </c>
      <c r="G1824">
        <v>1.14768335633528</v>
      </c>
      <c r="H1824">
        <v>0.41880116295040298</v>
      </c>
      <c r="I1824">
        <v>0.13561074759789801</v>
      </c>
      <c r="J1824">
        <v>6.5249682176995005E-2</v>
      </c>
      <c r="K1824">
        <v>4.8301118948081499E-2</v>
      </c>
      <c r="L1824">
        <v>6716.1135449211097</v>
      </c>
      <c r="M1824">
        <v>110.63943951397</v>
      </c>
      <c r="N1824">
        <v>60.800814380207797</v>
      </c>
      <c r="O1824">
        <v>60.682886858039801</v>
      </c>
      <c r="P1824">
        <v>-0.41854691876187</v>
      </c>
      <c r="Q1824">
        <v>8.1751217543389404E-2</v>
      </c>
      <c r="R1824">
        <v>0.95956275508576605</v>
      </c>
      <c r="S1824" t="s">
        <v>7650</v>
      </c>
      <c r="T1824" t="s">
        <v>11650</v>
      </c>
      <c r="U1824" t="s">
        <v>11650</v>
      </c>
      <c r="V1824" t="s">
        <v>11650</v>
      </c>
      <c r="W1824" t="s">
        <v>11833</v>
      </c>
      <c r="X1824">
        <v>18</v>
      </c>
      <c r="Y1824" t="s">
        <v>17596</v>
      </c>
      <c r="Z1824" t="s">
        <v>24886</v>
      </c>
      <c r="AA1824">
        <v>0.71592565860101631</v>
      </c>
      <c r="AB1824" t="str">
        <f>HYPERLINK("Melting_Curves/meltCurve_P09110_ACAA1.pdf", "Melting_Curves/meltCurve_P09110_ACAA1.pdf")</f>
        <v>Melting_Curves/meltCurve_P09110_ACAA1.pdf</v>
      </c>
    </row>
    <row r="1825" spans="1:28" x14ac:dyDescent="0.25">
      <c r="A1825" t="s">
        <v>1829</v>
      </c>
      <c r="B1825">
        <v>0.99996721820229495</v>
      </c>
      <c r="C1825">
        <v>0.78313804758271199</v>
      </c>
      <c r="D1825">
        <v>1.0496237106431201</v>
      </c>
      <c r="E1825">
        <v>1.8157042080830099</v>
      </c>
      <c r="F1825">
        <v>1.0543281359589001</v>
      </c>
      <c r="G1825">
        <v>0.90285199435133001</v>
      </c>
      <c r="H1825">
        <v>0.37018878829734198</v>
      </c>
      <c r="I1825">
        <v>0.24134957699308701</v>
      </c>
      <c r="J1825">
        <v>0.162202506927765</v>
      </c>
      <c r="K1825">
        <v>0.13587954551669901</v>
      </c>
      <c r="L1825">
        <v>2656.3446183620699</v>
      </c>
      <c r="M1825">
        <v>44.581842705856097</v>
      </c>
      <c r="N1825">
        <v>60.111126100837701</v>
      </c>
      <c r="O1825">
        <v>59.464040256359198</v>
      </c>
      <c r="P1825">
        <v>-0.157086149805822</v>
      </c>
      <c r="Q1825">
        <v>0.16190412832755899</v>
      </c>
      <c r="R1825">
        <v>0.71503422736947297</v>
      </c>
      <c r="S1825" t="s">
        <v>7651</v>
      </c>
      <c r="T1825" t="s">
        <v>11650</v>
      </c>
      <c r="U1825" t="s">
        <v>11650</v>
      </c>
      <c r="V1825" t="s">
        <v>11650</v>
      </c>
      <c r="W1825" t="s">
        <v>13440</v>
      </c>
      <c r="X1825">
        <v>2</v>
      </c>
      <c r="Y1825" t="s">
        <v>19176</v>
      </c>
      <c r="Z1825" t="s">
        <v>24887</v>
      </c>
      <c r="AA1825">
        <v>0.7117037633168789</v>
      </c>
      <c r="AB1825" t="str">
        <f>HYPERLINK("Melting_Curves/meltCurve_P09132_SRP19.pdf", "Melting_Curves/meltCurve_P09132_SRP19.pdf")</f>
        <v>Melting_Curves/meltCurve_P09132_SRP19.pdf</v>
      </c>
    </row>
    <row r="1826" spans="1:28" x14ac:dyDescent="0.25">
      <c r="A1826" t="s">
        <v>1830</v>
      </c>
      <c r="B1826">
        <v>0.99996721820229495</v>
      </c>
      <c r="C1826">
        <v>1.0663094313767401</v>
      </c>
      <c r="D1826">
        <v>1.01597537007865</v>
      </c>
      <c r="E1826">
        <v>0.67896113748799503</v>
      </c>
      <c r="F1826">
        <v>0.266484260952146</v>
      </c>
      <c r="G1826">
        <v>0.21298349736285899</v>
      </c>
      <c r="H1826">
        <v>0.12462580248319099</v>
      </c>
      <c r="I1826">
        <v>8.3846757724349796E-2</v>
      </c>
      <c r="J1826">
        <v>5.9097827040256998E-2</v>
      </c>
      <c r="K1826">
        <v>4.1942163948189601E-2</v>
      </c>
      <c r="L1826">
        <v>1687.5965794060601</v>
      </c>
      <c r="M1826">
        <v>33.146235987751901</v>
      </c>
      <c r="N1826">
        <v>51.2379589304159</v>
      </c>
      <c r="O1826">
        <v>50.7294291217259</v>
      </c>
      <c r="P1826">
        <v>-0.14789292417861599</v>
      </c>
      <c r="Q1826">
        <v>9.4619362353964495E-2</v>
      </c>
      <c r="R1826">
        <v>0.988064512397689</v>
      </c>
      <c r="S1826" t="s">
        <v>7652</v>
      </c>
      <c r="T1826" t="s">
        <v>11650</v>
      </c>
      <c r="U1826" t="s">
        <v>11650</v>
      </c>
      <c r="V1826" t="s">
        <v>11650</v>
      </c>
      <c r="W1826" t="s">
        <v>13441</v>
      </c>
      <c r="X1826">
        <v>17</v>
      </c>
      <c r="Y1826" t="s">
        <v>19177</v>
      </c>
      <c r="Z1826" t="s">
        <v>24888</v>
      </c>
      <c r="AA1826">
        <v>0.42863938013430208</v>
      </c>
      <c r="AB1826" t="str">
        <f>HYPERLINK("Melting_Curves/meltCurve_P09211_GSTP1.pdf", "Melting_Curves/meltCurve_P09211_GSTP1.pdf")</f>
        <v>Melting_Curves/meltCurve_P09211_GSTP1.pdf</v>
      </c>
    </row>
    <row r="1827" spans="1:28" x14ac:dyDescent="0.25">
      <c r="A1827" t="s">
        <v>1831</v>
      </c>
      <c r="B1827">
        <v>0.99996721820229495</v>
      </c>
      <c r="C1827">
        <v>1.1167441632370401</v>
      </c>
      <c r="D1827">
        <v>1.0815447992960701</v>
      </c>
      <c r="E1827">
        <v>1.4189659010465301</v>
      </c>
      <c r="F1827">
        <v>2.8818119325957299</v>
      </c>
      <c r="G1827">
        <v>3.25371928732448</v>
      </c>
      <c r="H1827">
        <v>2.47544922156928</v>
      </c>
      <c r="I1827">
        <v>2.0926650784785599</v>
      </c>
      <c r="J1827">
        <v>1.9317719439502301</v>
      </c>
      <c r="K1827">
        <v>1.30481998352697</v>
      </c>
      <c r="L1827">
        <v>3084.8767002713398</v>
      </c>
      <c r="M1827">
        <v>65.382574668039496</v>
      </c>
      <c r="O1827">
        <v>47.137861131014098</v>
      </c>
      <c r="P1827">
        <v>0.17338131470721299</v>
      </c>
      <c r="Q1827">
        <v>1.5</v>
      </c>
      <c r="R1827">
        <v>-0.121237874966048</v>
      </c>
      <c r="S1827" t="s">
        <v>7653</v>
      </c>
      <c r="T1827" t="s">
        <v>11650</v>
      </c>
      <c r="U1827" t="s">
        <v>11650</v>
      </c>
      <c r="V1827" t="s">
        <v>11650</v>
      </c>
      <c r="W1827" t="s">
        <v>13442</v>
      </c>
      <c r="X1827">
        <v>4</v>
      </c>
      <c r="Y1827" t="s">
        <v>19178</v>
      </c>
      <c r="Z1827" t="s">
        <v>24889</v>
      </c>
      <c r="AA1827">
        <v>1.3796937937941161</v>
      </c>
      <c r="AB1827" t="str">
        <f>HYPERLINK("Melting_Curves/meltCurve_P09234_SNRPC.pdf", "Melting_Curves/meltCurve_P09234_SNRPC.pdf")</f>
        <v>Melting_Curves/meltCurve_P09234_SNRPC.pdf</v>
      </c>
    </row>
    <row r="1828" spans="1:28" x14ac:dyDescent="0.25">
      <c r="A1828" t="s">
        <v>1832</v>
      </c>
      <c r="B1828">
        <v>0.99996721820229495</v>
      </c>
      <c r="C1828">
        <v>1.01238187728603</v>
      </c>
      <c r="D1828">
        <v>1.0375450595228299</v>
      </c>
      <c r="E1828">
        <v>1.1081326354443899</v>
      </c>
      <c r="F1828">
        <v>1.3592545706608501</v>
      </c>
      <c r="G1828">
        <v>1.5915779057141399</v>
      </c>
      <c r="H1828">
        <v>1.21111951774503</v>
      </c>
      <c r="I1828">
        <v>0.69807624595478102</v>
      </c>
      <c r="J1828">
        <v>0.38518873951316002</v>
      </c>
      <c r="K1828">
        <v>0.26372839460942799</v>
      </c>
      <c r="L1828">
        <v>13289.1534391521</v>
      </c>
      <c r="M1828">
        <v>207.42950525139301</v>
      </c>
      <c r="N1828">
        <v>64.390718602188301</v>
      </c>
      <c r="O1828">
        <v>64.059903482452398</v>
      </c>
      <c r="P1828">
        <v>-0.54690098508274199</v>
      </c>
      <c r="Q1828">
        <v>0.32440787390028603</v>
      </c>
      <c r="R1828">
        <v>0.64591620202231403</v>
      </c>
      <c r="S1828" t="s">
        <v>7654</v>
      </c>
      <c r="T1828" t="s">
        <v>11650</v>
      </c>
      <c r="U1828" t="s">
        <v>11650</v>
      </c>
      <c r="V1828" t="s">
        <v>11650</v>
      </c>
      <c r="W1828" t="s">
        <v>13443</v>
      </c>
      <c r="X1828">
        <v>16</v>
      </c>
      <c r="Y1828" t="s">
        <v>19179</v>
      </c>
      <c r="Z1828" t="s">
        <v>24890</v>
      </c>
      <c r="AA1828">
        <v>0.86647548526424845</v>
      </c>
      <c r="AB1828" t="str">
        <f>HYPERLINK("Melting_Curves/meltCurve_P09382_LGALS1.pdf", "Melting_Curves/meltCurve_P09382_LGALS1.pdf")</f>
        <v>Melting_Curves/meltCurve_P09382_LGALS1.pdf</v>
      </c>
    </row>
    <row r="1829" spans="1:28" x14ac:dyDescent="0.25">
      <c r="A1829" t="s">
        <v>1833</v>
      </c>
      <c r="B1829">
        <v>0.99996721820229495</v>
      </c>
      <c r="C1829">
        <v>1.01625833917362</v>
      </c>
      <c r="D1829">
        <v>1.00844871718124</v>
      </c>
      <c r="E1829">
        <v>1.00125660651744</v>
      </c>
      <c r="F1829">
        <v>1.18257584610799</v>
      </c>
      <c r="G1829">
        <v>0.82721638040786305</v>
      </c>
      <c r="H1829">
        <v>0.23079272462063399</v>
      </c>
      <c r="I1829">
        <v>0.14366027553498301</v>
      </c>
      <c r="J1829">
        <v>9.8450214534347796E-2</v>
      </c>
      <c r="K1829">
        <v>8.9923387572339794E-2</v>
      </c>
      <c r="L1829">
        <v>2919.2794960281299</v>
      </c>
      <c r="M1829">
        <v>49.705288991834102</v>
      </c>
      <c r="N1829">
        <v>59.013297246158302</v>
      </c>
      <c r="O1829">
        <v>58.636935291638999</v>
      </c>
      <c r="P1829">
        <v>-0.189551160263841</v>
      </c>
      <c r="Q1829">
        <v>0.105552776762161</v>
      </c>
      <c r="R1829">
        <v>0.98066332958964597</v>
      </c>
      <c r="S1829" t="s">
        <v>7655</v>
      </c>
      <c r="T1829" t="s">
        <v>11650</v>
      </c>
      <c r="U1829" t="s">
        <v>11650</v>
      </c>
      <c r="V1829" t="s">
        <v>11650</v>
      </c>
      <c r="W1829" t="s">
        <v>13444</v>
      </c>
      <c r="X1829">
        <v>11</v>
      </c>
      <c r="Y1829" t="s">
        <v>19180</v>
      </c>
      <c r="Z1829" t="s">
        <v>24891</v>
      </c>
      <c r="AA1829">
        <v>0.66636601893109182</v>
      </c>
      <c r="AB1829" t="str">
        <f>HYPERLINK("Melting_Curves/meltCurve_P09417_QDPR.pdf", "Melting_Curves/meltCurve_P09417_QDPR.pdf")</f>
        <v>Melting_Curves/meltCurve_P09417_QDPR.pdf</v>
      </c>
    </row>
    <row r="1830" spans="1:28" x14ac:dyDescent="0.25">
      <c r="A1830" t="s">
        <v>1834</v>
      </c>
      <c r="B1830">
        <v>0.99996721820229495</v>
      </c>
      <c r="C1830">
        <v>1.02786982354379</v>
      </c>
      <c r="D1830">
        <v>0.95948896172437104</v>
      </c>
      <c r="E1830">
        <v>0.93177070659380101</v>
      </c>
      <c r="F1830">
        <v>0.932279958110935</v>
      </c>
      <c r="G1830">
        <v>1.08853421227993</v>
      </c>
      <c r="H1830">
        <v>0.77264628422647696</v>
      </c>
      <c r="I1830">
        <v>0.86200574317068701</v>
      </c>
      <c r="J1830">
        <v>0.62149169400121196</v>
      </c>
      <c r="K1830">
        <v>0.42749420656609599</v>
      </c>
      <c r="L1830">
        <v>1161.8872790845201</v>
      </c>
      <c r="M1830">
        <v>16.8388529642945</v>
      </c>
      <c r="N1830">
        <v>69.000381584632706</v>
      </c>
      <c r="O1830">
        <v>68.049275509898905</v>
      </c>
      <c r="P1830">
        <v>-6.1866688098506997E-2</v>
      </c>
      <c r="Q1830">
        <v>0</v>
      </c>
      <c r="R1830">
        <v>0.87556170794746802</v>
      </c>
      <c r="S1830" t="s">
        <v>7656</v>
      </c>
      <c r="T1830" t="s">
        <v>11650</v>
      </c>
      <c r="U1830" t="s">
        <v>11650</v>
      </c>
      <c r="V1830" t="s">
        <v>11650</v>
      </c>
      <c r="W1830" t="s">
        <v>13445</v>
      </c>
      <c r="X1830">
        <v>20</v>
      </c>
      <c r="Y1830" t="s">
        <v>19181</v>
      </c>
      <c r="Z1830" t="s">
        <v>24892</v>
      </c>
      <c r="AA1830">
        <v>0.89889961285022868</v>
      </c>
      <c r="AB1830" t="str">
        <f>HYPERLINK("Melting_Curves/meltCurve_P09429_HMGB1.pdf", "Melting_Curves/meltCurve_P09429_HMGB1.pdf")</f>
        <v>Melting_Curves/meltCurve_P09429_HMGB1.pdf</v>
      </c>
    </row>
    <row r="1831" spans="1:28" x14ac:dyDescent="0.25">
      <c r="A1831" t="s">
        <v>1835</v>
      </c>
      <c r="B1831">
        <v>0.99996721820229495</v>
      </c>
      <c r="C1831">
        <v>0.85993158885554299</v>
      </c>
      <c r="D1831">
        <v>0.86261001705516005</v>
      </c>
      <c r="E1831">
        <v>0.96730348916460196</v>
      </c>
      <c r="F1831">
        <v>0.90992207860929597</v>
      </c>
      <c r="G1831">
        <v>1.07744296255271</v>
      </c>
      <c r="H1831">
        <v>0.88205376521831502</v>
      </c>
      <c r="I1831">
        <v>0.60465826227316799</v>
      </c>
      <c r="J1831">
        <v>0.48068846782775398</v>
      </c>
      <c r="K1831">
        <v>0.43292988836971702</v>
      </c>
      <c r="L1831">
        <v>2966.8450773382001</v>
      </c>
      <c r="M1831">
        <v>47.234306467251002</v>
      </c>
      <c r="N1831">
        <v>65.765777870598299</v>
      </c>
      <c r="O1831">
        <v>62.698952815619101</v>
      </c>
      <c r="P1831">
        <v>-0.105449514690389</v>
      </c>
      <c r="Q1831">
        <v>0.44010460761291198</v>
      </c>
      <c r="R1831">
        <v>0.87716281653722505</v>
      </c>
      <c r="S1831" t="s">
        <v>7657</v>
      </c>
      <c r="T1831" t="s">
        <v>11650</v>
      </c>
      <c r="U1831" t="s">
        <v>11650</v>
      </c>
      <c r="V1831" t="s">
        <v>11650</v>
      </c>
      <c r="W1831" t="s">
        <v>13446</v>
      </c>
      <c r="X1831">
        <v>17</v>
      </c>
      <c r="Y1831" t="s">
        <v>13446</v>
      </c>
      <c r="Z1831" t="s">
        <v>24893</v>
      </c>
      <c r="AA1831">
        <v>0.86732178049303277</v>
      </c>
      <c r="AB1831" t="str">
        <f>HYPERLINK("Melting_Curves/meltCurve_P09486_SPARC.pdf", "Melting_Curves/meltCurve_P09486_SPARC.pdf")</f>
        <v>Melting_Curves/meltCurve_P09486_SPARC.pdf</v>
      </c>
    </row>
    <row r="1832" spans="1:28" x14ac:dyDescent="0.25">
      <c r="A1832" t="s">
        <v>1836</v>
      </c>
      <c r="B1832">
        <v>0.99996721820229495</v>
      </c>
      <c r="C1832">
        <v>0.90346870798819301</v>
      </c>
      <c r="D1832">
        <v>1.0019040677689699</v>
      </c>
      <c r="E1832">
        <v>1.3433302752679701</v>
      </c>
      <c r="F1832">
        <v>3.2803875377545699</v>
      </c>
      <c r="G1832">
        <v>3.6136186877381702</v>
      </c>
      <c r="H1832">
        <v>3.2482147934265999</v>
      </c>
      <c r="I1832">
        <v>4.2809187664960699</v>
      </c>
      <c r="J1832">
        <v>4.6679289797724399</v>
      </c>
      <c r="K1832">
        <v>3.10351411710452</v>
      </c>
      <c r="L1832">
        <v>12460.771114535401</v>
      </c>
      <c r="M1832">
        <v>250</v>
      </c>
      <c r="O1832">
        <v>49.839888488471203</v>
      </c>
      <c r="P1832">
        <v>0.62700774418662397</v>
      </c>
      <c r="Q1832">
        <v>1.5</v>
      </c>
      <c r="R1832">
        <v>-0.64968677584277401</v>
      </c>
      <c r="S1832" t="s">
        <v>7658</v>
      </c>
      <c r="T1832" t="s">
        <v>11650</v>
      </c>
      <c r="U1832" t="s">
        <v>11650</v>
      </c>
      <c r="V1832" t="s">
        <v>11650</v>
      </c>
      <c r="W1832" t="s">
        <v>13447</v>
      </c>
      <c r="X1832">
        <v>19</v>
      </c>
      <c r="Y1832" t="s">
        <v>19182</v>
      </c>
      <c r="Z1832" t="s">
        <v>24894</v>
      </c>
      <c r="AA1832">
        <v>1.3359048554455599</v>
      </c>
      <c r="AB1832" t="str">
        <f>HYPERLINK("Melting_Curves/meltCurve_P09496_2_CLTA.pdf", "Melting_Curves/meltCurve_P09496_2_CLTA.pdf")</f>
        <v>Melting_Curves/meltCurve_P09496_2_CLTA.pdf</v>
      </c>
    </row>
    <row r="1833" spans="1:28" x14ac:dyDescent="0.25">
      <c r="A1833" t="s">
        <v>1837</v>
      </c>
      <c r="B1833">
        <v>0.99996721820229495</v>
      </c>
      <c r="C1833">
        <v>0.956286464120922</v>
      </c>
      <c r="D1833">
        <v>1.05690639952432</v>
      </c>
      <c r="E1833">
        <v>1.46451748801056</v>
      </c>
      <c r="F1833">
        <v>3.8157712928528702</v>
      </c>
      <c r="G1833">
        <v>5.3113715870381002</v>
      </c>
      <c r="H1833">
        <v>4.4278171728919498</v>
      </c>
      <c r="I1833">
        <v>5.5363481112095601</v>
      </c>
      <c r="J1833">
        <v>5.8609722175492296</v>
      </c>
      <c r="K1833">
        <v>3.99802722081732</v>
      </c>
      <c r="L1833">
        <v>4246.4282639498397</v>
      </c>
      <c r="M1833">
        <v>90.246463064145502</v>
      </c>
      <c r="O1833">
        <v>47.0305878452671</v>
      </c>
      <c r="P1833">
        <v>0.239861094271552</v>
      </c>
      <c r="Q1833">
        <v>1.5</v>
      </c>
      <c r="R1833">
        <v>-0.90278682329423798</v>
      </c>
      <c r="S1833" t="s">
        <v>7659</v>
      </c>
      <c r="T1833" t="s">
        <v>11650</v>
      </c>
      <c r="U1833" t="s">
        <v>11650</v>
      </c>
      <c r="V1833" t="s">
        <v>11650</v>
      </c>
      <c r="W1833" t="s">
        <v>13448</v>
      </c>
      <c r="X1833">
        <v>28</v>
      </c>
      <c r="Y1833" t="s">
        <v>19183</v>
      </c>
      <c r="Z1833" t="s">
        <v>24895</v>
      </c>
      <c r="AA1833">
        <v>1.382121331533718</v>
      </c>
      <c r="AB1833" t="str">
        <f>HYPERLINK("Melting_Curves/meltCurve_P09497_2_CLTB.pdf", "Melting_Curves/meltCurve_P09497_2_CLTB.pdf")</f>
        <v>Melting_Curves/meltCurve_P09497_2_CLTB.pdf</v>
      </c>
    </row>
    <row r="1834" spans="1:28" x14ac:dyDescent="0.25">
      <c r="A1834" t="s">
        <v>1838</v>
      </c>
      <c r="B1834">
        <v>0.99996721820229495</v>
      </c>
      <c r="C1834">
        <v>1.0596667387671299</v>
      </c>
      <c r="D1834">
        <v>0.98272483314986603</v>
      </c>
      <c r="E1834">
        <v>0.66635926042058902</v>
      </c>
      <c r="F1834">
        <v>0.26198893157361902</v>
      </c>
      <c r="G1834">
        <v>0.205140509507342</v>
      </c>
      <c r="H1834">
        <v>0.12425438778659199</v>
      </c>
      <c r="I1834">
        <v>7.4495714668213406E-2</v>
      </c>
      <c r="J1834">
        <v>4.8679581469280003E-2</v>
      </c>
      <c r="K1834">
        <v>4.1829709033884797E-2</v>
      </c>
      <c r="L1834">
        <v>1556.2651538024099</v>
      </c>
      <c r="M1834">
        <v>30.597618954517799</v>
      </c>
      <c r="N1834">
        <v>51.177982125101401</v>
      </c>
      <c r="O1834">
        <v>50.646522616142299</v>
      </c>
      <c r="P1834">
        <v>-0.13804730376898899</v>
      </c>
      <c r="Q1834">
        <v>8.5997705964131504E-2</v>
      </c>
      <c r="R1834">
        <v>0.98967042555381601</v>
      </c>
      <c r="S1834" t="s">
        <v>7660</v>
      </c>
      <c r="T1834" t="s">
        <v>11650</v>
      </c>
      <c r="U1834" t="s">
        <v>11650</v>
      </c>
      <c r="V1834" t="s">
        <v>11650</v>
      </c>
      <c r="W1834" t="s">
        <v>13449</v>
      </c>
      <c r="X1834">
        <v>39</v>
      </c>
      <c r="Y1834" t="s">
        <v>17536</v>
      </c>
      <c r="Z1834" t="s">
        <v>24896</v>
      </c>
      <c r="AA1834">
        <v>0.42244772967645328</v>
      </c>
      <c r="AB1834" t="str">
        <f>HYPERLINK("Melting_Curves/meltCurve_P09525_ANXA4.pdf", "Melting_Curves/meltCurve_P09525_ANXA4.pdf")</f>
        <v>Melting_Curves/meltCurve_P09525_ANXA4.pdf</v>
      </c>
    </row>
    <row r="1835" spans="1:28" x14ac:dyDescent="0.25">
      <c r="A1835" t="s">
        <v>1839</v>
      </c>
      <c r="B1835">
        <v>0.99996721820229495</v>
      </c>
      <c r="C1835">
        <v>0.83592899940065901</v>
      </c>
      <c r="D1835">
        <v>0.78119650103137395</v>
      </c>
      <c r="E1835">
        <v>0.55389342725870006</v>
      </c>
      <c r="F1835">
        <v>0.278137940662957</v>
      </c>
      <c r="G1835">
        <v>0.19859341550524801</v>
      </c>
      <c r="H1835">
        <v>0.118253843053541</v>
      </c>
      <c r="I1835">
        <v>7.4352573047748893E-2</v>
      </c>
      <c r="J1835">
        <v>5.4954391153071103E-2</v>
      </c>
      <c r="K1835">
        <v>4.8085816180474202E-2</v>
      </c>
      <c r="L1835">
        <v>659.08515063413404</v>
      </c>
      <c r="M1835">
        <v>13.1961151201091</v>
      </c>
      <c r="N1835">
        <v>50.144063678323</v>
      </c>
      <c r="O1835">
        <v>48.840200443270398</v>
      </c>
      <c r="P1835">
        <v>-6.58379484648072E-2</v>
      </c>
      <c r="Q1835">
        <v>2.5469914601319501E-2</v>
      </c>
      <c r="R1835">
        <v>0.99056108334812998</v>
      </c>
      <c r="S1835" t="s">
        <v>7661</v>
      </c>
      <c r="T1835" t="s">
        <v>11650</v>
      </c>
      <c r="U1835" t="s">
        <v>11650</v>
      </c>
      <c r="V1835" t="s">
        <v>11650</v>
      </c>
      <c r="W1835" t="s">
        <v>13450</v>
      </c>
      <c r="X1835">
        <v>26</v>
      </c>
      <c r="Y1835" t="s">
        <v>19184</v>
      </c>
      <c r="Z1835" t="s">
        <v>24897</v>
      </c>
      <c r="AA1835">
        <v>0.37756547377359317</v>
      </c>
      <c r="AB1835" t="str">
        <f>HYPERLINK("Melting_Curves/meltCurve_P09543_2_CNP.pdf", "Melting_Curves/meltCurve_P09543_2_CNP.pdf")</f>
        <v>Melting_Curves/meltCurve_P09543_2_CNP.pdf</v>
      </c>
    </row>
    <row r="1836" spans="1:28" x14ac:dyDescent="0.25">
      <c r="A1836" t="s">
        <v>1840</v>
      </c>
      <c r="B1836">
        <v>0.99996721820229495</v>
      </c>
      <c r="C1836">
        <v>0.85652692419297705</v>
      </c>
      <c r="D1836">
        <v>0.99652633711467498</v>
      </c>
      <c r="E1836">
        <v>1.0041487719119699</v>
      </c>
      <c r="F1836">
        <v>0.92252838847326202</v>
      </c>
      <c r="G1836">
        <v>0.416054083674608</v>
      </c>
      <c r="H1836">
        <v>0.204035924910343</v>
      </c>
      <c r="I1836">
        <v>0.13844878772968</v>
      </c>
      <c r="J1836">
        <v>0.106584925880863</v>
      </c>
      <c r="K1836">
        <v>8.3770005986292501E-2</v>
      </c>
      <c r="L1836">
        <v>2045.4415624543101</v>
      </c>
      <c r="M1836">
        <v>36.466451617283298</v>
      </c>
      <c r="N1836">
        <v>56.5004299912381</v>
      </c>
      <c r="O1836">
        <v>55.923172281747703</v>
      </c>
      <c r="P1836">
        <v>-0.14409437040735901</v>
      </c>
      <c r="Q1836">
        <v>0.116098261847507</v>
      </c>
      <c r="R1836">
        <v>0.98417607870736101</v>
      </c>
      <c r="S1836" t="s">
        <v>7662</v>
      </c>
      <c r="T1836" t="s">
        <v>11650</v>
      </c>
      <c r="U1836" t="s">
        <v>11650</v>
      </c>
      <c r="V1836" t="s">
        <v>11650</v>
      </c>
      <c r="W1836" t="s">
        <v>13451</v>
      </c>
      <c r="X1836">
        <v>12</v>
      </c>
      <c r="Y1836" t="s">
        <v>19185</v>
      </c>
      <c r="Z1836" t="s">
        <v>24898</v>
      </c>
      <c r="AA1836">
        <v>0.59427306310959749</v>
      </c>
      <c r="AB1836" t="str">
        <f>HYPERLINK("Melting_Curves/meltCurve_P09601_HMOX1.pdf", "Melting_Curves/meltCurve_P09601_HMOX1.pdf")</f>
        <v>Melting_Curves/meltCurve_P09601_HMOX1.pdf</v>
      </c>
    </row>
    <row r="1837" spans="1:28" x14ac:dyDescent="0.25">
      <c r="A1837" t="s">
        <v>1841</v>
      </c>
      <c r="B1837">
        <v>0.99996721820229495</v>
      </c>
      <c r="C1837">
        <v>0.87187050314991399</v>
      </c>
      <c r="D1837">
        <v>1.0431145843624601</v>
      </c>
      <c r="E1837">
        <v>1.2609067855498299</v>
      </c>
      <c r="F1837">
        <v>0.73606532876239295</v>
      </c>
      <c r="G1837">
        <v>0.570615512053121</v>
      </c>
      <c r="H1837">
        <v>0.37032199151714201</v>
      </c>
      <c r="I1837">
        <v>0.20407358775411</v>
      </c>
      <c r="J1837">
        <v>0.148187430040194</v>
      </c>
      <c r="K1837">
        <v>0.117759884665825</v>
      </c>
      <c r="L1837">
        <v>1206.5534806830401</v>
      </c>
      <c r="M1837">
        <v>21.029158766360901</v>
      </c>
      <c r="N1837">
        <v>58.108729178879798</v>
      </c>
      <c r="O1837">
        <v>56.863992583977399</v>
      </c>
      <c r="P1837">
        <v>-8.16791066409846E-2</v>
      </c>
      <c r="Q1837">
        <v>0.11656468373053699</v>
      </c>
      <c r="R1837">
        <v>0.91512208992550303</v>
      </c>
      <c r="S1837" t="s">
        <v>7663</v>
      </c>
      <c r="T1837" t="s">
        <v>11650</v>
      </c>
      <c r="U1837" t="s">
        <v>11650</v>
      </c>
      <c r="V1837" t="s">
        <v>11650</v>
      </c>
      <c r="W1837" t="s">
        <v>13452</v>
      </c>
      <c r="X1837">
        <v>26</v>
      </c>
      <c r="Y1837" t="s">
        <v>19186</v>
      </c>
      <c r="Z1837" t="s">
        <v>24899</v>
      </c>
      <c r="AA1837">
        <v>0.63817810241174833</v>
      </c>
      <c r="AB1837" t="str">
        <f>HYPERLINK("Melting_Curves/meltCurve_P09619_PDGFRB.pdf", "Melting_Curves/meltCurve_P09619_PDGFRB.pdf")</f>
        <v>Melting_Curves/meltCurve_P09619_PDGFRB.pdf</v>
      </c>
    </row>
    <row r="1838" spans="1:28" x14ac:dyDescent="0.25">
      <c r="A1838" t="s">
        <v>1842</v>
      </c>
      <c r="B1838">
        <v>0.99996721820229495</v>
      </c>
      <c r="C1838">
        <v>0.91712174919551603</v>
      </c>
      <c r="D1838">
        <v>0.94185742337532097</v>
      </c>
      <c r="E1838">
        <v>1.1100307580114199</v>
      </c>
      <c r="F1838">
        <v>1.3862089739819701</v>
      </c>
      <c r="G1838">
        <v>1.0107090242633201</v>
      </c>
      <c r="H1838">
        <v>0.46912331190481499</v>
      </c>
      <c r="I1838">
        <v>0.82200950301176101</v>
      </c>
      <c r="J1838">
        <v>0.234925389507948</v>
      </c>
      <c r="K1838">
        <v>0.32928473193218799</v>
      </c>
      <c r="L1838">
        <v>1435.65079591159</v>
      </c>
      <c r="M1838">
        <v>22.9026219733082</v>
      </c>
      <c r="N1838">
        <v>64.5479904521859</v>
      </c>
      <c r="O1838">
        <v>62.212957466967801</v>
      </c>
      <c r="P1838">
        <v>-6.9777426459048705E-2</v>
      </c>
      <c r="Q1838">
        <v>0.241837474211339</v>
      </c>
      <c r="R1838">
        <v>0.69681910048439699</v>
      </c>
      <c r="S1838" t="s">
        <v>7664</v>
      </c>
      <c r="T1838" t="s">
        <v>11650</v>
      </c>
      <c r="U1838" t="s">
        <v>11650</v>
      </c>
      <c r="V1838" t="s">
        <v>11650</v>
      </c>
      <c r="W1838" t="s">
        <v>13453</v>
      </c>
      <c r="X1838">
        <v>24</v>
      </c>
      <c r="Y1838" t="s">
        <v>19187</v>
      </c>
      <c r="Z1838" t="s">
        <v>24900</v>
      </c>
      <c r="AA1838">
        <v>0.81691992448139295</v>
      </c>
      <c r="AB1838" t="str">
        <f>HYPERLINK("Melting_Curves/meltCurve_P09622_DLD.pdf", "Melting_Curves/meltCurve_P09622_DLD.pdf")</f>
        <v>Melting_Curves/meltCurve_P09622_DLD.pdf</v>
      </c>
    </row>
    <row r="1839" spans="1:28" x14ac:dyDescent="0.25">
      <c r="A1839" t="s">
        <v>1843</v>
      </c>
      <c r="B1839">
        <v>0.99996721820229495</v>
      </c>
      <c r="C1839">
        <v>1.1042705921154801</v>
      </c>
      <c r="D1839">
        <v>1.3205219328034199</v>
      </c>
      <c r="E1839">
        <v>2.36194699890628</v>
      </c>
      <c r="F1839">
        <v>3.9356610834298502</v>
      </c>
      <c r="G1839">
        <v>2.9093795944532101</v>
      </c>
      <c r="H1839">
        <v>0.90174703050798399</v>
      </c>
      <c r="I1839">
        <v>0.810389047097822</v>
      </c>
      <c r="J1839">
        <v>0.30380978622464999</v>
      </c>
      <c r="K1839">
        <v>0.29757193050533798</v>
      </c>
      <c r="L1839">
        <v>6084.1771749345598</v>
      </c>
      <c r="M1839">
        <v>94.075947146777594</v>
      </c>
      <c r="N1839">
        <v>65.267741114315598</v>
      </c>
      <c r="O1839">
        <v>64.643828890997796</v>
      </c>
      <c r="P1839">
        <v>-0.25910590122279398</v>
      </c>
      <c r="Q1839">
        <v>0.28782661711169599</v>
      </c>
      <c r="R1839">
        <v>-0.111725576894824</v>
      </c>
      <c r="S1839" t="s">
        <v>7665</v>
      </c>
      <c r="T1839" t="s">
        <v>11650</v>
      </c>
      <c r="U1839" t="s">
        <v>11650</v>
      </c>
      <c r="V1839" t="s">
        <v>11650</v>
      </c>
      <c r="W1839" t="s">
        <v>13454</v>
      </c>
      <c r="X1839">
        <v>9</v>
      </c>
      <c r="Y1839" t="s">
        <v>19188</v>
      </c>
      <c r="Z1839" t="s">
        <v>24901</v>
      </c>
      <c r="AA1839">
        <v>0.87409899343862785</v>
      </c>
      <c r="AB1839" t="str">
        <f>HYPERLINK("Melting_Curves/meltCurve_P09661_SNRPA1.pdf", "Melting_Curves/meltCurve_P09661_SNRPA1.pdf")</f>
        <v>Melting_Curves/meltCurve_P09661_SNRPA1.pdf</v>
      </c>
    </row>
    <row r="1840" spans="1:28" x14ac:dyDescent="0.25">
      <c r="A1840" t="s">
        <v>1844</v>
      </c>
      <c r="B1840">
        <v>0.99996721820229495</v>
      </c>
      <c r="C1840">
        <v>0.97541787339022901</v>
      </c>
      <c r="D1840">
        <v>0.90452862544070001</v>
      </c>
      <c r="E1840">
        <v>0.93580576846289498</v>
      </c>
      <c r="F1840">
        <v>1.1285159148073101</v>
      </c>
      <c r="G1840">
        <v>1.2460564065191999</v>
      </c>
      <c r="H1840">
        <v>0.79862017168501298</v>
      </c>
      <c r="I1840">
        <v>0.64262833202877701</v>
      </c>
      <c r="J1840">
        <v>0.73345063810299005</v>
      </c>
      <c r="K1840">
        <v>0.34436441621666902</v>
      </c>
      <c r="L1840">
        <v>1225.9220525506601</v>
      </c>
      <c r="M1840">
        <v>17.945018537147899</v>
      </c>
      <c r="N1840">
        <v>68.315452176037894</v>
      </c>
      <c r="O1840">
        <v>67.484033638647304</v>
      </c>
      <c r="P1840">
        <v>-6.6482075681461403E-2</v>
      </c>
      <c r="Q1840">
        <v>0</v>
      </c>
      <c r="R1840">
        <v>0.737029167945777</v>
      </c>
      <c r="S1840" t="s">
        <v>7666</v>
      </c>
      <c r="T1840" t="s">
        <v>11650</v>
      </c>
      <c r="U1840" t="s">
        <v>11650</v>
      </c>
      <c r="V1840" t="s">
        <v>11650</v>
      </c>
      <c r="W1840" t="s">
        <v>13455</v>
      </c>
      <c r="X1840">
        <v>3</v>
      </c>
      <c r="Y1840" t="s">
        <v>19189</v>
      </c>
      <c r="Z1840" t="s">
        <v>24902</v>
      </c>
      <c r="AA1840">
        <v>0.89082540672338384</v>
      </c>
      <c r="AB1840" t="str">
        <f>HYPERLINK("Melting_Curves/meltCurve_P09668_CTSH.pdf", "Melting_Curves/meltCurve_P09668_CTSH.pdf")</f>
        <v>Melting_Curves/meltCurve_P09668_CTSH.pdf</v>
      </c>
    </row>
    <row r="1841" spans="1:28" x14ac:dyDescent="0.25">
      <c r="A1841" t="s">
        <v>1845</v>
      </c>
      <c r="B1841">
        <v>0.99996721820229495</v>
      </c>
      <c r="C1841">
        <v>0.78894993470450903</v>
      </c>
      <c r="D1841">
        <v>0.96663307823426103</v>
      </c>
      <c r="E1841">
        <v>1.2299718487332101</v>
      </c>
      <c r="F1841">
        <v>2.1089625809440902</v>
      </c>
      <c r="G1841">
        <v>3.08704898149194</v>
      </c>
      <c r="H1841">
        <v>2.4600515616965399</v>
      </c>
      <c r="I1841">
        <v>2.14817502268787</v>
      </c>
      <c r="J1841">
        <v>2.1284518415784901</v>
      </c>
      <c r="K1841">
        <v>1.8421039825274399</v>
      </c>
      <c r="L1841">
        <v>12508.027691052501</v>
      </c>
      <c r="M1841">
        <v>250</v>
      </c>
      <c r="O1841">
        <v>50.0289090534473</v>
      </c>
      <c r="P1841">
        <v>0.62463884653238599</v>
      </c>
      <c r="Q1841">
        <v>1.5</v>
      </c>
      <c r="R1841">
        <v>5.99533295525876E-2</v>
      </c>
      <c r="S1841" t="s">
        <v>7667</v>
      </c>
      <c r="T1841" t="s">
        <v>11650</v>
      </c>
      <c r="U1841" t="s">
        <v>11650</v>
      </c>
      <c r="V1841" t="s">
        <v>11650</v>
      </c>
      <c r="W1841" t="s">
        <v>13456</v>
      </c>
      <c r="X1841">
        <v>6</v>
      </c>
      <c r="Y1841" t="s">
        <v>19190</v>
      </c>
      <c r="Z1841" t="s">
        <v>24903</v>
      </c>
      <c r="AA1841">
        <v>1.3327542511419741</v>
      </c>
      <c r="AB1841" t="str">
        <f>HYPERLINK("Melting_Curves/meltCurve_P09669_COX6C.pdf", "Melting_Curves/meltCurve_P09669_COX6C.pdf")</f>
        <v>Melting_Curves/meltCurve_P09669_COX6C.pdf</v>
      </c>
    </row>
    <row r="1842" spans="1:28" x14ac:dyDescent="0.25">
      <c r="A1842" t="s">
        <v>1846</v>
      </c>
      <c r="B1842">
        <v>0.99996721820229495</v>
      </c>
      <c r="C1842">
        <v>0.88856271717411595</v>
      </c>
      <c r="D1842">
        <v>0.60872264164040601</v>
      </c>
      <c r="E1842">
        <v>0.39946243724769598</v>
      </c>
      <c r="F1842">
        <v>0.35981507187142298</v>
      </c>
      <c r="G1842">
        <v>0.423868813690298</v>
      </c>
      <c r="H1842">
        <v>0.30489988366306803</v>
      </c>
      <c r="I1842">
        <v>0.23699140673032801</v>
      </c>
      <c r="J1842">
        <v>0.134289010512985</v>
      </c>
      <c r="K1842">
        <v>0.13916051286602599</v>
      </c>
      <c r="L1842">
        <v>637.78163335902502</v>
      </c>
      <c r="M1842">
        <v>13.529474938004499</v>
      </c>
      <c r="N1842">
        <v>49.075588505496</v>
      </c>
      <c r="O1842">
        <v>46.146049359870602</v>
      </c>
      <c r="P1842">
        <v>-5.8151917563601503E-2</v>
      </c>
      <c r="Q1842">
        <v>0.20674659367571099</v>
      </c>
      <c r="R1842">
        <v>0.93278913227548998</v>
      </c>
      <c r="S1842" t="s">
        <v>7668</v>
      </c>
      <c r="T1842" t="s">
        <v>11650</v>
      </c>
      <c r="U1842" t="s">
        <v>11650</v>
      </c>
      <c r="V1842" t="s">
        <v>11650</v>
      </c>
      <c r="W1842" t="s">
        <v>13457</v>
      </c>
      <c r="X1842">
        <v>6</v>
      </c>
      <c r="Y1842" t="s">
        <v>19191</v>
      </c>
      <c r="Z1842" t="s">
        <v>24904</v>
      </c>
      <c r="AA1842">
        <v>0.42181755911038171</v>
      </c>
      <c r="AB1842" t="str">
        <f>HYPERLINK("Melting_Curves/meltCurve_P09874_PARP1.pdf", "Melting_Curves/meltCurve_P09874_PARP1.pdf")</f>
        <v>Melting_Curves/meltCurve_P09874_PARP1.pdf</v>
      </c>
    </row>
    <row r="1843" spans="1:28" x14ac:dyDescent="0.25">
      <c r="A1843" t="s">
        <v>1847</v>
      </c>
      <c r="B1843">
        <v>0.99996721820229495</v>
      </c>
      <c r="C1843">
        <v>1.0312394090072901</v>
      </c>
      <c r="D1843">
        <v>0.97993428518407899</v>
      </c>
      <c r="E1843">
        <v>0.86483516978840602</v>
      </c>
      <c r="F1843">
        <v>0.608682776738803</v>
      </c>
      <c r="G1843">
        <v>0.35094215044212501</v>
      </c>
      <c r="H1843">
        <v>0.20136745830230199</v>
      </c>
      <c r="I1843">
        <v>0.157917038227192</v>
      </c>
      <c r="J1843">
        <v>0.13600670407931501</v>
      </c>
      <c r="K1843">
        <v>9.9867673452511602E-2</v>
      </c>
      <c r="L1843">
        <v>1068.2501223838799</v>
      </c>
      <c r="M1843">
        <v>19.802767241934401</v>
      </c>
      <c r="N1843">
        <v>54.645020311654001</v>
      </c>
      <c r="O1843">
        <v>53.403415683394897</v>
      </c>
      <c r="P1843">
        <v>-8.2314172535245603E-2</v>
      </c>
      <c r="Q1843">
        <v>0.11210199860893399</v>
      </c>
      <c r="R1843">
        <v>0.99779391577948795</v>
      </c>
      <c r="S1843" t="s">
        <v>7669</v>
      </c>
      <c r="T1843" t="s">
        <v>11650</v>
      </c>
      <c r="U1843" t="s">
        <v>11650</v>
      </c>
      <c r="V1843" t="s">
        <v>11650</v>
      </c>
      <c r="W1843" t="s">
        <v>13458</v>
      </c>
      <c r="X1843">
        <v>24</v>
      </c>
      <c r="Y1843" t="s">
        <v>19192</v>
      </c>
      <c r="Z1843" t="s">
        <v>24905</v>
      </c>
      <c r="AA1843">
        <v>0.53708383883283239</v>
      </c>
      <c r="AB1843" t="str">
        <f>HYPERLINK("Melting_Curves/meltCurve_P09936_UCHL1.pdf", "Melting_Curves/meltCurve_P09936_UCHL1.pdf")</f>
        <v>Melting_Curves/meltCurve_P09936_UCHL1.pdf</v>
      </c>
    </row>
    <row r="1844" spans="1:28" x14ac:dyDescent="0.25">
      <c r="A1844" t="s">
        <v>1848</v>
      </c>
      <c r="B1844">
        <v>0.99996721820229495</v>
      </c>
      <c r="C1844">
        <v>1.1188607283952201</v>
      </c>
      <c r="D1844">
        <v>1.13934332136026</v>
      </c>
      <c r="E1844">
        <v>1.1335132872973499</v>
      </c>
      <c r="F1844">
        <v>1.33984611817849</v>
      </c>
      <c r="G1844">
        <v>1.0991993084963001</v>
      </c>
      <c r="H1844">
        <v>0.27516354454605202</v>
      </c>
      <c r="I1844">
        <v>0.13600529455584301</v>
      </c>
      <c r="J1844">
        <v>9.8264200292087198E-2</v>
      </c>
      <c r="K1844">
        <v>7.6292180665397599E-2</v>
      </c>
      <c r="L1844">
        <v>11526.083835404699</v>
      </c>
      <c r="M1844">
        <v>190.392560031155</v>
      </c>
      <c r="N1844">
        <v>60.612348599062003</v>
      </c>
      <c r="O1844">
        <v>60.5318411902416</v>
      </c>
      <c r="P1844">
        <v>-0.70494123284802401</v>
      </c>
      <c r="Q1844">
        <v>0.103507184230306</v>
      </c>
      <c r="R1844">
        <v>0.92705551415094301</v>
      </c>
      <c r="S1844" t="s">
        <v>7670</v>
      </c>
      <c r="T1844" t="s">
        <v>11650</v>
      </c>
      <c r="U1844" t="s">
        <v>11650</v>
      </c>
      <c r="V1844" t="s">
        <v>11650</v>
      </c>
      <c r="W1844" t="s">
        <v>13459</v>
      </c>
      <c r="X1844">
        <v>38</v>
      </c>
      <c r="Y1844" t="s">
        <v>19193</v>
      </c>
      <c r="Z1844" t="s">
        <v>24906</v>
      </c>
      <c r="AA1844">
        <v>0.71742595870958159</v>
      </c>
      <c r="AB1844" t="str">
        <f>HYPERLINK("Melting_Curves/meltCurve_P09960_LTA4H.pdf", "Melting_Curves/meltCurve_P09960_LTA4H.pdf")</f>
        <v>Melting_Curves/meltCurve_P09960_LTA4H.pdf</v>
      </c>
    </row>
    <row r="1845" spans="1:28" x14ac:dyDescent="0.25">
      <c r="A1845" t="s">
        <v>1849</v>
      </c>
      <c r="B1845">
        <v>0.99996721820229495</v>
      </c>
      <c r="C1845">
        <v>1.0449856262170201</v>
      </c>
      <c r="D1845">
        <v>1.1855961948881399</v>
      </c>
      <c r="E1845">
        <v>1.4974790519364301</v>
      </c>
      <c r="F1845">
        <v>1.99155953183545</v>
      </c>
      <c r="G1845">
        <v>2.4252289047917501</v>
      </c>
      <c r="H1845">
        <v>1.37547902257298</v>
      </c>
      <c r="I1845">
        <v>0.38036264513947898</v>
      </c>
      <c r="J1845">
        <v>0.14930312693667999</v>
      </c>
      <c r="K1845">
        <v>0.13015514699215999</v>
      </c>
      <c r="L1845">
        <v>15000</v>
      </c>
      <c r="M1845">
        <v>235.32051224480401</v>
      </c>
      <c r="N1845">
        <v>63.831740078977099</v>
      </c>
      <c r="O1845">
        <v>63.73826903618</v>
      </c>
      <c r="P1845">
        <v>-0.794042140686265</v>
      </c>
      <c r="Q1845">
        <v>0.13971200269147999</v>
      </c>
      <c r="R1845">
        <v>0.33397816093288302</v>
      </c>
      <c r="S1845" t="s">
        <v>7671</v>
      </c>
      <c r="T1845" t="s">
        <v>11650</v>
      </c>
      <c r="U1845" t="s">
        <v>11650</v>
      </c>
      <c r="V1845" t="s">
        <v>11650</v>
      </c>
      <c r="W1845" t="s">
        <v>13460</v>
      </c>
      <c r="X1845">
        <v>33</v>
      </c>
      <c r="Y1845" t="s">
        <v>19194</v>
      </c>
      <c r="Z1845" t="s">
        <v>24907</v>
      </c>
      <c r="AA1845">
        <v>0.82067690760177259</v>
      </c>
      <c r="AB1845" t="str">
        <f>HYPERLINK("Melting_Curves/meltCurve_P09972_ALDOC.pdf", "Melting_Curves/meltCurve_P09972_ALDOC.pdf")</f>
        <v>Melting_Curves/meltCurve_P09972_ALDOC.pdf</v>
      </c>
    </row>
    <row r="1846" spans="1:28" x14ac:dyDescent="0.25">
      <c r="A1846" t="s">
        <v>1850</v>
      </c>
      <c r="B1846">
        <v>0.99996721820229495</v>
      </c>
      <c r="C1846">
        <v>0.91920876058400802</v>
      </c>
      <c r="D1846">
        <v>0.73273118125296099</v>
      </c>
      <c r="E1846">
        <v>0.59785666974040597</v>
      </c>
      <c r="F1846">
        <v>0.54146345995120804</v>
      </c>
      <c r="G1846">
        <v>0.45602211198128101</v>
      </c>
      <c r="H1846">
        <v>0.35134340101523298</v>
      </c>
      <c r="I1846">
        <v>0.29008255907752001</v>
      </c>
      <c r="J1846">
        <v>0.240322089150384</v>
      </c>
      <c r="K1846">
        <v>0.21114604311429699</v>
      </c>
      <c r="L1846">
        <v>444.73228992506898</v>
      </c>
      <c r="M1846">
        <v>8.5754979650141294</v>
      </c>
      <c r="N1846">
        <v>54.045809378986903</v>
      </c>
      <c r="O1846">
        <v>49.271648753530499</v>
      </c>
      <c r="P1846">
        <v>-3.7169730160327798E-2</v>
      </c>
      <c r="Q1846">
        <v>0.14648965353171101</v>
      </c>
      <c r="R1846">
        <v>0.98166383330434703</v>
      </c>
      <c r="S1846" t="s">
        <v>7672</v>
      </c>
      <c r="T1846" t="s">
        <v>11650</v>
      </c>
      <c r="U1846" t="s">
        <v>11650</v>
      </c>
      <c r="V1846" t="s">
        <v>11650</v>
      </c>
      <c r="W1846" t="s">
        <v>13461</v>
      </c>
      <c r="X1846">
        <v>2</v>
      </c>
      <c r="Y1846" t="s">
        <v>19195</v>
      </c>
      <c r="Z1846" t="s">
        <v>24908</v>
      </c>
      <c r="AA1846">
        <v>0.52237734381666323</v>
      </c>
      <c r="AB1846" t="str">
        <f>HYPERLINK("Melting_Curves/meltCurve_P0C7T5_ATXN1L.pdf", "Melting_Curves/meltCurve_P0C7T5_ATXN1L.pdf")</f>
        <v>Melting_Curves/meltCurve_P0C7T5_ATXN1L.pdf</v>
      </c>
    </row>
    <row r="1847" spans="1:28" x14ac:dyDescent="0.25">
      <c r="A1847" t="s">
        <v>1851</v>
      </c>
      <c r="B1847">
        <v>0.99996721820229495</v>
      </c>
      <c r="C1847">
        <v>0.94564198861726401</v>
      </c>
      <c r="D1847">
        <v>0.87042802363654004</v>
      </c>
      <c r="E1847">
        <v>0.90751517827365002</v>
      </c>
      <c r="F1847">
        <v>1.10543684203531</v>
      </c>
      <c r="G1847">
        <v>0.95972385809880101</v>
      </c>
      <c r="H1847">
        <v>0.65347173897378197</v>
      </c>
      <c r="I1847">
        <v>0.61509585473219497</v>
      </c>
      <c r="J1847">
        <v>0.56559762015824799</v>
      </c>
      <c r="K1847">
        <v>0.392848098072755</v>
      </c>
      <c r="L1847">
        <v>1617.7121346602401</v>
      </c>
      <c r="M1847">
        <v>26.551235032201902</v>
      </c>
      <c r="N1847">
        <v>66.716818870052194</v>
      </c>
      <c r="O1847">
        <v>60.585471263507799</v>
      </c>
      <c r="P1847">
        <v>-6.0252609636653499E-2</v>
      </c>
      <c r="Q1847">
        <v>0.45006037160010698</v>
      </c>
      <c r="R1847">
        <v>0.87401777865374897</v>
      </c>
      <c r="S1847" t="s">
        <v>7673</v>
      </c>
      <c r="T1847" t="s">
        <v>11650</v>
      </c>
      <c r="U1847" t="s">
        <v>11650</v>
      </c>
      <c r="V1847" t="s">
        <v>11650</v>
      </c>
      <c r="W1847" t="s">
        <v>13462</v>
      </c>
      <c r="X1847">
        <v>5</v>
      </c>
      <c r="Y1847" t="s">
        <v>19196</v>
      </c>
      <c r="Z1847" t="s">
        <v>24909</v>
      </c>
      <c r="AA1847">
        <v>0.83708881065744856</v>
      </c>
      <c r="AB1847" t="str">
        <f>HYPERLINK("Melting_Curves/meltCurve_P0CG12_CHTF8.pdf", "Melting_Curves/meltCurve_P0CG12_CHTF8.pdf")</f>
        <v>Melting_Curves/meltCurve_P0CG12_CHTF8.pdf</v>
      </c>
    </row>
    <row r="1848" spans="1:28" x14ac:dyDescent="0.25">
      <c r="A1848" t="s">
        <v>1852</v>
      </c>
      <c r="B1848">
        <v>0.99996721820229495</v>
      </c>
      <c r="C1848">
        <v>1.08252139658952</v>
      </c>
      <c r="D1848">
        <v>0.93934815829261098</v>
      </c>
      <c r="E1848">
        <v>1.1028296548610299</v>
      </c>
      <c r="F1848">
        <v>1.4388156081424199</v>
      </c>
      <c r="G1848">
        <v>1.64683038071077</v>
      </c>
      <c r="H1848">
        <v>1.36449110088757</v>
      </c>
      <c r="I1848">
        <v>1.6052188817597799</v>
      </c>
      <c r="J1848">
        <v>1.30802577435965</v>
      </c>
      <c r="K1848">
        <v>1.01578742021291</v>
      </c>
      <c r="L1848">
        <v>12552.4737581359</v>
      </c>
      <c r="M1848">
        <v>250</v>
      </c>
      <c r="O1848">
        <v>50.206681938893503</v>
      </c>
      <c r="P1848">
        <v>0.49361991751620099</v>
      </c>
      <c r="Q1848">
        <v>1.3965282906421299</v>
      </c>
      <c r="R1848">
        <v>0.54568168248874904</v>
      </c>
      <c r="S1848" t="s">
        <v>7674</v>
      </c>
      <c r="T1848" t="s">
        <v>11650</v>
      </c>
      <c r="U1848" t="s">
        <v>11650</v>
      </c>
      <c r="V1848" t="s">
        <v>11650</v>
      </c>
      <c r="W1848" t="s">
        <v>13463</v>
      </c>
      <c r="X1848">
        <v>3</v>
      </c>
      <c r="Y1848" t="s">
        <v>19197</v>
      </c>
      <c r="Z1848" t="s">
        <v>24910</v>
      </c>
      <c r="AA1848">
        <v>1.2615429420306981</v>
      </c>
      <c r="AB1848" t="str">
        <f>HYPERLINK("Melting_Curves/meltCurve_P0CG35_TMSB15B.pdf", "Melting_Curves/meltCurve_P0CG35_TMSB15B.pdf")</f>
        <v>Melting_Curves/meltCurve_P0CG35_TMSB15B.pdf</v>
      </c>
    </row>
    <row r="1849" spans="1:28" x14ac:dyDescent="0.25">
      <c r="A1849" t="s">
        <v>1853</v>
      </c>
      <c r="B1849">
        <v>0.99996721820229495</v>
      </c>
      <c r="C1849">
        <v>1.32210917093734</v>
      </c>
      <c r="D1849">
        <v>1.1979710052525201</v>
      </c>
      <c r="E1849">
        <v>1.2762403141304499</v>
      </c>
      <c r="F1849">
        <v>1.4733427079008401</v>
      </c>
      <c r="G1849">
        <v>1.4323812445194399</v>
      </c>
      <c r="H1849">
        <v>0.87463206574344199</v>
      </c>
      <c r="I1849">
        <v>0.68082694155720602</v>
      </c>
      <c r="J1849">
        <v>0.58300152154574503</v>
      </c>
      <c r="K1849">
        <v>0.31567777379357198</v>
      </c>
      <c r="L1849">
        <v>2008.3441073297899</v>
      </c>
      <c r="M1849">
        <v>30.767212315643899</v>
      </c>
      <c r="N1849">
        <v>67.003095138780594</v>
      </c>
      <c r="O1849">
        <v>65.0015670663348</v>
      </c>
      <c r="P1849">
        <v>-8.5930324798121793E-2</v>
      </c>
      <c r="Q1849">
        <v>0.27382788760260302</v>
      </c>
      <c r="R1849">
        <v>0.52938134283437799</v>
      </c>
      <c r="S1849" t="s">
        <v>7675</v>
      </c>
      <c r="T1849" t="s">
        <v>11650</v>
      </c>
      <c r="U1849" t="s">
        <v>11650</v>
      </c>
      <c r="V1849" t="s">
        <v>11650</v>
      </c>
      <c r="W1849" t="s">
        <v>13464</v>
      </c>
      <c r="X1849">
        <v>14</v>
      </c>
      <c r="Y1849" t="s">
        <v>19198</v>
      </c>
      <c r="Z1849" t="s">
        <v>24911</v>
      </c>
      <c r="AA1849">
        <v>0.88367555917594243</v>
      </c>
      <c r="AB1849" t="str">
        <f>HYPERLINK("Melting_Curves/meltCurve_P0CG38_POTEI.pdf", "Melting_Curves/meltCurve_P0CG38_POTEI.pdf")</f>
        <v>Melting_Curves/meltCurve_P0CG38_POTEI.pdf</v>
      </c>
    </row>
    <row r="1850" spans="1:28" x14ac:dyDescent="0.25">
      <c r="A1850" t="s">
        <v>1854</v>
      </c>
      <c r="B1850">
        <v>0.99996721820229495</v>
      </c>
      <c r="C1850">
        <v>1.05429676604411</v>
      </c>
      <c r="D1850">
        <v>0.87515911262318702</v>
      </c>
      <c r="E1850">
        <v>0.92788473335005595</v>
      </c>
      <c r="F1850">
        <v>0.975999800771994</v>
      </c>
      <c r="G1850">
        <v>0.65854825743506396</v>
      </c>
      <c r="H1850">
        <v>0.31616673627640302</v>
      </c>
      <c r="I1850">
        <v>0.30224802743136497</v>
      </c>
      <c r="J1850">
        <v>0.26505526054231099</v>
      </c>
      <c r="K1850">
        <v>0.129461295798664</v>
      </c>
      <c r="L1850">
        <v>1563.08309731862</v>
      </c>
      <c r="M1850">
        <v>27.094772965266799</v>
      </c>
      <c r="N1850">
        <v>58.776373702234402</v>
      </c>
      <c r="O1850">
        <v>57.377965206665102</v>
      </c>
      <c r="P1850">
        <v>-9.4792269077035807E-2</v>
      </c>
      <c r="Q1850">
        <v>0.197050381730865</v>
      </c>
      <c r="R1850">
        <v>0.96961712483705598</v>
      </c>
      <c r="S1850" t="s">
        <v>7676</v>
      </c>
      <c r="T1850" t="s">
        <v>11650</v>
      </c>
      <c r="U1850" t="s">
        <v>11650</v>
      </c>
      <c r="V1850" t="s">
        <v>11650</v>
      </c>
      <c r="W1850" t="s">
        <v>13465</v>
      </c>
      <c r="X1850">
        <v>11</v>
      </c>
      <c r="Y1850" t="s">
        <v>19199</v>
      </c>
      <c r="Z1850" t="s">
        <v>24912</v>
      </c>
      <c r="AA1850">
        <v>0.67677810173335473</v>
      </c>
      <c r="AB1850" t="str">
        <f>HYPERLINK("Melting_Curves/meltCurve_P0CG39_POTEJ.pdf", "Melting_Curves/meltCurve_P0CG39_POTEJ.pdf")</f>
        <v>Melting_Curves/meltCurve_P0CG39_POTEJ.pdf</v>
      </c>
    </row>
    <row r="1851" spans="1:28" x14ac:dyDescent="0.25">
      <c r="A1851" t="s">
        <v>1855</v>
      </c>
      <c r="B1851">
        <v>0.99996721820229495</v>
      </c>
      <c r="C1851">
        <v>0.74993257557867099</v>
      </c>
      <c r="D1851">
        <v>0.75789289515701197</v>
      </c>
      <c r="E1851">
        <v>1.30292531095793</v>
      </c>
      <c r="F1851">
        <v>1.2769995450840299</v>
      </c>
      <c r="G1851">
        <v>0.763744369272088</v>
      </c>
      <c r="H1851">
        <v>0.51097490869392004</v>
      </c>
      <c r="I1851">
        <v>0.39940968258822401</v>
      </c>
      <c r="J1851">
        <v>0.26014830978604397</v>
      </c>
      <c r="K1851">
        <v>0.34096563290100501</v>
      </c>
      <c r="L1851">
        <v>2072.53627007149</v>
      </c>
      <c r="M1851">
        <v>35.197646044615098</v>
      </c>
      <c r="N1851">
        <v>60.657770475892697</v>
      </c>
      <c r="O1851">
        <v>58.693708851837201</v>
      </c>
      <c r="P1851">
        <v>-0.101723516274649</v>
      </c>
      <c r="Q1851">
        <v>0.32148759815787198</v>
      </c>
      <c r="R1851">
        <v>0.746953671120824</v>
      </c>
      <c r="S1851" t="s">
        <v>7677</v>
      </c>
      <c r="T1851" t="s">
        <v>11650</v>
      </c>
      <c r="U1851" t="s">
        <v>11650</v>
      </c>
      <c r="V1851" t="s">
        <v>11650</v>
      </c>
      <c r="W1851" t="s">
        <v>13466</v>
      </c>
      <c r="X1851">
        <v>6</v>
      </c>
      <c r="Y1851" t="s">
        <v>19200</v>
      </c>
      <c r="Z1851" t="s">
        <v>24913</v>
      </c>
      <c r="AA1851">
        <v>0.75192418930018379</v>
      </c>
      <c r="AB1851" t="str">
        <f>HYPERLINK("Melting_Curves/meltCurve_P0CW22_RPS17L.pdf", "Melting_Curves/meltCurve_P0CW22_RPS17L.pdf")</f>
        <v>Melting_Curves/meltCurve_P0CW22_RPS17L.pdf</v>
      </c>
    </row>
    <row r="1852" spans="1:28" x14ac:dyDescent="0.25">
      <c r="A1852" t="s">
        <v>1856</v>
      </c>
      <c r="B1852">
        <v>0.99996721820229495</v>
      </c>
      <c r="C1852">
        <v>0.59364645152333395</v>
      </c>
      <c r="D1852">
        <v>0.61136877927297695</v>
      </c>
      <c r="E1852">
        <v>1.00646418138907</v>
      </c>
      <c r="F1852">
        <v>1.0229888239116001</v>
      </c>
      <c r="G1852">
        <v>0.70393137168007003</v>
      </c>
      <c r="H1852">
        <v>0.84977757755940897</v>
      </c>
      <c r="I1852">
        <v>0.64901451062225701</v>
      </c>
      <c r="J1852">
        <v>0.57532213532046395</v>
      </c>
      <c r="K1852">
        <v>0.49783729045483899</v>
      </c>
      <c r="L1852">
        <v>162.311513312827</v>
      </c>
      <c r="M1852">
        <v>1.83046192611022</v>
      </c>
      <c r="O1852">
        <v>49.793748757940897</v>
      </c>
      <c r="P1852">
        <v>-1.02048997915936E-2</v>
      </c>
      <c r="Q1852">
        <v>0</v>
      </c>
      <c r="R1852">
        <v>0.19844415323571801</v>
      </c>
      <c r="S1852" t="s">
        <v>7678</v>
      </c>
      <c r="T1852" t="s">
        <v>11650</v>
      </c>
      <c r="U1852" t="s">
        <v>11650</v>
      </c>
      <c r="V1852" t="s">
        <v>11650</v>
      </c>
      <c r="W1852" t="s">
        <v>13467</v>
      </c>
      <c r="X1852">
        <v>2</v>
      </c>
      <c r="Y1852" t="s">
        <v>19201</v>
      </c>
      <c r="Z1852" t="s">
        <v>24914</v>
      </c>
      <c r="AA1852">
        <v>0.75687410941426714</v>
      </c>
      <c r="AB1852" t="str">
        <f>HYPERLINK("Melting_Curves/meltCurve_P0DJ93_SMIM13.pdf", "Melting_Curves/meltCurve_P0DJ93_SMIM13.pdf")</f>
        <v>Melting_Curves/meltCurve_P0DJ93_SMIM13.pdf</v>
      </c>
    </row>
    <row r="1853" spans="1:28" x14ac:dyDescent="0.25">
      <c r="A1853" t="s">
        <v>1857</v>
      </c>
      <c r="B1853">
        <v>0.99996721820229495</v>
      </c>
      <c r="C1853">
        <v>0.93063101584139096</v>
      </c>
      <c r="D1853">
        <v>0.84245963603722296</v>
      </c>
      <c r="E1853">
        <v>0.88455909856828796</v>
      </c>
      <c r="F1853">
        <v>0.81925388958503897</v>
      </c>
      <c r="G1853">
        <v>0.68523504204307795</v>
      </c>
      <c r="H1853">
        <v>0.54511946968813396</v>
      </c>
      <c r="I1853">
        <v>0.52417464833028404</v>
      </c>
      <c r="J1853">
        <v>0.50921504973609899</v>
      </c>
      <c r="K1853">
        <v>0.37348485028360201</v>
      </c>
      <c r="L1853">
        <v>366.47653535762498</v>
      </c>
      <c r="M1853">
        <v>5.6353257527234</v>
      </c>
      <c r="N1853">
        <v>65.032005501899803</v>
      </c>
      <c r="O1853">
        <v>58.229331582270703</v>
      </c>
      <c r="P1853">
        <v>-2.42923843495239E-2</v>
      </c>
      <c r="Q1853">
        <v>0</v>
      </c>
      <c r="R1853">
        <v>0.96482347475083596</v>
      </c>
      <c r="S1853" t="s">
        <v>7679</v>
      </c>
      <c r="T1853" t="s">
        <v>11650</v>
      </c>
      <c r="U1853" t="s">
        <v>11650</v>
      </c>
      <c r="V1853" t="s">
        <v>11650</v>
      </c>
      <c r="W1853" t="s">
        <v>13468</v>
      </c>
      <c r="X1853">
        <v>6</v>
      </c>
      <c r="Y1853" t="s">
        <v>19202</v>
      </c>
      <c r="Z1853" t="s">
        <v>24915</v>
      </c>
      <c r="AA1853">
        <v>0.71899276037684778</v>
      </c>
      <c r="AB1853" t="str">
        <f>HYPERLINK("Melting_Curves/meltCurve_P10109_FDX1.pdf", "Melting_Curves/meltCurve_P10109_FDX1.pdf")</f>
        <v>Melting_Curves/meltCurve_P10109_FDX1.pdf</v>
      </c>
    </row>
    <row r="1854" spans="1:28" x14ac:dyDescent="0.25">
      <c r="A1854" t="s">
        <v>1858</v>
      </c>
      <c r="B1854">
        <v>0.99996721820229495</v>
      </c>
      <c r="C1854">
        <v>0.84361103793713199</v>
      </c>
      <c r="D1854">
        <v>1.0148688221237601</v>
      </c>
      <c r="E1854">
        <v>1.03907069407653</v>
      </c>
      <c r="F1854">
        <v>1.22131509256509</v>
      </c>
      <c r="G1854">
        <v>1.1239613758506399</v>
      </c>
      <c r="H1854">
        <v>0.69513131264507999</v>
      </c>
      <c r="I1854">
        <v>0.444745996969382</v>
      </c>
      <c r="J1854">
        <v>0.30118221849528098</v>
      </c>
      <c r="K1854">
        <v>0.16054732026382099</v>
      </c>
      <c r="L1854">
        <v>2249.1347500156999</v>
      </c>
      <c r="M1854">
        <v>36.062602371277698</v>
      </c>
      <c r="N1854">
        <v>63.2214311591285</v>
      </c>
      <c r="O1854">
        <v>62.176669333982296</v>
      </c>
      <c r="P1854">
        <v>-0.117045626598164</v>
      </c>
      <c r="Q1854">
        <v>0.19279438141198599</v>
      </c>
      <c r="R1854">
        <v>0.91276729578346505</v>
      </c>
      <c r="S1854" t="s">
        <v>7680</v>
      </c>
      <c r="T1854" t="s">
        <v>11650</v>
      </c>
      <c r="U1854" t="s">
        <v>11650</v>
      </c>
      <c r="V1854" t="s">
        <v>11650</v>
      </c>
      <c r="W1854" t="s">
        <v>13469</v>
      </c>
      <c r="X1854">
        <v>4</v>
      </c>
      <c r="Y1854" t="s">
        <v>19203</v>
      </c>
      <c r="Z1854" t="s">
        <v>24916</v>
      </c>
      <c r="AA1854">
        <v>0.79770824947538588</v>
      </c>
      <c r="AB1854" t="str">
        <f>HYPERLINK("Melting_Curves/meltCurve_P10114_RAP2A.pdf", "Melting_Curves/meltCurve_P10114_RAP2A.pdf")</f>
        <v>Melting_Curves/meltCurve_P10114_RAP2A.pdf</v>
      </c>
    </row>
    <row r="1855" spans="1:28" x14ac:dyDescent="0.25">
      <c r="A1855" t="s">
        <v>1859</v>
      </c>
      <c r="B1855">
        <v>0.99996721820229495</v>
      </c>
      <c r="C1855">
        <v>0.92612978992817097</v>
      </c>
      <c r="D1855">
        <v>0.90437373253728204</v>
      </c>
      <c r="E1855">
        <v>0.88271617462523</v>
      </c>
      <c r="F1855">
        <v>1.0883592189934399</v>
      </c>
      <c r="G1855">
        <v>1.32337859582882</v>
      </c>
      <c r="H1855">
        <v>0.93218865260805195</v>
      </c>
      <c r="I1855">
        <v>0.92013551718605702</v>
      </c>
      <c r="J1855">
        <v>1.28469421578539</v>
      </c>
      <c r="K1855">
        <v>0.71275624573294805</v>
      </c>
      <c r="L1855">
        <v>15000</v>
      </c>
      <c r="M1855">
        <v>213.37671963742901</v>
      </c>
      <c r="Q1855">
        <v>0</v>
      </c>
      <c r="R1855">
        <v>0.26150592438376002</v>
      </c>
      <c r="S1855" t="s">
        <v>7681</v>
      </c>
      <c r="T1855" t="s">
        <v>11650</v>
      </c>
      <c r="U1855" t="s">
        <v>11650</v>
      </c>
      <c r="V1855" t="s">
        <v>11650</v>
      </c>
      <c r="W1855" t="s">
        <v>13470</v>
      </c>
      <c r="X1855">
        <v>2</v>
      </c>
      <c r="Y1855" t="s">
        <v>19204</v>
      </c>
      <c r="Z1855" t="s">
        <v>24917</v>
      </c>
      <c r="AA1855">
        <v>0.99635032559505476</v>
      </c>
      <c r="AB1855" t="str">
        <f>HYPERLINK("Melting_Curves/meltCurve_P10124_SRGN.pdf", "Melting_Curves/meltCurve_P10124_SRGN.pdf")</f>
        <v>Melting_Curves/meltCurve_P10124_SRGN.pdf</v>
      </c>
    </row>
    <row r="1856" spans="1:28" x14ac:dyDescent="0.25">
      <c r="A1856" t="s">
        <v>1860</v>
      </c>
      <c r="B1856">
        <v>0.99996721820229495</v>
      </c>
      <c r="C1856">
        <v>0.95823716711418305</v>
      </c>
      <c r="D1856">
        <v>1.0653127353027001</v>
      </c>
      <c r="E1856">
        <v>1.32252557465111</v>
      </c>
      <c r="F1856">
        <v>1.83903253323266</v>
      </c>
      <c r="G1856">
        <v>2.1148550412223401</v>
      </c>
      <c r="H1856">
        <v>1.6191768483815501</v>
      </c>
      <c r="I1856">
        <v>0.90730113296874704</v>
      </c>
      <c r="J1856">
        <v>0.231480727654582</v>
      </c>
      <c r="K1856">
        <v>0.14426390939641401</v>
      </c>
      <c r="L1856">
        <v>6496.7187525079999</v>
      </c>
      <c r="M1856">
        <v>99.268828615773401</v>
      </c>
      <c r="N1856">
        <v>65.677751831359501</v>
      </c>
      <c r="O1856">
        <v>65.419160715420503</v>
      </c>
      <c r="P1856">
        <v>-0.32324592103574001</v>
      </c>
      <c r="Q1856">
        <v>0.14791074291042799</v>
      </c>
      <c r="R1856">
        <v>0.32697839257424599</v>
      </c>
      <c r="S1856" t="s">
        <v>7682</v>
      </c>
      <c r="T1856" t="s">
        <v>11650</v>
      </c>
      <c r="U1856" t="s">
        <v>11650</v>
      </c>
      <c r="V1856" t="s">
        <v>11650</v>
      </c>
      <c r="W1856" t="s">
        <v>13471</v>
      </c>
      <c r="X1856">
        <v>21</v>
      </c>
      <c r="Y1856" t="s">
        <v>19205</v>
      </c>
      <c r="Z1856" t="s">
        <v>24918</v>
      </c>
      <c r="AA1856">
        <v>0.87123171353749995</v>
      </c>
      <c r="AB1856" t="str">
        <f>HYPERLINK("Melting_Curves/meltCurve_P10155_TROVE2.pdf", "Melting_Curves/meltCurve_P10155_TROVE2.pdf")</f>
        <v>Melting_Curves/meltCurve_P10155_TROVE2.pdf</v>
      </c>
    </row>
    <row r="1857" spans="1:28" x14ac:dyDescent="0.25">
      <c r="A1857" t="s">
        <v>1861</v>
      </c>
      <c r="B1857">
        <v>0.99996721820229495</v>
      </c>
      <c r="C1857">
        <v>0.64564460566758197</v>
      </c>
      <c r="D1857">
        <v>0.75234649166801304</v>
      </c>
      <c r="E1857">
        <v>1.01951316138215</v>
      </c>
      <c r="F1857">
        <v>1.9356826521688899</v>
      </c>
      <c r="G1857">
        <v>2.4910597239803902</v>
      </c>
      <c r="H1857">
        <v>3.3458910064838601</v>
      </c>
      <c r="I1857">
        <v>5.7711330158016301</v>
      </c>
      <c r="J1857">
        <v>7.0356501948979098</v>
      </c>
      <c r="K1857">
        <v>4.6745395739239903</v>
      </c>
      <c r="L1857">
        <v>12659.764613945399</v>
      </c>
      <c r="M1857">
        <v>250</v>
      </c>
      <c r="O1857">
        <v>50.635818045225797</v>
      </c>
      <c r="P1857">
        <v>0.6171520741173</v>
      </c>
      <c r="Q1857">
        <v>1.5</v>
      </c>
      <c r="R1857">
        <v>-0.366948481144523</v>
      </c>
      <c r="S1857" t="s">
        <v>7683</v>
      </c>
      <c r="T1857" t="s">
        <v>11650</v>
      </c>
      <c r="U1857" t="s">
        <v>11650</v>
      </c>
      <c r="V1857" t="s">
        <v>11650</v>
      </c>
      <c r="W1857" t="s">
        <v>13472</v>
      </c>
      <c r="X1857">
        <v>1</v>
      </c>
      <c r="Y1857" t="s">
        <v>19206</v>
      </c>
      <c r="Z1857" t="s">
        <v>24919</v>
      </c>
      <c r="AA1857">
        <v>1.322637923690571</v>
      </c>
      <c r="AB1857" t="str">
        <f>HYPERLINK("Melting_Curves/meltCurve_P10176_COX8A.pdf", "Melting_Curves/meltCurve_P10176_COX8A.pdf")</f>
        <v>Melting_Curves/meltCurve_P10176_COX8A.pdf</v>
      </c>
    </row>
    <row r="1858" spans="1:28" x14ac:dyDescent="0.25">
      <c r="A1858" t="s">
        <v>1862</v>
      </c>
      <c r="B1858">
        <v>0.99996721820229495</v>
      </c>
      <c r="C1858">
        <v>0.99764837252055105</v>
      </c>
      <c r="D1858">
        <v>1.0615022198122901</v>
      </c>
      <c r="E1858">
        <v>1.0974833126143</v>
      </c>
      <c r="F1858">
        <v>1.4574884935590999</v>
      </c>
      <c r="G1858">
        <v>1.5385635002214999</v>
      </c>
      <c r="H1858">
        <v>1.0807478315863299</v>
      </c>
      <c r="I1858">
        <v>0.67642542934397099</v>
      </c>
      <c r="J1858">
        <v>0.25129274007413699</v>
      </c>
      <c r="K1858">
        <v>0.18445363888171401</v>
      </c>
      <c r="L1858">
        <v>6686.8807027105704</v>
      </c>
      <c r="M1858">
        <v>104.10546849159</v>
      </c>
      <c r="N1858">
        <v>64.573768004601803</v>
      </c>
      <c r="O1858">
        <v>64.208097034325206</v>
      </c>
      <c r="P1858">
        <v>-0.31944776967113397</v>
      </c>
      <c r="Q1858">
        <v>0.21190947929902701</v>
      </c>
      <c r="R1858">
        <v>0.71147428542486102</v>
      </c>
      <c r="S1858" t="s">
        <v>7684</v>
      </c>
      <c r="T1858" t="s">
        <v>11650</v>
      </c>
      <c r="U1858" t="s">
        <v>11650</v>
      </c>
      <c r="V1858" t="s">
        <v>11650</v>
      </c>
      <c r="W1858" t="s">
        <v>13473</v>
      </c>
      <c r="X1858">
        <v>24</v>
      </c>
      <c r="Y1858" t="s">
        <v>19207</v>
      </c>
      <c r="Z1858" t="s">
        <v>24920</v>
      </c>
      <c r="AA1858">
        <v>0.84898012676964696</v>
      </c>
      <c r="AB1858" t="str">
        <f>HYPERLINK("Melting_Curves/meltCurve_P10253_GAA.pdf", "Melting_Curves/meltCurve_P10253_GAA.pdf")</f>
        <v>Melting_Curves/meltCurve_P10253_GAA.pdf</v>
      </c>
    </row>
    <row r="1859" spans="1:28" x14ac:dyDescent="0.25">
      <c r="A1859" t="s">
        <v>1863</v>
      </c>
      <c r="B1859">
        <v>0.99996721820229495</v>
      </c>
      <c r="C1859">
        <v>0.6753745296093</v>
      </c>
      <c r="D1859">
        <v>0.78634647300462401</v>
      </c>
      <c r="E1859">
        <v>0.77054841291275</v>
      </c>
      <c r="F1859">
        <v>0.95226968615104002</v>
      </c>
      <c r="G1859">
        <v>0.71772039890961303</v>
      </c>
      <c r="H1859">
        <v>0.420377245179198</v>
      </c>
      <c r="I1859">
        <v>0.18103179373987699</v>
      </c>
      <c r="J1859">
        <v>9.0910245829981001E-2</v>
      </c>
      <c r="K1859">
        <v>6.9013038682240305E-2</v>
      </c>
      <c r="L1859">
        <v>1045.07122423186</v>
      </c>
      <c r="M1859">
        <v>17.564573580784401</v>
      </c>
      <c r="N1859">
        <v>59.498810038871902</v>
      </c>
      <c r="O1859">
        <v>58.743649142760603</v>
      </c>
      <c r="P1859">
        <v>-7.4755005804936603E-2</v>
      </c>
      <c r="Q1859">
        <v>0</v>
      </c>
      <c r="R1859">
        <v>0.82445158451075895</v>
      </c>
      <c r="S1859" t="s">
        <v>7685</v>
      </c>
      <c r="T1859" t="s">
        <v>11650</v>
      </c>
      <c r="U1859" t="s">
        <v>11650</v>
      </c>
      <c r="V1859" t="s">
        <v>11650</v>
      </c>
      <c r="W1859" t="s">
        <v>13474</v>
      </c>
      <c r="X1859">
        <v>14</v>
      </c>
      <c r="Y1859" t="s">
        <v>19208</v>
      </c>
      <c r="Z1859" t="s">
        <v>24921</v>
      </c>
      <c r="AA1859">
        <v>0.65945736528542487</v>
      </c>
      <c r="AB1859" t="str">
        <f>HYPERLINK("Melting_Curves/meltCurve_P10301_RRAS.pdf", "Melting_Curves/meltCurve_P10301_RRAS.pdf")</f>
        <v>Melting_Curves/meltCurve_P10301_RRAS.pdf</v>
      </c>
    </row>
    <row r="1860" spans="1:28" x14ac:dyDescent="0.25">
      <c r="A1860" t="s">
        <v>1864</v>
      </c>
      <c r="B1860">
        <v>0.99996721820229495</v>
      </c>
      <c r="C1860">
        <v>0.93542311014747104</v>
      </c>
      <c r="D1860">
        <v>0.84683159733301305</v>
      </c>
      <c r="E1860">
        <v>0.53531548077664004</v>
      </c>
      <c r="F1860">
        <v>0.41902978544979502</v>
      </c>
      <c r="G1860">
        <v>0.37309837952095598</v>
      </c>
      <c r="H1860">
        <v>0.24066269923827999</v>
      </c>
      <c r="I1860">
        <v>0.187807653188822</v>
      </c>
      <c r="J1860">
        <v>0.113519888481138</v>
      </c>
      <c r="K1860">
        <v>0.112882880430713</v>
      </c>
      <c r="L1860">
        <v>611.30238695577498</v>
      </c>
      <c r="M1860">
        <v>11.9999397704073</v>
      </c>
      <c r="N1860">
        <v>51.945527712875503</v>
      </c>
      <c r="O1860">
        <v>49.589264090107001</v>
      </c>
      <c r="P1860">
        <v>-5.4251585131902501E-2</v>
      </c>
      <c r="Q1860">
        <v>0.10344639625835</v>
      </c>
      <c r="R1860">
        <v>0.98377066660190704</v>
      </c>
      <c r="S1860" t="s">
        <v>7686</v>
      </c>
      <c r="T1860" t="s">
        <v>11650</v>
      </c>
      <c r="U1860" t="s">
        <v>11650</v>
      </c>
      <c r="V1860" t="s">
        <v>11650</v>
      </c>
      <c r="W1860" t="s">
        <v>13475</v>
      </c>
      <c r="X1860">
        <v>6</v>
      </c>
      <c r="Y1860" t="s">
        <v>19209</v>
      </c>
      <c r="Z1860" t="s">
        <v>24922</v>
      </c>
      <c r="AA1860">
        <v>0.45979700872427898</v>
      </c>
      <c r="AB1860" t="str">
        <f>HYPERLINK("Melting_Curves/meltCurve_P10398_ARAF.pdf", "Melting_Curves/meltCurve_P10398_ARAF.pdf")</f>
        <v>Melting_Curves/meltCurve_P10398_ARAF.pdf</v>
      </c>
    </row>
    <row r="1861" spans="1:28" x14ac:dyDescent="0.25">
      <c r="A1861" t="s">
        <v>1865</v>
      </c>
      <c r="B1861">
        <v>0.99996721820229495</v>
      </c>
      <c r="C1861">
        <v>0.94751057455620902</v>
      </c>
      <c r="D1861">
        <v>0.99070234861034301</v>
      </c>
      <c r="E1861">
        <v>1.3545381874862299</v>
      </c>
      <c r="F1861">
        <v>2.1590782253630101</v>
      </c>
      <c r="G1861">
        <v>2.36798137732504</v>
      </c>
      <c r="H1861">
        <v>1.08912181370225</v>
      </c>
      <c r="I1861">
        <v>0.48090630867725198</v>
      </c>
      <c r="J1861">
        <v>0.23883863551481699</v>
      </c>
      <c r="K1861">
        <v>0.24914717683328899</v>
      </c>
      <c r="L1861">
        <v>15000</v>
      </c>
      <c r="M1861">
        <v>235.15930813763799</v>
      </c>
      <c r="N1861">
        <v>63.968631720310299</v>
      </c>
      <c r="O1861">
        <v>63.7819307954856</v>
      </c>
      <c r="P1861">
        <v>-0.69684188202605202</v>
      </c>
      <c r="Q1861">
        <v>0.24398617745098</v>
      </c>
      <c r="R1861">
        <v>0.28494429127432602</v>
      </c>
      <c r="S1861" t="s">
        <v>7687</v>
      </c>
      <c r="T1861" t="s">
        <v>11650</v>
      </c>
      <c r="U1861" t="s">
        <v>11650</v>
      </c>
      <c r="V1861" t="s">
        <v>11650</v>
      </c>
      <c r="W1861" t="s">
        <v>13476</v>
      </c>
      <c r="X1861">
        <v>3</v>
      </c>
      <c r="Y1861" t="s">
        <v>19210</v>
      </c>
      <c r="Z1861" t="s">
        <v>24923</v>
      </c>
      <c r="AA1861">
        <v>0.84351374693285586</v>
      </c>
      <c r="AB1861" t="str">
        <f>HYPERLINK("Melting_Curves/meltCurve_P10515_DLAT.pdf", "Melting_Curves/meltCurve_P10515_DLAT.pdf")</f>
        <v>Melting_Curves/meltCurve_P10515_DLAT.pdf</v>
      </c>
    </row>
    <row r="1862" spans="1:28" x14ac:dyDescent="0.25">
      <c r="A1862" t="s">
        <v>1866</v>
      </c>
      <c r="B1862">
        <v>0.99996721820229495</v>
      </c>
      <c r="C1862">
        <v>0.81596743624791701</v>
      </c>
      <c r="D1862">
        <v>0.82455667294183899</v>
      </c>
      <c r="E1862">
        <v>0.69104437804306695</v>
      </c>
      <c r="F1862">
        <v>0.61325758251985596</v>
      </c>
      <c r="G1862">
        <v>0.38327582735113602</v>
      </c>
      <c r="H1862">
        <v>0.22984671055861899</v>
      </c>
      <c r="I1862">
        <v>0.18532409771685701</v>
      </c>
      <c r="J1862">
        <v>9.8484433919954303E-2</v>
      </c>
      <c r="K1862">
        <v>0.13726493785286301</v>
      </c>
      <c r="L1862">
        <v>500.73796263795202</v>
      </c>
      <c r="M1862">
        <v>9.2545929478765707</v>
      </c>
      <c r="N1862">
        <v>54.106967632908898</v>
      </c>
      <c r="O1862">
        <v>51.7605990432208</v>
      </c>
      <c r="P1862">
        <v>-4.4728225442838297E-2</v>
      </c>
      <c r="Q1862">
        <v>0</v>
      </c>
      <c r="R1862">
        <v>0.97952177097174198</v>
      </c>
      <c r="S1862" t="s">
        <v>7688</v>
      </c>
      <c r="T1862" t="s">
        <v>11650</v>
      </c>
      <c r="U1862" t="s">
        <v>11650</v>
      </c>
      <c r="V1862" t="s">
        <v>11650</v>
      </c>
      <c r="W1862" t="s">
        <v>13477</v>
      </c>
      <c r="X1862">
        <v>2</v>
      </c>
      <c r="Y1862" t="s">
        <v>19211</v>
      </c>
      <c r="Z1862" t="s">
        <v>24924</v>
      </c>
      <c r="AA1862">
        <v>0.5014150418010147</v>
      </c>
      <c r="AB1862" t="str">
        <f>HYPERLINK("Melting_Curves/meltCurve_P10586_2_PTPRF.pdf", "Melting_Curves/meltCurve_P10586_2_PTPRF.pdf")</f>
        <v>Melting_Curves/meltCurve_P10586_2_PTPRF.pdf</v>
      </c>
    </row>
    <row r="1863" spans="1:28" x14ac:dyDescent="0.25">
      <c r="A1863" t="s">
        <v>1867</v>
      </c>
      <c r="B1863">
        <v>0.99996721820229495</v>
      </c>
      <c r="C1863">
        <v>0.85825628307193602</v>
      </c>
      <c r="D1863">
        <v>0.80773808601993002</v>
      </c>
      <c r="E1863">
        <v>0.804212767029169</v>
      </c>
      <c r="F1863">
        <v>0.96910808020987405</v>
      </c>
      <c r="G1863">
        <v>0.73097058824654204</v>
      </c>
      <c r="H1863">
        <v>0.66029877838969098</v>
      </c>
      <c r="I1863">
        <v>1.0335393129782799</v>
      </c>
      <c r="J1863">
        <v>1.1243559940469401</v>
      </c>
      <c r="K1863">
        <v>0.75679067414864898</v>
      </c>
      <c r="L1863">
        <v>10282.272787334599</v>
      </c>
      <c r="M1863">
        <v>250</v>
      </c>
      <c r="O1863">
        <v>41.126459170064003</v>
      </c>
      <c r="P1863">
        <v>-0.211869193279871</v>
      </c>
      <c r="Q1863">
        <v>0.86058512456738101</v>
      </c>
      <c r="R1863">
        <v>8.6379841275429303E-2</v>
      </c>
      <c r="S1863" t="s">
        <v>7689</v>
      </c>
      <c r="T1863" t="s">
        <v>11650</v>
      </c>
      <c r="U1863" t="s">
        <v>11650</v>
      </c>
      <c r="V1863" t="s">
        <v>11650</v>
      </c>
      <c r="W1863" t="s">
        <v>13478</v>
      </c>
      <c r="X1863">
        <v>15</v>
      </c>
      <c r="Y1863" t="s">
        <v>19212</v>
      </c>
      <c r="Z1863" t="s">
        <v>24925</v>
      </c>
      <c r="AA1863">
        <v>0.86584287565635576</v>
      </c>
      <c r="AB1863" t="str">
        <f>HYPERLINK("Melting_Curves/meltCurve_P10599_TXN.pdf", "Melting_Curves/meltCurve_P10599_TXN.pdf")</f>
        <v>Melting_Curves/meltCurve_P10599_TXN.pdf</v>
      </c>
    </row>
    <row r="1864" spans="1:28" x14ac:dyDescent="0.25">
      <c r="A1864" t="s">
        <v>1868</v>
      </c>
      <c r="B1864">
        <v>0.99996721820229495</v>
      </c>
      <c r="C1864">
        <v>0.92268405254497698</v>
      </c>
      <c r="D1864">
        <v>0.96500332748091799</v>
      </c>
      <c r="E1864">
        <v>0.99207133774151801</v>
      </c>
      <c r="F1864">
        <v>1.3005781220267401</v>
      </c>
      <c r="G1864">
        <v>1.70279725308523</v>
      </c>
      <c r="H1864">
        <v>1.49457615685946</v>
      </c>
      <c r="I1864">
        <v>1.99675960087436</v>
      </c>
      <c r="J1864">
        <v>2.2850313658052301</v>
      </c>
      <c r="K1864">
        <v>1.2369756535380401</v>
      </c>
      <c r="L1864">
        <v>13228.2548900807</v>
      </c>
      <c r="M1864">
        <v>250</v>
      </c>
      <c r="O1864">
        <v>52.909651209483201</v>
      </c>
      <c r="P1864">
        <v>0.59062968173498298</v>
      </c>
      <c r="Q1864">
        <v>1.5</v>
      </c>
      <c r="R1864">
        <v>0.51426808611247798</v>
      </c>
      <c r="S1864" t="s">
        <v>7690</v>
      </c>
      <c r="T1864" t="s">
        <v>11650</v>
      </c>
      <c r="U1864" t="s">
        <v>11650</v>
      </c>
      <c r="V1864" t="s">
        <v>11650</v>
      </c>
      <c r="W1864" t="s">
        <v>13479</v>
      </c>
      <c r="X1864">
        <v>11</v>
      </c>
      <c r="Y1864" t="s">
        <v>19213</v>
      </c>
      <c r="Z1864" t="s">
        <v>24926</v>
      </c>
      <c r="AA1864">
        <v>1.284736576565042</v>
      </c>
      <c r="AB1864" t="str">
        <f>HYPERLINK("Melting_Curves/meltCurve_P10606_COX5B.pdf", "Melting_Curves/meltCurve_P10606_COX5B.pdf")</f>
        <v>Melting_Curves/meltCurve_P10606_COX5B.pdf</v>
      </c>
    </row>
    <row r="1865" spans="1:28" x14ac:dyDescent="0.25">
      <c r="A1865" t="s">
        <v>1869</v>
      </c>
      <c r="B1865">
        <v>0.99996721820229495</v>
      </c>
      <c r="C1865">
        <v>0.97144189726095598</v>
      </c>
      <c r="D1865">
        <v>1.0642730260554101</v>
      </c>
      <c r="E1865">
        <v>1.2007898028499699</v>
      </c>
      <c r="F1865">
        <v>1.17139385435141</v>
      </c>
      <c r="G1865">
        <v>1.1935128588002</v>
      </c>
      <c r="H1865">
        <v>0.62203421646596502</v>
      </c>
      <c r="I1865">
        <v>0.29073944041069699</v>
      </c>
      <c r="J1865">
        <v>0.19647133525690899</v>
      </c>
      <c r="K1865">
        <v>0.14131169720836101</v>
      </c>
      <c r="L1865">
        <v>3755.5009867624599</v>
      </c>
      <c r="M1865">
        <v>61.318927482187298</v>
      </c>
      <c r="N1865">
        <v>61.714899001241001</v>
      </c>
      <c r="O1865">
        <v>61.180342175372601</v>
      </c>
      <c r="P1865">
        <v>-0.203858798252391</v>
      </c>
      <c r="Q1865">
        <v>0.18640808108819801</v>
      </c>
      <c r="R1865">
        <v>0.92827282573508396</v>
      </c>
      <c r="S1865" t="s">
        <v>7691</v>
      </c>
      <c r="T1865" t="s">
        <v>11650</v>
      </c>
      <c r="U1865" t="s">
        <v>11650</v>
      </c>
      <c r="V1865" t="s">
        <v>11650</v>
      </c>
      <c r="W1865" t="s">
        <v>13480</v>
      </c>
      <c r="X1865">
        <v>12</v>
      </c>
      <c r="Y1865" t="s">
        <v>19214</v>
      </c>
      <c r="Z1865" t="s">
        <v>24927</v>
      </c>
      <c r="AA1865">
        <v>0.76401853441924517</v>
      </c>
      <c r="AB1865" t="str">
        <f>HYPERLINK("Melting_Curves/meltCurve_P10619_CTSA.pdf", "Melting_Curves/meltCurve_P10619_CTSA.pdf")</f>
        <v>Melting_Curves/meltCurve_P10619_CTSA.pdf</v>
      </c>
    </row>
    <row r="1866" spans="1:28" x14ac:dyDescent="0.25">
      <c r="A1866" t="s">
        <v>1870</v>
      </c>
      <c r="B1866">
        <v>0.99996721820229495</v>
      </c>
      <c r="C1866">
        <v>0.67207048489261301</v>
      </c>
      <c r="D1866">
        <v>1.0109467137931201</v>
      </c>
      <c r="E1866">
        <v>1.0341451947017699</v>
      </c>
      <c r="F1866">
        <v>1.0026177063143999</v>
      </c>
      <c r="G1866">
        <v>1.0194439036315901</v>
      </c>
      <c r="H1866">
        <v>0.62797979900813505</v>
      </c>
      <c r="I1866">
        <v>0.337365805211985</v>
      </c>
      <c r="J1866">
        <v>0.19766573883920899</v>
      </c>
      <c r="K1866">
        <v>0.19763544834212099</v>
      </c>
      <c r="L1866">
        <v>2641.7864895318298</v>
      </c>
      <c r="M1866">
        <v>43.0596547819828</v>
      </c>
      <c r="N1866">
        <v>62.059163205032299</v>
      </c>
      <c r="O1866">
        <v>61.219904367415197</v>
      </c>
      <c r="P1866">
        <v>-0.14173844068323299</v>
      </c>
      <c r="Q1866">
        <v>0.193936923795303</v>
      </c>
      <c r="R1866">
        <v>0.90064921967210498</v>
      </c>
      <c r="S1866" t="s">
        <v>7692</v>
      </c>
      <c r="T1866" t="s">
        <v>11650</v>
      </c>
      <c r="U1866" t="s">
        <v>11650</v>
      </c>
      <c r="V1866" t="s">
        <v>11650</v>
      </c>
      <c r="W1866" t="s">
        <v>13481</v>
      </c>
      <c r="X1866">
        <v>5</v>
      </c>
      <c r="Y1866" t="s">
        <v>19215</v>
      </c>
      <c r="Z1866" t="s">
        <v>24928</v>
      </c>
      <c r="AA1866">
        <v>0.7703227313247516</v>
      </c>
      <c r="AB1866" t="str">
        <f>HYPERLINK("Melting_Curves/meltCurve_P10620_MGST1.pdf", "Melting_Curves/meltCurve_P10620_MGST1.pdf")</f>
        <v>Melting_Curves/meltCurve_P10620_MGST1.pdf</v>
      </c>
    </row>
    <row r="1867" spans="1:28" x14ac:dyDescent="0.25">
      <c r="A1867" t="s">
        <v>1871</v>
      </c>
      <c r="B1867">
        <v>0.99996721820229495</v>
      </c>
      <c r="C1867">
        <v>1.13985214464013</v>
      </c>
      <c r="D1867">
        <v>0.84492600926134098</v>
      </c>
      <c r="E1867">
        <v>1.1094283417276101</v>
      </c>
      <c r="F1867">
        <v>1.23928320834812</v>
      </c>
      <c r="G1867">
        <v>1.29924919332157</v>
      </c>
      <c r="H1867">
        <v>1.42217536088485</v>
      </c>
      <c r="I1867">
        <v>1.25766679924039</v>
      </c>
      <c r="J1867">
        <v>0.72710003819504399</v>
      </c>
      <c r="K1867">
        <v>0.93146015210713495</v>
      </c>
      <c r="L1867">
        <v>2159.6620013660799</v>
      </c>
      <c r="M1867">
        <v>31.653281073612099</v>
      </c>
      <c r="O1867">
        <v>67.9581031932413</v>
      </c>
      <c r="P1867">
        <v>-1.9340608980532099E-2</v>
      </c>
      <c r="Q1867">
        <v>0.83390736986316305</v>
      </c>
      <c r="R1867">
        <v>-0.175826560885602</v>
      </c>
      <c r="S1867" t="s">
        <v>7693</v>
      </c>
      <c r="T1867" t="s">
        <v>11650</v>
      </c>
      <c r="U1867" t="s">
        <v>11650</v>
      </c>
      <c r="V1867" t="s">
        <v>11650</v>
      </c>
      <c r="W1867" t="s">
        <v>13482</v>
      </c>
      <c r="X1867">
        <v>1</v>
      </c>
      <c r="Y1867" t="s">
        <v>19216</v>
      </c>
      <c r="Z1867" t="s">
        <v>24929</v>
      </c>
      <c r="AA1867">
        <v>0.98642323440678159</v>
      </c>
      <c r="AB1867" t="str">
        <f>HYPERLINK("Melting_Curves/meltCurve_P10636_MAPT.pdf", "Melting_Curves/meltCurve_P10636_MAPT.pdf")</f>
        <v>Melting_Curves/meltCurve_P10636_MAPT.pdf</v>
      </c>
    </row>
    <row r="1868" spans="1:28" x14ac:dyDescent="0.25">
      <c r="A1868" t="s">
        <v>1872</v>
      </c>
      <c r="B1868">
        <v>0.99996721820229495</v>
      </c>
      <c r="C1868">
        <v>0.91405288196530798</v>
      </c>
      <c r="D1868">
        <v>0.91205153373103998</v>
      </c>
      <c r="E1868">
        <v>0.92456746685883195</v>
      </c>
      <c r="F1868">
        <v>0.36855074407324701</v>
      </c>
      <c r="G1868">
        <v>0.25882451290708502</v>
      </c>
      <c r="H1868">
        <v>0.14725930631259901</v>
      </c>
      <c r="I1868">
        <v>0.110147197262004</v>
      </c>
      <c r="J1868">
        <v>7.7346222515667098E-2</v>
      </c>
      <c r="K1868">
        <v>6.2685274325311194E-2</v>
      </c>
      <c r="L1868">
        <v>2587.00598032382</v>
      </c>
      <c r="M1868">
        <v>49.669830044936603</v>
      </c>
      <c r="N1868">
        <v>52.391354774089301</v>
      </c>
      <c r="O1868">
        <v>51.999832848804303</v>
      </c>
      <c r="P1868">
        <v>-0.20862147818966501</v>
      </c>
      <c r="Q1868">
        <v>0.12636926623560199</v>
      </c>
      <c r="R1868">
        <v>0.97486658836697704</v>
      </c>
      <c r="S1868" t="s">
        <v>7694</v>
      </c>
      <c r="T1868" t="s">
        <v>11650</v>
      </c>
      <c r="U1868" t="s">
        <v>11650</v>
      </c>
      <c r="V1868" t="s">
        <v>11650</v>
      </c>
      <c r="W1868" t="s">
        <v>13483</v>
      </c>
      <c r="X1868">
        <v>29</v>
      </c>
      <c r="Y1868" t="s">
        <v>19217</v>
      </c>
      <c r="Z1868" t="s">
        <v>24930</v>
      </c>
      <c r="AA1868">
        <v>0.48030310069570092</v>
      </c>
      <c r="AB1868" t="str">
        <f>HYPERLINK("Melting_Curves/meltCurve_P10644_PRKAR1A.pdf", "Melting_Curves/meltCurve_P10644_PRKAR1A.pdf")</f>
        <v>Melting_Curves/meltCurve_P10644_PRKAR1A.pdf</v>
      </c>
    </row>
    <row r="1869" spans="1:28" x14ac:dyDescent="0.25">
      <c r="A1869" t="s">
        <v>1873</v>
      </c>
      <c r="B1869">
        <v>0.99996721820229495</v>
      </c>
      <c r="C1869">
        <v>1.15386935554383</v>
      </c>
      <c r="D1869">
        <v>1.0604601527434401</v>
      </c>
      <c r="E1869">
        <v>0.81045188568716597</v>
      </c>
      <c r="F1869">
        <v>0.304503792410728</v>
      </c>
      <c r="G1869">
        <v>0.24255606821148801</v>
      </c>
      <c r="H1869">
        <v>0.129862185279917</v>
      </c>
      <c r="I1869">
        <v>9.4400436106633304E-2</v>
      </c>
      <c r="J1869">
        <v>6.6110000874184199E-2</v>
      </c>
      <c r="K1869">
        <v>6.44943617956341E-2</v>
      </c>
      <c r="L1869">
        <v>2139.02934176089</v>
      </c>
      <c r="M1869">
        <v>41.519916314406302</v>
      </c>
      <c r="N1869">
        <v>51.837517279580801</v>
      </c>
      <c r="O1869">
        <v>51.399073714637296</v>
      </c>
      <c r="P1869">
        <v>-0.17915871611422601</v>
      </c>
      <c r="Q1869">
        <v>0.11285220320973</v>
      </c>
      <c r="R1869">
        <v>0.97507657678324999</v>
      </c>
      <c r="S1869" t="s">
        <v>7695</v>
      </c>
      <c r="T1869" t="s">
        <v>11650</v>
      </c>
      <c r="U1869" t="s">
        <v>11650</v>
      </c>
      <c r="V1869" t="s">
        <v>11650</v>
      </c>
      <c r="W1869" t="s">
        <v>13484</v>
      </c>
      <c r="X1869">
        <v>11</v>
      </c>
      <c r="Y1869" t="s">
        <v>19218</v>
      </c>
      <c r="Z1869" t="s">
        <v>24931</v>
      </c>
      <c r="AA1869">
        <v>0.45639228416505268</v>
      </c>
      <c r="AB1869" t="str">
        <f>HYPERLINK("Melting_Curves/meltCurve_P10746_UROS.pdf", "Melting_Curves/meltCurve_P10746_UROS.pdf")</f>
        <v>Melting_Curves/meltCurve_P10746_UROS.pdf</v>
      </c>
    </row>
    <row r="1870" spans="1:28" x14ac:dyDescent="0.25">
      <c r="A1870" t="s">
        <v>1874</v>
      </c>
      <c r="B1870">
        <v>0.99996721820229495</v>
      </c>
      <c r="C1870">
        <v>1.03291263604975</v>
      </c>
      <c r="D1870">
        <v>0.96830242059466798</v>
      </c>
      <c r="E1870">
        <v>0.76740836841665205</v>
      </c>
      <c r="F1870">
        <v>0.50685495638112099</v>
      </c>
      <c r="G1870">
        <v>0.23753498201862</v>
      </c>
      <c r="H1870">
        <v>0.121356485088772</v>
      </c>
      <c r="I1870">
        <v>7.85339602783829E-2</v>
      </c>
      <c r="J1870">
        <v>6.7027453844177798E-2</v>
      </c>
      <c r="K1870">
        <v>5.0783672907158003E-2</v>
      </c>
      <c r="L1870">
        <v>1067.86527624469</v>
      </c>
      <c r="M1870">
        <v>20.206210317717701</v>
      </c>
      <c r="N1870">
        <v>53.145170213264301</v>
      </c>
      <c r="O1870">
        <v>52.338895153925698</v>
      </c>
      <c r="P1870">
        <v>-9.1369353199317202E-2</v>
      </c>
      <c r="Q1870">
        <v>5.3355707764997998E-2</v>
      </c>
      <c r="R1870">
        <v>0.99864190102455797</v>
      </c>
      <c r="S1870" t="s">
        <v>7696</v>
      </c>
      <c r="T1870" t="s">
        <v>11650</v>
      </c>
      <c r="U1870" t="s">
        <v>11650</v>
      </c>
      <c r="V1870" t="s">
        <v>11650</v>
      </c>
      <c r="W1870" t="s">
        <v>13485</v>
      </c>
      <c r="X1870">
        <v>13</v>
      </c>
      <c r="Y1870" t="s">
        <v>19219</v>
      </c>
      <c r="Z1870" t="s">
        <v>24932</v>
      </c>
      <c r="AA1870">
        <v>0.47159103382682199</v>
      </c>
      <c r="AB1870" t="str">
        <f>HYPERLINK("Melting_Curves/meltCurve_P10768_ESD.pdf", "Melting_Curves/meltCurve_P10768_ESD.pdf")</f>
        <v>Melting_Curves/meltCurve_P10768_ESD.pdf</v>
      </c>
    </row>
    <row r="1871" spans="1:28" x14ac:dyDescent="0.25">
      <c r="A1871" t="s">
        <v>1875</v>
      </c>
      <c r="B1871">
        <v>0.99996721820229495</v>
      </c>
      <c r="C1871">
        <v>1.05476130683882</v>
      </c>
      <c r="D1871">
        <v>1.0047153599724301</v>
      </c>
      <c r="E1871">
        <v>1.2502244240041001</v>
      </c>
      <c r="F1871">
        <v>1.59611338815529</v>
      </c>
      <c r="G1871">
        <v>0.92346019212384101</v>
      </c>
      <c r="H1871">
        <v>0.26733634163193598</v>
      </c>
      <c r="I1871">
        <v>0.146492824030478</v>
      </c>
      <c r="J1871">
        <v>8.7001120617182501E-2</v>
      </c>
      <c r="K1871">
        <v>6.8342165468683297E-2</v>
      </c>
      <c r="L1871">
        <v>3442.63425803582</v>
      </c>
      <c r="M1871">
        <v>57.859828677658001</v>
      </c>
      <c r="N1871">
        <v>59.714581535677198</v>
      </c>
      <c r="O1871">
        <v>59.428612751980097</v>
      </c>
      <c r="P1871">
        <v>-0.22051219136275499</v>
      </c>
      <c r="Q1871">
        <v>9.4036284625489505E-2</v>
      </c>
      <c r="R1871">
        <v>0.84389167605073201</v>
      </c>
      <c r="S1871" t="s">
        <v>7697</v>
      </c>
      <c r="T1871" t="s">
        <v>11650</v>
      </c>
      <c r="U1871" t="s">
        <v>11650</v>
      </c>
      <c r="V1871" t="s">
        <v>11650</v>
      </c>
      <c r="W1871" t="s">
        <v>13486</v>
      </c>
      <c r="X1871">
        <v>54</v>
      </c>
      <c r="Y1871" t="s">
        <v>19220</v>
      </c>
      <c r="Z1871" t="s">
        <v>24933</v>
      </c>
      <c r="AA1871">
        <v>0.68466483902162067</v>
      </c>
      <c r="AB1871" t="str">
        <f>HYPERLINK("Melting_Curves/meltCurve_P10809_HSPD1.pdf", "Melting_Curves/meltCurve_P10809_HSPD1.pdf")</f>
        <v>Melting_Curves/meltCurve_P10809_HSPD1.pdf</v>
      </c>
    </row>
    <row r="1872" spans="1:28" x14ac:dyDescent="0.25">
      <c r="A1872" t="s">
        <v>1876</v>
      </c>
      <c r="B1872">
        <v>0.99996721820229495</v>
      </c>
      <c r="C1872">
        <v>0.88922782338182105</v>
      </c>
      <c r="D1872">
        <v>0.781761182628535</v>
      </c>
      <c r="E1872">
        <v>0.61742542569259096</v>
      </c>
      <c r="F1872">
        <v>0.59068532905182003</v>
      </c>
      <c r="G1872">
        <v>0.54543346274335502</v>
      </c>
      <c r="H1872">
        <v>0.34157285732127302</v>
      </c>
      <c r="I1872">
        <v>0.20464677356281499</v>
      </c>
      <c r="J1872">
        <v>0.117387341465023</v>
      </c>
      <c r="K1872">
        <v>0.143639636136626</v>
      </c>
      <c r="L1872">
        <v>434.16499429171398</v>
      </c>
      <c r="M1872">
        <v>7.9071035775059597</v>
      </c>
      <c r="N1872">
        <v>54.908221424515197</v>
      </c>
      <c r="O1872">
        <v>51.729226700737399</v>
      </c>
      <c r="P1872">
        <v>-3.8259050974271798E-2</v>
      </c>
      <c r="Q1872">
        <v>0</v>
      </c>
      <c r="R1872">
        <v>0.96448248010756399</v>
      </c>
      <c r="S1872" t="s">
        <v>7698</v>
      </c>
      <c r="T1872" t="s">
        <v>11650</v>
      </c>
      <c r="U1872" t="s">
        <v>11650</v>
      </c>
      <c r="V1872" t="s">
        <v>11650</v>
      </c>
      <c r="W1872" t="s">
        <v>13487</v>
      </c>
      <c r="X1872">
        <v>7</v>
      </c>
      <c r="Y1872" t="s">
        <v>19221</v>
      </c>
      <c r="Z1872" t="s">
        <v>24934</v>
      </c>
      <c r="AA1872">
        <v>0.52478355162911683</v>
      </c>
      <c r="AB1872" t="str">
        <f>HYPERLINK("Melting_Curves/meltCurve_P10909_4_CLU.pdf", "Melting_Curves/meltCurve_P10909_4_CLU.pdf")</f>
        <v>Melting_Curves/meltCurve_P10909_4_CLU.pdf</v>
      </c>
    </row>
    <row r="1873" spans="1:28" x14ac:dyDescent="0.25">
      <c r="A1873" t="s">
        <v>1877</v>
      </c>
      <c r="B1873">
        <v>0.99996721820229495</v>
      </c>
      <c r="C1873">
        <v>0.92255279954432101</v>
      </c>
      <c r="D1873">
        <v>0.951018910804735</v>
      </c>
      <c r="E1873">
        <v>0.90073455821590598</v>
      </c>
      <c r="F1873">
        <v>1.0280028760334301</v>
      </c>
      <c r="G1873">
        <v>0.50218891889388595</v>
      </c>
      <c r="H1873">
        <v>0.25904353933524099</v>
      </c>
      <c r="I1873">
        <v>0.15570431529131101</v>
      </c>
      <c r="J1873">
        <v>0.13171101190753901</v>
      </c>
      <c r="K1873">
        <v>8.29341742486112E-2</v>
      </c>
      <c r="L1873">
        <v>2180.0624735472002</v>
      </c>
      <c r="M1873">
        <v>38.3955304538257</v>
      </c>
      <c r="N1873">
        <v>57.248743188293801</v>
      </c>
      <c r="O1873">
        <v>56.625705138032203</v>
      </c>
      <c r="P1873">
        <v>-0.14661235290198299</v>
      </c>
      <c r="Q1873">
        <v>0.13510690089555299</v>
      </c>
      <c r="R1873">
        <v>0.97799704634389395</v>
      </c>
      <c r="S1873" t="s">
        <v>7699</v>
      </c>
      <c r="T1873" t="s">
        <v>11650</v>
      </c>
      <c r="U1873" t="s">
        <v>11650</v>
      </c>
      <c r="V1873" t="s">
        <v>11650</v>
      </c>
      <c r="W1873" t="s">
        <v>13488</v>
      </c>
      <c r="X1873">
        <v>2</v>
      </c>
      <c r="Y1873" t="s">
        <v>19222</v>
      </c>
      <c r="Z1873" t="s">
        <v>24935</v>
      </c>
      <c r="AA1873">
        <v>0.62248237239863968</v>
      </c>
      <c r="AB1873" t="str">
        <f>HYPERLINK("Melting_Curves/meltCurve_P10915_HAPLN1.pdf", "Melting_Curves/meltCurve_P10915_HAPLN1.pdf")</f>
        <v>Melting_Curves/meltCurve_P10915_HAPLN1.pdf</v>
      </c>
    </row>
    <row r="1874" spans="1:28" x14ac:dyDescent="0.25">
      <c r="A1874" t="s">
        <v>1878</v>
      </c>
      <c r="B1874">
        <v>0.99996721820229495</v>
      </c>
      <c r="C1874">
        <v>1.02458748081381</v>
      </c>
      <c r="D1874">
        <v>1.01341763640916</v>
      </c>
      <c r="E1874">
        <v>1.04700474864231</v>
      </c>
      <c r="F1874">
        <v>0.92826278817519003</v>
      </c>
      <c r="G1874">
        <v>0.65485763369814598</v>
      </c>
      <c r="H1874">
        <v>0.29902723408224702</v>
      </c>
      <c r="I1874">
        <v>0.15314841959150199</v>
      </c>
      <c r="J1874">
        <v>8.2022864328225101E-2</v>
      </c>
      <c r="K1874">
        <v>8.6442021706489305E-2</v>
      </c>
      <c r="L1874">
        <v>1509.80162262657</v>
      </c>
      <c r="M1874">
        <v>25.913003397342099</v>
      </c>
      <c r="N1874">
        <v>58.588481846797002</v>
      </c>
      <c r="O1874">
        <v>57.920576033597897</v>
      </c>
      <c r="P1874">
        <v>-0.10437712397417</v>
      </c>
      <c r="Q1874">
        <v>6.6798618461403905E-2</v>
      </c>
      <c r="R1874">
        <v>0.99700391634680596</v>
      </c>
      <c r="S1874" t="s">
        <v>7700</v>
      </c>
      <c r="T1874" t="s">
        <v>11650</v>
      </c>
      <c r="U1874" t="s">
        <v>11650</v>
      </c>
      <c r="V1874" t="s">
        <v>11650</v>
      </c>
      <c r="W1874" t="s">
        <v>13489</v>
      </c>
      <c r="X1874">
        <v>71</v>
      </c>
      <c r="Y1874" t="s">
        <v>19223</v>
      </c>
      <c r="Z1874" t="s">
        <v>24936</v>
      </c>
      <c r="AA1874">
        <v>0.64256725437671913</v>
      </c>
      <c r="AB1874" t="str">
        <f>HYPERLINK("Melting_Curves/meltCurve_P11021_HSPA5.pdf", "Melting_Curves/meltCurve_P11021_HSPA5.pdf")</f>
        <v>Melting_Curves/meltCurve_P11021_HSPA5.pdf</v>
      </c>
    </row>
    <row r="1875" spans="1:28" x14ac:dyDescent="0.25">
      <c r="A1875" t="s">
        <v>1879</v>
      </c>
      <c r="B1875">
        <v>0.99996721820229495</v>
      </c>
      <c r="C1875">
        <v>0.97513142966520505</v>
      </c>
      <c r="D1875">
        <v>0.96313766066098105</v>
      </c>
      <c r="E1875">
        <v>0.85003075063934497</v>
      </c>
      <c r="F1875">
        <v>0.50415369339317295</v>
      </c>
      <c r="G1875">
        <v>0.408087273862897</v>
      </c>
      <c r="H1875">
        <v>0.24148990940898399</v>
      </c>
      <c r="I1875">
        <v>0.14866565754164701</v>
      </c>
      <c r="J1875">
        <v>0.102239745446304</v>
      </c>
      <c r="K1875">
        <v>0.113863837142646</v>
      </c>
      <c r="L1875">
        <v>840.843918896167</v>
      </c>
      <c r="M1875">
        <v>15.6119995388145</v>
      </c>
      <c r="N1875">
        <v>54.529667222976599</v>
      </c>
      <c r="O1875">
        <v>52.998369134905502</v>
      </c>
      <c r="P1875">
        <v>-6.7215083320783603E-2</v>
      </c>
      <c r="Q1875">
        <v>8.7373235035446695E-2</v>
      </c>
      <c r="R1875">
        <v>0.986540300639002</v>
      </c>
      <c r="S1875" t="s">
        <v>7701</v>
      </c>
      <c r="T1875" t="s">
        <v>11650</v>
      </c>
      <c r="U1875" t="s">
        <v>11650</v>
      </c>
      <c r="V1875" t="s">
        <v>11650</v>
      </c>
      <c r="W1875" t="s">
        <v>13490</v>
      </c>
      <c r="X1875">
        <v>66</v>
      </c>
      <c r="Y1875" t="s">
        <v>19224</v>
      </c>
      <c r="Z1875" t="s">
        <v>24937</v>
      </c>
      <c r="AA1875">
        <v>0.52688803536781914</v>
      </c>
      <c r="AB1875" t="str">
        <f>HYPERLINK("Melting_Curves/meltCurve_P11047_LAMC1.pdf", "Melting_Curves/meltCurve_P11047_LAMC1.pdf")</f>
        <v>Melting_Curves/meltCurve_P11047_LAMC1.pdf</v>
      </c>
    </row>
    <row r="1876" spans="1:28" x14ac:dyDescent="0.25">
      <c r="A1876" t="s">
        <v>1880</v>
      </c>
      <c r="B1876">
        <v>0.99996721820229495</v>
      </c>
      <c r="C1876">
        <v>0.89860976396664405</v>
      </c>
      <c r="D1876">
        <v>1.08292915614698</v>
      </c>
      <c r="E1876">
        <v>1.20371237786764</v>
      </c>
      <c r="F1876">
        <v>1.51423923772925</v>
      </c>
      <c r="G1876">
        <v>1.47344352997741</v>
      </c>
      <c r="H1876">
        <v>1.0897938481613101</v>
      </c>
      <c r="I1876">
        <v>0.58991461057808503</v>
      </c>
      <c r="J1876">
        <v>0.26890819557921702</v>
      </c>
      <c r="K1876">
        <v>0.36556839086174497</v>
      </c>
      <c r="L1876">
        <v>15000</v>
      </c>
      <c r="M1876">
        <v>234.783047699918</v>
      </c>
      <c r="N1876">
        <v>64.163809237546602</v>
      </c>
      <c r="O1876">
        <v>63.884127650013603</v>
      </c>
      <c r="P1876">
        <v>-0.62731624328524904</v>
      </c>
      <c r="Q1876">
        <v>0.31723256486238299</v>
      </c>
      <c r="R1876">
        <v>0.65732807602735599</v>
      </c>
      <c r="S1876" t="s">
        <v>7702</v>
      </c>
      <c r="T1876" t="s">
        <v>11650</v>
      </c>
      <c r="U1876" t="s">
        <v>11650</v>
      </c>
      <c r="V1876" t="s">
        <v>11650</v>
      </c>
      <c r="W1876" t="s">
        <v>13491</v>
      </c>
      <c r="X1876">
        <v>11</v>
      </c>
      <c r="Y1876" t="s">
        <v>19225</v>
      </c>
      <c r="Z1876" t="s">
        <v>24938</v>
      </c>
      <c r="AA1876">
        <v>0.86100182792764779</v>
      </c>
      <c r="AB1876" t="str">
        <f>HYPERLINK("Melting_Curves/meltCurve_P11117_ACP2.pdf", "Melting_Curves/meltCurve_P11117_ACP2.pdf")</f>
        <v>Melting_Curves/meltCurve_P11117_ACP2.pdf</v>
      </c>
    </row>
    <row r="1877" spans="1:28" x14ac:dyDescent="0.25">
      <c r="A1877" t="s">
        <v>1881</v>
      </c>
      <c r="B1877">
        <v>0.99996721820229495</v>
      </c>
      <c r="C1877">
        <v>0.95031516133713401</v>
      </c>
      <c r="D1877">
        <v>0.87471768742532996</v>
      </c>
      <c r="E1877">
        <v>0.95925730261999298</v>
      </c>
      <c r="F1877">
        <v>1.0095200116227501</v>
      </c>
      <c r="G1877">
        <v>1.02423379497441</v>
      </c>
      <c r="H1877">
        <v>0.79868171481613703</v>
      </c>
      <c r="I1877">
        <v>0.61191524638612205</v>
      </c>
      <c r="J1877">
        <v>0.47688574106979098</v>
      </c>
      <c r="K1877">
        <v>0.42029839547832598</v>
      </c>
      <c r="L1877">
        <v>2042.4277786145699</v>
      </c>
      <c r="M1877">
        <v>32.658176413665203</v>
      </c>
      <c r="N1877">
        <v>66.030396724400205</v>
      </c>
      <c r="O1877">
        <v>62.306464922186898</v>
      </c>
      <c r="P1877">
        <v>-7.7175206746859598E-2</v>
      </c>
      <c r="Q1877">
        <v>0.41105202384147499</v>
      </c>
      <c r="R1877">
        <v>0.951217927051346</v>
      </c>
      <c r="S1877" t="s">
        <v>7703</v>
      </c>
      <c r="T1877" t="s">
        <v>11650</v>
      </c>
      <c r="U1877" t="s">
        <v>11650</v>
      </c>
      <c r="V1877" t="s">
        <v>11650</v>
      </c>
      <c r="W1877" t="s">
        <v>13492</v>
      </c>
      <c r="X1877">
        <v>54</v>
      </c>
      <c r="Y1877" t="s">
        <v>19226</v>
      </c>
      <c r="Z1877" t="s">
        <v>24939</v>
      </c>
      <c r="AA1877">
        <v>0.85583847295473514</v>
      </c>
      <c r="AB1877" t="str">
        <f>HYPERLINK("Melting_Curves/meltCurve_P11137_3_MAP2.pdf", "Melting_Curves/meltCurve_P11137_3_MAP2.pdf")</f>
        <v>Melting_Curves/meltCurve_P11137_3_MAP2.pdf</v>
      </c>
    </row>
    <row r="1878" spans="1:28" x14ac:dyDescent="0.25">
      <c r="A1878" t="s">
        <v>1882</v>
      </c>
      <c r="B1878">
        <v>0.99996721820229495</v>
      </c>
      <c r="C1878">
        <v>0.66305856689494902</v>
      </c>
      <c r="D1878">
        <v>0.685176611941271</v>
      </c>
      <c r="E1878">
        <v>0.95129391801541896</v>
      </c>
      <c r="F1878">
        <v>1.0919557673801099</v>
      </c>
      <c r="G1878">
        <v>0.81824654266710395</v>
      </c>
      <c r="H1878">
        <v>0.96170003806829696</v>
      </c>
      <c r="I1878">
        <v>0.86052063996787798</v>
      </c>
      <c r="J1878">
        <v>0.64917740513285804</v>
      </c>
      <c r="K1878">
        <v>0.731509058677552</v>
      </c>
      <c r="L1878">
        <v>68.2616678266794</v>
      </c>
      <c r="M1878">
        <v>1.0000000000000001E-5</v>
      </c>
      <c r="Q1878">
        <v>0.28150797619586898</v>
      </c>
      <c r="R1878">
        <v>2.7380034634731699E-2</v>
      </c>
      <c r="S1878" t="s">
        <v>7704</v>
      </c>
      <c r="T1878" t="s">
        <v>11650</v>
      </c>
      <c r="U1878" t="s">
        <v>11650</v>
      </c>
      <c r="V1878" t="s">
        <v>11650</v>
      </c>
      <c r="W1878" t="s">
        <v>13493</v>
      </c>
      <c r="X1878">
        <v>16</v>
      </c>
      <c r="Y1878" t="s">
        <v>19226</v>
      </c>
      <c r="Z1878" t="s">
        <v>24940</v>
      </c>
      <c r="AA1878">
        <v>0.84140710859463741</v>
      </c>
      <c r="AB1878" t="str">
        <f>HYPERLINK("Melting_Curves/meltCurve_P11137_4_MAP2.pdf", "Melting_Curves/meltCurve_P11137_4_MAP2.pdf")</f>
        <v>Melting_Curves/meltCurve_P11137_4_MAP2.pdf</v>
      </c>
    </row>
    <row r="1879" spans="1:28" x14ac:dyDescent="0.25">
      <c r="A1879" t="s">
        <v>1883</v>
      </c>
      <c r="B1879">
        <v>0.99996721820229495</v>
      </c>
      <c r="C1879">
        <v>0.95410226927253505</v>
      </c>
      <c r="D1879">
        <v>1.0043193468457301</v>
      </c>
      <c r="E1879">
        <v>1.02278484924035</v>
      </c>
      <c r="F1879">
        <v>0.81754101489528797</v>
      </c>
      <c r="G1879">
        <v>0.40142410703001502</v>
      </c>
      <c r="H1879">
        <v>8.9350223899916204E-2</v>
      </c>
      <c r="I1879">
        <v>0.189921618349007</v>
      </c>
      <c r="J1879">
        <v>4.42090639009627E-2</v>
      </c>
      <c r="K1879">
        <v>3.4709886311328098E-2</v>
      </c>
      <c r="L1879">
        <v>1663.32186755266</v>
      </c>
      <c r="M1879">
        <v>29.819535550418799</v>
      </c>
      <c r="N1879">
        <v>56.051679325052</v>
      </c>
      <c r="O1879">
        <v>55.530549459252398</v>
      </c>
      <c r="P1879">
        <v>-0.12520373297312501</v>
      </c>
      <c r="Q1879">
        <v>6.7378405923302895E-2</v>
      </c>
      <c r="R1879">
        <v>0.98854540708161398</v>
      </c>
      <c r="S1879" t="s">
        <v>7705</v>
      </c>
      <c r="T1879" t="s">
        <v>11650</v>
      </c>
      <c r="U1879" t="s">
        <v>11650</v>
      </c>
      <c r="V1879" t="s">
        <v>11650</v>
      </c>
      <c r="W1879" t="s">
        <v>11705</v>
      </c>
      <c r="X1879">
        <v>66</v>
      </c>
      <c r="Y1879" t="s">
        <v>17466</v>
      </c>
      <c r="Z1879" t="s">
        <v>24941</v>
      </c>
      <c r="AA1879">
        <v>0.56420948659721071</v>
      </c>
      <c r="AB1879" t="str">
        <f>HYPERLINK("Melting_Curves/meltCurve_P11142_HSPA8.pdf", "Melting_Curves/meltCurve_P11142_HSPA8.pdf")</f>
        <v>Melting_Curves/meltCurve_P11142_HSPA8.pdf</v>
      </c>
    </row>
    <row r="1880" spans="1:28" x14ac:dyDescent="0.25">
      <c r="A1880" t="s">
        <v>1884</v>
      </c>
      <c r="B1880">
        <v>0.99996721820229495</v>
      </c>
      <c r="C1880">
        <v>0.890560646224411</v>
      </c>
      <c r="D1880">
        <v>1.1246426693287499</v>
      </c>
      <c r="E1880">
        <v>1.29992748861874</v>
      </c>
      <c r="F1880">
        <v>1.62434215934416</v>
      </c>
      <c r="G1880">
        <v>1.89553555134868</v>
      </c>
      <c r="H1880">
        <v>1.4647186499826801</v>
      </c>
      <c r="I1880">
        <v>0.93658712941937805</v>
      </c>
      <c r="J1880">
        <v>0.48989880275475201</v>
      </c>
      <c r="K1880">
        <v>0.64933771094797899</v>
      </c>
      <c r="L1880">
        <v>15000</v>
      </c>
      <c r="M1880">
        <v>232.62109141775599</v>
      </c>
      <c r="O1880">
        <v>64.477779064274699</v>
      </c>
      <c r="P1880">
        <v>-0.388198353619501</v>
      </c>
      <c r="Q1880">
        <v>0.56959762371144795</v>
      </c>
      <c r="R1880">
        <v>0.10750991218883001</v>
      </c>
      <c r="S1880" t="s">
        <v>7706</v>
      </c>
      <c r="T1880" t="s">
        <v>11650</v>
      </c>
      <c r="U1880" t="s">
        <v>11650</v>
      </c>
      <c r="V1880" t="s">
        <v>11650</v>
      </c>
      <c r="W1880" t="s">
        <v>13494</v>
      </c>
      <c r="X1880">
        <v>7</v>
      </c>
      <c r="Y1880" t="s">
        <v>19227</v>
      </c>
      <c r="Z1880" t="s">
        <v>24942</v>
      </c>
      <c r="AA1880">
        <v>0.92089873379952247</v>
      </c>
      <c r="AB1880" t="str">
        <f>HYPERLINK("Melting_Curves/meltCurve_P11166_SLC2A1.pdf", "Melting_Curves/meltCurve_P11166_SLC2A1.pdf")</f>
        <v>Melting_Curves/meltCurve_P11166_SLC2A1.pdf</v>
      </c>
    </row>
    <row r="1881" spans="1:28" x14ac:dyDescent="0.25">
      <c r="A1881" t="s">
        <v>1885</v>
      </c>
      <c r="B1881">
        <v>0.99996721820229495</v>
      </c>
      <c r="C1881">
        <v>0.87853683211939304</v>
      </c>
      <c r="D1881">
        <v>0.96818748181655001</v>
      </c>
      <c r="E1881">
        <v>1.02302957833793</v>
      </c>
      <c r="F1881">
        <v>1.46918190408086</v>
      </c>
      <c r="G1881">
        <v>1.33349650706191</v>
      </c>
      <c r="H1881">
        <v>1.0960683902897701</v>
      </c>
      <c r="I1881">
        <v>0.77590060043916398</v>
      </c>
      <c r="J1881">
        <v>0.53010987755169103</v>
      </c>
      <c r="K1881">
        <v>0.54356923467210105</v>
      </c>
      <c r="L1881">
        <v>15000</v>
      </c>
      <c r="M1881">
        <v>234.310317767459</v>
      </c>
      <c r="O1881">
        <v>64.013003817110004</v>
      </c>
      <c r="P1881">
        <v>-0.42383928533059101</v>
      </c>
      <c r="Q1881">
        <v>0.53683259029731301</v>
      </c>
      <c r="R1881">
        <v>0.56553889633082499</v>
      </c>
      <c r="S1881" t="s">
        <v>7707</v>
      </c>
      <c r="T1881" t="s">
        <v>11650</v>
      </c>
      <c r="U1881" t="s">
        <v>11650</v>
      </c>
      <c r="V1881" t="s">
        <v>11650</v>
      </c>
      <c r="W1881" t="s">
        <v>13495</v>
      </c>
      <c r="X1881">
        <v>8</v>
      </c>
      <c r="Y1881" t="s">
        <v>19228</v>
      </c>
      <c r="Z1881" t="s">
        <v>24943</v>
      </c>
      <c r="AA1881">
        <v>0.90769852498397918</v>
      </c>
      <c r="AB1881" t="str">
        <f>HYPERLINK("Melting_Curves/meltCurve_P11169_SLC2A3.pdf", "Melting_Curves/meltCurve_P11169_SLC2A3.pdf")</f>
        <v>Melting_Curves/meltCurve_P11169_SLC2A3.pdf</v>
      </c>
    </row>
    <row r="1882" spans="1:28" x14ac:dyDescent="0.25">
      <c r="A1882" t="s">
        <v>1886</v>
      </c>
      <c r="B1882">
        <v>0.99996721820229495</v>
      </c>
      <c r="C1882">
        <v>0.99692313821772405</v>
      </c>
      <c r="D1882">
        <v>0.95694948686112602</v>
      </c>
      <c r="E1882">
        <v>0.85038061250400798</v>
      </c>
      <c r="F1882">
        <v>0.79755566139709</v>
      </c>
      <c r="G1882">
        <v>0.56061235648674901</v>
      </c>
      <c r="H1882">
        <v>0.27089628323605702</v>
      </c>
      <c r="I1882">
        <v>0.129946141822398</v>
      </c>
      <c r="J1882">
        <v>7.6973371516555894E-2</v>
      </c>
      <c r="K1882">
        <v>5.7750482134361299E-2</v>
      </c>
      <c r="L1882">
        <v>912.87578271638699</v>
      </c>
      <c r="M1882">
        <v>15.924967815110101</v>
      </c>
      <c r="N1882">
        <v>57.323556057125003</v>
      </c>
      <c r="O1882">
        <v>56.442485720601503</v>
      </c>
      <c r="P1882">
        <v>-7.0541897236870099E-2</v>
      </c>
      <c r="Q1882">
        <v>0</v>
      </c>
      <c r="R1882">
        <v>0.99510699021754301</v>
      </c>
      <c r="S1882" t="s">
        <v>7708</v>
      </c>
      <c r="T1882" t="s">
        <v>11650</v>
      </c>
      <c r="U1882" t="s">
        <v>11650</v>
      </c>
      <c r="V1882" t="s">
        <v>11650</v>
      </c>
      <c r="W1882" t="s">
        <v>13496</v>
      </c>
      <c r="X1882">
        <v>27</v>
      </c>
      <c r="Y1882" t="s">
        <v>19229</v>
      </c>
      <c r="Z1882" t="s">
        <v>24944</v>
      </c>
      <c r="AA1882">
        <v>0.59207667846857814</v>
      </c>
      <c r="AB1882" t="str">
        <f>HYPERLINK("Melting_Curves/meltCurve_P11172_UMPS.pdf", "Melting_Curves/meltCurve_P11172_UMPS.pdf")</f>
        <v>Melting_Curves/meltCurve_P11172_UMPS.pdf</v>
      </c>
    </row>
    <row r="1883" spans="1:28" x14ac:dyDescent="0.25">
      <c r="A1883" t="s">
        <v>1887</v>
      </c>
      <c r="B1883">
        <v>0.99996721820229495</v>
      </c>
      <c r="C1883">
        <v>0.99805709573566304</v>
      </c>
      <c r="D1883">
        <v>1.0691997406170599</v>
      </c>
      <c r="E1883">
        <v>1.0846133147950201</v>
      </c>
      <c r="F1883">
        <v>0.74389427442196498</v>
      </c>
      <c r="G1883">
        <v>0.48687422124200003</v>
      </c>
      <c r="H1883">
        <v>0.19749311201345701</v>
      </c>
      <c r="I1883">
        <v>0.11654981098367199</v>
      </c>
      <c r="J1883">
        <v>8.1880114669398305E-2</v>
      </c>
      <c r="K1883">
        <v>6.9975113769330799E-2</v>
      </c>
      <c r="L1883">
        <v>1330.2146730908601</v>
      </c>
      <c r="M1883">
        <v>23.632850161113399</v>
      </c>
      <c r="N1883">
        <v>56.619717073549403</v>
      </c>
      <c r="O1883">
        <v>55.8883232847164</v>
      </c>
      <c r="P1883">
        <v>-9.8856520090697897E-2</v>
      </c>
      <c r="Q1883">
        <v>6.4889645743944693E-2</v>
      </c>
      <c r="R1883">
        <v>0.98314577797010905</v>
      </c>
      <c r="S1883" t="s">
        <v>7709</v>
      </c>
      <c r="T1883" t="s">
        <v>11650</v>
      </c>
      <c r="U1883" t="s">
        <v>11650</v>
      </c>
      <c r="V1883" t="s">
        <v>11650</v>
      </c>
      <c r="W1883" t="s">
        <v>13497</v>
      </c>
      <c r="X1883">
        <v>10</v>
      </c>
      <c r="Y1883" t="s">
        <v>19230</v>
      </c>
      <c r="Z1883" t="s">
        <v>24945</v>
      </c>
      <c r="AA1883">
        <v>0.58190320200498147</v>
      </c>
      <c r="AB1883" t="str">
        <f>HYPERLINK("Melting_Curves/meltCurve_P11177_2_PDHB.pdf", "Melting_Curves/meltCurve_P11177_2_PDHB.pdf")</f>
        <v>Melting_Curves/meltCurve_P11177_2_PDHB.pdf</v>
      </c>
    </row>
    <row r="1884" spans="1:28" x14ac:dyDescent="0.25">
      <c r="A1884" t="s">
        <v>1888</v>
      </c>
      <c r="B1884">
        <v>0.99996721820229495</v>
      </c>
      <c r="C1884">
        <v>0.799245789137499</v>
      </c>
      <c r="D1884">
        <v>0.74275323881183997</v>
      </c>
      <c r="E1884">
        <v>1.2035105142582401</v>
      </c>
      <c r="F1884">
        <v>1.5160204885547699</v>
      </c>
      <c r="G1884">
        <v>1.3427237205359299</v>
      </c>
      <c r="H1884">
        <v>0.77911071105547702</v>
      </c>
      <c r="I1884">
        <v>0.44100114337970803</v>
      </c>
      <c r="J1884">
        <v>0.20481099516047899</v>
      </c>
      <c r="K1884">
        <v>0.197267618197671</v>
      </c>
      <c r="L1884">
        <v>2994.82429301503</v>
      </c>
      <c r="M1884">
        <v>47.771702606622704</v>
      </c>
      <c r="N1884">
        <v>63.3162450511199</v>
      </c>
      <c r="O1884">
        <v>62.580758887603899</v>
      </c>
      <c r="P1884">
        <v>-0.154924558571222</v>
      </c>
      <c r="Q1884">
        <v>0.18819809109395699</v>
      </c>
      <c r="R1884">
        <v>0.70870664329988597</v>
      </c>
      <c r="S1884" t="s">
        <v>7710</v>
      </c>
      <c r="T1884" t="s">
        <v>11650</v>
      </c>
      <c r="U1884" t="s">
        <v>11650</v>
      </c>
      <c r="V1884" t="s">
        <v>11650</v>
      </c>
      <c r="W1884" t="s">
        <v>13498</v>
      </c>
      <c r="X1884">
        <v>5</v>
      </c>
      <c r="Y1884" t="s">
        <v>19231</v>
      </c>
      <c r="Z1884" t="s">
        <v>24946</v>
      </c>
      <c r="AA1884">
        <v>0.80434472829229731</v>
      </c>
      <c r="AB1884" t="str">
        <f>HYPERLINK("Melting_Curves/meltCurve_P11182_DBT.pdf", "Melting_Curves/meltCurve_P11182_DBT.pdf")</f>
        <v>Melting_Curves/meltCurve_P11182_DBT.pdf</v>
      </c>
    </row>
    <row r="1885" spans="1:28" x14ac:dyDescent="0.25">
      <c r="A1885" t="s">
        <v>1889</v>
      </c>
      <c r="B1885">
        <v>0.99996721820229495</v>
      </c>
      <c r="C1885">
        <v>0.94981397906532905</v>
      </c>
      <c r="D1885">
        <v>0.98453845903396997</v>
      </c>
      <c r="E1885">
        <v>1.3592242449963401</v>
      </c>
      <c r="F1885">
        <v>1.55417948005044</v>
      </c>
      <c r="G1885">
        <v>0.92982807585377503</v>
      </c>
      <c r="H1885">
        <v>0.32887435344315702</v>
      </c>
      <c r="I1885">
        <v>0.21325374426031099</v>
      </c>
      <c r="J1885">
        <v>0.14015322860326199</v>
      </c>
      <c r="K1885">
        <v>0.122726176536776</v>
      </c>
      <c r="L1885">
        <v>3337.95332272325</v>
      </c>
      <c r="M1885">
        <v>56.011434916331503</v>
      </c>
      <c r="N1885">
        <v>59.977834619881499</v>
      </c>
      <c r="O1885">
        <v>59.518337104412801</v>
      </c>
      <c r="P1885">
        <v>-0.199843288235212</v>
      </c>
      <c r="Q1885">
        <v>0.15057842686981299</v>
      </c>
      <c r="R1885">
        <v>0.81832566174837396</v>
      </c>
      <c r="S1885" t="s">
        <v>7711</v>
      </c>
      <c r="T1885" t="s">
        <v>11650</v>
      </c>
      <c r="U1885" t="s">
        <v>11650</v>
      </c>
      <c r="V1885" t="s">
        <v>11650</v>
      </c>
      <c r="W1885" t="s">
        <v>13499</v>
      </c>
      <c r="X1885">
        <v>42</v>
      </c>
      <c r="Y1885" t="s">
        <v>19232</v>
      </c>
      <c r="Z1885" t="s">
        <v>24947</v>
      </c>
      <c r="AA1885">
        <v>0.70713472970315605</v>
      </c>
      <c r="AB1885" t="str">
        <f>HYPERLINK("Melting_Curves/meltCurve_P11216_PYGB.pdf", "Melting_Curves/meltCurve_P11216_PYGB.pdf")</f>
        <v>Melting_Curves/meltCurve_P11216_PYGB.pdf</v>
      </c>
    </row>
    <row r="1886" spans="1:28" x14ac:dyDescent="0.25">
      <c r="A1886" t="s">
        <v>1890</v>
      </c>
      <c r="B1886">
        <v>0.99996721820229495</v>
      </c>
      <c r="C1886">
        <v>0.73150447998672496</v>
      </c>
      <c r="D1886">
        <v>0.97959958561461702</v>
      </c>
      <c r="E1886">
        <v>1.22138156917734</v>
      </c>
      <c r="F1886">
        <v>1.1725171721059</v>
      </c>
      <c r="G1886">
        <v>1.35108307648821</v>
      </c>
      <c r="H1886">
        <v>1.0856605423710799</v>
      </c>
      <c r="I1886">
        <v>0.46818932381789202</v>
      </c>
      <c r="J1886">
        <v>0.180809768321818</v>
      </c>
      <c r="K1886">
        <v>0.12384090570067501</v>
      </c>
      <c r="L1886">
        <v>15000</v>
      </c>
      <c r="M1886">
        <v>234.89590643180799</v>
      </c>
      <c r="N1886">
        <v>63.957005410288701</v>
      </c>
      <c r="O1886">
        <v>63.853444412821702</v>
      </c>
      <c r="P1886">
        <v>-0.77958766674189695</v>
      </c>
      <c r="Q1886">
        <v>0.152316301957653</v>
      </c>
      <c r="R1886">
        <v>0.83511265962538095</v>
      </c>
      <c r="S1886" t="s">
        <v>7712</v>
      </c>
      <c r="T1886" t="s">
        <v>11650</v>
      </c>
      <c r="U1886" t="s">
        <v>11650</v>
      </c>
      <c r="V1886" t="s">
        <v>11650</v>
      </c>
      <c r="W1886" t="s">
        <v>13500</v>
      </c>
      <c r="X1886">
        <v>12</v>
      </c>
      <c r="Y1886" t="s">
        <v>19233</v>
      </c>
      <c r="Z1886" t="s">
        <v>24948</v>
      </c>
      <c r="AA1886">
        <v>0.82656057376466419</v>
      </c>
      <c r="AB1886" t="str">
        <f>HYPERLINK("Melting_Curves/meltCurve_P11233_RALA.pdf", "Melting_Curves/meltCurve_P11233_RALA.pdf")</f>
        <v>Melting_Curves/meltCurve_P11233_RALA.pdf</v>
      </c>
    </row>
    <row r="1887" spans="1:28" x14ac:dyDescent="0.25">
      <c r="A1887" t="s">
        <v>1891</v>
      </c>
      <c r="B1887">
        <v>0.99996721820229495</v>
      </c>
      <c r="C1887">
        <v>0.78828220283456096</v>
      </c>
      <c r="D1887">
        <v>0.87836099939086099</v>
      </c>
      <c r="E1887">
        <v>1.05412622052494</v>
      </c>
      <c r="F1887">
        <v>1.20596417815212</v>
      </c>
      <c r="G1887">
        <v>1.4125109223554699</v>
      </c>
      <c r="H1887">
        <v>0.82110114887090702</v>
      </c>
      <c r="I1887">
        <v>0.31822072121886302</v>
      </c>
      <c r="J1887">
        <v>0.16138936743755</v>
      </c>
      <c r="K1887">
        <v>0.136303021600721</v>
      </c>
      <c r="L1887">
        <v>3807.2632153071299</v>
      </c>
      <c r="M1887">
        <v>60.940513442186997</v>
      </c>
      <c r="N1887">
        <v>62.827285722566998</v>
      </c>
      <c r="O1887">
        <v>62.407906097399099</v>
      </c>
      <c r="P1887">
        <v>-0.208796659465282</v>
      </c>
      <c r="Q1887">
        <v>0.14470315126344899</v>
      </c>
      <c r="R1887">
        <v>0.83912770376908496</v>
      </c>
      <c r="S1887" t="s">
        <v>7713</v>
      </c>
      <c r="T1887" t="s">
        <v>11650</v>
      </c>
      <c r="U1887" t="s">
        <v>11650</v>
      </c>
      <c r="V1887" t="s">
        <v>11650</v>
      </c>
      <c r="W1887" t="s">
        <v>13501</v>
      </c>
      <c r="X1887">
        <v>10</v>
      </c>
      <c r="Y1887" t="s">
        <v>19234</v>
      </c>
      <c r="Z1887" t="s">
        <v>24949</v>
      </c>
      <c r="AA1887">
        <v>0.78699456715639193</v>
      </c>
      <c r="AB1887" t="str">
        <f>HYPERLINK("Melting_Curves/meltCurve_P11234_RALB.pdf", "Melting_Curves/meltCurve_P11234_RALB.pdf")</f>
        <v>Melting_Curves/meltCurve_P11234_RALB.pdf</v>
      </c>
    </row>
    <row r="1888" spans="1:28" x14ac:dyDescent="0.25">
      <c r="A1888" t="s">
        <v>1892</v>
      </c>
      <c r="B1888">
        <v>0.99996721820229495</v>
      </c>
      <c r="C1888">
        <v>0.61249841051554399</v>
      </c>
      <c r="D1888">
        <v>0.54175170808888995</v>
      </c>
      <c r="E1888">
        <v>0.62221404169323702</v>
      </c>
      <c r="F1888">
        <v>0.458908727613835</v>
      </c>
      <c r="G1888">
        <v>0.40423417618943702</v>
      </c>
      <c r="H1888">
        <v>0.27879369125397702</v>
      </c>
      <c r="I1888">
        <v>0.25368195222565298</v>
      </c>
      <c r="J1888">
        <v>0.17538005221727701</v>
      </c>
      <c r="K1888">
        <v>0.24475924940764501</v>
      </c>
      <c r="L1888">
        <v>311.604847535651</v>
      </c>
      <c r="M1888">
        <v>6.2970293837896998</v>
      </c>
      <c r="N1888">
        <v>50.975346621757701</v>
      </c>
      <c r="O1888">
        <v>45.197047120548397</v>
      </c>
      <c r="P1888">
        <v>-3.1988396920939001E-2</v>
      </c>
      <c r="Q1888">
        <v>8.4105076308065102E-2</v>
      </c>
      <c r="R1888">
        <v>0.86657195833645695</v>
      </c>
      <c r="S1888" t="s">
        <v>7714</v>
      </c>
      <c r="T1888" t="s">
        <v>11650</v>
      </c>
      <c r="U1888" t="s">
        <v>11650</v>
      </c>
      <c r="V1888" t="s">
        <v>11650</v>
      </c>
      <c r="W1888" t="s">
        <v>13502</v>
      </c>
      <c r="X1888">
        <v>5</v>
      </c>
      <c r="Y1888" t="s">
        <v>19235</v>
      </c>
      <c r="Z1888" t="s">
        <v>24950</v>
      </c>
      <c r="AA1888">
        <v>0.44760378701892672</v>
      </c>
      <c r="AB1888" t="str">
        <f>HYPERLINK("Melting_Curves/meltCurve_P11274_2_BCR.pdf", "Melting_Curves/meltCurve_P11274_2_BCR.pdf")</f>
        <v>Melting_Curves/meltCurve_P11274_2_BCR.pdf</v>
      </c>
    </row>
    <row r="1889" spans="1:28" x14ac:dyDescent="0.25">
      <c r="A1889" t="s">
        <v>1893</v>
      </c>
      <c r="B1889">
        <v>0.99996721820229495</v>
      </c>
      <c r="C1889">
        <v>0.90419386230592302</v>
      </c>
      <c r="D1889">
        <v>1.04487150844773</v>
      </c>
      <c r="E1889">
        <v>1.09275230987503</v>
      </c>
      <c r="F1889">
        <v>1.3216256775450099</v>
      </c>
      <c r="G1889">
        <v>1.24077450613183</v>
      </c>
      <c r="H1889">
        <v>1.01351774412255</v>
      </c>
      <c r="I1889">
        <v>0.86714120657393001</v>
      </c>
      <c r="J1889">
        <v>0.57238709542889898</v>
      </c>
      <c r="K1889">
        <v>0.741123130037319</v>
      </c>
      <c r="L1889">
        <v>15000</v>
      </c>
      <c r="M1889">
        <v>233.915516798308</v>
      </c>
      <c r="O1889">
        <v>64.121042507652405</v>
      </c>
      <c r="P1889">
        <v>-0.31304446737420299</v>
      </c>
      <c r="Q1889">
        <v>0.65675242863658201</v>
      </c>
      <c r="R1889">
        <v>0.560228232158683</v>
      </c>
      <c r="S1889" t="s">
        <v>7715</v>
      </c>
      <c r="T1889" t="s">
        <v>11650</v>
      </c>
      <c r="U1889" t="s">
        <v>11650</v>
      </c>
      <c r="V1889" t="s">
        <v>11650</v>
      </c>
      <c r="W1889" t="s">
        <v>13503</v>
      </c>
      <c r="X1889">
        <v>13</v>
      </c>
      <c r="Y1889" t="s">
        <v>19236</v>
      </c>
      <c r="Z1889" t="s">
        <v>24951</v>
      </c>
      <c r="AA1889">
        <v>0.93283300158710647</v>
      </c>
      <c r="AB1889" t="str">
        <f>HYPERLINK("Melting_Curves/meltCurve_P11279_LAMP1.pdf", "Melting_Curves/meltCurve_P11279_LAMP1.pdf")</f>
        <v>Melting_Curves/meltCurve_P11279_LAMP1.pdf</v>
      </c>
    </row>
    <row r="1890" spans="1:28" x14ac:dyDescent="0.25">
      <c r="A1890" t="s">
        <v>1894</v>
      </c>
      <c r="B1890">
        <v>0.99996721820229495</v>
      </c>
      <c r="C1890">
        <v>1.0062851204572401</v>
      </c>
      <c r="D1890">
        <v>0.76912059854963</v>
      </c>
      <c r="E1890">
        <v>0.74799861169389203</v>
      </c>
      <c r="F1890">
        <v>0.69549238698809701</v>
      </c>
      <c r="G1890">
        <v>0.49708218842247098</v>
      </c>
      <c r="H1890">
        <v>0.43354773065601798</v>
      </c>
      <c r="I1890">
        <v>0.28275054411825801</v>
      </c>
      <c r="J1890">
        <v>0.269518327666873</v>
      </c>
      <c r="K1890">
        <v>0.27898484720146099</v>
      </c>
      <c r="L1890">
        <v>473.68110859442601</v>
      </c>
      <c r="M1890">
        <v>8.5347273341797294</v>
      </c>
      <c r="N1890">
        <v>57.346316305674897</v>
      </c>
      <c r="O1890">
        <v>52.705218942695701</v>
      </c>
      <c r="P1890">
        <v>-3.5652610625705197E-2</v>
      </c>
      <c r="Q1890">
        <v>0.12010682993215099</v>
      </c>
      <c r="R1890">
        <v>0.96707277576963602</v>
      </c>
      <c r="S1890" t="s">
        <v>7716</v>
      </c>
      <c r="T1890" t="s">
        <v>11650</v>
      </c>
      <c r="U1890" t="s">
        <v>11650</v>
      </c>
      <c r="V1890" t="s">
        <v>11650</v>
      </c>
      <c r="W1890" t="s">
        <v>13504</v>
      </c>
      <c r="X1890">
        <v>2</v>
      </c>
      <c r="Y1890" t="s">
        <v>19237</v>
      </c>
      <c r="Z1890" t="s">
        <v>24952</v>
      </c>
      <c r="AA1890">
        <v>0.59564231654366107</v>
      </c>
      <c r="AB1890" t="str">
        <f>HYPERLINK("Melting_Curves/meltCurve_P11387_TOP1.pdf", "Melting_Curves/meltCurve_P11387_TOP1.pdf")</f>
        <v>Melting_Curves/meltCurve_P11387_TOP1.pdf</v>
      </c>
    </row>
    <row r="1891" spans="1:28" x14ac:dyDescent="0.25">
      <c r="A1891" t="s">
        <v>1895</v>
      </c>
      <c r="B1891">
        <v>0.99996721820229495</v>
      </c>
      <c r="C1891">
        <v>1.0121873580696299</v>
      </c>
      <c r="D1891">
        <v>1.0697277567041901</v>
      </c>
      <c r="E1891">
        <v>1.1026969915034399</v>
      </c>
      <c r="F1891">
        <v>0.75544568285101699</v>
      </c>
      <c r="G1891">
        <v>0.35509922254216397</v>
      </c>
      <c r="H1891">
        <v>0.199011016801632</v>
      </c>
      <c r="I1891">
        <v>0.12959911928965501</v>
      </c>
      <c r="J1891">
        <v>9.9952559879341901E-2</v>
      </c>
      <c r="K1891">
        <v>7.9829097061917098E-2</v>
      </c>
      <c r="L1891">
        <v>1710.8809193315601</v>
      </c>
      <c r="M1891">
        <v>31.016581813026399</v>
      </c>
      <c r="N1891">
        <v>55.610702235862703</v>
      </c>
      <c r="O1891">
        <v>54.932429281176397</v>
      </c>
      <c r="P1891">
        <v>-0.12547714979660199</v>
      </c>
      <c r="Q1891">
        <v>0.111091562196114</v>
      </c>
      <c r="R1891">
        <v>0.98327304379946701</v>
      </c>
      <c r="S1891" t="s">
        <v>7717</v>
      </c>
      <c r="T1891" t="s">
        <v>11650</v>
      </c>
      <c r="U1891" t="s">
        <v>11650</v>
      </c>
      <c r="V1891" t="s">
        <v>11650</v>
      </c>
      <c r="W1891" t="s">
        <v>13505</v>
      </c>
      <c r="X1891">
        <v>43</v>
      </c>
      <c r="Y1891" t="s">
        <v>19238</v>
      </c>
      <c r="Z1891" t="s">
        <v>24953</v>
      </c>
      <c r="AA1891">
        <v>0.56583575870164748</v>
      </c>
      <c r="AB1891" t="str">
        <f>HYPERLINK("Melting_Curves/meltCurve_P11413_G6PD.pdf", "Melting_Curves/meltCurve_P11413_G6PD.pdf")</f>
        <v>Melting_Curves/meltCurve_P11413_G6PD.pdf</v>
      </c>
    </row>
    <row r="1892" spans="1:28" x14ac:dyDescent="0.25">
      <c r="A1892" t="s">
        <v>1896</v>
      </c>
      <c r="B1892">
        <v>0.99996721820229495</v>
      </c>
      <c r="C1892">
        <v>1.0433051168796701</v>
      </c>
      <c r="D1892">
        <v>1.25036301655765</v>
      </c>
      <c r="E1892">
        <v>1.46870242631159</v>
      </c>
      <c r="F1892">
        <v>1.4207190170653099</v>
      </c>
      <c r="G1892">
        <v>1.3284663420263501</v>
      </c>
      <c r="H1892">
        <v>0.92249509995152601</v>
      </c>
      <c r="I1892">
        <v>0.69872572464921701</v>
      </c>
      <c r="J1892">
        <v>0.55785621543893704</v>
      </c>
      <c r="K1892">
        <v>0.44066397577928201</v>
      </c>
      <c r="L1892">
        <v>2845.6734691006</v>
      </c>
      <c r="M1892">
        <v>44.595486355148701</v>
      </c>
      <c r="N1892">
        <v>67.630287006038202</v>
      </c>
      <c r="O1892">
        <v>63.6828830631923</v>
      </c>
      <c r="P1892">
        <v>-9.45875269907092E-2</v>
      </c>
      <c r="Q1892">
        <v>0.45971230219495501</v>
      </c>
      <c r="R1892">
        <v>0.51060010863656402</v>
      </c>
      <c r="S1892" t="s">
        <v>7718</v>
      </c>
      <c r="T1892" t="s">
        <v>11650</v>
      </c>
      <c r="U1892" t="s">
        <v>11650</v>
      </c>
      <c r="V1892" t="s">
        <v>11650</v>
      </c>
      <c r="W1892" t="s">
        <v>13506</v>
      </c>
      <c r="X1892">
        <v>8</v>
      </c>
      <c r="Y1892" t="s">
        <v>19239</v>
      </c>
      <c r="Z1892" t="s">
        <v>24954</v>
      </c>
      <c r="AA1892">
        <v>0.88982204115448515</v>
      </c>
      <c r="AB1892" t="str">
        <f>HYPERLINK("Melting_Curves/meltCurve_P11441_UBL4A.pdf", "Melting_Curves/meltCurve_P11441_UBL4A.pdf")</f>
        <v>Melting_Curves/meltCurve_P11441_UBL4A.pdf</v>
      </c>
    </row>
    <row r="1893" spans="1:28" x14ac:dyDescent="0.25">
      <c r="A1893" t="s">
        <v>1897</v>
      </c>
      <c r="B1893">
        <v>0.99996721820229495</v>
      </c>
      <c r="C1893">
        <v>0.98109039682788202</v>
      </c>
      <c r="D1893">
        <v>0.97252465404294597</v>
      </c>
      <c r="E1893">
        <v>0.95996858461891499</v>
      </c>
      <c r="F1893">
        <v>0.60228359467678305</v>
      </c>
      <c r="G1893">
        <v>0.48741314696997401</v>
      </c>
      <c r="H1893">
        <v>0.31496065120478201</v>
      </c>
      <c r="I1893">
        <v>0.19087178762327101</v>
      </c>
      <c r="J1893">
        <v>0.144859721149631</v>
      </c>
      <c r="K1893">
        <v>0.120604882843142</v>
      </c>
      <c r="L1893">
        <v>842.86623145680699</v>
      </c>
      <c r="M1893">
        <v>15.150432793833</v>
      </c>
      <c r="N1893">
        <v>56.367016126247599</v>
      </c>
      <c r="O1893">
        <v>54.690901699603401</v>
      </c>
      <c r="P1893">
        <v>-6.30620931344784E-2</v>
      </c>
      <c r="Q1893">
        <v>8.9507779456741293E-2</v>
      </c>
      <c r="R1893">
        <v>0.98146546784524202</v>
      </c>
      <c r="S1893" t="s">
        <v>7719</v>
      </c>
      <c r="T1893" t="s">
        <v>11650</v>
      </c>
      <c r="U1893" t="s">
        <v>11650</v>
      </c>
      <c r="V1893" t="s">
        <v>11650</v>
      </c>
      <c r="W1893" t="s">
        <v>13507</v>
      </c>
      <c r="X1893">
        <v>25</v>
      </c>
      <c r="Y1893" t="s">
        <v>19240</v>
      </c>
      <c r="Z1893" t="s">
        <v>24955</v>
      </c>
      <c r="AA1893">
        <v>0.58051866809799124</v>
      </c>
      <c r="AB1893" t="str">
        <f>HYPERLINK("Melting_Curves/meltCurve_P11498_PC.pdf", "Melting_Curves/meltCurve_P11498_PC.pdf")</f>
        <v>Melting_Curves/meltCurve_P11498_PC.pdf</v>
      </c>
    </row>
    <row r="1894" spans="1:28" x14ac:dyDescent="0.25">
      <c r="A1894" t="s">
        <v>1898</v>
      </c>
      <c r="B1894">
        <v>0.99996721820229495</v>
      </c>
      <c r="C1894">
        <v>0.97885699856471997</v>
      </c>
      <c r="D1894">
        <v>0.95358519813156395</v>
      </c>
      <c r="E1894">
        <v>0.67610706694781897</v>
      </c>
      <c r="F1894">
        <v>0.30471738621121303</v>
      </c>
      <c r="G1894">
        <v>0.23862488674075999</v>
      </c>
      <c r="H1894">
        <v>0.14836838711157099</v>
      </c>
      <c r="I1894">
        <v>9.8679070726787901E-2</v>
      </c>
      <c r="J1894">
        <v>6.3943579367794406E-2</v>
      </c>
      <c r="K1894">
        <v>5.3111018927528203E-2</v>
      </c>
      <c r="L1894">
        <v>1197.2469431338</v>
      </c>
      <c r="M1894">
        <v>23.452201329604801</v>
      </c>
      <c r="N1894">
        <v>51.4977497446257</v>
      </c>
      <c r="O1894">
        <v>50.683704503615402</v>
      </c>
      <c r="P1894">
        <v>-0.105022957525901</v>
      </c>
      <c r="Q1894">
        <v>9.2135073632355402E-2</v>
      </c>
      <c r="R1894">
        <v>0.99076972092488802</v>
      </c>
      <c r="S1894" t="s">
        <v>7720</v>
      </c>
      <c r="T1894" t="s">
        <v>11650</v>
      </c>
      <c r="U1894" t="s">
        <v>11650</v>
      </c>
      <c r="V1894" t="s">
        <v>11650</v>
      </c>
      <c r="W1894" t="s">
        <v>13508</v>
      </c>
      <c r="X1894">
        <v>44</v>
      </c>
      <c r="Y1894" t="s">
        <v>19241</v>
      </c>
      <c r="Z1894" t="s">
        <v>24956</v>
      </c>
      <c r="AA1894">
        <v>0.43584591175306148</v>
      </c>
      <c r="AB1894" t="str">
        <f>HYPERLINK("Melting_Curves/meltCurve_P11586_MTHFD1.pdf", "Melting_Curves/meltCurve_P11586_MTHFD1.pdf")</f>
        <v>Melting_Curves/meltCurve_P11586_MTHFD1.pdf</v>
      </c>
    </row>
    <row r="1895" spans="1:28" x14ac:dyDescent="0.25">
      <c r="A1895" t="s">
        <v>1899</v>
      </c>
      <c r="B1895">
        <v>0.99996721820229495</v>
      </c>
      <c r="C1895">
        <v>0.98236835160312796</v>
      </c>
      <c r="D1895">
        <v>1.13347533842781</v>
      </c>
      <c r="E1895">
        <v>1.73065068027717</v>
      </c>
      <c r="F1895">
        <v>2.2448451076488198</v>
      </c>
      <c r="G1895">
        <v>2.58727465242935</v>
      </c>
      <c r="H1895">
        <v>1.6495050461495999</v>
      </c>
      <c r="I1895">
        <v>0.78835964568475303</v>
      </c>
      <c r="J1895">
        <v>0.45578251175696899</v>
      </c>
      <c r="K1895">
        <v>0.51845197052174796</v>
      </c>
      <c r="L1895">
        <v>11535.9326204482</v>
      </c>
      <c r="M1895">
        <v>250</v>
      </c>
      <c r="O1895">
        <v>46.140777593358003</v>
      </c>
      <c r="P1895">
        <v>0.57565860902752897</v>
      </c>
      <c r="Q1895">
        <v>1.4249813730441601</v>
      </c>
      <c r="R1895">
        <v>7.0131251111595905E-2</v>
      </c>
      <c r="S1895" t="s">
        <v>7721</v>
      </c>
      <c r="T1895" t="s">
        <v>11650</v>
      </c>
      <c r="U1895" t="s">
        <v>11650</v>
      </c>
      <c r="V1895" t="s">
        <v>11650</v>
      </c>
      <c r="W1895" t="s">
        <v>13509</v>
      </c>
      <c r="X1895">
        <v>56</v>
      </c>
      <c r="Y1895" t="s">
        <v>19242</v>
      </c>
      <c r="Z1895" t="s">
        <v>24957</v>
      </c>
      <c r="AA1895">
        <v>1.3379145902106571</v>
      </c>
      <c r="AB1895" t="str">
        <f>HYPERLINK("Melting_Curves/meltCurve_P11717_IGF2R.pdf", "Melting_Curves/meltCurve_P11717_IGF2R.pdf")</f>
        <v>Melting_Curves/meltCurve_P11717_IGF2R.pdf</v>
      </c>
    </row>
    <row r="1896" spans="1:28" x14ac:dyDescent="0.25">
      <c r="A1896" t="s">
        <v>1900</v>
      </c>
      <c r="B1896">
        <v>0.99996721820229495</v>
      </c>
      <c r="C1896">
        <v>1.01175093383797</v>
      </c>
      <c r="D1896">
        <v>1.02976206478987</v>
      </c>
      <c r="E1896">
        <v>1.0588970284581101</v>
      </c>
      <c r="F1896">
        <v>1.2962805390946499</v>
      </c>
      <c r="G1896">
        <v>1.2858317725294699</v>
      </c>
      <c r="H1896">
        <v>0.66766785527724304</v>
      </c>
      <c r="I1896">
        <v>0.31023025113471298</v>
      </c>
      <c r="J1896">
        <v>0.12687777068429901</v>
      </c>
      <c r="K1896">
        <v>9.4883271354682899E-2</v>
      </c>
      <c r="L1896">
        <v>3068.8164437210098</v>
      </c>
      <c r="M1896">
        <v>49.555918566847197</v>
      </c>
      <c r="N1896">
        <v>62.250705912885003</v>
      </c>
      <c r="O1896">
        <v>61.825743144575</v>
      </c>
      <c r="P1896">
        <v>-0.17758431276098299</v>
      </c>
      <c r="Q1896">
        <v>0.11378719887991</v>
      </c>
      <c r="R1896">
        <v>0.901569276305898</v>
      </c>
      <c r="S1896" t="s">
        <v>7722</v>
      </c>
      <c r="T1896" t="s">
        <v>11650</v>
      </c>
      <c r="U1896" t="s">
        <v>11650</v>
      </c>
      <c r="V1896" t="s">
        <v>11650</v>
      </c>
      <c r="W1896" t="s">
        <v>13510</v>
      </c>
      <c r="X1896">
        <v>20</v>
      </c>
      <c r="Y1896" t="s">
        <v>19243</v>
      </c>
      <c r="Z1896" t="s">
        <v>24958</v>
      </c>
      <c r="AA1896">
        <v>0.76380239045440002</v>
      </c>
      <c r="AB1896" t="str">
        <f>HYPERLINK("Melting_Curves/meltCurve_P11766_ADH5.pdf", "Melting_Curves/meltCurve_P11766_ADH5.pdf")</f>
        <v>Melting_Curves/meltCurve_P11766_ADH5.pdf</v>
      </c>
    </row>
    <row r="1897" spans="1:28" x14ac:dyDescent="0.25">
      <c r="A1897" t="s">
        <v>1901</v>
      </c>
      <c r="B1897">
        <v>0.99996721820229495</v>
      </c>
      <c r="C1897">
        <v>0.99370295264548003</v>
      </c>
      <c r="D1897">
        <v>0.945671786763152</v>
      </c>
      <c r="E1897">
        <v>0.90170771320766296</v>
      </c>
      <c r="F1897">
        <v>0.72836540615684997</v>
      </c>
      <c r="G1897">
        <v>0.42353729179805699</v>
      </c>
      <c r="H1897">
        <v>0.21197463809959699</v>
      </c>
      <c r="I1897">
        <v>0.149875009517216</v>
      </c>
      <c r="J1897">
        <v>0.102459122881441</v>
      </c>
      <c r="K1897">
        <v>9.42110080470209E-2</v>
      </c>
      <c r="L1897">
        <v>1028.5527693346401</v>
      </c>
      <c r="M1897">
        <v>18.5330106267693</v>
      </c>
      <c r="N1897">
        <v>55.958939850583</v>
      </c>
      <c r="O1897">
        <v>54.864365565323403</v>
      </c>
      <c r="P1897">
        <v>-7.8479694485368706E-2</v>
      </c>
      <c r="Q1897">
        <v>7.0728545265927797E-2</v>
      </c>
      <c r="R1897">
        <v>0.999010699742793</v>
      </c>
      <c r="S1897" t="s">
        <v>7723</v>
      </c>
      <c r="T1897" t="s">
        <v>11650</v>
      </c>
      <c r="U1897" t="s">
        <v>11650</v>
      </c>
      <c r="V1897" t="s">
        <v>11650</v>
      </c>
      <c r="W1897" t="s">
        <v>13511</v>
      </c>
      <c r="X1897">
        <v>11</v>
      </c>
      <c r="Y1897" t="s">
        <v>19244</v>
      </c>
      <c r="Z1897" t="s">
        <v>24959</v>
      </c>
      <c r="AA1897">
        <v>0.56434316999489598</v>
      </c>
      <c r="AB1897" t="str">
        <f>HYPERLINK("Melting_Curves/meltCurve_P11802_CDK4.pdf", "Melting_Curves/meltCurve_P11802_CDK4.pdf")</f>
        <v>Melting_Curves/meltCurve_P11802_CDK4.pdf</v>
      </c>
    </row>
    <row r="1898" spans="1:28" x14ac:dyDescent="0.25">
      <c r="A1898" t="s">
        <v>1902</v>
      </c>
      <c r="B1898">
        <v>0.99996721820229495</v>
      </c>
      <c r="C1898">
        <v>0.92162172123571096</v>
      </c>
      <c r="D1898">
        <v>0.96513995120421003</v>
      </c>
      <c r="E1898">
        <v>0.84335297488008198</v>
      </c>
      <c r="F1898">
        <v>0.83348882870432905</v>
      </c>
      <c r="G1898">
        <v>0.65399814783231103</v>
      </c>
      <c r="H1898">
        <v>0.47295809533172201</v>
      </c>
      <c r="I1898">
        <v>0.30722190271925898</v>
      </c>
      <c r="J1898">
        <v>0.22652160469119201</v>
      </c>
      <c r="K1898">
        <v>0.183161615304513</v>
      </c>
      <c r="L1898">
        <v>646.72510301933096</v>
      </c>
      <c r="M1898">
        <v>10.789495178345</v>
      </c>
      <c r="N1898">
        <v>59.940257315758899</v>
      </c>
      <c r="O1898">
        <v>57.991363244951202</v>
      </c>
      <c r="P1898">
        <v>-4.6530275509900701E-2</v>
      </c>
      <c r="Q1898">
        <v>0</v>
      </c>
      <c r="R1898">
        <v>0.989457559654074</v>
      </c>
      <c r="S1898" t="s">
        <v>7724</v>
      </c>
      <c r="T1898" t="s">
        <v>11650</v>
      </c>
      <c r="U1898" t="s">
        <v>11650</v>
      </c>
      <c r="V1898" t="s">
        <v>11650</v>
      </c>
      <c r="W1898" t="s">
        <v>13512</v>
      </c>
      <c r="X1898">
        <v>1</v>
      </c>
      <c r="Y1898" t="s">
        <v>19245</v>
      </c>
      <c r="Z1898" t="s">
        <v>24960</v>
      </c>
      <c r="AA1898">
        <v>0.66405554560076863</v>
      </c>
      <c r="AB1898" t="str">
        <f>HYPERLINK("Melting_Curves/meltCurve_P11831_SRF.pdf", "Melting_Curves/meltCurve_P11831_SRF.pdf")</f>
        <v>Melting_Curves/meltCurve_P11831_SRF.pdf</v>
      </c>
    </row>
    <row r="1899" spans="1:28" x14ac:dyDescent="0.25">
      <c r="A1899" t="s">
        <v>1903</v>
      </c>
      <c r="B1899">
        <v>0.99996721820229495</v>
      </c>
      <c r="C1899">
        <v>1.17072263580164</v>
      </c>
      <c r="D1899">
        <v>1.26785583243856</v>
      </c>
      <c r="E1899">
        <v>1.30222490544125</v>
      </c>
      <c r="F1899">
        <v>1.2973468290049801</v>
      </c>
      <c r="G1899">
        <v>1.0363685076340099</v>
      </c>
      <c r="H1899">
        <v>0.52952090541519403</v>
      </c>
      <c r="I1899">
        <v>0.33269347006225702</v>
      </c>
      <c r="J1899">
        <v>0.17010678615184099</v>
      </c>
      <c r="K1899">
        <v>0.13151800491864599</v>
      </c>
      <c r="L1899">
        <v>2657.3253087133098</v>
      </c>
      <c r="M1899">
        <v>43.610803158176502</v>
      </c>
      <c r="N1899">
        <v>61.5012961266427</v>
      </c>
      <c r="O1899">
        <v>60.805044063367298</v>
      </c>
      <c r="P1899">
        <v>-0.14955899637971001</v>
      </c>
      <c r="Q1899">
        <v>0.16590158822422299</v>
      </c>
      <c r="R1899">
        <v>0.85770227922802</v>
      </c>
      <c r="S1899" t="s">
        <v>7725</v>
      </c>
      <c r="T1899" t="s">
        <v>11650</v>
      </c>
      <c r="U1899" t="s">
        <v>11650</v>
      </c>
      <c r="V1899" t="s">
        <v>11650</v>
      </c>
      <c r="W1899" t="s">
        <v>13513</v>
      </c>
      <c r="X1899">
        <v>10</v>
      </c>
      <c r="Y1899" t="s">
        <v>19246</v>
      </c>
      <c r="Z1899" t="s">
        <v>24961</v>
      </c>
      <c r="AA1899">
        <v>0.75066173544733938</v>
      </c>
      <c r="AB1899" t="str">
        <f>HYPERLINK("Melting_Curves/meltCurve_P11908_PRPS2.pdf", "Melting_Curves/meltCurve_P11908_PRPS2.pdf")</f>
        <v>Melting_Curves/meltCurve_P11908_PRPS2.pdf</v>
      </c>
    </row>
    <row r="1900" spans="1:28" x14ac:dyDescent="0.25">
      <c r="A1900" t="s">
        <v>1904</v>
      </c>
      <c r="B1900">
        <v>0.99996721820229495</v>
      </c>
      <c r="C1900">
        <v>1.0435208552127899</v>
      </c>
      <c r="D1900">
        <v>1.04917277691128</v>
      </c>
      <c r="E1900">
        <v>1.0040804394826</v>
      </c>
      <c r="F1900">
        <v>0.31577236111269003</v>
      </c>
      <c r="G1900">
        <v>0.28756714553527901</v>
      </c>
      <c r="H1900">
        <v>0.169484601610848</v>
      </c>
      <c r="I1900">
        <v>0.12187634679817</v>
      </c>
      <c r="J1900">
        <v>6.7649723897945796E-2</v>
      </c>
      <c r="K1900">
        <v>4.4715546803704397E-2</v>
      </c>
      <c r="L1900">
        <v>13178.490140752199</v>
      </c>
      <c r="M1900">
        <v>250</v>
      </c>
      <c r="N1900">
        <v>52.782298534356897</v>
      </c>
      <c r="O1900">
        <v>52.710587304912202</v>
      </c>
      <c r="P1900">
        <v>-1.0217839764869401</v>
      </c>
      <c r="Q1900">
        <v>0.13825866642170001</v>
      </c>
      <c r="R1900">
        <v>0.97721098567134601</v>
      </c>
      <c r="S1900" t="s">
        <v>7726</v>
      </c>
      <c r="T1900" t="s">
        <v>11650</v>
      </c>
      <c r="U1900" t="s">
        <v>11650</v>
      </c>
      <c r="V1900" t="s">
        <v>11650</v>
      </c>
      <c r="W1900" t="s">
        <v>13514</v>
      </c>
      <c r="X1900">
        <v>40</v>
      </c>
      <c r="Y1900" t="s">
        <v>19247</v>
      </c>
      <c r="Z1900" t="s">
        <v>24962</v>
      </c>
      <c r="AA1900">
        <v>0.50354323234570741</v>
      </c>
      <c r="AB1900" t="str">
        <f>HYPERLINK("Melting_Curves/meltCurve_P11940_2_PABPC1.pdf", "Melting_Curves/meltCurve_P11940_2_PABPC1.pdf")</f>
        <v>Melting_Curves/meltCurve_P11940_2_PABPC1.pdf</v>
      </c>
    </row>
    <row r="1901" spans="1:28" x14ac:dyDescent="0.25">
      <c r="A1901" t="s">
        <v>1905</v>
      </c>
      <c r="B1901">
        <v>0.99996721820229495</v>
      </c>
      <c r="C1901">
        <v>1.0153079992293499</v>
      </c>
      <c r="D1901">
        <v>0.98203463429520699</v>
      </c>
      <c r="E1901">
        <v>0.95812282476382404</v>
      </c>
      <c r="F1901">
        <v>0.86816832437096803</v>
      </c>
      <c r="G1901">
        <v>0.63959412855392594</v>
      </c>
      <c r="H1901">
        <v>0.264118403882315</v>
      </c>
      <c r="I1901">
        <v>0.136610833949636</v>
      </c>
      <c r="J1901">
        <v>7.9077706918647198E-2</v>
      </c>
      <c r="K1901">
        <v>6.3160154664638396E-2</v>
      </c>
      <c r="L1901">
        <v>1264.1020083149201</v>
      </c>
      <c r="M1901">
        <v>21.768501181626402</v>
      </c>
      <c r="N1901">
        <v>58.229070146998502</v>
      </c>
      <c r="O1901">
        <v>57.586841505683303</v>
      </c>
      <c r="P1901">
        <v>-9.1781228947472995E-2</v>
      </c>
      <c r="Q1901">
        <v>2.88227908934309E-2</v>
      </c>
      <c r="R1901">
        <v>0.99843659233303705</v>
      </c>
      <c r="S1901" t="s">
        <v>7727</v>
      </c>
      <c r="T1901" t="s">
        <v>11650</v>
      </c>
      <c r="U1901" t="s">
        <v>11650</v>
      </c>
      <c r="V1901" t="s">
        <v>11650</v>
      </c>
      <c r="W1901" t="s">
        <v>13515</v>
      </c>
      <c r="X1901">
        <v>17</v>
      </c>
      <c r="Y1901" t="s">
        <v>19248</v>
      </c>
      <c r="Z1901" t="s">
        <v>24963</v>
      </c>
      <c r="AA1901">
        <v>0.62381827336356599</v>
      </c>
      <c r="AB1901" t="str">
        <f>HYPERLINK("Melting_Curves/meltCurve_P12004_PCNA.pdf", "Melting_Curves/meltCurve_P12004_PCNA.pdf")</f>
        <v>Melting_Curves/meltCurve_P12004_PCNA.pdf</v>
      </c>
    </row>
    <row r="1902" spans="1:28" x14ac:dyDescent="0.25">
      <c r="A1902" t="s">
        <v>1906</v>
      </c>
      <c r="B1902">
        <v>0.99996721820229495</v>
      </c>
      <c r="C1902">
        <v>1.06743447018478</v>
      </c>
      <c r="D1902">
        <v>1.07613130481512</v>
      </c>
      <c r="E1902">
        <v>1.12440448352275</v>
      </c>
      <c r="F1902">
        <v>0.61622725342814499</v>
      </c>
      <c r="G1902">
        <v>0.39974928390275399</v>
      </c>
      <c r="H1902">
        <v>0.18368275996216199</v>
      </c>
      <c r="I1902">
        <v>0.12370021785643701</v>
      </c>
      <c r="J1902">
        <v>8.6913752627360105E-2</v>
      </c>
      <c r="K1902">
        <v>6.8085101574249296E-2</v>
      </c>
      <c r="L1902">
        <v>1403.253578174</v>
      </c>
      <c r="M1902">
        <v>25.551577868634499</v>
      </c>
      <c r="N1902">
        <v>55.3671289506958</v>
      </c>
      <c r="O1902">
        <v>54.585402091648</v>
      </c>
      <c r="P1902">
        <v>-0.106083760896197</v>
      </c>
      <c r="Q1902">
        <v>9.3511477618592395E-2</v>
      </c>
      <c r="R1902">
        <v>0.96309483207134805</v>
      </c>
      <c r="S1902" t="s">
        <v>7728</v>
      </c>
      <c r="T1902" t="s">
        <v>11650</v>
      </c>
      <c r="U1902" t="s">
        <v>11650</v>
      </c>
      <c r="V1902" t="s">
        <v>11650</v>
      </c>
      <c r="W1902" t="s">
        <v>13516</v>
      </c>
      <c r="X1902">
        <v>40</v>
      </c>
      <c r="Y1902" t="s">
        <v>19249</v>
      </c>
      <c r="Z1902" t="s">
        <v>24964</v>
      </c>
      <c r="AA1902">
        <v>0.55236369177945277</v>
      </c>
      <c r="AB1902" t="str">
        <f>HYPERLINK("Melting_Curves/meltCurve_P12081_HARS.pdf", "Melting_Curves/meltCurve_P12081_HARS.pdf")</f>
        <v>Melting_Curves/meltCurve_P12081_HARS.pdf</v>
      </c>
    </row>
    <row r="1903" spans="1:28" x14ac:dyDescent="0.25">
      <c r="A1903" t="s">
        <v>1907</v>
      </c>
      <c r="B1903">
        <v>0.99996721820229495</v>
      </c>
      <c r="C1903">
        <v>1.0575496586201401</v>
      </c>
      <c r="D1903">
        <v>0.97887671165407897</v>
      </c>
      <c r="E1903">
        <v>1.1034488819594701</v>
      </c>
      <c r="F1903">
        <v>1.5619858972806799</v>
      </c>
      <c r="G1903">
        <v>1.4119530176703401</v>
      </c>
      <c r="H1903">
        <v>0.80883525140385404</v>
      </c>
      <c r="I1903">
        <v>0.389988263299131</v>
      </c>
      <c r="J1903">
        <v>0.22130329111692101</v>
      </c>
      <c r="K1903">
        <v>0.20821469006959001</v>
      </c>
      <c r="L1903">
        <v>3542.5091093554502</v>
      </c>
      <c r="M1903">
        <v>56.721461496248303</v>
      </c>
      <c r="N1903">
        <v>63.0647502752714</v>
      </c>
      <c r="O1903">
        <v>62.376988047591801</v>
      </c>
      <c r="P1903">
        <v>-0.179319560737116</v>
      </c>
      <c r="Q1903">
        <v>0.21120450411668601</v>
      </c>
      <c r="R1903">
        <v>0.74585569080604197</v>
      </c>
      <c r="S1903" t="s">
        <v>7729</v>
      </c>
      <c r="T1903" t="s">
        <v>11650</v>
      </c>
      <c r="U1903" t="s">
        <v>11650</v>
      </c>
      <c r="V1903" t="s">
        <v>11650</v>
      </c>
      <c r="W1903" t="s">
        <v>13517</v>
      </c>
      <c r="X1903">
        <v>12</v>
      </c>
      <c r="Y1903" t="s">
        <v>19250</v>
      </c>
      <c r="Z1903" t="s">
        <v>24965</v>
      </c>
      <c r="AA1903">
        <v>0.80320685616387855</v>
      </c>
      <c r="AB1903" t="str">
        <f>HYPERLINK("Melting_Curves/meltCurve_P12107_3_COL11A1.pdf", "Melting_Curves/meltCurve_P12107_3_COL11A1.pdf")</f>
        <v>Melting_Curves/meltCurve_P12107_3_COL11A1.pdf</v>
      </c>
    </row>
    <row r="1904" spans="1:28" x14ac:dyDescent="0.25">
      <c r="A1904" t="s">
        <v>1908</v>
      </c>
      <c r="B1904">
        <v>0.99996721820229495</v>
      </c>
      <c r="C1904">
        <v>0.93282441600742105</v>
      </c>
      <c r="D1904">
        <v>0.92097218129910696</v>
      </c>
      <c r="E1904">
        <v>1.0140059597425899</v>
      </c>
      <c r="F1904">
        <v>0.93304219144342704</v>
      </c>
      <c r="G1904">
        <v>0.70485062715911795</v>
      </c>
      <c r="H1904">
        <v>0.36656212457283399</v>
      </c>
      <c r="I1904">
        <v>0.225269642404997</v>
      </c>
      <c r="J1904">
        <v>0.154278016692385</v>
      </c>
      <c r="K1904">
        <v>0.14729106151924201</v>
      </c>
      <c r="L1904">
        <v>1433.7540462500799</v>
      </c>
      <c r="M1904">
        <v>24.4752046824145</v>
      </c>
      <c r="N1904">
        <v>59.2770469383102</v>
      </c>
      <c r="O1904">
        <v>58.192973183103597</v>
      </c>
      <c r="P1904">
        <v>-9.1997475879368698E-2</v>
      </c>
      <c r="Q1904">
        <v>0.125068731699577</v>
      </c>
      <c r="R1904">
        <v>0.990828943592721</v>
      </c>
      <c r="S1904" t="s">
        <v>7730</v>
      </c>
      <c r="T1904" t="s">
        <v>11650</v>
      </c>
      <c r="U1904" t="s">
        <v>11650</v>
      </c>
      <c r="V1904" t="s">
        <v>11650</v>
      </c>
      <c r="W1904" t="s">
        <v>13518</v>
      </c>
      <c r="X1904">
        <v>56</v>
      </c>
      <c r="Y1904" t="s">
        <v>19251</v>
      </c>
      <c r="Z1904" t="s">
        <v>24966</v>
      </c>
      <c r="AA1904">
        <v>0.6745172243327171</v>
      </c>
      <c r="AB1904" t="str">
        <f>HYPERLINK("Melting_Curves/meltCurve_P12109_COL6A1.pdf", "Melting_Curves/meltCurve_P12109_COL6A1.pdf")</f>
        <v>Melting_Curves/meltCurve_P12109_COL6A1.pdf</v>
      </c>
    </row>
    <row r="1905" spans="1:28" x14ac:dyDescent="0.25">
      <c r="A1905" t="s">
        <v>1909</v>
      </c>
      <c r="B1905">
        <v>0.99996721820229495</v>
      </c>
      <c r="C1905">
        <v>0.76025599437180003</v>
      </c>
      <c r="D1905">
        <v>0.78116958546600401</v>
      </c>
      <c r="E1905">
        <v>0.94195989591503604</v>
      </c>
      <c r="F1905">
        <v>1.1365931180995099</v>
      </c>
      <c r="G1905">
        <v>0.95944448731139198</v>
      </c>
      <c r="H1905">
        <v>0.56298756115025395</v>
      </c>
      <c r="I1905">
        <v>0.29282531488045099</v>
      </c>
      <c r="J1905">
        <v>0.16295641979994999</v>
      </c>
      <c r="K1905">
        <v>0.209340260080012</v>
      </c>
      <c r="L1905">
        <v>2618.5179042801401</v>
      </c>
      <c r="M1905">
        <v>43.038096327470001</v>
      </c>
      <c r="N1905">
        <v>61.502116155050402</v>
      </c>
      <c r="O1905">
        <v>60.7109474267141</v>
      </c>
      <c r="P1905">
        <v>-0.14443917054397701</v>
      </c>
      <c r="Q1905">
        <v>0.18499881333884199</v>
      </c>
      <c r="R1905">
        <v>0.88452823920502599</v>
      </c>
      <c r="S1905" t="s">
        <v>7731</v>
      </c>
      <c r="T1905" t="s">
        <v>11650</v>
      </c>
      <c r="U1905" t="s">
        <v>11650</v>
      </c>
      <c r="V1905" t="s">
        <v>11650</v>
      </c>
      <c r="W1905" t="s">
        <v>13519</v>
      </c>
      <c r="X1905">
        <v>28</v>
      </c>
      <c r="Y1905" t="s">
        <v>19252</v>
      </c>
      <c r="Z1905" t="s">
        <v>24967</v>
      </c>
      <c r="AA1905">
        <v>0.75396893423427946</v>
      </c>
      <c r="AB1905" t="str">
        <f>HYPERLINK("Melting_Curves/meltCurve_P12110_COL6A2.pdf", "Melting_Curves/meltCurve_P12110_COL6A2.pdf")</f>
        <v>Melting_Curves/meltCurve_P12110_COL6A2.pdf</v>
      </c>
    </row>
    <row r="1906" spans="1:28" x14ac:dyDescent="0.25">
      <c r="A1906" t="s">
        <v>1910</v>
      </c>
      <c r="B1906">
        <v>0.99996721820229495</v>
      </c>
      <c r="C1906">
        <v>0.93031116179305595</v>
      </c>
      <c r="D1906">
        <v>0.82742628120711004</v>
      </c>
      <c r="E1906">
        <v>0.75121824959310801</v>
      </c>
      <c r="F1906">
        <v>0.61097419022100596</v>
      </c>
      <c r="G1906">
        <v>0.45011839261832398</v>
      </c>
      <c r="H1906">
        <v>0.26097481056459898</v>
      </c>
      <c r="I1906">
        <v>0.139380004537038</v>
      </c>
      <c r="J1906">
        <v>0.11685545558256</v>
      </c>
      <c r="K1906">
        <v>7.3371096989391593E-2</v>
      </c>
      <c r="L1906">
        <v>585.35569812016502</v>
      </c>
      <c r="M1906">
        <v>10.649126277768501</v>
      </c>
      <c r="N1906">
        <v>54.967485845976697</v>
      </c>
      <c r="O1906">
        <v>53.135442278167297</v>
      </c>
      <c r="P1906">
        <v>-5.0122836415606303E-2</v>
      </c>
      <c r="Q1906">
        <v>0</v>
      </c>
      <c r="R1906">
        <v>0.99200846547260602</v>
      </c>
      <c r="S1906" t="s">
        <v>7732</v>
      </c>
      <c r="T1906" t="s">
        <v>11650</v>
      </c>
      <c r="U1906" t="s">
        <v>11650</v>
      </c>
      <c r="V1906" t="s">
        <v>11650</v>
      </c>
      <c r="W1906" t="s">
        <v>13520</v>
      </c>
      <c r="X1906">
        <v>23</v>
      </c>
      <c r="Y1906" t="s">
        <v>19252</v>
      </c>
      <c r="Z1906" t="s">
        <v>24968</v>
      </c>
      <c r="AA1906">
        <v>0.52420749490717933</v>
      </c>
      <c r="AB1906" t="str">
        <f>HYPERLINK("Melting_Curves/meltCurve_P12110_2_COL6A2.pdf", "Melting_Curves/meltCurve_P12110_2_COL6A2.pdf")</f>
        <v>Melting_Curves/meltCurve_P12110_2_COL6A2.pdf</v>
      </c>
    </row>
    <row r="1907" spans="1:28" x14ac:dyDescent="0.25">
      <c r="A1907" t="s">
        <v>1911</v>
      </c>
      <c r="B1907">
        <v>0.99996721820229495</v>
      </c>
      <c r="C1907">
        <v>0.75439652040479299</v>
      </c>
      <c r="D1907">
        <v>0.73077020457699104</v>
      </c>
      <c r="E1907">
        <v>1.0375612818458599</v>
      </c>
      <c r="F1907">
        <v>1.60288347710249</v>
      </c>
      <c r="G1907">
        <v>0.93254409044304698</v>
      </c>
      <c r="H1907">
        <v>0.524874054454464</v>
      </c>
      <c r="I1907">
        <v>0.124679559306472</v>
      </c>
      <c r="J1907">
        <v>5.3480517474262898E-2</v>
      </c>
      <c r="K1907">
        <v>2.4706426119643202E-2</v>
      </c>
      <c r="L1907">
        <v>2866.3246031487902</v>
      </c>
      <c r="M1907">
        <v>46.961127945658198</v>
      </c>
      <c r="N1907">
        <v>61.114906903381502</v>
      </c>
      <c r="O1907">
        <v>60.925738552573797</v>
      </c>
      <c r="P1907">
        <v>-0.18703913234348299</v>
      </c>
      <c r="Q1907">
        <v>2.9368728739567002E-2</v>
      </c>
      <c r="R1907">
        <v>0.78340728956297601</v>
      </c>
      <c r="S1907" t="s">
        <v>7733</v>
      </c>
      <c r="T1907" t="s">
        <v>11650</v>
      </c>
      <c r="U1907" t="s">
        <v>11650</v>
      </c>
      <c r="V1907" t="s">
        <v>11650</v>
      </c>
      <c r="W1907" t="s">
        <v>12130</v>
      </c>
      <c r="X1907">
        <v>116</v>
      </c>
      <c r="Y1907" t="s">
        <v>17895</v>
      </c>
      <c r="Z1907" t="s">
        <v>24969</v>
      </c>
      <c r="AA1907">
        <v>0.71280138780666769</v>
      </c>
      <c r="AB1907" t="str">
        <f>HYPERLINK("Melting_Curves/meltCurve_P12111_COL6A3.pdf", "Melting_Curves/meltCurve_P12111_COL6A3.pdf")</f>
        <v>Melting_Curves/meltCurve_P12111_COL6A3.pdf</v>
      </c>
    </row>
    <row r="1908" spans="1:28" x14ac:dyDescent="0.25">
      <c r="A1908" t="s">
        <v>1912</v>
      </c>
      <c r="B1908">
        <v>0.99996721820229495</v>
      </c>
      <c r="C1908">
        <v>0.99003072829304595</v>
      </c>
      <c r="D1908">
        <v>1.1571653680543801</v>
      </c>
      <c r="E1908">
        <v>1.37689948824155</v>
      </c>
      <c r="F1908">
        <v>1.6437286226160099</v>
      </c>
      <c r="G1908">
        <v>1.3384819505926</v>
      </c>
      <c r="H1908">
        <v>1.1043506537169001</v>
      </c>
      <c r="I1908">
        <v>0.616456627559413</v>
      </c>
      <c r="J1908">
        <v>0.31218350819128599</v>
      </c>
      <c r="K1908">
        <v>0.26900342067916899</v>
      </c>
      <c r="L1908">
        <v>15000</v>
      </c>
      <c r="M1908">
        <v>234.537905609278</v>
      </c>
      <c r="N1908">
        <v>64.193749740448496</v>
      </c>
      <c r="O1908">
        <v>63.950886234098299</v>
      </c>
      <c r="P1908">
        <v>-0.65044059024495104</v>
      </c>
      <c r="Q1908">
        <v>0.290583603468617</v>
      </c>
      <c r="R1908">
        <v>0.61905601067549798</v>
      </c>
      <c r="S1908" t="s">
        <v>7734</v>
      </c>
      <c r="T1908" t="s">
        <v>11650</v>
      </c>
      <c r="U1908" t="s">
        <v>11650</v>
      </c>
      <c r="V1908" t="s">
        <v>11650</v>
      </c>
      <c r="W1908" t="s">
        <v>13521</v>
      </c>
      <c r="X1908">
        <v>14</v>
      </c>
      <c r="Y1908" t="s">
        <v>19253</v>
      </c>
      <c r="Z1908" t="s">
        <v>24970</v>
      </c>
      <c r="AA1908">
        <v>0.85715599968035971</v>
      </c>
      <c r="AB1908" t="str">
        <f>HYPERLINK("Melting_Curves/meltCurve_P12235_SLC25A4.pdf", "Melting_Curves/meltCurve_P12235_SLC25A4.pdf")</f>
        <v>Melting_Curves/meltCurve_P12235_SLC25A4.pdf</v>
      </c>
    </row>
    <row r="1909" spans="1:28" x14ac:dyDescent="0.25">
      <c r="A1909" t="s">
        <v>1913</v>
      </c>
      <c r="B1909">
        <v>0.99996721820229495</v>
      </c>
      <c r="C1909">
        <v>0.87608139391658701</v>
      </c>
      <c r="D1909">
        <v>1.0034649801804501</v>
      </c>
      <c r="E1909">
        <v>1.5960185773873199</v>
      </c>
      <c r="F1909">
        <v>2.2122751462421202</v>
      </c>
      <c r="G1909">
        <v>2.24327369416587</v>
      </c>
      <c r="H1909">
        <v>2.2046542141529102</v>
      </c>
      <c r="I1909">
        <v>1.5137315402738101</v>
      </c>
      <c r="J1909">
        <v>0.98716122165359899</v>
      </c>
      <c r="K1909">
        <v>1.10244181215156</v>
      </c>
      <c r="L1909">
        <v>11728.353965975601</v>
      </c>
      <c r="M1909">
        <v>250</v>
      </c>
      <c r="O1909">
        <v>46.910413726998499</v>
      </c>
      <c r="P1909">
        <v>0.666163385927806</v>
      </c>
      <c r="Q1909">
        <v>1.5</v>
      </c>
      <c r="R1909">
        <v>0.30137417364845298</v>
      </c>
      <c r="S1909" t="s">
        <v>7735</v>
      </c>
      <c r="T1909" t="s">
        <v>11650</v>
      </c>
      <c r="U1909" t="s">
        <v>11650</v>
      </c>
      <c r="V1909" t="s">
        <v>11650</v>
      </c>
      <c r="W1909" t="s">
        <v>13522</v>
      </c>
      <c r="X1909">
        <v>18</v>
      </c>
      <c r="Y1909" t="s">
        <v>19254</v>
      </c>
      <c r="Z1909" t="s">
        <v>24971</v>
      </c>
      <c r="AA1909">
        <v>1.38473523611094</v>
      </c>
      <c r="AB1909" t="str">
        <f>HYPERLINK("Melting_Curves/meltCurve_P12236_SLC25A6.pdf", "Melting_Curves/meltCurve_P12236_SLC25A6.pdf")</f>
        <v>Melting_Curves/meltCurve_P12236_SLC25A6.pdf</v>
      </c>
    </row>
    <row r="1910" spans="1:28" x14ac:dyDescent="0.25">
      <c r="A1910" t="s">
        <v>1914</v>
      </c>
      <c r="B1910">
        <v>0.99996721820229495</v>
      </c>
      <c r="C1910">
        <v>0.94700178661704904</v>
      </c>
      <c r="D1910">
        <v>0.91803500155984596</v>
      </c>
      <c r="E1910">
        <v>0.94123824066977502</v>
      </c>
      <c r="F1910">
        <v>1.0312043167076901</v>
      </c>
      <c r="G1910">
        <v>0.827393360059131</v>
      </c>
      <c r="H1910">
        <v>0.52605220355224602</v>
      </c>
      <c r="I1910">
        <v>0.43112589159285603</v>
      </c>
      <c r="J1910">
        <v>0.30343432535638598</v>
      </c>
      <c r="K1910">
        <v>0.28038248202271898</v>
      </c>
      <c r="L1910">
        <v>1479.6362534534801</v>
      </c>
      <c r="M1910">
        <v>24.735172767322499</v>
      </c>
      <c r="N1910">
        <v>61.746591364457899</v>
      </c>
      <c r="O1910">
        <v>59.432243949751701</v>
      </c>
      <c r="P1910">
        <v>-7.6061448835370596E-2</v>
      </c>
      <c r="Q1910">
        <v>0.26898603619870398</v>
      </c>
      <c r="R1910">
        <v>0.97741063135350004</v>
      </c>
      <c r="S1910" t="s">
        <v>7736</v>
      </c>
      <c r="T1910" t="s">
        <v>11650</v>
      </c>
      <c r="U1910" t="s">
        <v>11650</v>
      </c>
      <c r="V1910" t="s">
        <v>11650</v>
      </c>
      <c r="W1910" t="s">
        <v>13523</v>
      </c>
      <c r="X1910">
        <v>5</v>
      </c>
      <c r="Y1910" t="s">
        <v>19255</v>
      </c>
      <c r="Z1910" t="s">
        <v>24972</v>
      </c>
      <c r="AA1910">
        <v>0.75752059681497097</v>
      </c>
      <c r="AB1910" t="str">
        <f>HYPERLINK("Melting_Curves/meltCurve_P12268_IMPDH2.pdf", "Melting_Curves/meltCurve_P12268_IMPDH2.pdf")</f>
        <v>Melting_Curves/meltCurve_P12268_IMPDH2.pdf</v>
      </c>
    </row>
    <row r="1911" spans="1:28" x14ac:dyDescent="0.25">
      <c r="A1911" t="s">
        <v>1915</v>
      </c>
      <c r="B1911">
        <v>0.99996721820229495</v>
      </c>
      <c r="C1911">
        <v>0.99009897719774997</v>
      </c>
      <c r="D1911">
        <v>1.0712328289908</v>
      </c>
      <c r="E1911">
        <v>1.39285089153416</v>
      </c>
      <c r="F1911">
        <v>1.9383590546570999</v>
      </c>
      <c r="G1911">
        <v>1.4534381621199499</v>
      </c>
      <c r="H1911">
        <v>0.86028911394516105</v>
      </c>
      <c r="I1911">
        <v>0.62104353559271797</v>
      </c>
      <c r="J1911">
        <v>0.48104964631934799</v>
      </c>
      <c r="K1911">
        <v>0.402415676222867</v>
      </c>
      <c r="L1911">
        <v>3072.0628170300802</v>
      </c>
      <c r="M1911">
        <v>48.746231836709498</v>
      </c>
      <c r="N1911">
        <v>65.578001996672597</v>
      </c>
      <c r="O1911">
        <v>62.915753916701</v>
      </c>
      <c r="P1911">
        <v>-0.111329487277984</v>
      </c>
      <c r="Q1911">
        <v>0.42523787644012401</v>
      </c>
      <c r="R1911">
        <v>0.38335296824559101</v>
      </c>
      <c r="S1911" t="s">
        <v>7737</v>
      </c>
      <c r="T1911" t="s">
        <v>11650</v>
      </c>
      <c r="U1911" t="s">
        <v>11650</v>
      </c>
      <c r="V1911" t="s">
        <v>11650</v>
      </c>
      <c r="W1911" t="s">
        <v>13524</v>
      </c>
      <c r="X1911">
        <v>68</v>
      </c>
      <c r="Y1911" t="s">
        <v>19256</v>
      </c>
      <c r="Z1911" t="s">
        <v>24973</v>
      </c>
      <c r="AA1911">
        <v>0.86773552091451367</v>
      </c>
      <c r="AB1911" t="str">
        <f>HYPERLINK("Melting_Curves/meltCurve_P12270_TPR.pdf", "Melting_Curves/meltCurve_P12270_TPR.pdf")</f>
        <v>Melting_Curves/meltCurve_P12270_TPR.pdf</v>
      </c>
    </row>
    <row r="1912" spans="1:28" x14ac:dyDescent="0.25">
      <c r="A1912" t="s">
        <v>1916</v>
      </c>
      <c r="B1912">
        <v>0.99996721820229495</v>
      </c>
      <c r="C1912">
        <v>1.0242486890781699</v>
      </c>
      <c r="D1912">
        <v>0.98887377605547599</v>
      </c>
      <c r="E1912">
        <v>0.71689768182351299</v>
      </c>
      <c r="F1912">
        <v>0.33047882496689701</v>
      </c>
      <c r="G1912">
        <v>0.259690648270261</v>
      </c>
      <c r="H1912">
        <v>0.15774834596552101</v>
      </c>
      <c r="I1912">
        <v>9.7333689466385598E-2</v>
      </c>
      <c r="J1912">
        <v>7.8324456377887694E-2</v>
      </c>
      <c r="K1912">
        <v>8.9093003471620802E-2</v>
      </c>
      <c r="L1912">
        <v>1371.35075905083</v>
      </c>
      <c r="M1912">
        <v>26.738517791244199</v>
      </c>
      <c r="N1912">
        <v>51.791983173431703</v>
      </c>
      <c r="O1912">
        <v>51.003167479356897</v>
      </c>
      <c r="P1912">
        <v>-0.116037285368112</v>
      </c>
      <c r="Q1912">
        <v>0.114654269098949</v>
      </c>
      <c r="R1912">
        <v>0.98991109621811701</v>
      </c>
      <c r="S1912" t="s">
        <v>7738</v>
      </c>
      <c r="T1912" t="s">
        <v>11650</v>
      </c>
      <c r="U1912" t="s">
        <v>11650</v>
      </c>
      <c r="V1912" t="s">
        <v>11650</v>
      </c>
      <c r="W1912" t="s">
        <v>13525</v>
      </c>
      <c r="X1912">
        <v>17</v>
      </c>
      <c r="Y1912" t="s">
        <v>19257</v>
      </c>
      <c r="Z1912" t="s">
        <v>24974</v>
      </c>
      <c r="AA1912">
        <v>0.45479449404998362</v>
      </c>
      <c r="AB1912" t="str">
        <f>HYPERLINK("Melting_Curves/meltCurve_P12277_CKB.pdf", "Melting_Curves/meltCurve_P12277_CKB.pdf")</f>
        <v>Melting_Curves/meltCurve_P12277_CKB.pdf</v>
      </c>
    </row>
    <row r="1913" spans="1:28" x14ac:dyDescent="0.25">
      <c r="A1913" t="s">
        <v>1917</v>
      </c>
      <c r="B1913">
        <v>0.99996721820229495</v>
      </c>
      <c r="C1913">
        <v>1.0317502910380401</v>
      </c>
      <c r="D1913">
        <v>0.95694863856262202</v>
      </c>
      <c r="E1913">
        <v>0.93396127667893403</v>
      </c>
      <c r="F1913">
        <v>0.55516385040530403</v>
      </c>
      <c r="G1913">
        <v>0.36295147819705198</v>
      </c>
      <c r="H1913">
        <v>0.206621532048087</v>
      </c>
      <c r="I1913">
        <v>0.133874004515149</v>
      </c>
      <c r="J1913">
        <v>9.9098963024635195E-2</v>
      </c>
      <c r="K1913">
        <v>7.6957234896761401E-2</v>
      </c>
      <c r="L1913">
        <v>1074.0969779842801</v>
      </c>
      <c r="M1913">
        <v>19.859382733066798</v>
      </c>
      <c r="N1913">
        <v>54.633956534457802</v>
      </c>
      <c r="O1913">
        <v>53.545671944391998</v>
      </c>
      <c r="P1913">
        <v>-8.4339357232754694E-2</v>
      </c>
      <c r="Q1913">
        <v>9.0433684418118596E-2</v>
      </c>
      <c r="R1913">
        <v>0.98815906462410696</v>
      </c>
      <c r="S1913" t="s">
        <v>7739</v>
      </c>
      <c r="T1913" t="s">
        <v>11650</v>
      </c>
      <c r="U1913" t="s">
        <v>11650</v>
      </c>
      <c r="V1913" t="s">
        <v>11650</v>
      </c>
      <c r="W1913" t="s">
        <v>13526</v>
      </c>
      <c r="X1913">
        <v>21</v>
      </c>
      <c r="Y1913" t="s">
        <v>19258</v>
      </c>
      <c r="Z1913" t="s">
        <v>24975</v>
      </c>
      <c r="AA1913">
        <v>0.52996382918415252</v>
      </c>
      <c r="AB1913" t="str">
        <f>HYPERLINK("Melting_Curves/meltCurve_P12429_ANXA3.pdf", "Melting_Curves/meltCurve_P12429_ANXA3.pdf")</f>
        <v>Melting_Curves/meltCurve_P12429_ANXA3.pdf</v>
      </c>
    </row>
    <row r="1914" spans="1:28" x14ac:dyDescent="0.25">
      <c r="A1914" t="s">
        <v>1918</v>
      </c>
      <c r="B1914">
        <v>0.99996721820229495</v>
      </c>
      <c r="C1914">
        <v>0.92697966230579998</v>
      </c>
      <c r="D1914">
        <v>0.92354693354382</v>
      </c>
      <c r="E1914">
        <v>0.69392094228102097</v>
      </c>
      <c r="F1914">
        <v>0.341142737952705</v>
      </c>
      <c r="G1914">
        <v>0.22916912996959901</v>
      </c>
      <c r="H1914">
        <v>0.106147424399825</v>
      </c>
      <c r="I1914">
        <v>5.7626162571561501E-2</v>
      </c>
      <c r="J1914">
        <v>2.5924030954339299E-2</v>
      </c>
      <c r="K1914">
        <v>2.5500290432870099E-2</v>
      </c>
      <c r="L1914">
        <v>927.98713862380396</v>
      </c>
      <c r="M1914">
        <v>17.9544593638966</v>
      </c>
      <c r="N1914">
        <v>51.855356867532102</v>
      </c>
      <c r="O1914">
        <v>51.057227437525597</v>
      </c>
      <c r="P1914">
        <v>-8.5408600676717197E-2</v>
      </c>
      <c r="Q1914">
        <v>2.8540162109902699E-2</v>
      </c>
      <c r="R1914">
        <v>0.99224000831388404</v>
      </c>
      <c r="S1914" t="s">
        <v>7740</v>
      </c>
      <c r="T1914" t="s">
        <v>11650</v>
      </c>
      <c r="U1914" t="s">
        <v>11650</v>
      </c>
      <c r="V1914" t="s">
        <v>11650</v>
      </c>
      <c r="W1914" t="s">
        <v>13527</v>
      </c>
      <c r="X1914">
        <v>1</v>
      </c>
      <c r="Y1914" t="s">
        <v>19259</v>
      </c>
      <c r="Z1914" t="s">
        <v>24976</v>
      </c>
      <c r="AA1914">
        <v>0.42324840619341669</v>
      </c>
      <c r="AB1914" t="str">
        <f>HYPERLINK("Melting_Curves/meltCurve_P12532_CKMT1A.pdf", "Melting_Curves/meltCurve_P12532_CKMT1A.pdf")</f>
        <v>Melting_Curves/meltCurve_P12532_CKMT1A.pdf</v>
      </c>
    </row>
    <row r="1915" spans="1:28" x14ac:dyDescent="0.25">
      <c r="A1915" t="s">
        <v>1919</v>
      </c>
      <c r="B1915">
        <v>0.99996721820229495</v>
      </c>
      <c r="C1915">
        <v>1.1810733266143301</v>
      </c>
      <c r="D1915">
        <v>1.17982020976762</v>
      </c>
      <c r="E1915">
        <v>1.61965361141109</v>
      </c>
      <c r="F1915">
        <v>2.0105965586733801</v>
      </c>
      <c r="G1915">
        <v>2.9703773306248</v>
      </c>
      <c r="H1915">
        <v>0.72405035052810995</v>
      </c>
      <c r="I1915">
        <v>0.23943705577987001</v>
      </c>
      <c r="J1915">
        <v>0.190372120697927</v>
      </c>
      <c r="K1915">
        <v>0.125853153868143</v>
      </c>
      <c r="L1915">
        <v>7092.9752528705903</v>
      </c>
      <c r="M1915">
        <v>115.58665883386701</v>
      </c>
      <c r="N1915">
        <v>61.607031630057698</v>
      </c>
      <c r="O1915">
        <v>61.346636260238</v>
      </c>
      <c r="P1915">
        <v>-0.38507997261584898</v>
      </c>
      <c r="Q1915">
        <v>0.182488341625483</v>
      </c>
      <c r="R1915">
        <v>0.26315773502609102</v>
      </c>
      <c r="S1915" t="s">
        <v>7741</v>
      </c>
      <c r="T1915" t="s">
        <v>11650</v>
      </c>
      <c r="U1915" t="s">
        <v>11650</v>
      </c>
      <c r="V1915" t="s">
        <v>11650</v>
      </c>
      <c r="W1915" t="s">
        <v>13528</v>
      </c>
      <c r="X1915">
        <v>71</v>
      </c>
      <c r="Y1915" t="s">
        <v>19260</v>
      </c>
      <c r="Z1915" t="s">
        <v>24977</v>
      </c>
      <c r="AA1915">
        <v>0.76510506489632479</v>
      </c>
      <c r="AB1915" t="str">
        <f>HYPERLINK("Melting_Curves/meltCurve_P12814_2_ACTN1.pdf", "Melting_Curves/meltCurve_P12814_2_ACTN1.pdf")</f>
        <v>Melting_Curves/meltCurve_P12814_2_ACTN1.pdf</v>
      </c>
    </row>
    <row r="1916" spans="1:28" x14ac:dyDescent="0.25">
      <c r="A1916" t="s">
        <v>1920</v>
      </c>
      <c r="B1916">
        <v>0.99996721820229495</v>
      </c>
      <c r="C1916">
        <v>0.90861056501994797</v>
      </c>
      <c r="D1916">
        <v>0.974255472238163</v>
      </c>
      <c r="E1916">
        <v>1.2136848969362699</v>
      </c>
      <c r="F1916">
        <v>1.5758986579298599</v>
      </c>
      <c r="G1916">
        <v>1.3305920942704099</v>
      </c>
      <c r="H1916">
        <v>0.80755722102278005</v>
      </c>
      <c r="I1916">
        <v>0.34578418341841199</v>
      </c>
      <c r="J1916">
        <v>0.199557670280894</v>
      </c>
      <c r="K1916">
        <v>0.18782073144078301</v>
      </c>
      <c r="L1916">
        <v>3725.9226486018001</v>
      </c>
      <c r="M1916">
        <v>59.781150031652601</v>
      </c>
      <c r="N1916">
        <v>62.833560897477</v>
      </c>
      <c r="O1916">
        <v>62.256410628350302</v>
      </c>
      <c r="P1916">
        <v>-0.19409097562859901</v>
      </c>
      <c r="Q1916">
        <v>0.19149073351917201</v>
      </c>
      <c r="R1916">
        <v>0.75681252803070598</v>
      </c>
      <c r="S1916" t="s">
        <v>7742</v>
      </c>
      <c r="T1916" t="s">
        <v>11650</v>
      </c>
      <c r="U1916" t="s">
        <v>11650</v>
      </c>
      <c r="V1916" t="s">
        <v>11650</v>
      </c>
      <c r="W1916" t="s">
        <v>13529</v>
      </c>
      <c r="X1916">
        <v>6</v>
      </c>
      <c r="Y1916" t="s">
        <v>19261</v>
      </c>
      <c r="Z1916" t="s">
        <v>24978</v>
      </c>
      <c r="AA1916">
        <v>0.79468435979905161</v>
      </c>
      <c r="AB1916" t="str">
        <f>HYPERLINK("Melting_Curves/meltCurve_P12821_2_ACE.pdf", "Melting_Curves/meltCurve_P12821_2_ACE.pdf")</f>
        <v>Melting_Curves/meltCurve_P12821_2_ACE.pdf</v>
      </c>
    </row>
    <row r="1917" spans="1:28" x14ac:dyDescent="0.25">
      <c r="A1917" t="s">
        <v>1921</v>
      </c>
      <c r="B1917">
        <v>0.99996721820229495</v>
      </c>
      <c r="C1917">
        <v>1.0046716956789801</v>
      </c>
      <c r="D1917">
        <v>1.0399975879658501</v>
      </c>
      <c r="E1917">
        <v>1.0218117877847599</v>
      </c>
      <c r="F1917">
        <v>0.57974385781943405</v>
      </c>
      <c r="G1917">
        <v>0.32699120496183998</v>
      </c>
      <c r="H1917">
        <v>0.109191977888579</v>
      </c>
      <c r="I1917">
        <v>7.99199757464399E-2</v>
      </c>
      <c r="J1917">
        <v>6.2835306367659299E-2</v>
      </c>
      <c r="K1917">
        <v>4.2841302354726801E-2</v>
      </c>
      <c r="L1917">
        <v>1413.97516363658</v>
      </c>
      <c r="M1917">
        <v>26.0668932378086</v>
      </c>
      <c r="N1917">
        <v>54.516736016996099</v>
      </c>
      <c r="O1917">
        <v>53.927880882569298</v>
      </c>
      <c r="P1917">
        <v>-0.113457738299345</v>
      </c>
      <c r="Q1917">
        <v>6.1113317580463802E-2</v>
      </c>
      <c r="R1917">
        <v>0.98494981064118203</v>
      </c>
      <c r="S1917" t="s">
        <v>7743</v>
      </c>
      <c r="T1917" t="s">
        <v>11650</v>
      </c>
      <c r="U1917" t="s">
        <v>11650</v>
      </c>
      <c r="V1917" t="s">
        <v>11650</v>
      </c>
      <c r="W1917" t="s">
        <v>13530</v>
      </c>
      <c r="X1917">
        <v>11</v>
      </c>
      <c r="Y1917" t="s">
        <v>19262</v>
      </c>
      <c r="Z1917" t="s">
        <v>24979</v>
      </c>
      <c r="AA1917">
        <v>0.51495534958177602</v>
      </c>
      <c r="AB1917" t="str">
        <f>HYPERLINK("Melting_Curves/meltCurve_P12931_SRC.pdf", "Melting_Curves/meltCurve_P12931_SRC.pdf")</f>
        <v>Melting_Curves/meltCurve_P12931_SRC.pdf</v>
      </c>
    </row>
    <row r="1918" spans="1:28" x14ac:dyDescent="0.25">
      <c r="A1918" t="s">
        <v>1922</v>
      </c>
      <c r="B1918">
        <v>0.99996721820229495</v>
      </c>
      <c r="C1918">
        <v>1.0539496856334101</v>
      </c>
      <c r="D1918">
        <v>1.1223657056071401</v>
      </c>
      <c r="E1918">
        <v>1.2252777257662799</v>
      </c>
      <c r="F1918">
        <v>1.28709778678186</v>
      </c>
      <c r="G1918">
        <v>0.89965951409037304</v>
      </c>
      <c r="H1918">
        <v>0.37169047763151403</v>
      </c>
      <c r="I1918">
        <v>0.21412719744571701</v>
      </c>
      <c r="J1918">
        <v>0.13545551453625801</v>
      </c>
      <c r="K1918">
        <v>0.110121744433474</v>
      </c>
      <c r="L1918">
        <v>2693.0912562916001</v>
      </c>
      <c r="M1918">
        <v>45.078560594949401</v>
      </c>
      <c r="N1918">
        <v>60.160252298778097</v>
      </c>
      <c r="O1918">
        <v>59.6249627588601</v>
      </c>
      <c r="P1918">
        <v>-0.16359234740176201</v>
      </c>
      <c r="Q1918">
        <v>0.13447326789390099</v>
      </c>
      <c r="R1918">
        <v>0.92423621380500998</v>
      </c>
      <c r="S1918" t="s">
        <v>7744</v>
      </c>
      <c r="T1918" t="s">
        <v>11650</v>
      </c>
      <c r="U1918" t="s">
        <v>11650</v>
      </c>
      <c r="V1918" t="s">
        <v>11650</v>
      </c>
      <c r="W1918" t="s">
        <v>13531</v>
      </c>
      <c r="X1918">
        <v>14</v>
      </c>
      <c r="Y1918" t="s">
        <v>19263</v>
      </c>
      <c r="Z1918" t="s">
        <v>24980</v>
      </c>
      <c r="AA1918">
        <v>0.70678740237150661</v>
      </c>
      <c r="AB1918" t="str">
        <f>HYPERLINK("Melting_Curves/meltCurve_P12955_PEPD.pdf", "Melting_Curves/meltCurve_P12955_PEPD.pdf")</f>
        <v>Melting_Curves/meltCurve_P12955_PEPD.pdf</v>
      </c>
    </row>
    <row r="1919" spans="1:28" x14ac:dyDescent="0.25">
      <c r="A1919" t="s">
        <v>1923</v>
      </c>
      <c r="B1919">
        <v>0.99996721820229495</v>
      </c>
      <c r="C1919">
        <v>1.1964932772174199</v>
      </c>
      <c r="D1919">
        <v>2.5777813652425099</v>
      </c>
      <c r="E1919">
        <v>2.3648530177540299</v>
      </c>
      <c r="F1919">
        <v>0.93245351749170302</v>
      </c>
      <c r="G1919">
        <v>0.68942787257058202</v>
      </c>
      <c r="H1919">
        <v>0.35057561765318401</v>
      </c>
      <c r="I1919">
        <v>0.24297078940699099</v>
      </c>
      <c r="J1919">
        <v>0.15261619310220001</v>
      </c>
      <c r="K1919">
        <v>0.12448150869566001</v>
      </c>
      <c r="L1919">
        <v>2039.9138484953201</v>
      </c>
      <c r="M1919">
        <v>35.008083298184097</v>
      </c>
      <c r="N1919">
        <v>58.944036062446798</v>
      </c>
      <c r="O1919">
        <v>58.080644544899101</v>
      </c>
      <c r="P1919">
        <v>-0.125826038038274</v>
      </c>
      <c r="Q1919">
        <v>0.164989259440775</v>
      </c>
      <c r="R1919">
        <v>0.36645855234779301</v>
      </c>
      <c r="S1919" t="s">
        <v>7745</v>
      </c>
      <c r="T1919" t="s">
        <v>11650</v>
      </c>
      <c r="U1919" t="s">
        <v>11650</v>
      </c>
      <c r="V1919" t="s">
        <v>11650</v>
      </c>
      <c r="W1919" t="s">
        <v>13532</v>
      </c>
      <c r="X1919">
        <v>17</v>
      </c>
      <c r="Y1919" t="s">
        <v>19264</v>
      </c>
      <c r="Z1919" t="s">
        <v>24981</v>
      </c>
      <c r="AA1919">
        <v>0.67770549431443672</v>
      </c>
      <c r="AB1919" t="str">
        <f>HYPERLINK("Melting_Curves/meltCurve_P12956_XRCC6.pdf", "Melting_Curves/meltCurve_P12956_XRCC6.pdf")</f>
        <v>Melting_Curves/meltCurve_P12956_XRCC6.pdf</v>
      </c>
    </row>
    <row r="1920" spans="1:28" x14ac:dyDescent="0.25">
      <c r="A1920" t="s">
        <v>1924</v>
      </c>
      <c r="B1920">
        <v>0.99996721820229495</v>
      </c>
      <c r="C1920">
        <v>1.17368753056785</v>
      </c>
      <c r="D1920">
        <v>1.23668541050619</v>
      </c>
      <c r="E1920">
        <v>0.53682258122249404</v>
      </c>
      <c r="F1920">
        <v>0.69268295724525597</v>
      </c>
      <c r="G1920">
        <v>0.54941279153570599</v>
      </c>
      <c r="H1920">
        <v>0.32968412215364301</v>
      </c>
      <c r="I1920">
        <v>0.27883626462910299</v>
      </c>
      <c r="J1920">
        <v>0.15438390052758499</v>
      </c>
      <c r="K1920">
        <v>0.10535558638271</v>
      </c>
      <c r="L1920">
        <v>670.55941206073203</v>
      </c>
      <c r="M1920">
        <v>11.945661841183</v>
      </c>
      <c r="N1920">
        <v>56.719271960319801</v>
      </c>
      <c r="O1920">
        <v>54.630412525955101</v>
      </c>
      <c r="P1920">
        <v>-5.15093419548266E-2</v>
      </c>
      <c r="Q1920">
        <v>5.7972300512022103E-2</v>
      </c>
      <c r="R1920">
        <v>0.85711482406453998</v>
      </c>
      <c r="S1920" t="s">
        <v>7746</v>
      </c>
      <c r="T1920" t="s">
        <v>11650</v>
      </c>
      <c r="U1920" t="s">
        <v>11650</v>
      </c>
      <c r="V1920" t="s">
        <v>11650</v>
      </c>
      <c r="W1920" t="s">
        <v>13533</v>
      </c>
      <c r="X1920">
        <v>5</v>
      </c>
      <c r="Y1920" t="s">
        <v>19265</v>
      </c>
      <c r="Z1920" t="s">
        <v>24982</v>
      </c>
      <c r="AA1920">
        <v>0.58340989031532209</v>
      </c>
      <c r="AB1920" t="str">
        <f>HYPERLINK("Melting_Curves/meltCurve_P13010_XRCC5.pdf", "Melting_Curves/meltCurve_P13010_XRCC5.pdf")</f>
        <v>Melting_Curves/meltCurve_P13010_XRCC5.pdf</v>
      </c>
    </row>
    <row r="1921" spans="1:28" x14ac:dyDescent="0.25">
      <c r="A1921" t="s">
        <v>1925</v>
      </c>
      <c r="B1921">
        <v>0.99996721820229495</v>
      </c>
      <c r="C1921">
        <v>0.99552802822068198</v>
      </c>
      <c r="D1921">
        <v>1.02883347867251</v>
      </c>
      <c r="E1921">
        <v>1.07557097417128</v>
      </c>
      <c r="F1921">
        <v>1.4632768962593501</v>
      </c>
      <c r="G1921">
        <v>1.84898647840145</v>
      </c>
      <c r="H1921">
        <v>1.79415382826891</v>
      </c>
      <c r="I1921">
        <v>2.7178349604388901</v>
      </c>
      <c r="J1921">
        <v>3.4071461279117101</v>
      </c>
      <c r="K1921">
        <v>2.5752632092636998</v>
      </c>
      <c r="L1921">
        <v>3912.31400319043</v>
      </c>
      <c r="M1921">
        <v>76.5025388574103</v>
      </c>
      <c r="O1921">
        <v>51.104750704535803</v>
      </c>
      <c r="P1921">
        <v>0.187121916093973</v>
      </c>
      <c r="Q1921">
        <v>1.5</v>
      </c>
      <c r="R1921">
        <v>9.4983890778060891E-3</v>
      </c>
      <c r="S1921" t="s">
        <v>7747</v>
      </c>
      <c r="T1921" t="s">
        <v>11650</v>
      </c>
      <c r="U1921" t="s">
        <v>11650</v>
      </c>
      <c r="V1921" t="s">
        <v>11650</v>
      </c>
      <c r="W1921" t="s">
        <v>13534</v>
      </c>
      <c r="X1921">
        <v>15</v>
      </c>
      <c r="Y1921" t="s">
        <v>19266</v>
      </c>
      <c r="Z1921" t="s">
        <v>24983</v>
      </c>
      <c r="AA1921">
        <v>1.31385871629439</v>
      </c>
      <c r="AB1921" t="str">
        <f>HYPERLINK("Melting_Curves/meltCurve_P13073_COX4I1.pdf", "Melting_Curves/meltCurve_P13073_COX4I1.pdf")</f>
        <v>Melting_Curves/meltCurve_P13073_COX4I1.pdf</v>
      </c>
    </row>
    <row r="1922" spans="1:28" x14ac:dyDescent="0.25">
      <c r="A1922" t="s">
        <v>1926</v>
      </c>
      <c r="B1922">
        <v>0.99996721820229495</v>
      </c>
      <c r="C1922">
        <v>1.05774936347299</v>
      </c>
      <c r="D1922">
        <v>1.04946552305094</v>
      </c>
      <c r="E1922">
        <v>1.10726203795311</v>
      </c>
      <c r="F1922">
        <v>1.02998286174639</v>
      </c>
      <c r="G1922">
        <v>0.87422153545924197</v>
      </c>
      <c r="H1922">
        <v>0.442373924876865</v>
      </c>
      <c r="I1922">
        <v>0.21606427763554001</v>
      </c>
      <c r="J1922">
        <v>0.13608484802669099</v>
      </c>
      <c r="K1922">
        <v>0.10012818611548301</v>
      </c>
      <c r="L1922">
        <v>2031.55921308743</v>
      </c>
      <c r="M1922">
        <v>33.782520459024397</v>
      </c>
      <c r="N1922">
        <v>60.5518238614452</v>
      </c>
      <c r="O1922">
        <v>59.926849863448297</v>
      </c>
      <c r="P1922">
        <v>-0.12635552092856001</v>
      </c>
      <c r="Q1922">
        <v>0.103434819379824</v>
      </c>
      <c r="R1922">
        <v>0.98809921337650697</v>
      </c>
      <c r="S1922" t="s">
        <v>7748</v>
      </c>
      <c r="T1922" t="s">
        <v>11650</v>
      </c>
      <c r="U1922" t="s">
        <v>11650</v>
      </c>
      <c r="V1922" t="s">
        <v>11650</v>
      </c>
      <c r="W1922" t="s">
        <v>13535</v>
      </c>
      <c r="X1922">
        <v>9</v>
      </c>
      <c r="Y1922" t="s">
        <v>19267</v>
      </c>
      <c r="Z1922" t="s">
        <v>24984</v>
      </c>
      <c r="AA1922">
        <v>0.7098044228546565</v>
      </c>
      <c r="AB1922" t="str">
        <f>HYPERLINK("Melting_Curves/meltCurve_P13196_ALAS1.pdf", "Melting_Curves/meltCurve_P13196_ALAS1.pdf")</f>
        <v>Melting_Curves/meltCurve_P13196_ALAS1.pdf</v>
      </c>
    </row>
    <row r="1923" spans="1:28" x14ac:dyDescent="0.25">
      <c r="A1923" t="s">
        <v>1927</v>
      </c>
      <c r="B1923">
        <v>0.99996721820229495</v>
      </c>
      <c r="C1923">
        <v>1.00302679059873</v>
      </c>
      <c r="D1923">
        <v>0.99115603513834105</v>
      </c>
      <c r="E1923">
        <v>0.95490238771018798</v>
      </c>
      <c r="F1923">
        <v>0.87042980815647797</v>
      </c>
      <c r="G1923">
        <v>0.25438764456576901</v>
      </c>
      <c r="H1923">
        <v>0.118154110747902</v>
      </c>
      <c r="I1923">
        <v>6.9651375860807593E-2</v>
      </c>
      <c r="J1923">
        <v>5.5241667535953901E-2</v>
      </c>
      <c r="K1923">
        <v>4.3997358179123799E-2</v>
      </c>
      <c r="L1923">
        <v>2297.87836605538</v>
      </c>
      <c r="M1923">
        <v>41.620597417671199</v>
      </c>
      <c r="N1923">
        <v>55.394362173694503</v>
      </c>
      <c r="O1923">
        <v>55.083120680557897</v>
      </c>
      <c r="P1923">
        <v>-0.17668805269657101</v>
      </c>
      <c r="Q1923">
        <v>6.46445399037157E-2</v>
      </c>
      <c r="R1923">
        <v>0.99829198268121599</v>
      </c>
      <c r="S1923" t="s">
        <v>7749</v>
      </c>
      <c r="T1923" t="s">
        <v>11650</v>
      </c>
      <c r="U1923" t="s">
        <v>11650</v>
      </c>
      <c r="V1923" t="s">
        <v>11650</v>
      </c>
      <c r="W1923" t="s">
        <v>13536</v>
      </c>
      <c r="X1923">
        <v>34</v>
      </c>
      <c r="Y1923" t="s">
        <v>19268</v>
      </c>
      <c r="Z1923" t="s">
        <v>24985</v>
      </c>
      <c r="AA1923">
        <v>0.54215860273161476</v>
      </c>
      <c r="AB1923" t="str">
        <f>HYPERLINK("Melting_Curves/meltCurve_P13489_RNH1.pdf", "Melting_Curves/meltCurve_P13489_RNH1.pdf")</f>
        <v>Melting_Curves/meltCurve_P13489_RNH1.pdf</v>
      </c>
    </row>
    <row r="1924" spans="1:28" x14ac:dyDescent="0.25">
      <c r="A1924" t="s">
        <v>1928</v>
      </c>
      <c r="B1924">
        <v>0.99996721820229495</v>
      </c>
      <c r="C1924">
        <v>0.88904845570066404</v>
      </c>
      <c r="D1924">
        <v>0.90279542334788998</v>
      </c>
      <c r="E1924">
        <v>0.89624261519502302</v>
      </c>
      <c r="F1924">
        <v>0.91484749387866104</v>
      </c>
      <c r="G1924">
        <v>0.80655038007717805</v>
      </c>
      <c r="H1924">
        <v>0.35753919010764001</v>
      </c>
      <c r="I1924">
        <v>0.30046185566115802</v>
      </c>
      <c r="J1924">
        <v>0.231316921015435</v>
      </c>
      <c r="K1924">
        <v>0.28763042762983998</v>
      </c>
      <c r="L1924">
        <v>2253.0848510476299</v>
      </c>
      <c r="M1924">
        <v>38.608302386317398</v>
      </c>
      <c r="N1924">
        <v>59.481486312927601</v>
      </c>
      <c r="O1924">
        <v>58.201622511683603</v>
      </c>
      <c r="P1924">
        <v>-0.122897393208272</v>
      </c>
      <c r="Q1924">
        <v>0.25893556022966302</v>
      </c>
      <c r="R1924">
        <v>0.95610917983368804</v>
      </c>
      <c r="S1924" t="s">
        <v>7750</v>
      </c>
      <c r="T1924" t="s">
        <v>11650</v>
      </c>
      <c r="U1924" t="s">
        <v>11650</v>
      </c>
      <c r="V1924" t="s">
        <v>11650</v>
      </c>
      <c r="W1924" t="s">
        <v>13537</v>
      </c>
      <c r="X1924">
        <v>2</v>
      </c>
      <c r="Y1924" t="s">
        <v>19269</v>
      </c>
      <c r="Z1924" t="s">
        <v>24986</v>
      </c>
      <c r="AA1924">
        <v>0.71552422905755997</v>
      </c>
      <c r="AB1924" t="str">
        <f>HYPERLINK("Melting_Curves/meltCurve_P13498_CYBA.pdf", "Melting_Curves/meltCurve_P13498_CYBA.pdf")</f>
        <v>Melting_Curves/meltCurve_P13498_CYBA.pdf</v>
      </c>
    </row>
    <row r="1925" spans="1:28" x14ac:dyDescent="0.25">
      <c r="A1925" t="s">
        <v>1929</v>
      </c>
      <c r="B1925">
        <v>0.99996721820229495</v>
      </c>
      <c r="C1925">
        <v>1.0224494580908201</v>
      </c>
      <c r="D1925">
        <v>0.866001761625245</v>
      </c>
      <c r="E1925">
        <v>0.82295157230831095</v>
      </c>
      <c r="F1925">
        <v>0.59645262121031295</v>
      </c>
      <c r="G1925">
        <v>0.46489530631378301</v>
      </c>
      <c r="H1925">
        <v>0.31623750911950499</v>
      </c>
      <c r="I1925">
        <v>0.20167880516905901</v>
      </c>
      <c r="J1925">
        <v>0.177127360312967</v>
      </c>
      <c r="K1925">
        <v>0.114877844029191</v>
      </c>
      <c r="L1925">
        <v>616.03557568307804</v>
      </c>
      <c r="M1925">
        <v>11.095470812121199</v>
      </c>
      <c r="N1925">
        <v>55.923857368458002</v>
      </c>
      <c r="O1925">
        <v>53.809363376102198</v>
      </c>
      <c r="P1925">
        <v>-4.9587797623715998E-2</v>
      </c>
      <c r="Q1925">
        <v>3.83761502037347E-2</v>
      </c>
      <c r="R1925">
        <v>0.99041330834103503</v>
      </c>
      <c r="S1925" t="s">
        <v>7751</v>
      </c>
      <c r="T1925" t="s">
        <v>11650</v>
      </c>
      <c r="U1925" t="s">
        <v>11650</v>
      </c>
      <c r="V1925" t="s">
        <v>11650</v>
      </c>
      <c r="W1925" t="s">
        <v>13538</v>
      </c>
      <c r="X1925">
        <v>33</v>
      </c>
      <c r="Y1925" t="s">
        <v>19270</v>
      </c>
      <c r="Z1925" t="s">
        <v>24987</v>
      </c>
      <c r="AA1925">
        <v>0.55775709362683501</v>
      </c>
      <c r="AB1925" t="str">
        <f>HYPERLINK("Melting_Curves/meltCurve_P13611_VCAN.pdf", "Melting_Curves/meltCurve_P13611_VCAN.pdf")</f>
        <v>Melting_Curves/meltCurve_P13611_VCAN.pdf</v>
      </c>
    </row>
    <row r="1926" spans="1:28" x14ac:dyDescent="0.25">
      <c r="A1926" t="s">
        <v>1930</v>
      </c>
      <c r="B1926">
        <v>0.99996721820229495</v>
      </c>
      <c r="C1926">
        <v>0.906049939267631</v>
      </c>
      <c r="D1926">
        <v>1.10101665943192</v>
      </c>
      <c r="E1926">
        <v>1.5956638497620299</v>
      </c>
      <c r="F1926">
        <v>2.1422115513650999</v>
      </c>
      <c r="G1926">
        <v>1.8701813854354501</v>
      </c>
      <c r="H1926">
        <v>1.2946101725490899</v>
      </c>
      <c r="I1926">
        <v>0.75978360817600898</v>
      </c>
      <c r="J1926">
        <v>0.42710528496968297</v>
      </c>
      <c r="K1926">
        <v>0.48004757722583902</v>
      </c>
      <c r="L1926">
        <v>15000</v>
      </c>
      <c r="M1926">
        <v>234.132207528767</v>
      </c>
      <c r="N1926">
        <v>64.723354405732096</v>
      </c>
      <c r="O1926">
        <v>64.061693003747607</v>
      </c>
      <c r="P1926">
        <v>-0.49927465187861297</v>
      </c>
      <c r="Q1926">
        <v>0.45356720031428099</v>
      </c>
      <c r="R1926">
        <v>0.13865295856262899</v>
      </c>
      <c r="S1926" t="s">
        <v>7752</v>
      </c>
      <c r="T1926" t="s">
        <v>11650</v>
      </c>
      <c r="U1926" t="s">
        <v>11650</v>
      </c>
      <c r="V1926" t="s">
        <v>11650</v>
      </c>
      <c r="W1926" t="s">
        <v>13539</v>
      </c>
      <c r="X1926">
        <v>22</v>
      </c>
      <c r="Y1926" t="s">
        <v>19271</v>
      </c>
      <c r="Z1926" t="s">
        <v>24988</v>
      </c>
      <c r="AA1926">
        <v>0.89199233254084598</v>
      </c>
      <c r="AB1926" t="str">
        <f>HYPERLINK("Melting_Curves/meltCurve_P13612_ITGA4.pdf", "Melting_Curves/meltCurve_P13612_ITGA4.pdf")</f>
        <v>Melting_Curves/meltCurve_P13612_ITGA4.pdf</v>
      </c>
    </row>
    <row r="1927" spans="1:28" x14ac:dyDescent="0.25">
      <c r="A1927" t="s">
        <v>1931</v>
      </c>
      <c r="B1927">
        <v>0.99996721820229495</v>
      </c>
      <c r="C1927">
        <v>1.0128412178292601</v>
      </c>
      <c r="D1927">
        <v>1.0379941106177699</v>
      </c>
      <c r="E1927">
        <v>1.15153254731059</v>
      </c>
      <c r="F1927">
        <v>1.3947678622239501</v>
      </c>
      <c r="G1927">
        <v>1.33976511095215</v>
      </c>
      <c r="H1927">
        <v>0.34446344358785302</v>
      </c>
      <c r="I1927">
        <v>0.12554722324456899</v>
      </c>
      <c r="J1927">
        <v>8.7794125727000599E-2</v>
      </c>
      <c r="K1927">
        <v>7.0156420112186701E-2</v>
      </c>
      <c r="L1927">
        <v>12357.542858987799</v>
      </c>
      <c r="M1927">
        <v>203.546723606044</v>
      </c>
      <c r="N1927">
        <v>60.7736260761572</v>
      </c>
      <c r="O1927">
        <v>60.705227037739299</v>
      </c>
      <c r="P1927">
        <v>-0.75905273465182699</v>
      </c>
      <c r="Q1927">
        <v>9.4488629979453398E-2</v>
      </c>
      <c r="R1927">
        <v>0.88532890582722201</v>
      </c>
      <c r="S1927" t="s">
        <v>7753</v>
      </c>
      <c r="T1927" t="s">
        <v>11650</v>
      </c>
      <c r="U1927" t="s">
        <v>11650</v>
      </c>
      <c r="V1927" t="s">
        <v>11650</v>
      </c>
      <c r="W1927" t="s">
        <v>13540</v>
      </c>
      <c r="X1927">
        <v>70</v>
      </c>
      <c r="Y1927" t="s">
        <v>19272</v>
      </c>
      <c r="Z1927" t="s">
        <v>24989</v>
      </c>
      <c r="AA1927">
        <v>0.71977168204660447</v>
      </c>
      <c r="AB1927" t="str">
        <f>HYPERLINK("Melting_Curves/meltCurve_P13639_EEF2.pdf", "Melting_Curves/meltCurve_P13639_EEF2.pdf")</f>
        <v>Melting_Curves/meltCurve_P13639_EEF2.pdf</v>
      </c>
    </row>
    <row r="1928" spans="1:28" x14ac:dyDescent="0.25">
      <c r="A1928" t="s">
        <v>1932</v>
      </c>
      <c r="B1928">
        <v>0.99996721820229495</v>
      </c>
      <c r="C1928">
        <v>1.0691461848783701</v>
      </c>
      <c r="D1928">
        <v>0.99188263635351603</v>
      </c>
      <c r="E1928">
        <v>0.71126958159840703</v>
      </c>
      <c r="F1928">
        <v>0.366408949037279</v>
      </c>
      <c r="G1928">
        <v>0.29672177909348102</v>
      </c>
      <c r="H1928">
        <v>0.17075208863795899</v>
      </c>
      <c r="I1928">
        <v>0.107687604176209</v>
      </c>
      <c r="J1928">
        <v>6.8670378005710506E-2</v>
      </c>
      <c r="K1928">
        <v>6.8446328770710205E-2</v>
      </c>
      <c r="L1928">
        <v>1126.8518886552699</v>
      </c>
      <c r="M1928">
        <v>21.811558399745799</v>
      </c>
      <c r="N1928">
        <v>52.208726932560801</v>
      </c>
      <c r="O1928">
        <v>51.234676291347199</v>
      </c>
      <c r="P1928">
        <v>-9.5584029635972401E-2</v>
      </c>
      <c r="Q1928">
        <v>0.10192504093662701</v>
      </c>
      <c r="R1928">
        <v>0.98348190274552405</v>
      </c>
      <c r="S1928" t="s">
        <v>7754</v>
      </c>
      <c r="T1928" t="s">
        <v>11650</v>
      </c>
      <c r="U1928" t="s">
        <v>11650</v>
      </c>
      <c r="V1928" t="s">
        <v>11650</v>
      </c>
      <c r="W1928" t="s">
        <v>13541</v>
      </c>
      <c r="X1928">
        <v>58</v>
      </c>
      <c r="Y1928" t="s">
        <v>19273</v>
      </c>
      <c r="Z1928" t="s">
        <v>24990</v>
      </c>
      <c r="AA1928">
        <v>0.46167022458093132</v>
      </c>
      <c r="AB1928" t="str">
        <f>HYPERLINK("Melting_Curves/meltCurve_P13667_PDIA4.pdf", "Melting_Curves/meltCurve_P13667_PDIA4.pdf")</f>
        <v>Melting_Curves/meltCurve_P13667_PDIA4.pdf</v>
      </c>
    </row>
    <row r="1929" spans="1:28" x14ac:dyDescent="0.25">
      <c r="A1929" t="s">
        <v>1933</v>
      </c>
      <c r="B1929">
        <v>0.99996721820229495</v>
      </c>
      <c r="C1929">
        <v>0.807829301980031</v>
      </c>
      <c r="D1929">
        <v>0.88887138005426802</v>
      </c>
      <c r="E1929">
        <v>1.0207433124805101</v>
      </c>
      <c r="F1929">
        <v>1.08309375615867</v>
      </c>
      <c r="G1929">
        <v>0.982105007326178</v>
      </c>
      <c r="H1929">
        <v>0.73822685527870202</v>
      </c>
      <c r="I1929">
        <v>0.363539069842721</v>
      </c>
      <c r="J1929">
        <v>0.38368159027295501</v>
      </c>
      <c r="K1929">
        <v>0.27322891975948299</v>
      </c>
      <c r="L1929">
        <v>3854.2450633746798</v>
      </c>
      <c r="M1929">
        <v>62.733312539888502</v>
      </c>
      <c r="N1929">
        <v>62.468214796128699</v>
      </c>
      <c r="O1929">
        <v>61.376234065254003</v>
      </c>
      <c r="P1929">
        <v>-0.17319381226314901</v>
      </c>
      <c r="Q1929">
        <v>0.32221148624310703</v>
      </c>
      <c r="R1929">
        <v>0.92488836624291004</v>
      </c>
      <c r="S1929" t="s">
        <v>7755</v>
      </c>
      <c r="T1929" t="s">
        <v>11650</v>
      </c>
      <c r="U1929" t="s">
        <v>11650</v>
      </c>
      <c r="V1929" t="s">
        <v>11650</v>
      </c>
      <c r="W1929" t="s">
        <v>13542</v>
      </c>
      <c r="X1929">
        <v>25</v>
      </c>
      <c r="Y1929" t="s">
        <v>19274</v>
      </c>
      <c r="Z1929" t="s">
        <v>24991</v>
      </c>
      <c r="AA1929">
        <v>0.80772265194356685</v>
      </c>
      <c r="AB1929" t="str">
        <f>HYPERLINK("Melting_Curves/meltCurve_P13674_P4HA1.pdf", "Melting_Curves/meltCurve_P13674_P4HA1.pdf")</f>
        <v>Melting_Curves/meltCurve_P13674_P4HA1.pdf</v>
      </c>
    </row>
    <row r="1930" spans="1:28" x14ac:dyDescent="0.25">
      <c r="A1930" t="s">
        <v>1934</v>
      </c>
      <c r="B1930">
        <v>0.99996721820229495</v>
      </c>
      <c r="C1930">
        <v>0.823344818218119</v>
      </c>
      <c r="D1930">
        <v>0.85246630538845602</v>
      </c>
      <c r="E1930">
        <v>1.1524104445240699</v>
      </c>
      <c r="F1930">
        <v>1.07420675438192</v>
      </c>
      <c r="G1930">
        <v>1.0774306778695399</v>
      </c>
      <c r="H1930">
        <v>0.438466100741431</v>
      </c>
      <c r="I1930">
        <v>0.14252251344849401</v>
      </c>
      <c r="J1930">
        <v>0.105714386992808</v>
      </c>
      <c r="K1930">
        <v>0.117682022103604</v>
      </c>
      <c r="L1930">
        <v>7663.9761426493797</v>
      </c>
      <c r="M1930">
        <v>126.209635554385</v>
      </c>
      <c r="N1930">
        <v>60.858374599576301</v>
      </c>
      <c r="O1930">
        <v>60.708933715158402</v>
      </c>
      <c r="P1930">
        <v>-0.45660233662018601</v>
      </c>
      <c r="Q1930">
        <v>0.121466747589372</v>
      </c>
      <c r="R1930">
        <v>0.94746165638018698</v>
      </c>
      <c r="S1930" t="s">
        <v>7756</v>
      </c>
      <c r="T1930" t="s">
        <v>11650</v>
      </c>
      <c r="U1930" t="s">
        <v>11650</v>
      </c>
      <c r="V1930" t="s">
        <v>11650</v>
      </c>
      <c r="W1930" t="s">
        <v>13543</v>
      </c>
      <c r="X1930">
        <v>26</v>
      </c>
      <c r="Y1930" t="s">
        <v>19274</v>
      </c>
      <c r="Z1930" t="s">
        <v>24992</v>
      </c>
      <c r="AA1930">
        <v>0.72873027089027198</v>
      </c>
      <c r="AB1930" t="str">
        <f>HYPERLINK("Melting_Curves/meltCurve_P13674_2_P4HA1.pdf", "Melting_Curves/meltCurve_P13674_2_P4HA1.pdf")</f>
        <v>Melting_Curves/meltCurve_P13674_2_P4HA1.pdf</v>
      </c>
    </row>
    <row r="1931" spans="1:28" x14ac:dyDescent="0.25">
      <c r="A1931" t="s">
        <v>1935</v>
      </c>
      <c r="B1931">
        <v>0.99996721820229495</v>
      </c>
      <c r="C1931">
        <v>1.0532255019102501</v>
      </c>
      <c r="D1931">
        <v>1.0368391730913</v>
      </c>
      <c r="E1931">
        <v>0.94818915180228602</v>
      </c>
      <c r="F1931">
        <v>0.77710535338821396</v>
      </c>
      <c r="G1931">
        <v>0.462648029490353</v>
      </c>
      <c r="H1931">
        <v>0.28139756315295</v>
      </c>
      <c r="I1931">
        <v>0.234180875707485</v>
      </c>
      <c r="J1931">
        <v>0.22371562950641499</v>
      </c>
      <c r="K1931">
        <v>0.15635843180908299</v>
      </c>
      <c r="L1931">
        <v>1267.34249600353</v>
      </c>
      <c r="M1931">
        <v>22.879004604565999</v>
      </c>
      <c r="N1931">
        <v>56.543936831393601</v>
      </c>
      <c r="O1931">
        <v>54.9752737956875</v>
      </c>
      <c r="P1931">
        <v>-8.4679384161694196E-2</v>
      </c>
      <c r="Q1931">
        <v>0.186121376032025</v>
      </c>
      <c r="R1931">
        <v>0.99446539574219595</v>
      </c>
      <c r="S1931" t="s">
        <v>7757</v>
      </c>
      <c r="T1931" t="s">
        <v>11650</v>
      </c>
      <c r="U1931" t="s">
        <v>11650</v>
      </c>
      <c r="V1931" t="s">
        <v>11650</v>
      </c>
      <c r="W1931" t="s">
        <v>13544</v>
      </c>
      <c r="X1931">
        <v>12</v>
      </c>
      <c r="Y1931" t="s">
        <v>19275</v>
      </c>
      <c r="Z1931" t="s">
        <v>24993</v>
      </c>
      <c r="AA1931">
        <v>0.61244419171897657</v>
      </c>
      <c r="AB1931" t="str">
        <f>HYPERLINK("Melting_Curves/meltCurve_P13693_TPT1.pdf", "Melting_Curves/meltCurve_P13693_TPT1.pdf")</f>
        <v>Melting_Curves/meltCurve_P13693_TPT1.pdf</v>
      </c>
    </row>
    <row r="1932" spans="1:28" x14ac:dyDescent="0.25">
      <c r="A1932" t="s">
        <v>1936</v>
      </c>
      <c r="B1932">
        <v>0.99996721820229495</v>
      </c>
      <c r="C1932">
        <v>0.981880540300758</v>
      </c>
      <c r="D1932">
        <v>1.0697044456676601</v>
      </c>
      <c r="E1932">
        <v>1.1114508523778499</v>
      </c>
      <c r="F1932">
        <v>1.23574272892283</v>
      </c>
      <c r="G1932">
        <v>1.9308412570359099</v>
      </c>
      <c r="H1932">
        <v>1.17258976018635</v>
      </c>
      <c r="I1932">
        <v>0.75510652578188198</v>
      </c>
      <c r="J1932">
        <v>0.59132648453193104</v>
      </c>
      <c r="K1932">
        <v>0.54928239478885998</v>
      </c>
      <c r="L1932">
        <v>15000</v>
      </c>
      <c r="M1932">
        <v>234.65639714815501</v>
      </c>
      <c r="O1932">
        <v>63.918613541660399</v>
      </c>
      <c r="P1932">
        <v>-0.39437806025065902</v>
      </c>
      <c r="Q1932">
        <v>0.57029772434224302</v>
      </c>
      <c r="R1932">
        <v>0.298767739380283</v>
      </c>
      <c r="S1932" t="s">
        <v>7758</v>
      </c>
      <c r="T1932" t="s">
        <v>11650</v>
      </c>
      <c r="U1932" t="s">
        <v>11650</v>
      </c>
      <c r="V1932" t="s">
        <v>11650</v>
      </c>
      <c r="W1932" t="s">
        <v>13545</v>
      </c>
      <c r="X1932">
        <v>6</v>
      </c>
      <c r="Y1932" t="s">
        <v>19276</v>
      </c>
      <c r="Z1932" t="s">
        <v>24994</v>
      </c>
      <c r="AA1932">
        <v>0.9130149690645003</v>
      </c>
      <c r="AB1932" t="str">
        <f>HYPERLINK("Melting_Curves/meltCurve_P13726_F3.pdf", "Melting_Curves/meltCurve_P13726_F3.pdf")</f>
        <v>Melting_Curves/meltCurve_P13726_F3.pdf</v>
      </c>
    </row>
    <row r="1933" spans="1:28" x14ac:dyDescent="0.25">
      <c r="A1933" t="s">
        <v>1937</v>
      </c>
      <c r="B1933">
        <v>0.99996721820229495</v>
      </c>
      <c r="C1933">
        <v>0.75613791628250804</v>
      </c>
      <c r="D1933">
        <v>0.91930293311066003</v>
      </c>
      <c r="E1933">
        <v>1.0986564286868199</v>
      </c>
      <c r="F1933">
        <v>1.607346490768</v>
      </c>
      <c r="G1933">
        <v>1.62567544103308</v>
      </c>
      <c r="H1933">
        <v>1.4391230167701401</v>
      </c>
      <c r="I1933">
        <v>0.97043179811247604</v>
      </c>
      <c r="J1933">
        <v>0.58667292991982201</v>
      </c>
      <c r="K1933">
        <v>0.63483491956119198</v>
      </c>
      <c r="L1933">
        <v>15000</v>
      </c>
      <c r="M1933">
        <v>231.88034929432999</v>
      </c>
      <c r="O1933">
        <v>64.683724664441698</v>
      </c>
      <c r="P1933">
        <v>-0.34889652289484802</v>
      </c>
      <c r="Q1933">
        <v>0.61069705112545503</v>
      </c>
      <c r="R1933">
        <v>0.203499544755637</v>
      </c>
      <c r="S1933" t="s">
        <v>7759</v>
      </c>
      <c r="T1933" t="s">
        <v>11650</v>
      </c>
      <c r="U1933" t="s">
        <v>11650</v>
      </c>
      <c r="V1933" t="s">
        <v>11650</v>
      </c>
      <c r="W1933" t="s">
        <v>13546</v>
      </c>
      <c r="X1933">
        <v>26</v>
      </c>
      <c r="Y1933" t="s">
        <v>19277</v>
      </c>
      <c r="Z1933" t="s">
        <v>24995</v>
      </c>
      <c r="AA1933">
        <v>0.93112573738385462</v>
      </c>
      <c r="AB1933" t="str">
        <f>HYPERLINK("Melting_Curves/meltCurve_P13746_2_HLA_A.pdf", "Melting_Curves/meltCurve_P13746_2_HLA_A.pdf")</f>
        <v>Melting_Curves/meltCurve_P13746_2_HLA_A.pdf</v>
      </c>
    </row>
    <row r="1934" spans="1:28" x14ac:dyDescent="0.25">
      <c r="A1934" t="s">
        <v>1938</v>
      </c>
      <c r="B1934">
        <v>0.99996721820229495</v>
      </c>
      <c r="C1934">
        <v>1.0052704568602899</v>
      </c>
      <c r="D1934">
        <v>1.0094429936878599</v>
      </c>
      <c r="E1934">
        <v>1.0919814405702599</v>
      </c>
      <c r="F1934">
        <v>1.11871609394306</v>
      </c>
      <c r="G1934">
        <v>0.54791233612719603</v>
      </c>
      <c r="H1934">
        <v>0.19580022356005899</v>
      </c>
      <c r="I1934">
        <v>0.12114637098461201</v>
      </c>
      <c r="J1934">
        <v>8.2198744986727898E-2</v>
      </c>
      <c r="K1934">
        <v>7.1093748364984097E-2</v>
      </c>
      <c r="L1934">
        <v>4130.84621751744</v>
      </c>
      <c r="M1934">
        <v>72.493821792562699</v>
      </c>
      <c r="N1934">
        <v>57.1882806654096</v>
      </c>
      <c r="O1934">
        <v>56.938729435180399</v>
      </c>
      <c r="P1934">
        <v>-0.281684077573778</v>
      </c>
      <c r="Q1934">
        <v>0.115029118119941</v>
      </c>
      <c r="R1934">
        <v>0.98348688757401204</v>
      </c>
      <c r="S1934" t="s">
        <v>7760</v>
      </c>
      <c r="T1934" t="s">
        <v>11650</v>
      </c>
      <c r="U1934" t="s">
        <v>11650</v>
      </c>
      <c r="V1934" t="s">
        <v>11650</v>
      </c>
      <c r="W1934" t="s">
        <v>13547</v>
      </c>
      <c r="X1934">
        <v>43</v>
      </c>
      <c r="Y1934" t="s">
        <v>19278</v>
      </c>
      <c r="Z1934" t="s">
        <v>24996</v>
      </c>
      <c r="AA1934">
        <v>0.61703795423124508</v>
      </c>
      <c r="AB1934" t="str">
        <f>HYPERLINK("Melting_Curves/meltCurve_P13797_PLS3.pdf", "Melting_Curves/meltCurve_P13797_PLS3.pdf")</f>
        <v>Melting_Curves/meltCurve_P13797_PLS3.pdf</v>
      </c>
    </row>
    <row r="1935" spans="1:28" x14ac:dyDescent="0.25">
      <c r="A1935" t="s">
        <v>1939</v>
      </c>
      <c r="B1935">
        <v>0.99996721820229495</v>
      </c>
      <c r="C1935">
        <v>0.981184256663856</v>
      </c>
      <c r="D1935">
        <v>0.89331660360916898</v>
      </c>
      <c r="E1935">
        <v>0.85707883661253303</v>
      </c>
      <c r="F1935">
        <v>0.52091516155949102</v>
      </c>
      <c r="G1935">
        <v>0.28490278386353302</v>
      </c>
      <c r="H1935">
        <v>0.13176040074637699</v>
      </c>
      <c r="I1935">
        <v>5.04459361089519E-2</v>
      </c>
      <c r="J1935">
        <v>3.3984506663256198E-2</v>
      </c>
      <c r="K1935">
        <v>2.9109399083004299E-2</v>
      </c>
      <c r="L1935">
        <v>951.73962642577703</v>
      </c>
      <c r="M1935">
        <v>17.710175984400198</v>
      </c>
      <c r="N1935">
        <v>53.796956197543203</v>
      </c>
      <c r="O1935">
        <v>53.068571908476599</v>
      </c>
      <c r="P1935">
        <v>-8.2656112627824394E-2</v>
      </c>
      <c r="Q1935">
        <v>9.3352648364593595E-3</v>
      </c>
      <c r="R1935">
        <v>0.99346306127181505</v>
      </c>
      <c r="S1935" t="s">
        <v>7761</v>
      </c>
      <c r="T1935" t="s">
        <v>11650</v>
      </c>
      <c r="U1935" t="s">
        <v>11650</v>
      </c>
      <c r="V1935" t="s">
        <v>11650</v>
      </c>
      <c r="W1935" t="s">
        <v>13548</v>
      </c>
      <c r="X1935">
        <v>17</v>
      </c>
      <c r="Y1935" t="s">
        <v>19279</v>
      </c>
      <c r="Z1935" t="s">
        <v>24997</v>
      </c>
      <c r="AA1935">
        <v>0.47940484396927091</v>
      </c>
      <c r="AB1935" t="str">
        <f>HYPERLINK("Melting_Curves/meltCurve_P13804_ETFA.pdf", "Melting_Curves/meltCurve_P13804_ETFA.pdf")</f>
        <v>Melting_Curves/meltCurve_P13804_ETFA.pdf</v>
      </c>
    </row>
    <row r="1936" spans="1:28" x14ac:dyDescent="0.25">
      <c r="A1936" t="s">
        <v>1940</v>
      </c>
      <c r="B1936">
        <v>0.99996721820229495</v>
      </c>
      <c r="C1936">
        <v>0.92257828134737996</v>
      </c>
      <c r="D1936">
        <v>0.99342567257645198</v>
      </c>
      <c r="E1936">
        <v>1.0065169812180199</v>
      </c>
      <c r="F1936">
        <v>0.75504477556903604</v>
      </c>
      <c r="G1936">
        <v>0.34138122112948099</v>
      </c>
      <c r="H1936">
        <v>0.16845981898811699</v>
      </c>
      <c r="I1936">
        <v>0.106384711484168</v>
      </c>
      <c r="J1936">
        <v>8.1363526602484706E-2</v>
      </c>
      <c r="K1936">
        <v>6.4320897565533899E-2</v>
      </c>
      <c r="L1936">
        <v>1539.34048982588</v>
      </c>
      <c r="M1936">
        <v>27.917884852150902</v>
      </c>
      <c r="N1936">
        <v>55.4937489287611</v>
      </c>
      <c r="O1936">
        <v>54.8575712210815</v>
      </c>
      <c r="P1936">
        <v>-0.11680947073553299</v>
      </c>
      <c r="Q1936">
        <v>8.1903471675843206E-2</v>
      </c>
      <c r="R1936">
        <v>0.99340496927325495</v>
      </c>
      <c r="S1936" t="s">
        <v>7762</v>
      </c>
      <c r="T1936" t="s">
        <v>11650</v>
      </c>
      <c r="U1936" t="s">
        <v>11650</v>
      </c>
      <c r="V1936" t="s">
        <v>11650</v>
      </c>
      <c r="W1936" t="s">
        <v>13549</v>
      </c>
      <c r="X1936">
        <v>21</v>
      </c>
      <c r="Y1936" t="s">
        <v>19280</v>
      </c>
      <c r="Z1936" t="s">
        <v>24998</v>
      </c>
      <c r="AA1936">
        <v>0.55214763823401147</v>
      </c>
      <c r="AB1936" t="str">
        <f>HYPERLINK("Melting_Curves/meltCurve_P13861_PRKAR2A.pdf", "Melting_Curves/meltCurve_P13861_PRKAR2A.pdf")</f>
        <v>Melting_Curves/meltCurve_P13861_PRKAR2A.pdf</v>
      </c>
    </row>
    <row r="1937" spans="1:28" x14ac:dyDescent="0.25">
      <c r="A1937" t="s">
        <v>1941</v>
      </c>
      <c r="B1937">
        <v>0.99996721820229495</v>
      </c>
      <c r="C1937">
        <v>0.96752407164652499</v>
      </c>
      <c r="D1937">
        <v>1.0431075359487401</v>
      </c>
      <c r="E1937">
        <v>1.0642019367903801</v>
      </c>
      <c r="F1937">
        <v>1.39770678652238</v>
      </c>
      <c r="G1937">
        <v>1.54893365018528</v>
      </c>
      <c r="H1937">
        <v>0.86590795020157696</v>
      </c>
      <c r="I1937">
        <v>0.48129405064017</v>
      </c>
      <c r="J1937">
        <v>0.29227658350216501</v>
      </c>
      <c r="K1937">
        <v>0.17099101860697399</v>
      </c>
      <c r="L1937">
        <v>3259.1045342032298</v>
      </c>
      <c r="M1937">
        <v>51.540524039580497</v>
      </c>
      <c r="N1937">
        <v>63.889202063362902</v>
      </c>
      <c r="O1937">
        <v>63.138865575381999</v>
      </c>
      <c r="P1937">
        <v>-0.162175368600224</v>
      </c>
      <c r="Q1937">
        <v>0.20531981997065701</v>
      </c>
      <c r="R1937">
        <v>0.73732711188531197</v>
      </c>
      <c r="S1937" t="s">
        <v>7763</v>
      </c>
      <c r="T1937" t="s">
        <v>11650</v>
      </c>
      <c r="U1937" t="s">
        <v>11650</v>
      </c>
      <c r="V1937" t="s">
        <v>11650</v>
      </c>
      <c r="W1937" t="s">
        <v>13550</v>
      </c>
      <c r="X1937">
        <v>8</v>
      </c>
      <c r="Y1937" t="s">
        <v>19281</v>
      </c>
      <c r="Z1937" t="s">
        <v>24999</v>
      </c>
      <c r="AA1937">
        <v>0.82256902110660912</v>
      </c>
      <c r="AB1937" t="str">
        <f>HYPERLINK("Melting_Curves/meltCurve_P13929_2_ENO3.pdf", "Melting_Curves/meltCurve_P13929_2_ENO3.pdf")</f>
        <v>Melting_Curves/meltCurve_P13929_2_ENO3.pdf</v>
      </c>
    </row>
    <row r="1938" spans="1:28" x14ac:dyDescent="0.25">
      <c r="A1938" t="s">
        <v>1942</v>
      </c>
      <c r="B1938">
        <v>0.99996721820229495</v>
      </c>
      <c r="C1938">
        <v>1.0232696528340599</v>
      </c>
      <c r="D1938">
        <v>0.949711836586972</v>
      </c>
      <c r="E1938">
        <v>0.80597992460497403</v>
      </c>
      <c r="F1938">
        <v>0.55073952547452498</v>
      </c>
      <c r="G1938">
        <v>0.34557192315290602</v>
      </c>
      <c r="H1938">
        <v>0.16488148792674401</v>
      </c>
      <c r="I1938">
        <v>0.14088558340322799</v>
      </c>
      <c r="J1938">
        <v>0.121022488472441</v>
      </c>
      <c r="K1938">
        <v>0.10245063953874201</v>
      </c>
      <c r="L1938">
        <v>954.95765637679199</v>
      </c>
      <c r="M1938">
        <v>17.880292113067402</v>
      </c>
      <c r="N1938">
        <v>54.035058582483302</v>
      </c>
      <c r="O1938">
        <v>52.753780301459102</v>
      </c>
      <c r="P1938">
        <v>-7.6804094835631803E-2</v>
      </c>
      <c r="Q1938">
        <v>9.3638744210880406E-2</v>
      </c>
      <c r="R1938">
        <v>0.99758801305480904</v>
      </c>
      <c r="S1938" t="s">
        <v>7764</v>
      </c>
      <c r="T1938" t="s">
        <v>11650</v>
      </c>
      <c r="U1938" t="s">
        <v>11650</v>
      </c>
      <c r="V1938" t="s">
        <v>11650</v>
      </c>
      <c r="W1938" t="s">
        <v>13551</v>
      </c>
      <c r="X1938">
        <v>6</v>
      </c>
      <c r="Y1938" t="s">
        <v>19282</v>
      </c>
      <c r="Z1938" t="s">
        <v>25000</v>
      </c>
      <c r="AA1938">
        <v>0.51360320584292096</v>
      </c>
      <c r="AB1938" t="str">
        <f>HYPERLINK("Melting_Curves/meltCurve_P13984_GTF2F2.pdf", "Melting_Curves/meltCurve_P13984_GTF2F2.pdf")</f>
        <v>Melting_Curves/meltCurve_P13984_GTF2F2.pdf</v>
      </c>
    </row>
    <row r="1939" spans="1:28" x14ac:dyDescent="0.25">
      <c r="A1939" t="s">
        <v>1943</v>
      </c>
      <c r="B1939">
        <v>0.99996721820229495</v>
      </c>
      <c r="C1939">
        <v>1.0039011066830199</v>
      </c>
      <c r="D1939">
        <v>0.96671414491633101</v>
      </c>
      <c r="E1939">
        <v>1.03573688560882</v>
      </c>
      <c r="F1939">
        <v>1.0663374425794301</v>
      </c>
      <c r="G1939">
        <v>0.60668500906674705</v>
      </c>
      <c r="H1939">
        <v>0.192443280820662</v>
      </c>
      <c r="I1939">
        <v>0.115711728323718</v>
      </c>
      <c r="J1939">
        <v>5.9324189174704597E-2</v>
      </c>
      <c r="K1939">
        <v>5.7097556481396299E-2</v>
      </c>
      <c r="L1939">
        <v>2392.3657196591198</v>
      </c>
      <c r="M1939">
        <v>41.578091119282398</v>
      </c>
      <c r="N1939">
        <v>57.780348781011398</v>
      </c>
      <c r="O1939">
        <v>57.406487765797998</v>
      </c>
      <c r="P1939">
        <v>-0.16664065554385199</v>
      </c>
      <c r="Q1939">
        <v>7.9685035679806102E-2</v>
      </c>
      <c r="R1939">
        <v>0.99237198523886005</v>
      </c>
      <c r="S1939" t="s">
        <v>7765</v>
      </c>
      <c r="T1939" t="s">
        <v>11650</v>
      </c>
      <c r="U1939" t="s">
        <v>11650</v>
      </c>
      <c r="V1939" t="s">
        <v>11650</v>
      </c>
      <c r="W1939" t="s">
        <v>13552</v>
      </c>
      <c r="X1939">
        <v>9</v>
      </c>
      <c r="Y1939" t="s">
        <v>19283</v>
      </c>
      <c r="Z1939" t="s">
        <v>25001</v>
      </c>
      <c r="AA1939">
        <v>0.62108042367352545</v>
      </c>
      <c r="AB1939" t="str">
        <f>HYPERLINK("Melting_Curves/meltCurve_P13995_MTHFD2.pdf", "Melting_Curves/meltCurve_P13995_MTHFD2.pdf")</f>
        <v>Melting_Curves/meltCurve_P13995_MTHFD2.pdf</v>
      </c>
    </row>
    <row r="1940" spans="1:28" x14ac:dyDescent="0.25">
      <c r="A1940" t="s">
        <v>1944</v>
      </c>
      <c r="B1940">
        <v>0.99996721820229495</v>
      </c>
      <c r="C1940">
        <v>0.99736719680332298</v>
      </c>
      <c r="D1940">
        <v>1.01819245445505</v>
      </c>
      <c r="E1940">
        <v>0.93844801290760604</v>
      </c>
      <c r="F1940">
        <v>1.2622468461476499</v>
      </c>
      <c r="G1940">
        <v>1.26403941568656</v>
      </c>
      <c r="H1940">
        <v>0.93907927324379803</v>
      </c>
      <c r="I1940">
        <v>0.93974731691112801</v>
      </c>
      <c r="J1940">
        <v>0.67633542075401598</v>
      </c>
      <c r="K1940">
        <v>0.26742808979345101</v>
      </c>
      <c r="L1940">
        <v>2718.03064373082</v>
      </c>
      <c r="M1940">
        <v>39.832643029629203</v>
      </c>
      <c r="N1940">
        <v>68.236262819819999</v>
      </c>
      <c r="O1940">
        <v>68.064953998906205</v>
      </c>
      <c r="P1940">
        <v>-0.146304099175915</v>
      </c>
      <c r="Q1940">
        <v>0</v>
      </c>
      <c r="R1940">
        <v>0.80399336965132595</v>
      </c>
      <c r="S1940" t="s">
        <v>7766</v>
      </c>
      <c r="T1940" t="s">
        <v>11650</v>
      </c>
      <c r="U1940" t="s">
        <v>11650</v>
      </c>
      <c r="V1940" t="s">
        <v>11650</v>
      </c>
      <c r="W1940" t="s">
        <v>13553</v>
      </c>
      <c r="X1940">
        <v>7</v>
      </c>
      <c r="Y1940" t="s">
        <v>19284</v>
      </c>
      <c r="Z1940" t="s">
        <v>25002</v>
      </c>
      <c r="AA1940">
        <v>0.92606190514422537</v>
      </c>
      <c r="AB1940" t="str">
        <f>HYPERLINK("Melting_Curves/meltCurve_P14174_MIF.pdf", "Melting_Curves/meltCurve_P14174_MIF.pdf")</f>
        <v>Melting_Curves/meltCurve_P14174_MIF.pdf</v>
      </c>
    </row>
    <row r="1941" spans="1:28" x14ac:dyDescent="0.25">
      <c r="A1941" t="s">
        <v>1945</v>
      </c>
      <c r="B1941">
        <v>0.99996721820229495</v>
      </c>
      <c r="C1941">
        <v>0.99616752286562105</v>
      </c>
      <c r="D1941">
        <v>0.97776268438422398</v>
      </c>
      <c r="E1941">
        <v>1.0817534991222699</v>
      </c>
      <c r="F1941">
        <v>1.4685836155546499</v>
      </c>
      <c r="G1941">
        <v>1.8748919507203801</v>
      </c>
      <c r="H1941">
        <v>1.4521576587709699</v>
      </c>
      <c r="I1941">
        <v>1.0681924780131</v>
      </c>
      <c r="J1941">
        <v>0.93938749689670997</v>
      </c>
      <c r="K1941">
        <v>0.70874544446806398</v>
      </c>
      <c r="L1941">
        <v>15000</v>
      </c>
      <c r="M1941">
        <v>222.54384076465499</v>
      </c>
      <c r="O1941">
        <v>67.397006582722597</v>
      </c>
      <c r="P1941">
        <v>-0.24049188872219701</v>
      </c>
      <c r="Q1941">
        <v>0.70866983718017496</v>
      </c>
      <c r="R1941">
        <v>-0.150601775239804</v>
      </c>
      <c r="S1941" t="s">
        <v>7767</v>
      </c>
      <c r="T1941" t="s">
        <v>11650</v>
      </c>
      <c r="U1941" t="s">
        <v>11650</v>
      </c>
      <c r="V1941" t="s">
        <v>11650</v>
      </c>
      <c r="W1941" t="s">
        <v>13554</v>
      </c>
      <c r="X1941">
        <v>6</v>
      </c>
      <c r="Y1941" t="s">
        <v>19285</v>
      </c>
      <c r="Z1941" t="s">
        <v>25003</v>
      </c>
      <c r="AA1941">
        <v>0.97481783564841973</v>
      </c>
      <c r="AB1941" t="str">
        <f>HYPERLINK("Melting_Curves/meltCurve_P14209_3_CD99.pdf", "Melting_Curves/meltCurve_P14209_3_CD99.pdf")</f>
        <v>Melting_Curves/meltCurve_P14209_3_CD99.pdf</v>
      </c>
    </row>
    <row r="1942" spans="1:28" x14ac:dyDescent="0.25">
      <c r="A1942" t="s">
        <v>1946</v>
      </c>
      <c r="B1942">
        <v>0.99996721820229495</v>
      </c>
      <c r="C1942">
        <v>0.99141069458189601</v>
      </c>
      <c r="D1942">
        <v>0.95917867287779102</v>
      </c>
      <c r="E1942">
        <v>0.621344140015607</v>
      </c>
      <c r="F1942">
        <v>0.25918888839057602</v>
      </c>
      <c r="G1942">
        <v>0.24557672385075499</v>
      </c>
      <c r="H1942">
        <v>0.15354166935831601</v>
      </c>
      <c r="I1942">
        <v>9.6946869665683597E-2</v>
      </c>
      <c r="J1942">
        <v>7.85361516011613E-2</v>
      </c>
      <c r="K1942">
        <v>5.9856716691675298E-2</v>
      </c>
      <c r="L1942">
        <v>1361.5994281565099</v>
      </c>
      <c r="M1942">
        <v>26.969690529359902</v>
      </c>
      <c r="N1942">
        <v>50.9539679536582</v>
      </c>
      <c r="O1942">
        <v>50.211161641782702</v>
      </c>
      <c r="P1942">
        <v>-0.119560147572554</v>
      </c>
      <c r="Q1942">
        <v>0.109638407821674</v>
      </c>
      <c r="R1942">
        <v>0.98849595536576695</v>
      </c>
      <c r="S1942" t="s">
        <v>7768</v>
      </c>
      <c r="T1942" t="s">
        <v>11650</v>
      </c>
      <c r="U1942" t="s">
        <v>11650</v>
      </c>
      <c r="V1942" t="s">
        <v>11650</v>
      </c>
      <c r="W1942" t="s">
        <v>13555</v>
      </c>
      <c r="X1942">
        <v>17</v>
      </c>
      <c r="Y1942" t="s">
        <v>19286</v>
      </c>
      <c r="Z1942" t="s">
        <v>25004</v>
      </c>
      <c r="AA1942">
        <v>0.4277326405279217</v>
      </c>
      <c r="AB1942" t="str">
        <f>HYPERLINK("Melting_Curves/meltCurve_P14324_2_FDPS.pdf", "Melting_Curves/meltCurve_P14324_2_FDPS.pdf")</f>
        <v>Melting_Curves/meltCurve_P14324_2_FDPS.pdf</v>
      </c>
    </row>
    <row r="1943" spans="1:28" x14ac:dyDescent="0.25">
      <c r="A1943" t="s">
        <v>1947</v>
      </c>
      <c r="B1943">
        <v>0.99996721820229495</v>
      </c>
      <c r="C1943">
        <v>0.65616568557176203</v>
      </c>
      <c r="D1943">
        <v>0.59137515059740298</v>
      </c>
      <c r="E1943">
        <v>0.96765201243165799</v>
      </c>
      <c r="F1943">
        <v>0.89861340519712296</v>
      </c>
      <c r="G1943">
        <v>0.62619226758447</v>
      </c>
      <c r="H1943">
        <v>0.52828271192388498</v>
      </c>
      <c r="I1943">
        <v>0.345050587318881</v>
      </c>
      <c r="J1943">
        <v>0.199383868627829</v>
      </c>
      <c r="K1943">
        <v>0.27014424810614901</v>
      </c>
      <c r="L1943">
        <v>403.16170647210703</v>
      </c>
      <c r="M1943">
        <v>6.7117504769344301</v>
      </c>
      <c r="N1943">
        <v>60.068041858747499</v>
      </c>
      <c r="O1943">
        <v>55.4096985099821</v>
      </c>
      <c r="P1943">
        <v>-3.0347839057419699E-2</v>
      </c>
      <c r="Q1943">
        <v>0</v>
      </c>
      <c r="R1943">
        <v>0.64632123543944897</v>
      </c>
      <c r="S1943" t="s">
        <v>7769</v>
      </c>
      <c r="T1943" t="s">
        <v>11650</v>
      </c>
      <c r="U1943" t="s">
        <v>11650</v>
      </c>
      <c r="V1943" t="s">
        <v>11650</v>
      </c>
      <c r="W1943" t="s">
        <v>13556</v>
      </c>
      <c r="X1943">
        <v>4</v>
      </c>
      <c r="Y1943" t="s">
        <v>19287</v>
      </c>
      <c r="Z1943" t="s">
        <v>25005</v>
      </c>
      <c r="AA1943">
        <v>0.64200084177450123</v>
      </c>
      <c r="AB1943" t="str">
        <f>HYPERLINK("Melting_Curves/meltCurve_P14384_CPM.pdf", "Melting_Curves/meltCurve_P14384_CPM.pdf")</f>
        <v>Melting_Curves/meltCurve_P14384_CPM.pdf</v>
      </c>
    </row>
    <row r="1944" spans="1:28" x14ac:dyDescent="0.25">
      <c r="A1944" t="s">
        <v>1948</v>
      </c>
      <c r="B1944">
        <v>0.99996721820229495</v>
      </c>
      <c r="C1944">
        <v>0.99594083808784994</v>
      </c>
      <c r="D1944">
        <v>0.94064007189167897</v>
      </c>
      <c r="E1944">
        <v>0.75373039229371197</v>
      </c>
      <c r="F1944">
        <v>0.25370384714120697</v>
      </c>
      <c r="G1944">
        <v>0.20694503934025199</v>
      </c>
      <c r="H1944">
        <v>0.116274975924995</v>
      </c>
      <c r="I1944">
        <v>7.6759210851340104E-2</v>
      </c>
      <c r="J1944">
        <v>5.5155747769452E-2</v>
      </c>
      <c r="K1944">
        <v>4.51513199826893E-2</v>
      </c>
      <c r="L1944">
        <v>1931.2693108260301</v>
      </c>
      <c r="M1944">
        <v>37.741499321454</v>
      </c>
      <c r="N1944">
        <v>51.445991400346401</v>
      </c>
      <c r="O1944">
        <v>51.027949784859999</v>
      </c>
      <c r="P1944">
        <v>-0.168015472300064</v>
      </c>
      <c r="Q1944">
        <v>9.1349048769772803E-2</v>
      </c>
      <c r="R1944">
        <v>0.98929092250596895</v>
      </c>
      <c r="S1944" t="s">
        <v>7770</v>
      </c>
      <c r="T1944" t="s">
        <v>11650</v>
      </c>
      <c r="U1944" t="s">
        <v>11650</v>
      </c>
      <c r="V1944" t="s">
        <v>11650</v>
      </c>
      <c r="W1944" t="s">
        <v>13557</v>
      </c>
      <c r="X1944">
        <v>24</v>
      </c>
      <c r="Y1944" t="s">
        <v>19288</v>
      </c>
      <c r="Z1944" t="s">
        <v>25006</v>
      </c>
      <c r="AA1944">
        <v>0.43331216752348217</v>
      </c>
      <c r="AB1944" t="str">
        <f>HYPERLINK("Melting_Curves/meltCurve_P14550_AKR1A1.pdf", "Melting_Curves/meltCurve_P14550_AKR1A1.pdf")</f>
        <v>Melting_Curves/meltCurve_P14550_AKR1A1.pdf</v>
      </c>
    </row>
    <row r="1945" spans="1:28" x14ac:dyDescent="0.25">
      <c r="A1945" t="s">
        <v>1949</v>
      </c>
      <c r="B1945">
        <v>0.99996721820229495</v>
      </c>
      <c r="C1945">
        <v>1.1579426963611299</v>
      </c>
      <c r="D1945">
        <v>1.5027769266824</v>
      </c>
      <c r="E1945">
        <v>2.17558195677426</v>
      </c>
      <c r="F1945">
        <v>3.05472070999468</v>
      </c>
      <c r="G1945">
        <v>4.1164013332309297</v>
      </c>
      <c r="H1945">
        <v>0.80561050405162404</v>
      </c>
      <c r="I1945">
        <v>0.208751346904861</v>
      </c>
      <c r="J1945">
        <v>0.12297786364067601</v>
      </c>
      <c r="K1945">
        <v>8.8432797000072894E-2</v>
      </c>
      <c r="L1945">
        <v>5522.1657770533602</v>
      </c>
      <c r="M1945">
        <v>89.124682086525397</v>
      </c>
      <c r="N1945">
        <v>62.1548804151629</v>
      </c>
      <c r="O1945">
        <v>61.928834453234799</v>
      </c>
      <c r="P1945">
        <v>-0.31593071043760901</v>
      </c>
      <c r="Q1945">
        <v>0.12189453486914099</v>
      </c>
      <c r="R1945">
        <v>2.9045388298167499E-2</v>
      </c>
      <c r="S1945" t="s">
        <v>7771</v>
      </c>
      <c r="T1945" t="s">
        <v>11650</v>
      </c>
      <c r="U1945" t="s">
        <v>11650</v>
      </c>
      <c r="V1945" t="s">
        <v>11650</v>
      </c>
      <c r="W1945" t="s">
        <v>13558</v>
      </c>
      <c r="X1945">
        <v>50</v>
      </c>
      <c r="Y1945" t="s">
        <v>18292</v>
      </c>
      <c r="Z1945" t="s">
        <v>25007</v>
      </c>
      <c r="AA1945">
        <v>0.76541938528044851</v>
      </c>
      <c r="AB1945" t="str">
        <f>HYPERLINK("Melting_Curves/meltCurve_P14618_PKM.pdf", "Melting_Curves/meltCurve_P14618_PKM.pdf")</f>
        <v>Melting_Curves/meltCurve_P14618_PKM.pdf</v>
      </c>
    </row>
    <row r="1946" spans="1:28" x14ac:dyDescent="0.25">
      <c r="A1946" t="s">
        <v>1950</v>
      </c>
      <c r="B1946">
        <v>0.99996721820229495</v>
      </c>
      <c r="C1946">
        <v>0.877258426449536</v>
      </c>
      <c r="D1946">
        <v>0.88512144391598502</v>
      </c>
      <c r="E1946">
        <v>0.83059489604118897</v>
      </c>
      <c r="F1946">
        <v>0.90931407350482096</v>
      </c>
      <c r="G1946">
        <v>0.64530715289941998</v>
      </c>
      <c r="H1946">
        <v>0.42002476867705602</v>
      </c>
      <c r="I1946">
        <v>0.35479621571332798</v>
      </c>
      <c r="J1946">
        <v>0.30609613267033398</v>
      </c>
      <c r="K1946">
        <v>0.242199893762197</v>
      </c>
      <c r="L1946">
        <v>558.61958570684396</v>
      </c>
      <c r="M1946">
        <v>9.2605567978387509</v>
      </c>
      <c r="N1946">
        <v>60.445430873390301</v>
      </c>
      <c r="O1946">
        <v>57.709689461510898</v>
      </c>
      <c r="P1946">
        <v>-3.9768522111902099E-2</v>
      </c>
      <c r="Q1946">
        <v>9.3320371085060996E-3</v>
      </c>
      <c r="R1946">
        <v>0.95230548968716899</v>
      </c>
      <c r="S1946" t="s">
        <v>7772</v>
      </c>
      <c r="T1946" t="s">
        <v>11650</v>
      </c>
      <c r="U1946" t="s">
        <v>11650</v>
      </c>
      <c r="V1946" t="s">
        <v>11650</v>
      </c>
      <c r="W1946" t="s">
        <v>13559</v>
      </c>
      <c r="X1946">
        <v>5</v>
      </c>
      <c r="Y1946" t="s">
        <v>19289</v>
      </c>
      <c r="Z1946" t="s">
        <v>25008</v>
      </c>
      <c r="AA1946">
        <v>0.67031134507324941</v>
      </c>
      <c r="AB1946" t="str">
        <f>HYPERLINK("Melting_Curves/meltCurve_P14621_ACYP2.pdf", "Melting_Curves/meltCurve_P14621_ACYP2.pdf")</f>
        <v>Melting_Curves/meltCurve_P14621_ACYP2.pdf</v>
      </c>
    </row>
    <row r="1947" spans="1:28" x14ac:dyDescent="0.25">
      <c r="A1947" t="s">
        <v>1951</v>
      </c>
      <c r="B1947">
        <v>0.99996721820229495</v>
      </c>
      <c r="C1947">
        <v>1.02074273902715</v>
      </c>
      <c r="D1947">
        <v>1.0969799635894</v>
      </c>
      <c r="E1947">
        <v>1.2078499285973301</v>
      </c>
      <c r="F1947">
        <v>0.50723391019699204</v>
      </c>
      <c r="G1947">
        <v>0.412982086551335</v>
      </c>
      <c r="H1947">
        <v>0.230609016656071</v>
      </c>
      <c r="I1947">
        <v>0.126352927403657</v>
      </c>
      <c r="J1947">
        <v>7.5751595718845197E-2</v>
      </c>
      <c r="K1947">
        <v>9.2523005765369301E-2</v>
      </c>
      <c r="L1947">
        <v>1519.6049184835699</v>
      </c>
      <c r="M1947">
        <v>28.046313200779199</v>
      </c>
      <c r="N1947">
        <v>54.765757187850099</v>
      </c>
      <c r="O1947">
        <v>53.908771109465199</v>
      </c>
      <c r="P1947">
        <v>-0.11325988291118</v>
      </c>
      <c r="Q1947">
        <v>0.12920474671724499</v>
      </c>
      <c r="R1947">
        <v>0.92109758765454097</v>
      </c>
      <c r="S1947" t="s">
        <v>7773</v>
      </c>
      <c r="T1947" t="s">
        <v>11650</v>
      </c>
      <c r="U1947" t="s">
        <v>11650</v>
      </c>
      <c r="V1947" t="s">
        <v>11650</v>
      </c>
      <c r="W1947" t="s">
        <v>13560</v>
      </c>
      <c r="X1947">
        <v>75</v>
      </c>
      <c r="Y1947" t="s">
        <v>19290</v>
      </c>
      <c r="Z1947" t="s">
        <v>25009</v>
      </c>
      <c r="AA1947">
        <v>0.54737465785668471</v>
      </c>
      <c r="AB1947" t="str">
        <f>HYPERLINK("Melting_Curves/meltCurve_P14625_HSP90B1.pdf", "Melting_Curves/meltCurve_P14625_HSP90B1.pdf")</f>
        <v>Melting_Curves/meltCurve_P14625_HSP90B1.pdf</v>
      </c>
    </row>
    <row r="1948" spans="1:28" x14ac:dyDescent="0.25">
      <c r="A1948" t="s">
        <v>1952</v>
      </c>
      <c r="B1948">
        <v>0.99996721820229495</v>
      </c>
      <c r="C1948">
        <v>1.02008981152676</v>
      </c>
      <c r="D1948">
        <v>1.16673995736245</v>
      </c>
      <c r="E1948">
        <v>1.24191698623966</v>
      </c>
      <c r="F1948">
        <v>1.86004070716169</v>
      </c>
      <c r="G1948">
        <v>3.3199312576647699</v>
      </c>
      <c r="H1948">
        <v>2.7117432698255901</v>
      </c>
      <c r="I1948">
        <v>2.7149278446667702</v>
      </c>
      <c r="J1948">
        <v>2.54333121184471</v>
      </c>
      <c r="K1948">
        <v>1.77957515710145</v>
      </c>
      <c r="L1948">
        <v>1823.8639448414899</v>
      </c>
      <c r="M1948">
        <v>38.186520156078203</v>
      </c>
      <c r="O1948">
        <v>47.6315716731024</v>
      </c>
      <c r="P1948">
        <v>0.100213524718394</v>
      </c>
      <c r="Q1948">
        <v>1.5</v>
      </c>
      <c r="R1948">
        <v>-0.20473380761412899</v>
      </c>
      <c r="S1948" t="s">
        <v>7774</v>
      </c>
      <c r="T1948" t="s">
        <v>11650</v>
      </c>
      <c r="U1948" t="s">
        <v>11650</v>
      </c>
      <c r="V1948" t="s">
        <v>11650</v>
      </c>
      <c r="W1948" t="s">
        <v>13561</v>
      </c>
      <c r="X1948">
        <v>8</v>
      </c>
      <c r="Y1948" t="s">
        <v>19291</v>
      </c>
      <c r="Z1948" t="s">
        <v>25010</v>
      </c>
      <c r="AA1948">
        <v>1.3688120635953771</v>
      </c>
      <c r="AB1948" t="str">
        <f>HYPERLINK("Melting_Curves/meltCurve_P14649_MYL6B.pdf", "Melting_Curves/meltCurve_P14649_MYL6B.pdf")</f>
        <v>Melting_Curves/meltCurve_P14649_MYL6B.pdf</v>
      </c>
    </row>
    <row r="1949" spans="1:28" x14ac:dyDescent="0.25">
      <c r="A1949" t="s">
        <v>1953</v>
      </c>
      <c r="B1949">
        <v>0.99996721820229495</v>
      </c>
      <c r="C1949">
        <v>1.06266564313102</v>
      </c>
      <c r="D1949">
        <v>1.29390159665618</v>
      </c>
      <c r="E1949">
        <v>1.1717272033074699</v>
      </c>
      <c r="F1949">
        <v>0.99284490278638904</v>
      </c>
      <c r="G1949">
        <v>0.65729024766171895</v>
      </c>
      <c r="H1949">
        <v>0.35942858154055102</v>
      </c>
      <c r="I1949">
        <v>0.233175245213295</v>
      </c>
      <c r="J1949">
        <v>0.132608476845021</v>
      </c>
      <c r="K1949">
        <v>0.115477160824633</v>
      </c>
      <c r="L1949">
        <v>1602.05107424985</v>
      </c>
      <c r="M1949">
        <v>27.431132590488101</v>
      </c>
      <c r="N1949">
        <v>59.031276006258501</v>
      </c>
      <c r="O1949">
        <v>58.094921893450497</v>
      </c>
      <c r="P1949">
        <v>-0.103094233641823</v>
      </c>
      <c r="Q1949">
        <v>0.126657169203829</v>
      </c>
      <c r="R1949">
        <v>0.93097422498535998</v>
      </c>
      <c r="S1949" t="s">
        <v>7775</v>
      </c>
      <c r="T1949" t="s">
        <v>11650</v>
      </c>
      <c r="U1949" t="s">
        <v>11650</v>
      </c>
      <c r="V1949" t="s">
        <v>11650</v>
      </c>
      <c r="W1949" t="s">
        <v>13562</v>
      </c>
      <c r="X1949">
        <v>15</v>
      </c>
      <c r="Y1949" t="s">
        <v>19292</v>
      </c>
      <c r="Z1949" t="s">
        <v>25011</v>
      </c>
      <c r="AA1949">
        <v>0.66892432050085726</v>
      </c>
      <c r="AB1949" t="str">
        <f>HYPERLINK("Melting_Curves/meltCurve_P14735_IDE.pdf", "Melting_Curves/meltCurve_P14735_IDE.pdf")</f>
        <v>Melting_Curves/meltCurve_P14735_IDE.pdf</v>
      </c>
    </row>
    <row r="1950" spans="1:28" x14ac:dyDescent="0.25">
      <c r="A1950" t="s">
        <v>1954</v>
      </c>
      <c r="B1950">
        <v>0.99996721820229495</v>
      </c>
      <c r="C1950">
        <v>0.94379148557280501</v>
      </c>
      <c r="D1950">
        <v>0.93305176475952301</v>
      </c>
      <c r="E1950">
        <v>1.0375262188004299</v>
      </c>
      <c r="F1950">
        <v>1.80841808424494</v>
      </c>
      <c r="G1950">
        <v>2.8579338460751802</v>
      </c>
      <c r="H1950">
        <v>2.0132582074514498</v>
      </c>
      <c r="I1950">
        <v>1.89816155244326</v>
      </c>
      <c r="J1950">
        <v>1.75463174878039</v>
      </c>
      <c r="K1950">
        <v>1.1046800133885799</v>
      </c>
      <c r="L1950">
        <v>12625.5314408835</v>
      </c>
      <c r="M1950">
        <v>250</v>
      </c>
      <c r="O1950">
        <v>50.498893995628698</v>
      </c>
      <c r="P1950">
        <v>0.61882543526321299</v>
      </c>
      <c r="Q1950">
        <v>1.5</v>
      </c>
      <c r="R1950">
        <v>0.29327453391284702</v>
      </c>
      <c r="S1950" t="s">
        <v>7776</v>
      </c>
      <c r="T1950" t="s">
        <v>11650</v>
      </c>
      <c r="U1950" t="s">
        <v>11650</v>
      </c>
      <c r="V1950" t="s">
        <v>11650</v>
      </c>
      <c r="W1950" t="s">
        <v>13563</v>
      </c>
      <c r="X1950">
        <v>9</v>
      </c>
      <c r="Y1950" t="s">
        <v>19293</v>
      </c>
      <c r="Z1950" t="s">
        <v>25012</v>
      </c>
      <c r="AA1950">
        <v>1.3249202553854029</v>
      </c>
      <c r="AB1950" t="str">
        <f>HYPERLINK("Melting_Curves/meltCurve_P14854_COX6B1.pdf", "Melting_Curves/meltCurve_P14854_COX6B1.pdf")</f>
        <v>Melting_Curves/meltCurve_P14854_COX6B1.pdf</v>
      </c>
    </row>
    <row r="1951" spans="1:28" x14ac:dyDescent="0.25">
      <c r="A1951" t="s">
        <v>1955</v>
      </c>
      <c r="B1951">
        <v>0.99996721820229495</v>
      </c>
      <c r="C1951">
        <v>0.87278189047372801</v>
      </c>
      <c r="D1951">
        <v>0.67262816128476599</v>
      </c>
      <c r="E1951">
        <v>0.56203429078371403</v>
      </c>
      <c r="F1951">
        <v>0.57707946524808595</v>
      </c>
      <c r="G1951">
        <v>0.59815607406817695</v>
      </c>
      <c r="H1951">
        <v>0.42483843117151199</v>
      </c>
      <c r="I1951">
        <v>0.73322693120437399</v>
      </c>
      <c r="J1951">
        <v>0.56117572667189697</v>
      </c>
      <c r="K1951">
        <v>0.35747425500623298</v>
      </c>
      <c r="L1951">
        <v>1203.14860400721</v>
      </c>
      <c r="M1951">
        <v>27.034704954735101</v>
      </c>
      <c r="O1951">
        <v>44.262494835063499</v>
      </c>
      <c r="P1951">
        <v>-7.0209438495218199E-2</v>
      </c>
      <c r="Q1951">
        <v>0.54020376259956704</v>
      </c>
      <c r="R1951">
        <v>0.73608255564361402</v>
      </c>
      <c r="S1951" t="s">
        <v>7777</v>
      </c>
      <c r="T1951" t="s">
        <v>11650</v>
      </c>
      <c r="U1951" t="s">
        <v>11650</v>
      </c>
      <c r="V1951" t="s">
        <v>11650</v>
      </c>
      <c r="W1951" t="s">
        <v>13564</v>
      </c>
      <c r="X1951">
        <v>1</v>
      </c>
      <c r="Y1951" t="s">
        <v>19294</v>
      </c>
      <c r="Z1951" t="s">
        <v>25013</v>
      </c>
      <c r="AA1951">
        <v>0.61325002581997057</v>
      </c>
      <c r="AB1951" t="str">
        <f>HYPERLINK("Melting_Curves/meltCurve_P14866_HNRNPL.pdf", "Melting_Curves/meltCurve_P14866_HNRNPL.pdf")</f>
        <v>Melting_Curves/meltCurve_P14866_HNRNPL.pdf</v>
      </c>
    </row>
    <row r="1952" spans="1:28" x14ac:dyDescent="0.25">
      <c r="A1952" t="s">
        <v>1956</v>
      </c>
      <c r="B1952">
        <v>0.99996721820229495</v>
      </c>
      <c r="C1952">
        <v>1.04875710830674</v>
      </c>
      <c r="D1952">
        <v>1.0950473317937801</v>
      </c>
      <c r="E1952">
        <v>1.1479581996878601</v>
      </c>
      <c r="F1952">
        <v>1.13932603084464</v>
      </c>
      <c r="G1952">
        <v>0.90184404172960497</v>
      </c>
      <c r="H1952">
        <v>0.53416743572454395</v>
      </c>
      <c r="I1952">
        <v>0.23514910179524001</v>
      </c>
      <c r="J1952">
        <v>0.15411085194619001</v>
      </c>
      <c r="K1952">
        <v>0.114670463057587</v>
      </c>
      <c r="L1952">
        <v>2183.8582315365002</v>
      </c>
      <c r="M1952">
        <v>35.927475723750703</v>
      </c>
      <c r="N1952">
        <v>61.226623894073903</v>
      </c>
      <c r="O1952">
        <v>60.597786515448902</v>
      </c>
      <c r="P1952">
        <v>-0.131308411039322</v>
      </c>
      <c r="Q1952">
        <v>0.11410714333124</v>
      </c>
      <c r="R1952">
        <v>0.96721076131085404</v>
      </c>
      <c r="S1952" t="s">
        <v>7778</v>
      </c>
      <c r="T1952" t="s">
        <v>11650</v>
      </c>
      <c r="U1952" t="s">
        <v>11650</v>
      </c>
      <c r="V1952" t="s">
        <v>11650</v>
      </c>
      <c r="W1952" t="s">
        <v>13565</v>
      </c>
      <c r="X1952">
        <v>28</v>
      </c>
      <c r="Y1952" t="s">
        <v>19295</v>
      </c>
      <c r="Z1952" t="s">
        <v>25014</v>
      </c>
      <c r="AA1952">
        <v>0.73188968760331052</v>
      </c>
      <c r="AB1952" t="str">
        <f>HYPERLINK("Melting_Curves/meltCurve_P14868_DARS.pdf", "Melting_Curves/meltCurve_P14868_DARS.pdf")</f>
        <v>Melting_Curves/meltCurve_P14868_DARS.pdf</v>
      </c>
    </row>
    <row r="1953" spans="1:28" x14ac:dyDescent="0.25">
      <c r="A1953" t="s">
        <v>1957</v>
      </c>
      <c r="B1953">
        <v>0.99996721820229495</v>
      </c>
      <c r="C1953">
        <v>0.94097847648775002</v>
      </c>
      <c r="D1953">
        <v>1.17559380104915</v>
      </c>
      <c r="E1953">
        <v>1.5151645688933799</v>
      </c>
      <c r="F1953">
        <v>1.31843646717411</v>
      </c>
      <c r="G1953">
        <v>0.89518311418725305</v>
      </c>
      <c r="H1953">
        <v>0.72442544290010502</v>
      </c>
      <c r="I1953">
        <v>0.27974285442295799</v>
      </c>
      <c r="J1953">
        <v>0.23820228812150501</v>
      </c>
      <c r="K1953">
        <v>0.20164363271270999</v>
      </c>
      <c r="L1953">
        <v>3394.2966710260498</v>
      </c>
      <c r="M1953">
        <v>55.080333221167898</v>
      </c>
      <c r="N1953">
        <v>62.231392273244303</v>
      </c>
      <c r="O1953">
        <v>61.543404670647398</v>
      </c>
      <c r="P1953">
        <v>-0.177251294592048</v>
      </c>
      <c r="Q1953">
        <v>0.207801317659978</v>
      </c>
      <c r="R1953">
        <v>0.78707289430528404</v>
      </c>
      <c r="S1953" t="s">
        <v>7779</v>
      </c>
      <c r="T1953" t="s">
        <v>11650</v>
      </c>
      <c r="U1953" t="s">
        <v>11650</v>
      </c>
      <c r="V1953" t="s">
        <v>11650</v>
      </c>
      <c r="W1953" t="s">
        <v>13566</v>
      </c>
      <c r="X1953">
        <v>9</v>
      </c>
      <c r="Y1953" t="s">
        <v>19296</v>
      </c>
      <c r="Z1953" t="s">
        <v>25015</v>
      </c>
      <c r="AA1953">
        <v>0.78054881088090233</v>
      </c>
      <c r="AB1953" t="str">
        <f>HYPERLINK("Melting_Curves/meltCurve_P14923_JUP.pdf", "Melting_Curves/meltCurve_P14923_JUP.pdf")</f>
        <v>Melting_Curves/meltCurve_P14923_JUP.pdf</v>
      </c>
    </row>
    <row r="1954" spans="1:28" x14ac:dyDescent="0.25">
      <c r="A1954" t="s">
        <v>1958</v>
      </c>
      <c r="B1954">
        <v>0.99996721820229495</v>
      </c>
      <c r="C1954">
        <v>0.94629931716833704</v>
      </c>
      <c r="D1954">
        <v>0.99706274298998299</v>
      </c>
      <c r="E1954">
        <v>1.1361563605070999</v>
      </c>
      <c r="F1954">
        <v>1.6508141342884499</v>
      </c>
      <c r="G1954">
        <v>2.11035095510801</v>
      </c>
      <c r="H1954">
        <v>2.3319790009897399</v>
      </c>
      <c r="I1954">
        <v>2.4115475068154302</v>
      </c>
      <c r="J1954">
        <v>2.20595074647508</v>
      </c>
      <c r="K1954">
        <v>1.55749206502381</v>
      </c>
      <c r="L1954">
        <v>12549.145359071101</v>
      </c>
      <c r="M1954">
        <v>250</v>
      </c>
      <c r="O1954">
        <v>50.193369206666198</v>
      </c>
      <c r="P1954">
        <v>0.62259219777756103</v>
      </c>
      <c r="Q1954">
        <v>1.5</v>
      </c>
      <c r="R1954">
        <v>0.238160920284085</v>
      </c>
      <c r="S1954" t="s">
        <v>7780</v>
      </c>
      <c r="T1954" t="s">
        <v>11650</v>
      </c>
      <c r="U1954" t="s">
        <v>11650</v>
      </c>
      <c r="V1954" t="s">
        <v>11650</v>
      </c>
      <c r="W1954" t="s">
        <v>12028</v>
      </c>
      <c r="X1954">
        <v>14</v>
      </c>
      <c r="Y1954" t="s">
        <v>17793</v>
      </c>
      <c r="Z1954" t="s">
        <v>25016</v>
      </c>
      <c r="AA1954">
        <v>1.3300129289523319</v>
      </c>
      <c r="AB1954" t="str">
        <f>HYPERLINK("Melting_Curves/meltCurve_P14927_UQCRB.pdf", "Melting_Curves/meltCurve_P14927_UQCRB.pdf")</f>
        <v>Melting_Curves/meltCurve_P14927_UQCRB.pdf</v>
      </c>
    </row>
    <row r="1955" spans="1:28" x14ac:dyDescent="0.25">
      <c r="A1955" t="s">
        <v>1959</v>
      </c>
      <c r="B1955">
        <v>0.99996721820229495</v>
      </c>
      <c r="C1955">
        <v>1.08907975571697</v>
      </c>
      <c r="D1955">
        <v>1.00460644766815</v>
      </c>
      <c r="E1955">
        <v>0.89673278852303795</v>
      </c>
      <c r="F1955">
        <v>0.92695449603667401</v>
      </c>
      <c r="G1955">
        <v>0.77547041902859504</v>
      </c>
      <c r="H1955">
        <v>0.42039771059561698</v>
      </c>
      <c r="I1955">
        <v>0.221104357217005</v>
      </c>
      <c r="J1955">
        <v>0.19272613417592899</v>
      </c>
      <c r="K1955">
        <v>0.130444571874893</v>
      </c>
      <c r="L1955">
        <v>1337.5905405348601</v>
      </c>
      <c r="M1955">
        <v>22.520843708975299</v>
      </c>
      <c r="N1955">
        <v>60.010440911216101</v>
      </c>
      <c r="O1955">
        <v>58.931086028882497</v>
      </c>
      <c r="P1955">
        <v>-8.5666945485021406E-2</v>
      </c>
      <c r="Q1955">
        <v>0.103347174926628</v>
      </c>
      <c r="R1955">
        <v>0.98569133974647405</v>
      </c>
      <c r="S1955" t="s">
        <v>7781</v>
      </c>
      <c r="T1955" t="s">
        <v>11650</v>
      </c>
      <c r="U1955" t="s">
        <v>11650</v>
      </c>
      <c r="V1955" t="s">
        <v>11650</v>
      </c>
      <c r="W1955" t="s">
        <v>13567</v>
      </c>
      <c r="X1955">
        <v>5</v>
      </c>
      <c r="Y1955" t="s">
        <v>19297</v>
      </c>
      <c r="Z1955" t="s">
        <v>25017</v>
      </c>
      <c r="AA1955">
        <v>0.69083590541511797</v>
      </c>
      <c r="AB1955" t="str">
        <f>HYPERLINK("Melting_Curves/meltCurve_P15056_BRAF.pdf", "Melting_Curves/meltCurve_P15056_BRAF.pdf")</f>
        <v>Melting_Curves/meltCurve_P15056_BRAF.pdf</v>
      </c>
    </row>
    <row r="1956" spans="1:28" x14ac:dyDescent="0.25">
      <c r="A1956" t="s">
        <v>1960</v>
      </c>
      <c r="B1956">
        <v>0.99996721820229495</v>
      </c>
      <c r="C1956">
        <v>1.0871377378829901</v>
      </c>
      <c r="D1956">
        <v>1.0546504513975601</v>
      </c>
      <c r="E1956">
        <v>0.92855786609769397</v>
      </c>
      <c r="F1956">
        <v>0.77304263303246601</v>
      </c>
      <c r="G1956">
        <v>0.62096465877712703</v>
      </c>
      <c r="H1956">
        <v>0.31827404007270499</v>
      </c>
      <c r="I1956">
        <v>0.21383723608629199</v>
      </c>
      <c r="J1956">
        <v>0.15744364529182001</v>
      </c>
      <c r="K1956">
        <v>0.12188507809897001</v>
      </c>
      <c r="L1956">
        <v>953.108674651093</v>
      </c>
      <c r="M1956">
        <v>16.536061258201801</v>
      </c>
      <c r="N1956">
        <v>58.167879612841901</v>
      </c>
      <c r="O1956">
        <v>56.815027749755899</v>
      </c>
      <c r="P1956">
        <v>-6.7681561745969607E-2</v>
      </c>
      <c r="Q1956">
        <v>6.98957088681601E-2</v>
      </c>
      <c r="R1956">
        <v>0.98730214184619702</v>
      </c>
      <c r="S1956" t="s">
        <v>7782</v>
      </c>
      <c r="T1956" t="s">
        <v>11650</v>
      </c>
      <c r="U1956" t="s">
        <v>11650</v>
      </c>
      <c r="V1956" t="s">
        <v>11650</v>
      </c>
      <c r="W1956" t="s">
        <v>13568</v>
      </c>
      <c r="X1956">
        <v>7</v>
      </c>
      <c r="Y1956" t="s">
        <v>19298</v>
      </c>
      <c r="Z1956" t="s">
        <v>25018</v>
      </c>
      <c r="AA1956">
        <v>0.62948952586657891</v>
      </c>
      <c r="AB1956" t="str">
        <f>HYPERLINK("Melting_Curves/meltCurve_P15090_FABP4.pdf", "Melting_Curves/meltCurve_P15090_FABP4.pdf")</f>
        <v>Melting_Curves/meltCurve_P15090_FABP4.pdf</v>
      </c>
    </row>
    <row r="1957" spans="1:28" x14ac:dyDescent="0.25">
      <c r="A1957" t="s">
        <v>1961</v>
      </c>
      <c r="B1957">
        <v>0.99996721820229495</v>
      </c>
      <c r="C1957">
        <v>1.0770457509071101</v>
      </c>
      <c r="D1957">
        <v>1.36653169193212</v>
      </c>
      <c r="E1957">
        <v>2.0812341349754102</v>
      </c>
      <c r="F1957">
        <v>2.3364099054548602</v>
      </c>
      <c r="G1957">
        <v>3.1525422153693299</v>
      </c>
      <c r="H1957">
        <v>0.59582409313009499</v>
      </c>
      <c r="I1957">
        <v>0.30617678329595199</v>
      </c>
      <c r="J1957">
        <v>0.27704190028709502</v>
      </c>
      <c r="K1957">
        <v>0.16205001395386801</v>
      </c>
      <c r="L1957">
        <v>11306.7054253429</v>
      </c>
      <c r="M1957">
        <v>185.506764058605</v>
      </c>
      <c r="N1957">
        <v>61.176823186975099</v>
      </c>
      <c r="O1957">
        <v>60.9432833263105</v>
      </c>
      <c r="P1957">
        <v>-0.57197189441917495</v>
      </c>
      <c r="Q1957">
        <v>0.248375751500828</v>
      </c>
      <c r="R1957">
        <v>0.14412548104179099</v>
      </c>
      <c r="S1957" t="s">
        <v>7783</v>
      </c>
      <c r="T1957" t="s">
        <v>11650</v>
      </c>
      <c r="U1957" t="s">
        <v>11650</v>
      </c>
      <c r="V1957" t="s">
        <v>11650</v>
      </c>
      <c r="W1957" t="s">
        <v>13569</v>
      </c>
      <c r="X1957">
        <v>10</v>
      </c>
      <c r="Y1957" t="s">
        <v>19299</v>
      </c>
      <c r="Z1957" t="s">
        <v>25019</v>
      </c>
      <c r="AA1957">
        <v>0.77341526925980419</v>
      </c>
      <c r="AB1957" t="str">
        <f>HYPERLINK("Melting_Curves/meltCurve_P15104_GLUL.pdf", "Melting_Curves/meltCurve_P15104_GLUL.pdf")</f>
        <v>Melting_Curves/meltCurve_P15104_GLUL.pdf</v>
      </c>
    </row>
    <row r="1958" spans="1:28" x14ac:dyDescent="0.25">
      <c r="A1958" t="s">
        <v>1962</v>
      </c>
      <c r="B1958">
        <v>0.99996721820229495</v>
      </c>
      <c r="C1958">
        <v>0.94479564454315701</v>
      </c>
      <c r="D1958">
        <v>0.93140074873394096</v>
      </c>
      <c r="E1958">
        <v>0.87339191885824996</v>
      </c>
      <c r="F1958">
        <v>0.94068857991681698</v>
      </c>
      <c r="G1958">
        <v>0.35867192487114902</v>
      </c>
      <c r="H1958">
        <v>0.15317866521106899</v>
      </c>
      <c r="I1958">
        <v>0.103580024185826</v>
      </c>
      <c r="J1958">
        <v>8.6745990480557894E-2</v>
      </c>
      <c r="K1958">
        <v>6.4077709684734294E-2</v>
      </c>
      <c r="L1958">
        <v>2271.0466199254802</v>
      </c>
      <c r="M1958">
        <v>40.647216035837999</v>
      </c>
      <c r="N1958">
        <v>56.149656347246399</v>
      </c>
      <c r="O1958">
        <v>55.737418997591</v>
      </c>
      <c r="P1958">
        <v>-0.165724287210404</v>
      </c>
      <c r="Q1958">
        <v>9.1005473286084396E-2</v>
      </c>
      <c r="R1958">
        <v>0.98444235802637503</v>
      </c>
      <c r="S1958" t="s">
        <v>7784</v>
      </c>
      <c r="T1958" t="s">
        <v>11650</v>
      </c>
      <c r="U1958" t="s">
        <v>11650</v>
      </c>
      <c r="V1958" t="s">
        <v>11650</v>
      </c>
      <c r="W1958" t="s">
        <v>13570</v>
      </c>
      <c r="X1958">
        <v>19</v>
      </c>
      <c r="Y1958" t="s">
        <v>19300</v>
      </c>
      <c r="Z1958" t="s">
        <v>25020</v>
      </c>
      <c r="AA1958">
        <v>0.57530876504294637</v>
      </c>
      <c r="AB1958" t="str">
        <f>HYPERLINK("Melting_Curves/meltCurve_P15121_AKR1B1.pdf", "Melting_Curves/meltCurve_P15121_AKR1B1.pdf")</f>
        <v>Melting_Curves/meltCurve_P15121_AKR1B1.pdf</v>
      </c>
    </row>
    <row r="1959" spans="1:28" x14ac:dyDescent="0.25">
      <c r="A1959" t="s">
        <v>1963</v>
      </c>
      <c r="B1959">
        <v>0.99996721820229495</v>
      </c>
      <c r="C1959">
        <v>0.88788925341130798</v>
      </c>
      <c r="D1959">
        <v>1.22767088731556</v>
      </c>
      <c r="E1959">
        <v>1.7944708514367</v>
      </c>
      <c r="F1959">
        <v>2.2971001302417702</v>
      </c>
      <c r="G1959">
        <v>2.5964840937013598</v>
      </c>
      <c r="H1959">
        <v>1.73074209644388</v>
      </c>
      <c r="I1959">
        <v>0.71553435355752804</v>
      </c>
      <c r="J1959">
        <v>0.273057343703969</v>
      </c>
      <c r="K1959">
        <v>0.48079399464501399</v>
      </c>
      <c r="L1959">
        <v>15000</v>
      </c>
      <c r="M1959">
        <v>234.200675306779</v>
      </c>
      <c r="N1959">
        <v>64.433288497605801</v>
      </c>
      <c r="O1959">
        <v>64.042943894791307</v>
      </c>
      <c r="P1959">
        <v>-0.56964213685180398</v>
      </c>
      <c r="Q1959">
        <v>0.37691771693396597</v>
      </c>
      <c r="R1959">
        <v>-8.2529201527601296E-3</v>
      </c>
      <c r="S1959" t="s">
        <v>7785</v>
      </c>
      <c r="T1959" t="s">
        <v>11650</v>
      </c>
      <c r="U1959" t="s">
        <v>11650</v>
      </c>
      <c r="V1959" t="s">
        <v>11650</v>
      </c>
      <c r="W1959" t="s">
        <v>13571</v>
      </c>
      <c r="X1959">
        <v>46</v>
      </c>
      <c r="Y1959" t="s">
        <v>19301</v>
      </c>
      <c r="Z1959" t="s">
        <v>25021</v>
      </c>
      <c r="AA1959">
        <v>0.87645275678657053</v>
      </c>
      <c r="AB1959" t="str">
        <f>HYPERLINK("Melting_Curves/meltCurve_P15144_ANPEP.pdf", "Melting_Curves/meltCurve_P15144_ANPEP.pdf")</f>
        <v>Melting_Curves/meltCurve_P15144_ANPEP.pdf</v>
      </c>
    </row>
    <row r="1960" spans="1:28" x14ac:dyDescent="0.25">
      <c r="A1960" t="s">
        <v>1964</v>
      </c>
      <c r="B1960">
        <v>0.99996721820229495</v>
      </c>
      <c r="C1960">
        <v>0.898245164118331</v>
      </c>
      <c r="D1960">
        <v>1.0109039308846</v>
      </c>
      <c r="E1960">
        <v>1.0979592414902799</v>
      </c>
      <c r="F1960">
        <v>1.4410616421623601</v>
      </c>
      <c r="G1960">
        <v>1.25217041606861</v>
      </c>
      <c r="H1960">
        <v>0.79931606015677703</v>
      </c>
      <c r="I1960">
        <v>0.48834118988751801</v>
      </c>
      <c r="J1960">
        <v>0.33192866957799499</v>
      </c>
      <c r="K1960">
        <v>0.385448073471645</v>
      </c>
      <c r="L1960">
        <v>3506.4320344594998</v>
      </c>
      <c r="M1960">
        <v>56.5225938196483</v>
      </c>
      <c r="N1960">
        <v>63.495471131836702</v>
      </c>
      <c r="O1960">
        <v>61.9584273028849</v>
      </c>
      <c r="P1960">
        <v>-0.145134306829386</v>
      </c>
      <c r="Q1960">
        <v>0.36363227048174801</v>
      </c>
      <c r="R1960">
        <v>0.77034839061498295</v>
      </c>
      <c r="S1960" t="s">
        <v>7786</v>
      </c>
      <c r="T1960" t="s">
        <v>11650</v>
      </c>
      <c r="U1960" t="s">
        <v>11650</v>
      </c>
      <c r="V1960" t="s">
        <v>11650</v>
      </c>
      <c r="W1960" t="s">
        <v>13572</v>
      </c>
      <c r="X1960">
        <v>7</v>
      </c>
      <c r="Y1960" t="s">
        <v>19302</v>
      </c>
      <c r="Z1960" t="s">
        <v>25022</v>
      </c>
      <c r="AA1960">
        <v>0.83237547271866563</v>
      </c>
      <c r="AB1960" t="str">
        <f>HYPERLINK("Melting_Curves/meltCurve_P15151_3_PVR.pdf", "Melting_Curves/meltCurve_P15151_3_PVR.pdf")</f>
        <v>Melting_Curves/meltCurve_P15151_3_PVR.pdf</v>
      </c>
    </row>
    <row r="1961" spans="1:28" x14ac:dyDescent="0.25">
      <c r="A1961" t="s">
        <v>1965</v>
      </c>
      <c r="B1961">
        <v>0.99996721820229495</v>
      </c>
      <c r="C1961">
        <v>1.01256405483234</v>
      </c>
      <c r="D1961">
        <v>0.98002872325110302</v>
      </c>
      <c r="E1961">
        <v>1.08877900605997</v>
      </c>
      <c r="F1961">
        <v>0.88605835380549702</v>
      </c>
      <c r="G1961">
        <v>0.38273977012694799</v>
      </c>
      <c r="H1961">
        <v>0.17689227365695401</v>
      </c>
      <c r="I1961">
        <v>0.116323272182874</v>
      </c>
      <c r="J1961">
        <v>9.3248409010801003E-2</v>
      </c>
      <c r="K1961">
        <v>6.03670727907447E-2</v>
      </c>
      <c r="L1961">
        <v>2064.5482877750601</v>
      </c>
      <c r="M1961">
        <v>36.940092178840302</v>
      </c>
      <c r="N1961">
        <v>56.2180239897164</v>
      </c>
      <c r="O1961">
        <v>55.726062744147598</v>
      </c>
      <c r="P1961">
        <v>-0.14961624505099499</v>
      </c>
      <c r="Q1961">
        <v>9.7186847523331496E-2</v>
      </c>
      <c r="R1961">
        <v>0.99224542626595202</v>
      </c>
      <c r="S1961" t="s">
        <v>7787</v>
      </c>
      <c r="T1961" t="s">
        <v>11650</v>
      </c>
      <c r="U1961" t="s">
        <v>11650</v>
      </c>
      <c r="V1961" t="s">
        <v>11650</v>
      </c>
      <c r="W1961" t="s">
        <v>13573</v>
      </c>
      <c r="X1961">
        <v>34</v>
      </c>
      <c r="Y1961" t="s">
        <v>19303</v>
      </c>
      <c r="Z1961" t="s">
        <v>25023</v>
      </c>
      <c r="AA1961">
        <v>0.57940180504399275</v>
      </c>
      <c r="AB1961" t="str">
        <f>HYPERLINK("Melting_Curves/meltCurve_P15170_2_GSPT1.pdf", "Melting_Curves/meltCurve_P15170_2_GSPT1.pdf")</f>
        <v>Melting_Curves/meltCurve_P15170_2_GSPT1.pdf</v>
      </c>
    </row>
    <row r="1962" spans="1:28" x14ac:dyDescent="0.25">
      <c r="A1962" t="s">
        <v>1966</v>
      </c>
      <c r="B1962">
        <v>0.99996721820229495</v>
      </c>
      <c r="C1962">
        <v>0.79191189593914302</v>
      </c>
      <c r="D1962">
        <v>0.66617406099145604</v>
      </c>
      <c r="E1962">
        <v>0.66929350142236999</v>
      </c>
      <c r="F1962">
        <v>0.68953565855371401</v>
      </c>
      <c r="G1962">
        <v>0.54718517605054695</v>
      </c>
      <c r="H1962">
        <v>0.44093321420744003</v>
      </c>
      <c r="I1962">
        <v>0.55696070170195899</v>
      </c>
      <c r="J1962">
        <v>0.525286127628941</v>
      </c>
      <c r="K1962">
        <v>0.21410154633866199</v>
      </c>
      <c r="L1962">
        <v>233.97518544511701</v>
      </c>
      <c r="M1962">
        <v>3.8673595293988199</v>
      </c>
      <c r="N1962">
        <v>60.500003956597801</v>
      </c>
      <c r="O1962">
        <v>49.127661318628398</v>
      </c>
      <c r="P1962">
        <v>-1.9961857396519501E-2</v>
      </c>
      <c r="Q1962">
        <v>0</v>
      </c>
      <c r="R1962">
        <v>0.78732004172043002</v>
      </c>
      <c r="S1962" t="s">
        <v>7788</v>
      </c>
      <c r="T1962" t="s">
        <v>11650</v>
      </c>
      <c r="U1962" t="s">
        <v>11650</v>
      </c>
      <c r="V1962" t="s">
        <v>11650</v>
      </c>
      <c r="W1962" t="s">
        <v>13574</v>
      </c>
      <c r="X1962">
        <v>11</v>
      </c>
      <c r="Y1962" t="s">
        <v>19304</v>
      </c>
      <c r="Z1962" t="s">
        <v>25024</v>
      </c>
      <c r="AA1962">
        <v>0.60736958204177716</v>
      </c>
      <c r="AB1962" t="str">
        <f>HYPERLINK("Melting_Curves/meltCurve_P15289_ARSA.pdf", "Melting_Curves/meltCurve_P15289_ARSA.pdf")</f>
        <v>Melting_Curves/meltCurve_P15289_ARSA.pdf</v>
      </c>
    </row>
    <row r="1963" spans="1:28" x14ac:dyDescent="0.25">
      <c r="A1963" t="s">
        <v>1967</v>
      </c>
      <c r="B1963">
        <v>0.99996721820229495</v>
      </c>
      <c r="C1963">
        <v>0.82819969853240705</v>
      </c>
      <c r="D1963">
        <v>0.99559091607118599</v>
      </c>
      <c r="E1963">
        <v>1.2069197353563299</v>
      </c>
      <c r="F1963">
        <v>1.65976352494169</v>
      </c>
      <c r="G1963">
        <v>1.8535519718133799</v>
      </c>
      <c r="H1963">
        <v>1.29457570307117</v>
      </c>
      <c r="I1963">
        <v>0.599091220126718</v>
      </c>
      <c r="J1963">
        <v>0.26465173899553901</v>
      </c>
      <c r="K1963">
        <v>0.39482046744834298</v>
      </c>
      <c r="L1963">
        <v>15000</v>
      </c>
      <c r="M1963">
        <v>234.77259563183901</v>
      </c>
      <c r="N1963">
        <v>64.186121827281895</v>
      </c>
      <c r="O1963">
        <v>63.886955700385499</v>
      </c>
      <c r="P1963">
        <v>-0.61578010147890705</v>
      </c>
      <c r="Q1963">
        <v>0.32972876247371902</v>
      </c>
      <c r="R1963">
        <v>0.44284719692229202</v>
      </c>
      <c r="S1963" t="s">
        <v>7789</v>
      </c>
      <c r="T1963" t="s">
        <v>11650</v>
      </c>
      <c r="U1963" t="s">
        <v>11650</v>
      </c>
      <c r="V1963" t="s">
        <v>11650</v>
      </c>
      <c r="W1963" t="s">
        <v>13575</v>
      </c>
      <c r="X1963">
        <v>11</v>
      </c>
      <c r="Y1963" t="s">
        <v>19304</v>
      </c>
      <c r="Z1963" t="s">
        <v>25025</v>
      </c>
      <c r="AA1963">
        <v>0.86360937112624925</v>
      </c>
      <c r="AB1963" t="str">
        <f>HYPERLINK("Melting_Curves/meltCurve_P15289_2_ARSA.pdf", "Melting_Curves/meltCurve_P15289_2_ARSA.pdf")</f>
        <v>Melting_Curves/meltCurve_P15289_2_ARSA.pdf</v>
      </c>
    </row>
    <row r="1964" spans="1:28" x14ac:dyDescent="0.25">
      <c r="A1964" t="s">
        <v>1968</v>
      </c>
      <c r="B1964">
        <v>0.99996721820229495</v>
      </c>
      <c r="C1964">
        <v>0.66915339658977302</v>
      </c>
      <c r="D1964">
        <v>0.79887908405790398</v>
      </c>
      <c r="E1964">
        <v>0.94168027870858495</v>
      </c>
      <c r="F1964">
        <v>0.56296626890242296</v>
      </c>
      <c r="G1964">
        <v>0.32135610552635502</v>
      </c>
      <c r="H1964">
        <v>0.237715509563479</v>
      </c>
      <c r="I1964">
        <v>0.159006356048711</v>
      </c>
      <c r="J1964">
        <v>0.117147436591526</v>
      </c>
      <c r="K1964">
        <v>0.104031916766765</v>
      </c>
      <c r="L1964">
        <v>563.98809148297698</v>
      </c>
      <c r="M1964">
        <v>10.3486701877623</v>
      </c>
      <c r="N1964">
        <v>54.4986051829705</v>
      </c>
      <c r="O1964">
        <v>52.581351078741001</v>
      </c>
      <c r="P1964">
        <v>-4.9224128167815399E-2</v>
      </c>
      <c r="Q1964">
        <v>0</v>
      </c>
      <c r="R1964">
        <v>0.87469821230852896</v>
      </c>
      <c r="S1964" t="s">
        <v>7790</v>
      </c>
      <c r="T1964" t="s">
        <v>11650</v>
      </c>
      <c r="U1964" t="s">
        <v>11650</v>
      </c>
      <c r="V1964" t="s">
        <v>11650</v>
      </c>
      <c r="W1964" t="s">
        <v>13576</v>
      </c>
      <c r="X1964">
        <v>2</v>
      </c>
      <c r="Y1964" t="s">
        <v>19305</v>
      </c>
      <c r="Z1964" t="s">
        <v>25026</v>
      </c>
      <c r="AA1964">
        <v>0.51084020264122931</v>
      </c>
      <c r="AB1964" t="str">
        <f>HYPERLINK("Melting_Curves/meltCurve_P15291_2_B4GALT1.pdf", "Melting_Curves/meltCurve_P15291_2_B4GALT1.pdf")</f>
        <v>Melting_Curves/meltCurve_P15291_2_B4GALT1.pdf</v>
      </c>
    </row>
    <row r="1965" spans="1:28" x14ac:dyDescent="0.25">
      <c r="A1965" t="s">
        <v>1969</v>
      </c>
      <c r="B1965">
        <v>0.99996721820229495</v>
      </c>
      <c r="C1965">
        <v>0.87988210511233</v>
      </c>
      <c r="D1965">
        <v>0.83171254313271503</v>
      </c>
      <c r="E1965">
        <v>1.04208114547348</v>
      </c>
      <c r="F1965">
        <v>0.54041384789987101</v>
      </c>
      <c r="G1965">
        <v>0.27055782888535401</v>
      </c>
      <c r="H1965">
        <v>0.16481309876553399</v>
      </c>
      <c r="I1965">
        <v>0.11076533420693301</v>
      </c>
      <c r="J1965">
        <v>8.5665873298551395E-2</v>
      </c>
      <c r="K1965">
        <v>6.9164457611084806E-2</v>
      </c>
      <c r="L1965">
        <v>1914.8723770346301</v>
      </c>
      <c r="M1965">
        <v>35.934718282866498</v>
      </c>
      <c r="N1965">
        <v>53.686782558777601</v>
      </c>
      <c r="O1965">
        <v>53.123313417953</v>
      </c>
      <c r="P1965">
        <v>-0.14928188861950201</v>
      </c>
      <c r="Q1965">
        <v>0.117252234668831</v>
      </c>
      <c r="R1965">
        <v>0.95247167083822903</v>
      </c>
      <c r="S1965" t="s">
        <v>7791</v>
      </c>
      <c r="T1965" t="s">
        <v>11650</v>
      </c>
      <c r="U1965" t="s">
        <v>11650</v>
      </c>
      <c r="V1965" t="s">
        <v>11650</v>
      </c>
      <c r="W1965" t="s">
        <v>13577</v>
      </c>
      <c r="X1965">
        <v>67</v>
      </c>
      <c r="Y1965" t="s">
        <v>19306</v>
      </c>
      <c r="Z1965" t="s">
        <v>25027</v>
      </c>
      <c r="AA1965">
        <v>0.51226024056190578</v>
      </c>
      <c r="AB1965" t="str">
        <f>HYPERLINK("Melting_Curves/meltCurve_P15311_EZR.pdf", "Melting_Curves/meltCurve_P15311_EZR.pdf")</f>
        <v>Melting_Curves/meltCurve_P15311_EZR.pdf</v>
      </c>
    </row>
    <row r="1966" spans="1:28" x14ac:dyDescent="0.25">
      <c r="A1966" t="s">
        <v>1970</v>
      </c>
      <c r="B1966">
        <v>0.99996721820229495</v>
      </c>
      <c r="C1966">
        <v>1.0862973986730899</v>
      </c>
      <c r="D1966">
        <v>1.0330294032332299</v>
      </c>
      <c r="E1966">
        <v>0.93369309646454102</v>
      </c>
      <c r="F1966">
        <v>0.57500377637108602</v>
      </c>
      <c r="G1966">
        <v>0.45584171815007701</v>
      </c>
      <c r="H1966">
        <v>0.27735876907180002</v>
      </c>
      <c r="I1966">
        <v>0.16981506375823499</v>
      </c>
      <c r="J1966">
        <v>0.13212817640055799</v>
      </c>
      <c r="K1966">
        <v>0.10170503919631201</v>
      </c>
      <c r="L1966">
        <v>950.03927021535901</v>
      </c>
      <c r="M1966">
        <v>17.3021947415474</v>
      </c>
      <c r="N1966">
        <v>55.654495755325001</v>
      </c>
      <c r="O1966">
        <v>54.190864334885703</v>
      </c>
      <c r="P1966">
        <v>-7.1564764280945298E-2</v>
      </c>
      <c r="Q1966">
        <v>0.10348187421060601</v>
      </c>
      <c r="R1966">
        <v>0.97657848930487301</v>
      </c>
      <c r="S1966" t="s">
        <v>7792</v>
      </c>
      <c r="T1966" t="s">
        <v>11650</v>
      </c>
      <c r="U1966" t="s">
        <v>11650</v>
      </c>
      <c r="V1966" t="s">
        <v>11650</v>
      </c>
      <c r="W1966" t="s">
        <v>13578</v>
      </c>
      <c r="X1966">
        <v>11</v>
      </c>
      <c r="Y1966" t="s">
        <v>19307</v>
      </c>
      <c r="Z1966" t="s">
        <v>25028</v>
      </c>
      <c r="AA1966">
        <v>0.56368246373554576</v>
      </c>
      <c r="AB1966" t="str">
        <f>HYPERLINK("Melting_Curves/meltCurve_P15374_UCHL3.pdf", "Melting_Curves/meltCurve_P15374_UCHL3.pdf")</f>
        <v>Melting_Curves/meltCurve_P15374_UCHL3.pdf</v>
      </c>
    </row>
    <row r="1967" spans="1:28" x14ac:dyDescent="0.25">
      <c r="A1967" t="s">
        <v>1971</v>
      </c>
      <c r="B1967">
        <v>0.99996721820229495</v>
      </c>
      <c r="C1967">
        <v>1.03666179533298</v>
      </c>
      <c r="D1967">
        <v>0.99576712575812298</v>
      </c>
      <c r="E1967">
        <v>1.0871620300179501</v>
      </c>
      <c r="F1967">
        <v>2.2849801892460699</v>
      </c>
      <c r="G1967">
        <v>1.9461875436252301</v>
      </c>
      <c r="H1967">
        <v>1.4817796478882399</v>
      </c>
      <c r="I1967">
        <v>1.62338325454687</v>
      </c>
      <c r="J1967">
        <v>1.7071750094598599</v>
      </c>
      <c r="K1967">
        <v>1.48670850314809</v>
      </c>
      <c r="L1967">
        <v>12577.7532387725</v>
      </c>
      <c r="M1967">
        <v>250</v>
      </c>
      <c r="O1967">
        <v>50.3078114549619</v>
      </c>
      <c r="P1967">
        <v>0.62117612146441703</v>
      </c>
      <c r="Q1967">
        <v>1.5</v>
      </c>
      <c r="R1967">
        <v>0.50013576145427097</v>
      </c>
      <c r="S1967" t="s">
        <v>7793</v>
      </c>
      <c r="T1967" t="s">
        <v>11650</v>
      </c>
      <c r="U1967" t="s">
        <v>11650</v>
      </c>
      <c r="V1967" t="s">
        <v>11650</v>
      </c>
      <c r="W1967" t="s">
        <v>13579</v>
      </c>
      <c r="X1967">
        <v>3</v>
      </c>
      <c r="Y1967" t="s">
        <v>19308</v>
      </c>
      <c r="Z1967" t="s">
        <v>25029</v>
      </c>
      <c r="AA1967">
        <v>1.3281056365594719</v>
      </c>
      <c r="AB1967" t="str">
        <f>HYPERLINK("Melting_Curves/meltCurve_P15407_FOSL1.pdf", "Melting_Curves/meltCurve_P15407_FOSL1.pdf")</f>
        <v>Melting_Curves/meltCurve_P15407_FOSL1.pdf</v>
      </c>
    </row>
    <row r="1968" spans="1:28" x14ac:dyDescent="0.25">
      <c r="A1968" t="s">
        <v>1972</v>
      </c>
      <c r="B1968">
        <v>0.99996721820229495</v>
      </c>
      <c r="C1968">
        <v>0.95066412271757195</v>
      </c>
      <c r="D1968">
        <v>0.91067262653428704</v>
      </c>
      <c r="E1968">
        <v>1.05207051176439</v>
      </c>
      <c r="F1968">
        <v>1.07260342518086</v>
      </c>
      <c r="G1968">
        <v>1.00322881448044</v>
      </c>
      <c r="H1968">
        <v>0.67427109130387597</v>
      </c>
      <c r="I1968">
        <v>0.44013650744743399</v>
      </c>
      <c r="J1968">
        <v>0.35882972571201699</v>
      </c>
      <c r="K1968">
        <v>0.27584918531708302</v>
      </c>
      <c r="L1968">
        <v>2330.2429947226101</v>
      </c>
      <c r="M1968">
        <v>37.950970246131398</v>
      </c>
      <c r="N1968">
        <v>62.940460275369098</v>
      </c>
      <c r="O1968">
        <v>61.231666028899298</v>
      </c>
      <c r="P1968">
        <v>-0.108103779803842</v>
      </c>
      <c r="Q1968">
        <v>0.30232533271326201</v>
      </c>
      <c r="R1968">
        <v>0.97369907601276395</v>
      </c>
      <c r="S1968" t="s">
        <v>7794</v>
      </c>
      <c r="T1968" t="s">
        <v>11650</v>
      </c>
      <c r="U1968" t="s">
        <v>11650</v>
      </c>
      <c r="V1968" t="s">
        <v>11650</v>
      </c>
      <c r="W1968" t="s">
        <v>13580</v>
      </c>
      <c r="X1968">
        <v>8</v>
      </c>
      <c r="Y1968" t="s">
        <v>19309</v>
      </c>
      <c r="Z1968" t="s">
        <v>25030</v>
      </c>
      <c r="AA1968">
        <v>0.80283586692326525</v>
      </c>
      <c r="AB1968" t="str">
        <f>HYPERLINK("Melting_Curves/meltCurve_P15529_15_CD46.pdf", "Melting_Curves/meltCurve_P15529_15_CD46.pdf")</f>
        <v>Melting_Curves/meltCurve_P15529_15_CD46.pdf</v>
      </c>
    </row>
    <row r="1969" spans="1:28" x14ac:dyDescent="0.25">
      <c r="A1969" t="s">
        <v>1973</v>
      </c>
      <c r="B1969">
        <v>0.99996721820229495</v>
      </c>
      <c r="C1969">
        <v>1.0640076386177899</v>
      </c>
      <c r="D1969">
        <v>1.09552127959692</v>
      </c>
      <c r="E1969">
        <v>1.2772068283689899</v>
      </c>
      <c r="F1969">
        <v>1.33156790836177</v>
      </c>
      <c r="G1969">
        <v>1.5565251654075101</v>
      </c>
      <c r="H1969">
        <v>0.88689082161964305</v>
      </c>
      <c r="I1969">
        <v>0.450871580218624</v>
      </c>
      <c r="J1969">
        <v>0.30908597804534998</v>
      </c>
      <c r="K1969">
        <v>0.23792775589589699</v>
      </c>
      <c r="L1969">
        <v>3895.3668110501499</v>
      </c>
      <c r="M1969">
        <v>61.964841388907402</v>
      </c>
      <c r="N1969">
        <v>63.639381553058797</v>
      </c>
      <c r="O1969">
        <v>62.798764521669703</v>
      </c>
      <c r="P1969">
        <v>-0.181321412054709</v>
      </c>
      <c r="Q1969">
        <v>0.26495366123609299</v>
      </c>
      <c r="R1969">
        <v>0.71807103545274997</v>
      </c>
      <c r="S1969" t="s">
        <v>7795</v>
      </c>
      <c r="T1969" t="s">
        <v>11650</v>
      </c>
      <c r="U1969" t="s">
        <v>11650</v>
      </c>
      <c r="V1969" t="s">
        <v>11650</v>
      </c>
      <c r="W1969" t="s">
        <v>13581</v>
      </c>
      <c r="X1969">
        <v>9</v>
      </c>
      <c r="Y1969" t="s">
        <v>19309</v>
      </c>
      <c r="Z1969" t="s">
        <v>25031</v>
      </c>
      <c r="AA1969">
        <v>0.82642733909676158</v>
      </c>
      <c r="AB1969" t="str">
        <f>HYPERLINK("Melting_Curves/meltCurve_P15529_7_CD46.pdf", "Melting_Curves/meltCurve_P15529_7_CD46.pdf")</f>
        <v>Melting_Curves/meltCurve_P15529_7_CD46.pdf</v>
      </c>
    </row>
    <row r="1970" spans="1:28" x14ac:dyDescent="0.25">
      <c r="A1970" t="s">
        <v>1974</v>
      </c>
      <c r="B1970">
        <v>0.99996721820229495</v>
      </c>
      <c r="C1970">
        <v>0.97412308780774703</v>
      </c>
      <c r="D1970">
        <v>0.93770521919864802</v>
      </c>
      <c r="E1970">
        <v>1.19908394143285</v>
      </c>
      <c r="F1970">
        <v>1.3863058574014699</v>
      </c>
      <c r="G1970">
        <v>1.62811198988313</v>
      </c>
      <c r="H1970">
        <v>1.12778248007528</v>
      </c>
      <c r="I1970">
        <v>0.63447800752004202</v>
      </c>
      <c r="J1970">
        <v>0.29780268143625399</v>
      </c>
      <c r="K1970">
        <v>0.23086255208192499</v>
      </c>
      <c r="L1970">
        <v>15000</v>
      </c>
      <c r="M1970">
        <v>234.36234974555899</v>
      </c>
      <c r="N1970">
        <v>64.209516718188198</v>
      </c>
      <c r="O1970">
        <v>63.998794033473501</v>
      </c>
      <c r="P1970">
        <v>-0.673511244993236</v>
      </c>
      <c r="Q1970">
        <v>0.26432027310289402</v>
      </c>
      <c r="R1970">
        <v>0.66087349364086601</v>
      </c>
      <c r="S1970" t="s">
        <v>7796</v>
      </c>
      <c r="T1970" t="s">
        <v>11650</v>
      </c>
      <c r="U1970" t="s">
        <v>11650</v>
      </c>
      <c r="V1970" t="s">
        <v>11650</v>
      </c>
      <c r="W1970" t="s">
        <v>13582</v>
      </c>
      <c r="X1970">
        <v>16</v>
      </c>
      <c r="Y1970" t="s">
        <v>19310</v>
      </c>
      <c r="Z1970" t="s">
        <v>25032</v>
      </c>
      <c r="AA1970">
        <v>0.85304280293209778</v>
      </c>
      <c r="AB1970" t="str">
        <f>HYPERLINK("Melting_Curves/meltCurve_P15531_NME1.pdf", "Melting_Curves/meltCurve_P15531_NME1.pdf")</f>
        <v>Melting_Curves/meltCurve_P15531_NME1.pdf</v>
      </c>
    </row>
    <row r="1971" spans="1:28" x14ac:dyDescent="0.25">
      <c r="A1971" t="s">
        <v>1975</v>
      </c>
      <c r="B1971">
        <v>0.99996721820229495</v>
      </c>
      <c r="C1971">
        <v>1.0066577428938901</v>
      </c>
      <c r="D1971">
        <v>1.0282252229002899</v>
      </c>
      <c r="E1971">
        <v>1.05332101270627</v>
      </c>
      <c r="F1971">
        <v>1.3236948009319101</v>
      </c>
      <c r="G1971">
        <v>1.41255463677467</v>
      </c>
      <c r="H1971">
        <v>1.04719210836106</v>
      </c>
      <c r="I1971">
        <v>0.88511372872662697</v>
      </c>
      <c r="J1971">
        <v>0.36286568748345899</v>
      </c>
      <c r="K1971">
        <v>0.179704726769913</v>
      </c>
      <c r="L1971">
        <v>4398.6464421481496</v>
      </c>
      <c r="M1971">
        <v>66.838679674786803</v>
      </c>
      <c r="N1971">
        <v>66.209103151601099</v>
      </c>
      <c r="O1971">
        <v>65.751058067614494</v>
      </c>
      <c r="P1971">
        <v>-0.21198615823438499</v>
      </c>
      <c r="Q1971">
        <v>0.16585363727660399</v>
      </c>
      <c r="R1971">
        <v>0.78745591198672305</v>
      </c>
      <c r="S1971" t="s">
        <v>7797</v>
      </c>
      <c r="T1971" t="s">
        <v>11650</v>
      </c>
      <c r="U1971" t="s">
        <v>11650</v>
      </c>
      <c r="V1971" t="s">
        <v>11650</v>
      </c>
      <c r="W1971" t="s">
        <v>13583</v>
      </c>
      <c r="X1971">
        <v>15</v>
      </c>
      <c r="Y1971" t="s">
        <v>19311</v>
      </c>
      <c r="Z1971" t="s">
        <v>25033</v>
      </c>
      <c r="AA1971">
        <v>0.88426576646281096</v>
      </c>
      <c r="AB1971" t="str">
        <f>HYPERLINK("Melting_Curves/meltCurve_P15586_GNS.pdf", "Melting_Curves/meltCurve_P15586_GNS.pdf")</f>
        <v>Melting_Curves/meltCurve_P15586_GNS.pdf</v>
      </c>
    </row>
    <row r="1972" spans="1:28" x14ac:dyDescent="0.25">
      <c r="A1972" t="s">
        <v>1976</v>
      </c>
      <c r="B1972">
        <v>0.99996721820229495</v>
      </c>
      <c r="C1972">
        <v>0.95199659963669203</v>
      </c>
      <c r="D1972">
        <v>0.957017125932906</v>
      </c>
      <c r="E1972">
        <v>1.02391842117239</v>
      </c>
      <c r="F1972">
        <v>1.2899852422110201</v>
      </c>
      <c r="G1972">
        <v>1.38324739731629</v>
      </c>
      <c r="H1972">
        <v>1.07315582862331</v>
      </c>
      <c r="I1972">
        <v>0.987595643307286</v>
      </c>
      <c r="J1972">
        <v>0.65170685300155096</v>
      </c>
      <c r="K1972">
        <v>0.35082842407381498</v>
      </c>
      <c r="L1972">
        <v>6009.3506051205804</v>
      </c>
      <c r="M1972">
        <v>89.797821810992403</v>
      </c>
      <c r="N1972">
        <v>67.773076254667302</v>
      </c>
      <c r="O1972">
        <v>66.887726182353504</v>
      </c>
      <c r="P1972">
        <v>-0.22207083964327101</v>
      </c>
      <c r="Q1972">
        <v>0.33834420576177698</v>
      </c>
      <c r="R1972">
        <v>0.68814579585209501</v>
      </c>
      <c r="S1972" t="s">
        <v>7798</v>
      </c>
      <c r="T1972" t="s">
        <v>11650</v>
      </c>
      <c r="U1972" t="s">
        <v>11650</v>
      </c>
      <c r="V1972" t="s">
        <v>11650</v>
      </c>
      <c r="W1972" t="s">
        <v>13584</v>
      </c>
      <c r="X1972">
        <v>20</v>
      </c>
      <c r="Y1972" t="s">
        <v>19312</v>
      </c>
      <c r="Z1972" t="s">
        <v>25034</v>
      </c>
      <c r="AA1972">
        <v>0.93234163239729606</v>
      </c>
      <c r="AB1972" t="str">
        <f>HYPERLINK("Melting_Curves/meltCurve_P15848_ARSB.pdf", "Melting_Curves/meltCurve_P15848_ARSB.pdf")</f>
        <v>Melting_Curves/meltCurve_P15848_ARSB.pdf</v>
      </c>
    </row>
    <row r="1973" spans="1:28" x14ac:dyDescent="0.25">
      <c r="A1973" t="s">
        <v>1977</v>
      </c>
      <c r="B1973">
        <v>0.99996721820229495</v>
      </c>
      <c r="C1973">
        <v>1.0165821175279901</v>
      </c>
      <c r="D1973">
        <v>0.90440478600986995</v>
      </c>
      <c r="E1973">
        <v>0.50556721198625398</v>
      </c>
      <c r="F1973">
        <v>0.32539946214110999</v>
      </c>
      <c r="G1973">
        <v>0.27068080813059697</v>
      </c>
      <c r="H1973">
        <v>0.14710885827595099</v>
      </c>
      <c r="I1973">
        <v>8.6830170825714606E-2</v>
      </c>
      <c r="J1973">
        <v>7.5039622295450401E-2</v>
      </c>
      <c r="K1973">
        <v>5.8636440412889602E-2</v>
      </c>
      <c r="L1973">
        <v>946.08862511162602</v>
      </c>
      <c r="M1973">
        <v>18.857040119821601</v>
      </c>
      <c r="N1973">
        <v>50.718938734038801</v>
      </c>
      <c r="O1973">
        <v>49.617593606821501</v>
      </c>
      <c r="P1973">
        <v>-8.62687902686846E-2</v>
      </c>
      <c r="Q1973">
        <v>9.20576986281159E-2</v>
      </c>
      <c r="R1973">
        <v>0.98606789541777196</v>
      </c>
      <c r="S1973" t="s">
        <v>7799</v>
      </c>
      <c r="T1973" t="s">
        <v>11650</v>
      </c>
      <c r="U1973" t="s">
        <v>11650</v>
      </c>
      <c r="V1973" t="s">
        <v>11650</v>
      </c>
      <c r="W1973" t="s">
        <v>13585</v>
      </c>
      <c r="X1973">
        <v>7</v>
      </c>
      <c r="Y1973" t="s">
        <v>19313</v>
      </c>
      <c r="Z1973" t="s">
        <v>25035</v>
      </c>
      <c r="AA1973">
        <v>0.41404537652117263</v>
      </c>
      <c r="AB1973" t="str">
        <f>HYPERLINK("Melting_Curves/meltCurve_P15882_CHN1.pdf", "Melting_Curves/meltCurve_P15882_CHN1.pdf")</f>
        <v>Melting_Curves/meltCurve_P15882_CHN1.pdf</v>
      </c>
    </row>
    <row r="1974" spans="1:28" x14ac:dyDescent="0.25">
      <c r="A1974" t="s">
        <v>1978</v>
      </c>
      <c r="B1974">
        <v>0.99996721820229495</v>
      </c>
      <c r="C1974">
        <v>0.85343592769833199</v>
      </c>
      <c r="D1974">
        <v>1.64633432319956</v>
      </c>
      <c r="E1974">
        <v>2.5410358005745701</v>
      </c>
      <c r="F1974">
        <v>1.5436824836038801</v>
      </c>
      <c r="G1974">
        <v>0.86266583375741801</v>
      </c>
      <c r="H1974">
        <v>0.47246899456768499</v>
      </c>
      <c r="I1974">
        <v>0.54043198615181298</v>
      </c>
      <c r="J1974">
        <v>0.36918382551025197</v>
      </c>
      <c r="K1974">
        <v>0.24608485415284001</v>
      </c>
      <c r="L1974">
        <v>2727.05501995755</v>
      </c>
      <c r="M1974">
        <v>46.2018802637809</v>
      </c>
      <c r="N1974">
        <v>60.823010114940601</v>
      </c>
      <c r="O1974">
        <v>58.914501903755799</v>
      </c>
      <c r="P1974">
        <v>-0.123037567919158</v>
      </c>
      <c r="Q1974">
        <v>0.37243345613879703</v>
      </c>
      <c r="R1974">
        <v>0.31189360746612499</v>
      </c>
      <c r="S1974" t="s">
        <v>7800</v>
      </c>
      <c r="T1974" t="s">
        <v>11650</v>
      </c>
      <c r="U1974" t="s">
        <v>11650</v>
      </c>
      <c r="V1974" t="s">
        <v>11650</v>
      </c>
      <c r="W1974" t="s">
        <v>13586</v>
      </c>
      <c r="X1974">
        <v>2</v>
      </c>
      <c r="Y1974" t="s">
        <v>19314</v>
      </c>
      <c r="Z1974" t="s">
        <v>25036</v>
      </c>
      <c r="AA1974">
        <v>0.77229740605757713</v>
      </c>
      <c r="AB1974" t="str">
        <f>HYPERLINK("Melting_Curves/meltCurve_P15924_DSP.pdf", "Melting_Curves/meltCurve_P15924_DSP.pdf")</f>
        <v>Melting_Curves/meltCurve_P15924_DSP.pdf</v>
      </c>
    </row>
    <row r="1975" spans="1:28" x14ac:dyDescent="0.25">
      <c r="A1975" t="s">
        <v>1979</v>
      </c>
      <c r="B1975">
        <v>0.99996721820229495</v>
      </c>
      <c r="C1975">
        <v>1.0599428572815199</v>
      </c>
      <c r="D1975">
        <v>1.09357470012113</v>
      </c>
      <c r="E1975">
        <v>1.0295732866465499</v>
      </c>
      <c r="F1975">
        <v>1.2705556610803099</v>
      </c>
      <c r="G1975">
        <v>0.89066966074236498</v>
      </c>
      <c r="H1975">
        <v>0.26419631969659102</v>
      </c>
      <c r="I1975">
        <v>0.51762044222637005</v>
      </c>
      <c r="J1975">
        <v>7.9810313426093807E-2</v>
      </c>
      <c r="K1975">
        <v>6.13395241638744E-2</v>
      </c>
      <c r="L1975">
        <v>3064.1846005068101</v>
      </c>
      <c r="M1975">
        <v>52.001941471731897</v>
      </c>
      <c r="N1975">
        <v>59.506009025319102</v>
      </c>
      <c r="O1975">
        <v>58.837483891139101</v>
      </c>
      <c r="P1975">
        <v>-0.17693653152406899</v>
      </c>
      <c r="Q1975">
        <v>0.19922279660693601</v>
      </c>
      <c r="R1975">
        <v>0.88261124004539304</v>
      </c>
      <c r="S1975" t="s">
        <v>7801</v>
      </c>
      <c r="T1975" t="s">
        <v>11650</v>
      </c>
      <c r="U1975" t="s">
        <v>11650</v>
      </c>
      <c r="V1975" t="s">
        <v>11650</v>
      </c>
      <c r="W1975" t="s">
        <v>13587</v>
      </c>
      <c r="X1975">
        <v>6</v>
      </c>
      <c r="Y1975" t="s">
        <v>19315</v>
      </c>
      <c r="Z1975" t="s">
        <v>25037</v>
      </c>
      <c r="AA1975">
        <v>0.70627587050387253</v>
      </c>
      <c r="AB1975" t="str">
        <f>HYPERLINK("Melting_Curves/meltCurve_P15927_RPA2.pdf", "Melting_Curves/meltCurve_P15927_RPA2.pdf")</f>
        <v>Melting_Curves/meltCurve_P15927_RPA2.pdf</v>
      </c>
    </row>
    <row r="1976" spans="1:28" x14ac:dyDescent="0.25">
      <c r="A1976" t="s">
        <v>1980</v>
      </c>
      <c r="B1976">
        <v>0.99996721820229495</v>
      </c>
      <c r="C1976">
        <v>1.0040289091143599</v>
      </c>
      <c r="D1976">
        <v>1.0006314145774899</v>
      </c>
      <c r="E1976">
        <v>0.99886172941825702</v>
      </c>
      <c r="F1976">
        <v>1.19859555732729</v>
      </c>
      <c r="G1976">
        <v>1.4362102387924101</v>
      </c>
      <c r="H1976">
        <v>1.16203398486123</v>
      </c>
      <c r="I1976">
        <v>1.1535902071525199</v>
      </c>
      <c r="J1976">
        <v>0.99206484160072494</v>
      </c>
      <c r="K1976">
        <v>0.59594615699759701</v>
      </c>
      <c r="L1976">
        <v>7245.4071537308901</v>
      </c>
      <c r="M1976">
        <v>103.16468094045101</v>
      </c>
      <c r="Q1976">
        <v>2.85454136404087E-2</v>
      </c>
      <c r="R1976">
        <v>0.32388673714733102</v>
      </c>
      <c r="S1976" t="s">
        <v>7802</v>
      </c>
      <c r="T1976" t="s">
        <v>11650</v>
      </c>
      <c r="U1976" t="s">
        <v>11650</v>
      </c>
      <c r="V1976" t="s">
        <v>11650</v>
      </c>
      <c r="W1976" t="s">
        <v>13588</v>
      </c>
      <c r="X1976">
        <v>10</v>
      </c>
      <c r="Y1976" t="s">
        <v>19316</v>
      </c>
      <c r="Z1976" t="s">
        <v>25038</v>
      </c>
      <c r="AA1976">
        <v>0.98849055405040442</v>
      </c>
      <c r="AB1976" t="str">
        <f>HYPERLINK("Melting_Curves/meltCurve_P16035_TIMP2.pdf", "Melting_Curves/meltCurve_P16035_TIMP2.pdf")</f>
        <v>Melting_Curves/meltCurve_P16035_TIMP2.pdf</v>
      </c>
    </row>
    <row r="1977" spans="1:28" x14ac:dyDescent="0.25">
      <c r="A1977" t="s">
        <v>1981</v>
      </c>
      <c r="B1977">
        <v>0.99996721820229495</v>
      </c>
      <c r="C1977">
        <v>1.04101388400399</v>
      </c>
      <c r="D1977">
        <v>0.96760912663138898</v>
      </c>
      <c r="E1977">
        <v>0.81172450137060204</v>
      </c>
      <c r="F1977">
        <v>0.54972313692024999</v>
      </c>
      <c r="G1977">
        <v>0.24743036750655401</v>
      </c>
      <c r="H1977">
        <v>0.12665164832463499</v>
      </c>
      <c r="I1977">
        <v>7.8645072357317894E-2</v>
      </c>
      <c r="J1977">
        <v>5.4421333333634199E-2</v>
      </c>
      <c r="K1977">
        <v>4.6384284980890901E-2</v>
      </c>
      <c r="L1977">
        <v>1103.16192552303</v>
      </c>
      <c r="M1977">
        <v>20.676521273283601</v>
      </c>
      <c r="N1977">
        <v>53.6069913346577</v>
      </c>
      <c r="O1977">
        <v>52.8618338864935</v>
      </c>
      <c r="P1977">
        <v>-9.3231869817708299E-2</v>
      </c>
      <c r="Q1977">
        <v>4.6596779161276101E-2</v>
      </c>
      <c r="R1977">
        <v>0.99844848455437096</v>
      </c>
      <c r="S1977" t="s">
        <v>7803</v>
      </c>
      <c r="T1977" t="s">
        <v>11650</v>
      </c>
      <c r="U1977" t="s">
        <v>11650</v>
      </c>
      <c r="V1977" t="s">
        <v>11650</v>
      </c>
      <c r="W1977" t="s">
        <v>13589</v>
      </c>
      <c r="X1977">
        <v>24</v>
      </c>
      <c r="Y1977" t="s">
        <v>19317</v>
      </c>
      <c r="Z1977" t="s">
        <v>25039</v>
      </c>
      <c r="AA1977">
        <v>0.48332180541894049</v>
      </c>
      <c r="AB1977" t="str">
        <f>HYPERLINK("Melting_Curves/meltCurve_P16152_CBR1.pdf", "Melting_Curves/meltCurve_P16152_CBR1.pdf")</f>
        <v>Melting_Curves/meltCurve_P16152_CBR1.pdf</v>
      </c>
    </row>
    <row r="1978" spans="1:28" x14ac:dyDescent="0.25">
      <c r="A1978" t="s">
        <v>1982</v>
      </c>
      <c r="B1978">
        <v>0.99996721820229495</v>
      </c>
      <c r="C1978">
        <v>1.12638744867812</v>
      </c>
      <c r="D1978">
        <v>1.2017894597922101</v>
      </c>
      <c r="E1978">
        <v>1.5091212758080601</v>
      </c>
      <c r="F1978">
        <v>1.4543114852651999</v>
      </c>
      <c r="G1978">
        <v>0.98800270862257</v>
      </c>
      <c r="H1978">
        <v>0.47150273273021798</v>
      </c>
      <c r="I1978">
        <v>0.22067270012717599</v>
      </c>
      <c r="J1978">
        <v>0.153041466910673</v>
      </c>
      <c r="K1978">
        <v>0.12607491763608999</v>
      </c>
      <c r="L1978">
        <v>3346.3510622037302</v>
      </c>
      <c r="M1978">
        <v>55.312554882444999</v>
      </c>
      <c r="N1978">
        <v>60.891644656004601</v>
      </c>
      <c r="O1978">
        <v>60.420017006047402</v>
      </c>
      <c r="P1978">
        <v>-0.19453317879728299</v>
      </c>
      <c r="Q1978">
        <v>0.15001638695435801</v>
      </c>
      <c r="R1978">
        <v>0.797036398018521</v>
      </c>
      <c r="S1978" t="s">
        <v>7804</v>
      </c>
      <c r="T1978" t="s">
        <v>11650</v>
      </c>
      <c r="U1978" t="s">
        <v>11650</v>
      </c>
      <c r="V1978" t="s">
        <v>11650</v>
      </c>
      <c r="W1978" t="s">
        <v>13590</v>
      </c>
      <c r="X1978">
        <v>6</v>
      </c>
      <c r="Y1978" t="s">
        <v>19318</v>
      </c>
      <c r="Z1978" t="s">
        <v>25040</v>
      </c>
      <c r="AA1978">
        <v>0.73263636002094923</v>
      </c>
      <c r="AB1978" t="str">
        <f>HYPERLINK("Melting_Curves/meltCurve_P16219_ACADS.pdf", "Melting_Curves/meltCurve_P16219_ACADS.pdf")</f>
        <v>Melting_Curves/meltCurve_P16219_ACADS.pdf</v>
      </c>
    </row>
    <row r="1979" spans="1:28" x14ac:dyDescent="0.25">
      <c r="A1979" t="s">
        <v>1983</v>
      </c>
      <c r="B1979">
        <v>0.99996721820229495</v>
      </c>
      <c r="C1979">
        <v>0.89858154145162195</v>
      </c>
      <c r="D1979">
        <v>1.0318473121278799</v>
      </c>
      <c r="E1979">
        <v>1.1948663859190101</v>
      </c>
      <c r="F1979">
        <v>1.29245899138863</v>
      </c>
      <c r="G1979">
        <v>0.76528836878597195</v>
      </c>
      <c r="H1979">
        <v>0.43128134168746302</v>
      </c>
      <c r="I1979">
        <v>0.27250392258211698</v>
      </c>
      <c r="J1979">
        <v>0.198248105057791</v>
      </c>
      <c r="K1979">
        <v>0.15989206538102799</v>
      </c>
      <c r="L1979">
        <v>2024.28833396286</v>
      </c>
      <c r="M1979">
        <v>34.142261232385799</v>
      </c>
      <c r="N1979">
        <v>60.101025394439198</v>
      </c>
      <c r="O1979">
        <v>59.087527812772301</v>
      </c>
      <c r="P1979">
        <v>-0.117787108286507</v>
      </c>
      <c r="Q1979">
        <v>0.18462094327185</v>
      </c>
      <c r="R1979">
        <v>0.90775439177629302</v>
      </c>
      <c r="S1979" t="s">
        <v>7805</v>
      </c>
      <c r="T1979" t="s">
        <v>11650</v>
      </c>
      <c r="U1979" t="s">
        <v>11650</v>
      </c>
      <c r="V1979" t="s">
        <v>11650</v>
      </c>
      <c r="W1979" t="s">
        <v>13591</v>
      </c>
      <c r="X1979">
        <v>12</v>
      </c>
      <c r="Y1979" t="s">
        <v>19319</v>
      </c>
      <c r="Z1979" t="s">
        <v>25041</v>
      </c>
      <c r="AA1979">
        <v>0.71312710286808167</v>
      </c>
      <c r="AB1979" t="str">
        <f>HYPERLINK("Melting_Curves/meltCurve_P16234_PDGFRA.pdf", "Melting_Curves/meltCurve_P16234_PDGFRA.pdf")</f>
        <v>Melting_Curves/meltCurve_P16234_PDGFRA.pdf</v>
      </c>
    </row>
    <row r="1980" spans="1:28" x14ac:dyDescent="0.25">
      <c r="A1980" t="s">
        <v>1984</v>
      </c>
      <c r="B1980">
        <v>0.99996721820229495</v>
      </c>
      <c r="C1980">
        <v>0.82404765456013995</v>
      </c>
      <c r="D1980">
        <v>0.95442647901229405</v>
      </c>
      <c r="E1980">
        <v>1.1414055999294801</v>
      </c>
      <c r="F1980">
        <v>1.38272158183002</v>
      </c>
      <c r="G1980">
        <v>1.3580745117178901</v>
      </c>
      <c r="H1980">
        <v>0.84483835056247603</v>
      </c>
      <c r="I1980">
        <v>0.424342106208488</v>
      </c>
      <c r="J1980">
        <v>0.156391655200744</v>
      </c>
      <c r="K1980">
        <v>9.1514012917984999E-2</v>
      </c>
      <c r="L1980">
        <v>3155.4321065499298</v>
      </c>
      <c r="M1980">
        <v>49.896692261495097</v>
      </c>
      <c r="N1980">
        <v>63.508034075317397</v>
      </c>
      <c r="O1980">
        <v>63.137980694773802</v>
      </c>
      <c r="P1980">
        <v>-0.178768038339637</v>
      </c>
      <c r="Q1980">
        <v>9.5167119467627306E-2</v>
      </c>
      <c r="R1980">
        <v>0.82432506739049005</v>
      </c>
      <c r="S1980" t="s">
        <v>7806</v>
      </c>
      <c r="T1980" t="s">
        <v>11650</v>
      </c>
      <c r="U1980" t="s">
        <v>11650</v>
      </c>
      <c r="V1980" t="s">
        <v>11650</v>
      </c>
      <c r="W1980" t="s">
        <v>13592</v>
      </c>
      <c r="X1980">
        <v>2</v>
      </c>
      <c r="Y1980" t="s">
        <v>19320</v>
      </c>
      <c r="Z1980" t="s">
        <v>25042</v>
      </c>
      <c r="AA1980">
        <v>0.79822995721367862</v>
      </c>
      <c r="AB1980" t="str">
        <f>HYPERLINK("Melting_Curves/meltCurve_P16260_SLC25A16.pdf", "Melting_Curves/meltCurve_P16260_SLC25A16.pdf")</f>
        <v>Melting_Curves/meltCurve_P16260_SLC25A16.pdf</v>
      </c>
    </row>
    <row r="1981" spans="1:28" x14ac:dyDescent="0.25">
      <c r="A1981" t="s">
        <v>1985</v>
      </c>
      <c r="B1981">
        <v>0.99996721820229495</v>
      </c>
      <c r="C1981">
        <v>0.96514114227919101</v>
      </c>
      <c r="D1981">
        <v>1.00517127421095</v>
      </c>
      <c r="E1981">
        <v>1.0815534832990601</v>
      </c>
      <c r="F1981">
        <v>1.3838483749316901</v>
      </c>
      <c r="G1981">
        <v>1.5699081455752799</v>
      </c>
      <c r="H1981">
        <v>0.86150798958463604</v>
      </c>
      <c r="I1981">
        <v>0.42785027128728098</v>
      </c>
      <c r="J1981">
        <v>0.35778568398352001</v>
      </c>
      <c r="K1981">
        <v>0.22366986292355001</v>
      </c>
      <c r="L1981">
        <v>3899.12795263514</v>
      </c>
      <c r="M1981">
        <v>62.322628722181499</v>
      </c>
      <c r="N1981">
        <v>63.417987299440803</v>
      </c>
      <c r="O1981">
        <v>62.499279097344797</v>
      </c>
      <c r="P1981">
        <v>-0.17847838728718701</v>
      </c>
      <c r="Q1981">
        <v>0.284063151324976</v>
      </c>
      <c r="R1981">
        <v>0.71443349585862204</v>
      </c>
      <c r="S1981" t="s">
        <v>7807</v>
      </c>
      <c r="T1981" t="s">
        <v>11650</v>
      </c>
      <c r="U1981" t="s">
        <v>11650</v>
      </c>
      <c r="V1981" t="s">
        <v>11650</v>
      </c>
      <c r="W1981" t="s">
        <v>13593</v>
      </c>
      <c r="X1981">
        <v>20</v>
      </c>
      <c r="Y1981" t="s">
        <v>19321</v>
      </c>
      <c r="Z1981" t="s">
        <v>25043</v>
      </c>
      <c r="AA1981">
        <v>0.82376126286832085</v>
      </c>
      <c r="AB1981" t="str">
        <f>HYPERLINK("Melting_Curves/meltCurve_P16278_3_GLB1.pdf", "Melting_Curves/meltCurve_P16278_3_GLB1.pdf")</f>
        <v>Melting_Curves/meltCurve_P16278_3_GLB1.pdf</v>
      </c>
    </row>
    <row r="1982" spans="1:28" x14ac:dyDescent="0.25">
      <c r="A1982" t="s">
        <v>1986</v>
      </c>
      <c r="B1982">
        <v>0.99996721820229495</v>
      </c>
      <c r="C1982">
        <v>1.00319717755743</v>
      </c>
      <c r="D1982">
        <v>1.0011830147087899</v>
      </c>
      <c r="E1982">
        <v>0.980671126684589</v>
      </c>
      <c r="F1982">
        <v>0.82301517559618897</v>
      </c>
      <c r="G1982">
        <v>0.52111824621869995</v>
      </c>
      <c r="H1982">
        <v>0.27917801502475298</v>
      </c>
      <c r="I1982">
        <v>0.18802583268985901</v>
      </c>
      <c r="J1982">
        <v>0.13652091419770301</v>
      </c>
      <c r="K1982">
        <v>9.7038152514454801E-2</v>
      </c>
      <c r="L1982">
        <v>1173.5679656263901</v>
      </c>
      <c r="M1982">
        <v>20.6629793561913</v>
      </c>
      <c r="N1982">
        <v>57.384490974341801</v>
      </c>
      <c r="O1982">
        <v>56.271746276596197</v>
      </c>
      <c r="P1982">
        <v>-8.3033135881500394E-2</v>
      </c>
      <c r="Q1982">
        <v>9.5525227786639702E-2</v>
      </c>
      <c r="R1982">
        <v>0.99873866749065698</v>
      </c>
      <c r="S1982" t="s">
        <v>7808</v>
      </c>
      <c r="T1982" t="s">
        <v>11650</v>
      </c>
      <c r="U1982" t="s">
        <v>11650</v>
      </c>
      <c r="V1982" t="s">
        <v>11650</v>
      </c>
      <c r="W1982" t="s">
        <v>13594</v>
      </c>
      <c r="X1982">
        <v>21</v>
      </c>
      <c r="Y1982" t="s">
        <v>19322</v>
      </c>
      <c r="Z1982" t="s">
        <v>25044</v>
      </c>
      <c r="AA1982">
        <v>0.61265999509831059</v>
      </c>
      <c r="AB1982" t="str">
        <f>HYPERLINK("Melting_Curves/meltCurve_P16298_PPP3CB.pdf", "Melting_Curves/meltCurve_P16298_PPP3CB.pdf")</f>
        <v>Melting_Curves/meltCurve_P16298_PPP3CB.pdf</v>
      </c>
    </row>
    <row r="1983" spans="1:28" x14ac:dyDescent="0.25">
      <c r="A1983" t="s">
        <v>1987</v>
      </c>
      <c r="B1983">
        <v>0.99996721820229495</v>
      </c>
      <c r="C1983">
        <v>1.1171261143311999</v>
      </c>
      <c r="D1983">
        <v>0.88568879337332995</v>
      </c>
      <c r="E1983">
        <v>0.40416882272379401</v>
      </c>
      <c r="F1983">
        <v>0.343718465685455</v>
      </c>
      <c r="G1983">
        <v>0.23561966982868199</v>
      </c>
      <c r="H1983">
        <v>0.16012007034529399</v>
      </c>
      <c r="I1983">
        <v>0.121325630326115</v>
      </c>
      <c r="J1983">
        <v>9.3731777015650095E-2</v>
      </c>
      <c r="K1983">
        <v>8.2730015534222795E-2</v>
      </c>
      <c r="L1983">
        <v>1203.64424540088</v>
      </c>
      <c r="M1983">
        <v>24.474091457027701</v>
      </c>
      <c r="N1983">
        <v>49.825904834918397</v>
      </c>
      <c r="O1983">
        <v>48.855528523776599</v>
      </c>
      <c r="P1983">
        <v>-0.108223055879165</v>
      </c>
      <c r="Q1983">
        <v>0.13586707539752599</v>
      </c>
      <c r="R1983">
        <v>0.97017308637155097</v>
      </c>
      <c r="S1983" t="s">
        <v>7809</v>
      </c>
      <c r="T1983" t="s">
        <v>11650</v>
      </c>
      <c r="U1983" t="s">
        <v>11650</v>
      </c>
      <c r="V1983" t="s">
        <v>11650</v>
      </c>
      <c r="W1983" t="s">
        <v>13595</v>
      </c>
      <c r="X1983">
        <v>18</v>
      </c>
      <c r="Y1983" t="s">
        <v>19323</v>
      </c>
      <c r="Z1983" t="s">
        <v>25045</v>
      </c>
      <c r="AA1983">
        <v>0.40831028391311791</v>
      </c>
      <c r="AB1983" t="str">
        <f>HYPERLINK("Melting_Curves/meltCurve_P16333_NCK1.pdf", "Melting_Curves/meltCurve_P16333_NCK1.pdf")</f>
        <v>Melting_Curves/meltCurve_P16333_NCK1.pdf</v>
      </c>
    </row>
    <row r="1984" spans="1:28" x14ac:dyDescent="0.25">
      <c r="A1984" t="s">
        <v>1988</v>
      </c>
      <c r="B1984">
        <v>0.99996721820229495</v>
      </c>
      <c r="C1984">
        <v>1.09754822596471</v>
      </c>
      <c r="D1984">
        <v>0.84003273828409597</v>
      </c>
      <c r="E1984">
        <v>0.41441950226846902</v>
      </c>
      <c r="F1984">
        <v>0.50227986904950295</v>
      </c>
      <c r="G1984">
        <v>0.43856574914007501</v>
      </c>
      <c r="H1984">
        <v>0.32130335224489298</v>
      </c>
      <c r="I1984">
        <v>0.227648606692992</v>
      </c>
      <c r="J1984">
        <v>0.22008514215998401</v>
      </c>
      <c r="K1984">
        <v>0.14514325617426599</v>
      </c>
      <c r="L1984">
        <v>817.32674182078904</v>
      </c>
      <c r="M1984">
        <v>16.562810950354802</v>
      </c>
      <c r="N1984">
        <v>51.347297430072103</v>
      </c>
      <c r="O1984">
        <v>48.644577285243699</v>
      </c>
      <c r="P1984">
        <v>-6.4890851703181096E-2</v>
      </c>
      <c r="Q1984">
        <v>0.237720726363123</v>
      </c>
      <c r="R1984">
        <v>0.91556721650147099</v>
      </c>
      <c r="S1984" t="s">
        <v>7810</v>
      </c>
      <c r="T1984" t="s">
        <v>11650</v>
      </c>
      <c r="U1984" t="s">
        <v>11650</v>
      </c>
      <c r="V1984" t="s">
        <v>11650</v>
      </c>
      <c r="W1984" t="s">
        <v>13596</v>
      </c>
      <c r="X1984">
        <v>6</v>
      </c>
      <c r="Y1984" t="s">
        <v>19324</v>
      </c>
      <c r="Z1984" t="s">
        <v>25046</v>
      </c>
      <c r="AA1984">
        <v>0.4906445360473749</v>
      </c>
      <c r="AB1984" t="str">
        <f>HYPERLINK("Melting_Curves/meltCurve_P16383_GCFC2.pdf", "Melting_Curves/meltCurve_P16383_GCFC2.pdf")</f>
        <v>Melting_Curves/meltCurve_P16383_GCFC2.pdf</v>
      </c>
    </row>
    <row r="1985" spans="1:28" x14ac:dyDescent="0.25">
      <c r="A1985" t="s">
        <v>1989</v>
      </c>
      <c r="B1985">
        <v>0.99996721820229495</v>
      </c>
      <c r="C1985">
        <v>1.15267217729209</v>
      </c>
      <c r="D1985">
        <v>1.16563172084414</v>
      </c>
      <c r="E1985">
        <v>1.53208240620306</v>
      </c>
      <c r="F1985">
        <v>2.4312959060721</v>
      </c>
      <c r="G1985">
        <v>2.4638170306571698</v>
      </c>
      <c r="H1985">
        <v>2.0519702970482099</v>
      </c>
      <c r="I1985">
        <v>2.00009132949886</v>
      </c>
      <c r="J1985">
        <v>0.60405278460884504</v>
      </c>
      <c r="K1985">
        <v>1.3041174940525599</v>
      </c>
      <c r="L1985">
        <v>3513.6799119791499</v>
      </c>
      <c r="M1985">
        <v>75.703281104431397</v>
      </c>
      <c r="O1985">
        <v>46.381481790094298</v>
      </c>
      <c r="P1985">
        <v>0.20402348761868999</v>
      </c>
      <c r="Q1985">
        <v>1.5</v>
      </c>
      <c r="R1985">
        <v>0.112924313994733</v>
      </c>
      <c r="S1985" t="s">
        <v>7811</v>
      </c>
      <c r="T1985" t="s">
        <v>11650</v>
      </c>
      <c r="U1985" t="s">
        <v>11650</v>
      </c>
      <c r="V1985" t="s">
        <v>11650</v>
      </c>
      <c r="W1985" t="s">
        <v>13597</v>
      </c>
      <c r="X1985">
        <v>2</v>
      </c>
      <c r="Y1985" t="s">
        <v>19325</v>
      </c>
      <c r="Z1985" t="s">
        <v>25047</v>
      </c>
      <c r="AA1985">
        <v>1.392657500922408</v>
      </c>
      <c r="AB1985" t="str">
        <f>HYPERLINK("Melting_Curves/meltCurve_P16401_HIST1H1B.pdf", "Melting_Curves/meltCurve_P16401_HIST1H1B.pdf")</f>
        <v>Melting_Curves/meltCurve_P16401_HIST1H1B.pdf</v>
      </c>
    </row>
    <row r="1986" spans="1:28" x14ac:dyDescent="0.25">
      <c r="A1986" t="s">
        <v>1990</v>
      </c>
      <c r="B1986">
        <v>0.99996721820229495</v>
      </c>
      <c r="C1986">
        <v>1.0240708371264999</v>
      </c>
      <c r="D1986">
        <v>1.0968196970050501</v>
      </c>
      <c r="E1986">
        <v>1.34339832839747</v>
      </c>
      <c r="F1986">
        <v>2.0420479208973901</v>
      </c>
      <c r="G1986">
        <v>2.43721067487464</v>
      </c>
      <c r="H1986">
        <v>1.6944873962404301</v>
      </c>
      <c r="I1986">
        <v>1.81928514606186</v>
      </c>
      <c r="J1986">
        <v>0.76153306431229395</v>
      </c>
      <c r="K1986">
        <v>0.86495303730038997</v>
      </c>
      <c r="L1986">
        <v>2342.0976353123001</v>
      </c>
      <c r="M1986">
        <v>48.743060866209802</v>
      </c>
      <c r="O1986">
        <v>47.969198500869503</v>
      </c>
      <c r="P1986">
        <v>0.127016680820218</v>
      </c>
      <c r="Q1986">
        <v>1.5</v>
      </c>
      <c r="R1986">
        <v>0.198063949997491</v>
      </c>
      <c r="S1986" t="s">
        <v>7812</v>
      </c>
      <c r="T1986" t="s">
        <v>11650</v>
      </c>
      <c r="U1986" t="s">
        <v>11650</v>
      </c>
      <c r="V1986" t="s">
        <v>11650</v>
      </c>
      <c r="W1986" t="s">
        <v>13598</v>
      </c>
      <c r="X1986">
        <v>5</v>
      </c>
      <c r="Y1986" t="s">
        <v>19326</v>
      </c>
      <c r="Z1986" t="s">
        <v>25048</v>
      </c>
      <c r="AA1986">
        <v>1.364719498938274</v>
      </c>
      <c r="AB1986" t="str">
        <f>HYPERLINK("Melting_Curves/meltCurve_P16403_HIST1H1C.pdf", "Melting_Curves/meltCurve_P16403_HIST1H1C.pdf")</f>
        <v>Melting_Curves/meltCurve_P16403_HIST1H1C.pdf</v>
      </c>
    </row>
    <row r="1987" spans="1:28" x14ac:dyDescent="0.25">
      <c r="A1987" t="s">
        <v>1991</v>
      </c>
      <c r="B1987">
        <v>0.99996721820229495</v>
      </c>
      <c r="C1987">
        <v>0.72184648465891699</v>
      </c>
      <c r="D1987">
        <v>0.89236569841900704</v>
      </c>
      <c r="E1987">
        <v>0.80039552078299503</v>
      </c>
      <c r="F1987">
        <v>0.51464478852384299</v>
      </c>
      <c r="G1987">
        <v>0.33044001087980401</v>
      </c>
      <c r="H1987">
        <v>0.18460860775900001</v>
      </c>
      <c r="I1987">
        <v>0.12355821433271801</v>
      </c>
      <c r="J1987">
        <v>8.9728667614574806E-2</v>
      </c>
      <c r="K1987">
        <v>7.8935519874236804E-2</v>
      </c>
      <c r="L1987">
        <v>606.71340133082902</v>
      </c>
      <c r="M1987">
        <v>11.299169762743199</v>
      </c>
      <c r="N1987">
        <v>53.695396004667302</v>
      </c>
      <c r="O1987">
        <v>52.095974343803697</v>
      </c>
      <c r="P1987">
        <v>-5.4239350557634403E-2</v>
      </c>
      <c r="Q1987">
        <v>0</v>
      </c>
      <c r="R1987">
        <v>0.94544865404022504</v>
      </c>
      <c r="S1987" t="s">
        <v>7813</v>
      </c>
      <c r="T1987" t="s">
        <v>11650</v>
      </c>
      <c r="U1987" t="s">
        <v>11650</v>
      </c>
      <c r="V1987" t="s">
        <v>11650</v>
      </c>
      <c r="W1987" t="s">
        <v>13599</v>
      </c>
      <c r="X1987">
        <v>25</v>
      </c>
      <c r="Y1987" t="s">
        <v>19327</v>
      </c>
      <c r="Z1987" t="s">
        <v>25049</v>
      </c>
      <c r="AA1987">
        <v>0.48494970086205902</v>
      </c>
      <c r="AB1987" t="str">
        <f>HYPERLINK("Melting_Curves/meltCurve_P16435_POR.pdf", "Melting_Curves/meltCurve_P16435_POR.pdf")</f>
        <v>Melting_Curves/meltCurve_P16435_POR.pdf</v>
      </c>
    </row>
    <row r="1988" spans="1:28" x14ac:dyDescent="0.25">
      <c r="A1988" t="s">
        <v>1992</v>
      </c>
      <c r="B1988">
        <v>0.99996721820229495</v>
      </c>
      <c r="C1988">
        <v>0.94708632289908901</v>
      </c>
      <c r="D1988">
        <v>0.68393462575998698</v>
      </c>
      <c r="E1988">
        <v>0.39525306421911499</v>
      </c>
      <c r="F1988">
        <v>0.21680422975328101</v>
      </c>
      <c r="G1988">
        <v>0.157880262008918</v>
      </c>
      <c r="H1988">
        <v>7.9485651536867805E-2</v>
      </c>
      <c r="I1988">
        <v>6.3371241823344901E-2</v>
      </c>
      <c r="J1988">
        <v>4.0202132260390197E-2</v>
      </c>
      <c r="K1988">
        <v>3.5378204428068903E-2</v>
      </c>
      <c r="L1988">
        <v>824.39040850649803</v>
      </c>
      <c r="M1988">
        <v>17.055271217775498</v>
      </c>
      <c r="N1988">
        <v>48.630578598977699</v>
      </c>
      <c r="O1988">
        <v>47.686555693193597</v>
      </c>
      <c r="P1988">
        <v>-8.5036143552219196E-2</v>
      </c>
      <c r="Q1988">
        <v>4.9013448839661099E-2</v>
      </c>
      <c r="R1988">
        <v>0.99503161490261505</v>
      </c>
      <c r="S1988" t="s">
        <v>7814</v>
      </c>
      <c r="T1988" t="s">
        <v>11650</v>
      </c>
      <c r="U1988" t="s">
        <v>11650</v>
      </c>
      <c r="V1988" t="s">
        <v>11650</v>
      </c>
      <c r="W1988" t="s">
        <v>13600</v>
      </c>
      <c r="X1988">
        <v>5</v>
      </c>
      <c r="Y1988" t="s">
        <v>19328</v>
      </c>
      <c r="Z1988" t="s">
        <v>25050</v>
      </c>
      <c r="AA1988">
        <v>0.3319363672566446</v>
      </c>
      <c r="AB1988" t="str">
        <f>HYPERLINK("Melting_Curves/meltCurve_P16455_MGMT.pdf", "Melting_Curves/meltCurve_P16455_MGMT.pdf")</f>
        <v>Melting_Curves/meltCurve_P16455_MGMT.pdf</v>
      </c>
    </row>
    <row r="1989" spans="1:28" x14ac:dyDescent="0.25">
      <c r="A1989" t="s">
        <v>1993</v>
      </c>
      <c r="B1989">
        <v>0.99996721820229495</v>
      </c>
      <c r="C1989">
        <v>0.83862439504279196</v>
      </c>
      <c r="D1989">
        <v>0.45574593772161598</v>
      </c>
      <c r="E1989">
        <v>0.239627335076669</v>
      </c>
      <c r="F1989">
        <v>0.28278978425995899</v>
      </c>
      <c r="G1989">
        <v>0.25331416538478402</v>
      </c>
      <c r="H1989">
        <v>0.174231054198628</v>
      </c>
      <c r="I1989">
        <v>0.11878077241476299</v>
      </c>
      <c r="J1989">
        <v>0.10158058976838701</v>
      </c>
      <c r="K1989">
        <v>8.6427671675304102E-2</v>
      </c>
      <c r="L1989">
        <v>1097.6168479361299</v>
      </c>
      <c r="M1989">
        <v>24.301068492644202</v>
      </c>
      <c r="N1989">
        <v>45.907535960763703</v>
      </c>
      <c r="O1989">
        <v>44.864919425493099</v>
      </c>
      <c r="P1989">
        <v>-0.113467731755603</v>
      </c>
      <c r="Q1989">
        <v>0.16207107031923501</v>
      </c>
      <c r="R1989">
        <v>0.96569007962910103</v>
      </c>
      <c r="S1989" t="s">
        <v>7815</v>
      </c>
      <c r="T1989" t="s">
        <v>11650</v>
      </c>
      <c r="U1989" t="s">
        <v>11650</v>
      </c>
      <c r="V1989" t="s">
        <v>11650</v>
      </c>
      <c r="W1989" t="s">
        <v>13601</v>
      </c>
      <c r="X1989">
        <v>4</v>
      </c>
      <c r="Y1989" t="s">
        <v>19329</v>
      </c>
      <c r="Z1989" t="s">
        <v>25051</v>
      </c>
      <c r="AA1989">
        <v>0.31518992515595051</v>
      </c>
      <c r="AB1989" t="str">
        <f>HYPERLINK("Melting_Curves/meltCurve_P16591_3_FER.pdf", "Melting_Curves/meltCurve_P16591_3_FER.pdf")</f>
        <v>Melting_Curves/meltCurve_P16591_3_FER.pdf</v>
      </c>
    </row>
    <row r="1990" spans="1:28" x14ac:dyDescent="0.25">
      <c r="A1990" t="s">
        <v>1994</v>
      </c>
      <c r="B1990">
        <v>0.99996721820229495</v>
      </c>
      <c r="C1990">
        <v>0.69750833232235199</v>
      </c>
      <c r="D1990">
        <v>1.0510664896009601</v>
      </c>
      <c r="E1990">
        <v>1.1352883266798199</v>
      </c>
      <c r="F1990">
        <v>0.40427566924166702</v>
      </c>
      <c r="G1990">
        <v>0.328796871847095</v>
      </c>
      <c r="H1990">
        <v>0.195660274069374</v>
      </c>
      <c r="I1990">
        <v>0.13539870212319999</v>
      </c>
      <c r="J1990">
        <v>0.106756344706969</v>
      </c>
      <c r="K1990">
        <v>8.9149042096572401E-2</v>
      </c>
      <c r="L1990">
        <v>13200.275072644101</v>
      </c>
      <c r="M1990">
        <v>250</v>
      </c>
      <c r="N1990">
        <v>52.889747068731097</v>
      </c>
      <c r="O1990">
        <v>52.797721505861603</v>
      </c>
      <c r="P1990">
        <v>-0.98115955418228695</v>
      </c>
      <c r="Q1990">
        <v>0.17115218078581401</v>
      </c>
      <c r="R1990">
        <v>0.90515283951097902</v>
      </c>
      <c r="S1990" t="s">
        <v>7816</v>
      </c>
      <c r="T1990" t="s">
        <v>11650</v>
      </c>
      <c r="U1990" t="s">
        <v>11650</v>
      </c>
      <c r="V1990" t="s">
        <v>11650</v>
      </c>
      <c r="W1990" t="s">
        <v>13602</v>
      </c>
      <c r="X1990">
        <v>29</v>
      </c>
      <c r="Y1990" t="s">
        <v>19330</v>
      </c>
      <c r="Z1990" t="s">
        <v>25052</v>
      </c>
      <c r="AA1990">
        <v>0.52490112137240541</v>
      </c>
      <c r="AB1990" t="str">
        <f>HYPERLINK("Melting_Curves/meltCurve_P16615_ATP2A2.pdf", "Melting_Curves/meltCurve_P16615_ATP2A2.pdf")</f>
        <v>Melting_Curves/meltCurve_P16615_ATP2A2.pdf</v>
      </c>
    </row>
    <row r="1991" spans="1:28" x14ac:dyDescent="0.25">
      <c r="A1991" t="s">
        <v>1995</v>
      </c>
      <c r="B1991">
        <v>0.99996721820229495</v>
      </c>
      <c r="C1991">
        <v>0.97813698325723397</v>
      </c>
      <c r="D1991">
        <v>1.05045322124829</v>
      </c>
      <c r="E1991">
        <v>1.0515625058520801</v>
      </c>
      <c r="F1991">
        <v>1.31418567319705</v>
      </c>
      <c r="G1991">
        <v>1.3618300444574001</v>
      </c>
      <c r="H1991">
        <v>0.93496543965100198</v>
      </c>
      <c r="I1991">
        <v>0.67088070324955396</v>
      </c>
      <c r="J1991">
        <v>0.31698515392024201</v>
      </c>
      <c r="K1991">
        <v>0.16874721570949899</v>
      </c>
      <c r="L1991">
        <v>2892.62283411516</v>
      </c>
      <c r="M1991">
        <v>44.695214489576202</v>
      </c>
      <c r="N1991">
        <v>65.238819653239204</v>
      </c>
      <c r="O1991">
        <v>64.589693399577598</v>
      </c>
      <c r="P1991">
        <v>-0.147074139368365</v>
      </c>
      <c r="Q1991">
        <v>0.14984540291222101</v>
      </c>
      <c r="R1991">
        <v>0.82709099000594</v>
      </c>
      <c r="S1991" t="s">
        <v>7817</v>
      </c>
      <c r="T1991" t="s">
        <v>11650</v>
      </c>
      <c r="U1991" t="s">
        <v>11650</v>
      </c>
      <c r="V1991" t="s">
        <v>11650</v>
      </c>
      <c r="W1991" t="s">
        <v>13603</v>
      </c>
      <c r="X1991">
        <v>16</v>
      </c>
      <c r="Y1991" t="s">
        <v>19331</v>
      </c>
      <c r="Z1991" t="s">
        <v>25053</v>
      </c>
      <c r="AA1991">
        <v>0.85167646481008141</v>
      </c>
      <c r="AB1991" t="str">
        <f>HYPERLINK("Melting_Curves/meltCurve_P16930_FAH.pdf", "Melting_Curves/meltCurve_P16930_FAH.pdf")</f>
        <v>Melting_Curves/meltCurve_P16930_FAH.pdf</v>
      </c>
    </row>
    <row r="1992" spans="1:28" x14ac:dyDescent="0.25">
      <c r="A1992" t="s">
        <v>1996</v>
      </c>
      <c r="B1992">
        <v>0.99996721820229495</v>
      </c>
      <c r="C1992">
        <v>0.73267888636487499</v>
      </c>
      <c r="D1992">
        <v>0.68264814023362097</v>
      </c>
      <c r="E1992">
        <v>1.1549427352649899</v>
      </c>
      <c r="F1992">
        <v>1.36891914525091</v>
      </c>
      <c r="G1992">
        <v>1.0992576970628301</v>
      </c>
      <c r="H1992">
        <v>1.2821251938257801</v>
      </c>
      <c r="I1992">
        <v>1.4278601650748901</v>
      </c>
      <c r="J1992">
        <v>1.4340747116424</v>
      </c>
      <c r="K1992">
        <v>1.5766481110714301</v>
      </c>
      <c r="L1992">
        <v>764.34810115195705</v>
      </c>
      <c r="M1992">
        <v>13.394731049167</v>
      </c>
      <c r="O1992">
        <v>55.836475294088501</v>
      </c>
      <c r="P1992">
        <v>2.9991221192529699E-2</v>
      </c>
      <c r="Q1992">
        <v>1.5</v>
      </c>
      <c r="R1992">
        <v>0.64102295101509998</v>
      </c>
      <c r="S1992" t="s">
        <v>7818</v>
      </c>
      <c r="T1992" t="s">
        <v>11650</v>
      </c>
      <c r="U1992" t="s">
        <v>11650</v>
      </c>
      <c r="V1992" t="s">
        <v>11650</v>
      </c>
      <c r="W1992" t="s">
        <v>11869</v>
      </c>
      <c r="X1992">
        <v>26</v>
      </c>
      <c r="Y1992" t="s">
        <v>19332</v>
      </c>
      <c r="Z1992" t="s">
        <v>25054</v>
      </c>
      <c r="AA1992">
        <v>1.2074025827153061</v>
      </c>
      <c r="AB1992" t="str">
        <f>HYPERLINK("Melting_Curves/meltCurve_P16949_STMN1.pdf", "Melting_Curves/meltCurve_P16949_STMN1.pdf")</f>
        <v>Melting_Curves/meltCurve_P16949_STMN1.pdf</v>
      </c>
    </row>
    <row r="1993" spans="1:28" x14ac:dyDescent="0.25">
      <c r="A1993" t="s">
        <v>1997</v>
      </c>
      <c r="B1993">
        <v>0.99996721820229495</v>
      </c>
      <c r="C1993">
        <v>1.10855650191517</v>
      </c>
      <c r="D1993">
        <v>1.08420931066243</v>
      </c>
      <c r="E1993">
        <v>1.0817004991377099</v>
      </c>
      <c r="F1993">
        <v>1.6202550748834601</v>
      </c>
      <c r="G1993">
        <v>1.89064905374842</v>
      </c>
      <c r="H1993">
        <v>1.93094738563739</v>
      </c>
      <c r="I1993">
        <v>1.41728147071869</v>
      </c>
      <c r="J1993">
        <v>0.90422583759349495</v>
      </c>
      <c r="K1993">
        <v>1.1651992346575</v>
      </c>
      <c r="L1993">
        <v>12580.210845981201</v>
      </c>
      <c r="M1993">
        <v>250</v>
      </c>
      <c r="O1993">
        <v>50.317623149966302</v>
      </c>
      <c r="P1993">
        <v>0.60626512505650498</v>
      </c>
      <c r="Q1993">
        <v>1.4880931212202699</v>
      </c>
      <c r="R1993">
        <v>0.32686398207663497</v>
      </c>
      <c r="S1993" t="s">
        <v>7819</v>
      </c>
      <c r="T1993" t="s">
        <v>11650</v>
      </c>
      <c r="U1993" t="s">
        <v>11650</v>
      </c>
      <c r="V1993" t="s">
        <v>11650</v>
      </c>
      <c r="W1993" t="s">
        <v>13604</v>
      </c>
      <c r="X1993">
        <v>5</v>
      </c>
      <c r="Y1993" t="s">
        <v>19333</v>
      </c>
      <c r="Z1993" t="s">
        <v>25055</v>
      </c>
      <c r="AA1993">
        <v>1.3201322612327431</v>
      </c>
      <c r="AB1993" t="str">
        <f>HYPERLINK("Melting_Curves/meltCurve_P16989_2_YBX3.pdf", "Melting_Curves/meltCurve_P16989_2_YBX3.pdf")</f>
        <v>Melting_Curves/meltCurve_P16989_2_YBX3.pdf</v>
      </c>
    </row>
    <row r="1994" spans="1:28" x14ac:dyDescent="0.25">
      <c r="A1994" t="s">
        <v>1998</v>
      </c>
      <c r="B1994">
        <v>0.99996721820229495</v>
      </c>
      <c r="C1994">
        <v>1.05599401364678</v>
      </c>
      <c r="D1994">
        <v>1.0859237954201899</v>
      </c>
      <c r="E1994">
        <v>1.10982430681029</v>
      </c>
      <c r="F1994">
        <v>1.39978369582346</v>
      </c>
      <c r="G1994">
        <v>1.6858489675396899</v>
      </c>
      <c r="H1994">
        <v>1.1322467124236799</v>
      </c>
      <c r="I1994">
        <v>0.50275659214215496</v>
      </c>
      <c r="J1994">
        <v>0.23147586467046899</v>
      </c>
      <c r="K1994">
        <v>0.21664009592626601</v>
      </c>
      <c r="L1994">
        <v>15000</v>
      </c>
      <c r="M1994">
        <v>234.953862543855</v>
      </c>
      <c r="N1994">
        <v>64.004241894978307</v>
      </c>
      <c r="O1994">
        <v>63.837695972310101</v>
      </c>
      <c r="P1994">
        <v>-0.71396892998981898</v>
      </c>
      <c r="Q1994">
        <v>0.22404967682931601</v>
      </c>
      <c r="R1994">
        <v>0.67896366201748304</v>
      </c>
      <c r="S1994" t="s">
        <v>7820</v>
      </c>
      <c r="T1994" t="s">
        <v>11650</v>
      </c>
      <c r="U1994" t="s">
        <v>11650</v>
      </c>
      <c r="V1994" t="s">
        <v>11650</v>
      </c>
      <c r="W1994" t="s">
        <v>13605</v>
      </c>
      <c r="X1994">
        <v>14</v>
      </c>
      <c r="Y1994" t="s">
        <v>19334</v>
      </c>
      <c r="Z1994" t="s">
        <v>25056</v>
      </c>
      <c r="AA1994">
        <v>0.84083000953885767</v>
      </c>
      <c r="AB1994" t="str">
        <f>HYPERLINK("Melting_Curves/meltCurve_P17050_NAGA.pdf", "Melting_Curves/meltCurve_P17050_NAGA.pdf")</f>
        <v>Melting_Curves/meltCurve_P17050_NAGA.pdf</v>
      </c>
    </row>
    <row r="1995" spans="1:28" x14ac:dyDescent="0.25">
      <c r="A1995" t="s">
        <v>1999</v>
      </c>
      <c r="B1995">
        <v>0.99996721820229495</v>
      </c>
      <c r="C1995">
        <v>1.1514304080636699</v>
      </c>
      <c r="D1995">
        <v>1.1745679933276201</v>
      </c>
      <c r="E1995">
        <v>1.2021376817332701</v>
      </c>
      <c r="F1995">
        <v>1.1641505368727001</v>
      </c>
      <c r="G1995">
        <v>0.65066186899888201</v>
      </c>
      <c r="H1995">
        <v>0.26275881690109898</v>
      </c>
      <c r="I1995">
        <v>0.24748885492344599</v>
      </c>
      <c r="J1995">
        <v>0.10283971687176199</v>
      </c>
      <c r="K1995">
        <v>0.103710960516833</v>
      </c>
      <c r="L1995">
        <v>2672.7683032472301</v>
      </c>
      <c r="M1995">
        <v>46.405694232024601</v>
      </c>
      <c r="N1995">
        <v>58.075707186401999</v>
      </c>
      <c r="O1995">
        <v>57.489045884226897</v>
      </c>
      <c r="P1995">
        <v>-0.169658920081172</v>
      </c>
      <c r="Q1995">
        <v>0.15928263379473001</v>
      </c>
      <c r="R1995">
        <v>0.93213635218308999</v>
      </c>
      <c r="S1995" t="s">
        <v>7821</v>
      </c>
      <c r="T1995" t="s">
        <v>11650</v>
      </c>
      <c r="U1995" t="s">
        <v>11650</v>
      </c>
      <c r="V1995" t="s">
        <v>11650</v>
      </c>
      <c r="W1995" t="s">
        <v>13606</v>
      </c>
      <c r="X1995">
        <v>15</v>
      </c>
      <c r="Y1995" t="s">
        <v>19335</v>
      </c>
      <c r="Z1995" t="s">
        <v>25057</v>
      </c>
      <c r="AA1995">
        <v>0.6548501708522827</v>
      </c>
      <c r="AB1995" t="str">
        <f>HYPERLINK("Melting_Curves/meltCurve_P17066_HSPA6.pdf", "Melting_Curves/meltCurve_P17066_HSPA6.pdf")</f>
        <v>Melting_Curves/meltCurve_P17066_HSPA6.pdf</v>
      </c>
    </row>
    <row r="1996" spans="1:28" x14ac:dyDescent="0.25">
      <c r="A1996" t="s">
        <v>2000</v>
      </c>
      <c r="B1996">
        <v>0.99996721820229495</v>
      </c>
      <c r="C1996">
        <v>0.62081413097234805</v>
      </c>
      <c r="D1996">
        <v>0.63636852754887696</v>
      </c>
      <c r="E1996">
        <v>0.71454455823301699</v>
      </c>
      <c r="F1996">
        <v>0.42440073030305397</v>
      </c>
      <c r="G1996">
        <v>0.229930980002923</v>
      </c>
      <c r="H1996">
        <v>0.13267521982904601</v>
      </c>
      <c r="I1996">
        <v>8.4389288651111893E-2</v>
      </c>
      <c r="J1996">
        <v>5.9901456685271103E-2</v>
      </c>
      <c r="K1996">
        <v>6.4688057850753197E-2</v>
      </c>
      <c r="L1996">
        <v>442.39513233851801</v>
      </c>
      <c r="M1996">
        <v>8.7873783978018203</v>
      </c>
      <c r="N1996">
        <v>50.344390112292601</v>
      </c>
      <c r="O1996">
        <v>47.9413800570861</v>
      </c>
      <c r="P1996">
        <v>-4.5859984447408499E-2</v>
      </c>
      <c r="Q1996">
        <v>0</v>
      </c>
      <c r="R1996">
        <v>0.898484337087604</v>
      </c>
      <c r="S1996" t="s">
        <v>7822</v>
      </c>
      <c r="T1996" t="s">
        <v>11650</v>
      </c>
      <c r="U1996" t="s">
        <v>11650</v>
      </c>
      <c r="V1996" t="s">
        <v>11650</v>
      </c>
      <c r="W1996" t="s">
        <v>13607</v>
      </c>
      <c r="X1996">
        <v>3</v>
      </c>
      <c r="Y1996" t="s">
        <v>19336</v>
      </c>
      <c r="Z1996" t="s">
        <v>25058</v>
      </c>
      <c r="AA1996">
        <v>0.39649246404960942</v>
      </c>
      <c r="AB1996" t="str">
        <f>HYPERLINK("Melting_Curves/meltCurve_P17081_RHOQ.pdf", "Melting_Curves/meltCurve_P17081_RHOQ.pdf")</f>
        <v>Melting_Curves/meltCurve_P17081_RHOQ.pdf</v>
      </c>
    </row>
    <row r="1997" spans="1:28" x14ac:dyDescent="0.25">
      <c r="A1997" t="s">
        <v>2001</v>
      </c>
      <c r="B1997">
        <v>0.99996721820229495</v>
      </c>
      <c r="C1997">
        <v>1.00704288185934</v>
      </c>
      <c r="D1997">
        <v>1.1985994412207199</v>
      </c>
      <c r="E1997">
        <v>1.4416158894025899</v>
      </c>
      <c r="F1997">
        <v>1.8975887929528401</v>
      </c>
      <c r="G1997">
        <v>2.35918134479709</v>
      </c>
      <c r="H1997">
        <v>1.7437016674071799</v>
      </c>
      <c r="I1997">
        <v>1.0296791805524499</v>
      </c>
      <c r="J1997">
        <v>0.81110234178308604</v>
      </c>
      <c r="K1997">
        <v>0.96564153995714397</v>
      </c>
      <c r="L1997">
        <v>2237.50884617769</v>
      </c>
      <c r="M1997">
        <v>33.079474547049102</v>
      </c>
      <c r="O1997">
        <v>67.394637406017694</v>
      </c>
      <c r="P1997">
        <v>-1.25941201761201E-2</v>
      </c>
      <c r="Q1997">
        <v>0.89736567145282897</v>
      </c>
      <c r="R1997">
        <v>-0.518503939719822</v>
      </c>
      <c r="S1997" t="s">
        <v>7823</v>
      </c>
      <c r="T1997" t="s">
        <v>11650</v>
      </c>
      <c r="U1997" t="s">
        <v>11650</v>
      </c>
      <c r="V1997" t="s">
        <v>11650</v>
      </c>
      <c r="W1997" t="s">
        <v>13608</v>
      </c>
      <c r="X1997">
        <v>5</v>
      </c>
      <c r="Y1997" t="s">
        <v>19337</v>
      </c>
      <c r="Z1997" t="s">
        <v>25059</v>
      </c>
      <c r="AA1997">
        <v>0.9903488546884146</v>
      </c>
      <c r="AB1997" t="str">
        <f>HYPERLINK("Melting_Curves/meltCurve_P17096_2_HMGA1.pdf", "Melting_Curves/meltCurve_P17096_2_HMGA1.pdf")</f>
        <v>Melting_Curves/meltCurve_P17096_2_HMGA1.pdf</v>
      </c>
    </row>
    <row r="1998" spans="1:28" x14ac:dyDescent="0.25">
      <c r="A1998" t="s">
        <v>2002</v>
      </c>
      <c r="B1998">
        <v>0.99996721820229495</v>
      </c>
      <c r="C1998">
        <v>0.92019203637488201</v>
      </c>
      <c r="D1998">
        <v>1.0931497645207</v>
      </c>
      <c r="E1998">
        <v>1.13991194038361</v>
      </c>
      <c r="F1998">
        <v>0.68254241122644999</v>
      </c>
      <c r="G1998">
        <v>0.393928757358045</v>
      </c>
      <c r="H1998">
        <v>0.189859183501567</v>
      </c>
      <c r="I1998">
        <v>0.16856949672549101</v>
      </c>
      <c r="J1998">
        <v>0.14058495154987399</v>
      </c>
      <c r="K1998">
        <v>9.8911307339443297E-2</v>
      </c>
      <c r="L1998">
        <v>1616.0068202678201</v>
      </c>
      <c r="M1998">
        <v>29.448391090445998</v>
      </c>
      <c r="N1998">
        <v>55.485022209495199</v>
      </c>
      <c r="O1998">
        <v>54.624709379339699</v>
      </c>
      <c r="P1998">
        <v>-0.116161700606944</v>
      </c>
      <c r="Q1998">
        <v>0.138118682162988</v>
      </c>
      <c r="R1998">
        <v>0.96237344121849699</v>
      </c>
      <c r="S1998" t="s">
        <v>7824</v>
      </c>
      <c r="T1998" t="s">
        <v>11650</v>
      </c>
      <c r="U1998" t="s">
        <v>11650</v>
      </c>
      <c r="V1998" t="s">
        <v>11650</v>
      </c>
      <c r="W1998" t="s">
        <v>13609</v>
      </c>
      <c r="X1998">
        <v>3</v>
      </c>
      <c r="Y1998" t="s">
        <v>19338</v>
      </c>
      <c r="Z1998" t="s">
        <v>25060</v>
      </c>
      <c r="AA1998">
        <v>0.57140897496259413</v>
      </c>
      <c r="AB1998" t="str">
        <f>HYPERLINK("Melting_Curves/meltCurve_P17152_TMEM11.pdf", "Melting_Curves/meltCurve_P17152_TMEM11.pdf")</f>
        <v>Melting_Curves/meltCurve_P17152_TMEM11.pdf</v>
      </c>
    </row>
    <row r="1999" spans="1:28" x14ac:dyDescent="0.25">
      <c r="A1999" t="s">
        <v>2003</v>
      </c>
      <c r="B1999">
        <v>0.99996721820229495</v>
      </c>
      <c r="C1999">
        <v>0.96006767111587898</v>
      </c>
      <c r="D1999">
        <v>1.01243544802552</v>
      </c>
      <c r="E1999">
        <v>1.0769701718951701</v>
      </c>
      <c r="F1999">
        <v>1.4137666729393901</v>
      </c>
      <c r="G1999">
        <v>1.4531839332654699</v>
      </c>
      <c r="H1999">
        <v>1.1147973117828001</v>
      </c>
      <c r="I1999">
        <v>1.03785144649246</v>
      </c>
      <c r="J1999">
        <v>0.697784656314831</v>
      </c>
      <c r="K1999">
        <v>0.63376059193005696</v>
      </c>
      <c r="L1999">
        <v>15000</v>
      </c>
      <c r="M1999">
        <v>225.43138267925599</v>
      </c>
      <c r="O1999">
        <v>66.533872215405793</v>
      </c>
      <c r="P1999">
        <v>-0.31024920985985299</v>
      </c>
      <c r="Q1999">
        <v>0.63373197720891805</v>
      </c>
      <c r="R1999">
        <v>0.34427285791857398</v>
      </c>
      <c r="S1999" t="s">
        <v>7825</v>
      </c>
      <c r="T1999" t="s">
        <v>11650</v>
      </c>
      <c r="U1999" t="s">
        <v>11650</v>
      </c>
      <c r="V1999" t="s">
        <v>11650</v>
      </c>
      <c r="W1999" t="s">
        <v>13610</v>
      </c>
      <c r="X1999">
        <v>26</v>
      </c>
      <c r="Y1999" t="s">
        <v>19339</v>
      </c>
      <c r="Z1999" t="s">
        <v>25061</v>
      </c>
      <c r="AA1999">
        <v>0.9577985750945669</v>
      </c>
      <c r="AB1999" t="str">
        <f>HYPERLINK("Melting_Curves/meltCurve_P17174_GOT1.pdf", "Melting_Curves/meltCurve_P17174_GOT1.pdf")</f>
        <v>Melting_Curves/meltCurve_P17174_GOT1.pdf</v>
      </c>
    </row>
    <row r="2000" spans="1:28" x14ac:dyDescent="0.25">
      <c r="A2000" t="s">
        <v>2004</v>
      </c>
      <c r="B2000">
        <v>0.99996721820229495</v>
      </c>
      <c r="C2000">
        <v>0.99167953232365402</v>
      </c>
      <c r="D2000">
        <v>0.88268265800019696</v>
      </c>
      <c r="E2000">
        <v>0.58096851975476804</v>
      </c>
      <c r="F2000">
        <v>0.23154372331981901</v>
      </c>
      <c r="G2000">
        <v>0.20104777946501001</v>
      </c>
      <c r="H2000">
        <v>0.120863318072416</v>
      </c>
      <c r="I2000">
        <v>7.7360852349269496E-2</v>
      </c>
      <c r="J2000">
        <v>5.3596679350316201E-2</v>
      </c>
      <c r="K2000">
        <v>4.4763236630479701E-2</v>
      </c>
      <c r="L2000">
        <v>1121.14030277707</v>
      </c>
      <c r="M2000">
        <v>22.3480146889213</v>
      </c>
      <c r="N2000">
        <v>50.531037028441801</v>
      </c>
      <c r="O2000">
        <v>49.770821299398101</v>
      </c>
      <c r="P2000">
        <v>-0.103917260121381</v>
      </c>
      <c r="Q2000">
        <v>7.4291114373889494E-2</v>
      </c>
      <c r="R2000">
        <v>0.99232614015054199</v>
      </c>
      <c r="S2000" t="s">
        <v>7826</v>
      </c>
      <c r="T2000" t="s">
        <v>11650</v>
      </c>
      <c r="U2000" t="s">
        <v>11650</v>
      </c>
      <c r="V2000" t="s">
        <v>11650</v>
      </c>
      <c r="W2000" t="s">
        <v>13611</v>
      </c>
      <c r="X2000">
        <v>33</v>
      </c>
      <c r="Y2000" t="s">
        <v>19340</v>
      </c>
      <c r="Z2000" t="s">
        <v>25062</v>
      </c>
      <c r="AA2000">
        <v>0.39838633354564862</v>
      </c>
      <c r="AB2000" t="str">
        <f>HYPERLINK("Melting_Curves/meltCurve_P17252_PRKCA.pdf", "Melting_Curves/meltCurve_P17252_PRKCA.pdf")</f>
        <v>Melting_Curves/meltCurve_P17252_PRKCA.pdf</v>
      </c>
    </row>
    <row r="2001" spans="1:28" x14ac:dyDescent="0.25">
      <c r="A2001" t="s">
        <v>2005</v>
      </c>
      <c r="B2001">
        <v>0.99996721820229495</v>
      </c>
      <c r="C2001">
        <v>0.93073029776605698</v>
      </c>
      <c r="D2001">
        <v>0.87622331932466802</v>
      </c>
      <c r="E2001">
        <v>1.16263965329232</v>
      </c>
      <c r="F2001">
        <v>1.2534004966962899</v>
      </c>
      <c r="G2001">
        <v>0.98856787728434004</v>
      </c>
      <c r="H2001">
        <v>0.78717384836688997</v>
      </c>
      <c r="I2001">
        <v>0.69136761321018303</v>
      </c>
      <c r="J2001">
        <v>0.58530649322643902</v>
      </c>
      <c r="K2001">
        <v>0.71893599797005103</v>
      </c>
      <c r="L2001">
        <v>3440.4414555072499</v>
      </c>
      <c r="M2001">
        <v>56.884665084892603</v>
      </c>
      <c r="O2001">
        <v>60.406389953082403</v>
      </c>
      <c r="P2001">
        <v>-8.0192755186026601E-2</v>
      </c>
      <c r="Q2001">
        <v>0.65937024024439606</v>
      </c>
      <c r="R2001">
        <v>0.70003073259621895</v>
      </c>
      <c r="S2001" t="s">
        <v>7827</v>
      </c>
      <c r="T2001" t="s">
        <v>11650</v>
      </c>
      <c r="U2001" t="s">
        <v>11650</v>
      </c>
      <c r="V2001" t="s">
        <v>11650</v>
      </c>
      <c r="W2001" t="s">
        <v>13612</v>
      </c>
      <c r="X2001">
        <v>4</v>
      </c>
      <c r="Y2001" t="s">
        <v>19341</v>
      </c>
      <c r="Z2001" t="s">
        <v>25063</v>
      </c>
      <c r="AA2001">
        <v>0.89261200214378078</v>
      </c>
      <c r="AB2001" t="str">
        <f>HYPERLINK("Melting_Curves/meltCurve_P17275_JUNB.pdf", "Melting_Curves/meltCurve_P17275_JUNB.pdf")</f>
        <v>Melting_Curves/meltCurve_P17275_JUNB.pdf</v>
      </c>
    </row>
    <row r="2002" spans="1:28" x14ac:dyDescent="0.25">
      <c r="A2002" t="s">
        <v>2006</v>
      </c>
      <c r="B2002">
        <v>0.99996721820229495</v>
      </c>
      <c r="C2002">
        <v>0.94023198349749504</v>
      </c>
      <c r="D2002">
        <v>1.25343374087258</v>
      </c>
      <c r="E2002">
        <v>1.8333398422818801</v>
      </c>
      <c r="F2002">
        <v>2.271943473591</v>
      </c>
      <c r="G2002">
        <v>2.5652597656101199</v>
      </c>
      <c r="H2002">
        <v>1.7347338553099401</v>
      </c>
      <c r="I2002">
        <v>0.69136117231744598</v>
      </c>
      <c r="J2002">
        <v>0.24450600686821</v>
      </c>
      <c r="K2002">
        <v>0.36038212591844399</v>
      </c>
      <c r="L2002">
        <v>15000</v>
      </c>
      <c r="M2002">
        <v>234.143687845399</v>
      </c>
      <c r="N2002">
        <v>64.318288662288793</v>
      </c>
      <c r="O2002">
        <v>64.058552447827196</v>
      </c>
      <c r="P2002">
        <v>-0.63742869067300201</v>
      </c>
      <c r="Q2002">
        <v>0.302432459077903</v>
      </c>
      <c r="R2002">
        <v>4.1060194791822199E-2</v>
      </c>
      <c r="S2002" t="s">
        <v>7828</v>
      </c>
      <c r="T2002" t="s">
        <v>11650</v>
      </c>
      <c r="U2002" t="s">
        <v>11650</v>
      </c>
      <c r="V2002" t="s">
        <v>11650</v>
      </c>
      <c r="W2002" t="s">
        <v>12083</v>
      </c>
      <c r="X2002">
        <v>33</v>
      </c>
      <c r="Y2002" t="s">
        <v>17848</v>
      </c>
      <c r="Z2002" t="s">
        <v>25064</v>
      </c>
      <c r="AA2002">
        <v>0.86204605176949112</v>
      </c>
      <c r="AB2002" t="str">
        <f>HYPERLINK("Melting_Curves/meltCurve_P17301_ITGA2.pdf", "Melting_Curves/meltCurve_P17301_ITGA2.pdf")</f>
        <v>Melting_Curves/meltCurve_P17301_ITGA2.pdf</v>
      </c>
    </row>
    <row r="2003" spans="1:28" x14ac:dyDescent="0.25">
      <c r="A2003" t="s">
        <v>2007</v>
      </c>
      <c r="B2003">
        <v>0.99996721820229495</v>
      </c>
      <c r="C2003">
        <v>0.86377480936377804</v>
      </c>
      <c r="D2003">
        <v>0.86095069421065995</v>
      </c>
      <c r="E2003">
        <v>1.1605891426330801</v>
      </c>
      <c r="F2003">
        <v>1.48700589419166</v>
      </c>
      <c r="G2003">
        <v>1.40958178565882</v>
      </c>
      <c r="H2003">
        <v>1.13847625216974</v>
      </c>
      <c r="I2003">
        <v>0.61359142515760001</v>
      </c>
      <c r="J2003">
        <v>0.41411656292805399</v>
      </c>
      <c r="K2003">
        <v>0.48870402127902102</v>
      </c>
      <c r="L2003">
        <v>15000</v>
      </c>
      <c r="M2003">
        <v>235.243025194962</v>
      </c>
      <c r="N2003">
        <v>64.402018080727103</v>
      </c>
      <c r="O2003">
        <v>63.759239184891698</v>
      </c>
      <c r="P2003">
        <v>-0.50601821457472995</v>
      </c>
      <c r="Q2003">
        <v>0.45140417350879197</v>
      </c>
      <c r="R2003">
        <v>0.59458649694854904</v>
      </c>
      <c r="S2003" t="s">
        <v>7829</v>
      </c>
      <c r="T2003" t="s">
        <v>11650</v>
      </c>
      <c r="U2003" t="s">
        <v>11650</v>
      </c>
      <c r="V2003" t="s">
        <v>11650</v>
      </c>
      <c r="W2003" t="s">
        <v>13613</v>
      </c>
      <c r="X2003">
        <v>7</v>
      </c>
      <c r="Y2003" t="s">
        <v>19342</v>
      </c>
      <c r="Z2003" t="s">
        <v>25065</v>
      </c>
      <c r="AA2003">
        <v>0.88603173172044081</v>
      </c>
      <c r="AB2003" t="str">
        <f>HYPERLINK("Melting_Curves/meltCurve_P17302_GJA1.pdf", "Melting_Curves/meltCurve_P17302_GJA1.pdf")</f>
        <v>Melting_Curves/meltCurve_P17302_GJA1.pdf</v>
      </c>
    </row>
    <row r="2004" spans="1:28" x14ac:dyDescent="0.25">
      <c r="A2004" t="s">
        <v>2008</v>
      </c>
      <c r="B2004">
        <v>0.99996721820229495</v>
      </c>
      <c r="C2004">
        <v>0.80710452891699203</v>
      </c>
      <c r="D2004">
        <v>0.87921939041001895</v>
      </c>
      <c r="E2004">
        <v>1.0314247158119301</v>
      </c>
      <c r="F2004">
        <v>0.994557334940806</v>
      </c>
      <c r="G2004">
        <v>0.67508098955238005</v>
      </c>
      <c r="H2004">
        <v>0.43796287887118901</v>
      </c>
      <c r="I2004">
        <v>0.24595195998987901</v>
      </c>
      <c r="J2004">
        <v>0.18039472945606599</v>
      </c>
      <c r="K2004">
        <v>0.204191943874409</v>
      </c>
      <c r="L2004">
        <v>1451.87938155495</v>
      </c>
      <c r="M2004">
        <v>24.798395142777199</v>
      </c>
      <c r="N2004">
        <v>59.557483026045098</v>
      </c>
      <c r="O2004">
        <v>58.170580179812603</v>
      </c>
      <c r="P2004">
        <v>-8.8280498942784405E-2</v>
      </c>
      <c r="Q2004">
        <v>0.17167936484041399</v>
      </c>
      <c r="R2004">
        <v>0.94391177828811301</v>
      </c>
      <c r="S2004" t="s">
        <v>7830</v>
      </c>
      <c r="T2004" t="s">
        <v>11650</v>
      </c>
      <c r="U2004" t="s">
        <v>11650</v>
      </c>
      <c r="V2004" t="s">
        <v>11650</v>
      </c>
      <c r="W2004" t="s">
        <v>13614</v>
      </c>
      <c r="X2004">
        <v>6</v>
      </c>
      <c r="Y2004" t="s">
        <v>19343</v>
      </c>
      <c r="Z2004" t="s">
        <v>25066</v>
      </c>
      <c r="AA2004">
        <v>0.69085595967742042</v>
      </c>
      <c r="AB2004" t="str">
        <f>HYPERLINK("Melting_Curves/meltCurve_P17342_2_NPR3.pdf", "Melting_Curves/meltCurve_P17342_2_NPR3.pdf")</f>
        <v>Melting_Curves/meltCurve_P17342_2_NPR3.pdf</v>
      </c>
    </row>
    <row r="2005" spans="1:28" x14ac:dyDescent="0.25">
      <c r="A2005" t="s">
        <v>2009</v>
      </c>
      <c r="B2005">
        <v>0.99996721820229495</v>
      </c>
      <c r="C2005">
        <v>0.89882525013181203</v>
      </c>
      <c r="D2005">
        <v>0.92440011030661795</v>
      </c>
      <c r="E2005">
        <v>1.0769978722959099</v>
      </c>
      <c r="F2005">
        <v>1.3827660200630001</v>
      </c>
      <c r="G2005">
        <v>1.13116901710046</v>
      </c>
      <c r="H2005">
        <v>0.86775126546442605</v>
      </c>
      <c r="I2005">
        <v>0.53474157727155303</v>
      </c>
      <c r="J2005">
        <v>0.296592040106612</v>
      </c>
      <c r="K2005">
        <v>0.27515045754446499</v>
      </c>
      <c r="L2005">
        <v>3008.2979901030199</v>
      </c>
      <c r="M2005">
        <v>47.598394411366399</v>
      </c>
      <c r="N2005">
        <v>64.200542565634095</v>
      </c>
      <c r="O2005">
        <v>63.090413951946097</v>
      </c>
      <c r="P2005">
        <v>-0.13927529497864</v>
      </c>
      <c r="Q2005">
        <v>0.26157789288498101</v>
      </c>
      <c r="R2005">
        <v>0.84115475233030501</v>
      </c>
      <c r="S2005" t="s">
        <v>7831</v>
      </c>
      <c r="T2005" t="s">
        <v>11650</v>
      </c>
      <c r="U2005" t="s">
        <v>11650</v>
      </c>
      <c r="V2005" t="s">
        <v>11650</v>
      </c>
      <c r="W2005" t="s">
        <v>13615</v>
      </c>
      <c r="X2005">
        <v>9</v>
      </c>
      <c r="Y2005" t="s">
        <v>19344</v>
      </c>
      <c r="Z2005" t="s">
        <v>25067</v>
      </c>
      <c r="AA2005">
        <v>0.83452660222971964</v>
      </c>
      <c r="AB2005" t="str">
        <f>HYPERLINK("Melting_Curves/meltCurve_P17405_4_SMPD1.pdf", "Melting_Curves/meltCurve_P17405_4_SMPD1.pdf")</f>
        <v>Melting_Curves/meltCurve_P17405_4_SMPD1.pdf</v>
      </c>
    </row>
    <row r="2006" spans="1:28" x14ac:dyDescent="0.25">
      <c r="A2006" t="s">
        <v>2010</v>
      </c>
      <c r="B2006">
        <v>0.99996721820229495</v>
      </c>
      <c r="C2006">
        <v>1.09196055357821</v>
      </c>
      <c r="D2006">
        <v>1.0973276608482401</v>
      </c>
      <c r="E2006">
        <v>1.2026524496809701</v>
      </c>
      <c r="F2006">
        <v>1.81078159041659</v>
      </c>
      <c r="G2006">
        <v>1.6925430923818301</v>
      </c>
      <c r="H2006">
        <v>1.1864052357977199</v>
      </c>
      <c r="I2006">
        <v>1.0107274392255201</v>
      </c>
      <c r="J2006">
        <v>0.90873909508366302</v>
      </c>
      <c r="K2006">
        <v>0.72870102031167505</v>
      </c>
      <c r="L2006">
        <v>15000</v>
      </c>
      <c r="M2006">
        <v>223.20093718705499</v>
      </c>
      <c r="O2006">
        <v>67.198624120301105</v>
      </c>
      <c r="P2006">
        <v>-0.22531093079412201</v>
      </c>
      <c r="Q2006">
        <v>0.72866450082415601</v>
      </c>
      <c r="R2006">
        <v>-0.21438586835590501</v>
      </c>
      <c r="S2006" t="s">
        <v>7832</v>
      </c>
      <c r="T2006" t="s">
        <v>11650</v>
      </c>
      <c r="U2006" t="s">
        <v>11650</v>
      </c>
      <c r="V2006" t="s">
        <v>11650</v>
      </c>
      <c r="W2006" t="s">
        <v>13616</v>
      </c>
      <c r="X2006">
        <v>2</v>
      </c>
      <c r="Y2006" t="s">
        <v>19345</v>
      </c>
      <c r="Z2006" t="s">
        <v>25068</v>
      </c>
      <c r="AA2006">
        <v>0.97475145194542245</v>
      </c>
      <c r="AB2006" t="str">
        <f>HYPERLINK("Melting_Curves/meltCurve_P17535_JUND.pdf", "Melting_Curves/meltCurve_P17535_JUND.pdf")</f>
        <v>Melting_Curves/meltCurve_P17535_JUND.pdf</v>
      </c>
    </row>
    <row r="2007" spans="1:28" x14ac:dyDescent="0.25">
      <c r="A2007" t="s">
        <v>2011</v>
      </c>
      <c r="B2007">
        <v>0.99996721820229495</v>
      </c>
      <c r="C2007">
        <v>0.88054774144619297</v>
      </c>
      <c r="D2007">
        <v>1.0267303736178199</v>
      </c>
      <c r="E2007">
        <v>1.0306786914399699</v>
      </c>
      <c r="F2007">
        <v>1.5491526211558699</v>
      </c>
      <c r="G2007">
        <v>1.83632158277903</v>
      </c>
      <c r="H2007">
        <v>1.4321284723721099</v>
      </c>
      <c r="I2007">
        <v>0.79547197943033798</v>
      </c>
      <c r="J2007">
        <v>0.58245549656557405</v>
      </c>
      <c r="K2007">
        <v>0.51532004999606495</v>
      </c>
      <c r="L2007">
        <v>15000</v>
      </c>
      <c r="M2007">
        <v>234.18779050901799</v>
      </c>
      <c r="O2007">
        <v>64.0464852915091</v>
      </c>
      <c r="P2007">
        <v>-0.41238580372251898</v>
      </c>
      <c r="Q2007">
        <v>0.54887719137597801</v>
      </c>
      <c r="R2007">
        <v>0.25221868357006799</v>
      </c>
      <c r="S2007" t="s">
        <v>7833</v>
      </c>
      <c r="T2007" t="s">
        <v>11650</v>
      </c>
      <c r="U2007" t="s">
        <v>11650</v>
      </c>
      <c r="V2007" t="s">
        <v>11650</v>
      </c>
      <c r="W2007" t="s">
        <v>13617</v>
      </c>
      <c r="X2007">
        <v>3</v>
      </c>
      <c r="Y2007" t="s">
        <v>19346</v>
      </c>
      <c r="Z2007" t="s">
        <v>25069</v>
      </c>
      <c r="AA2007">
        <v>0.91060256711861209</v>
      </c>
      <c r="AB2007" t="str">
        <f>HYPERLINK("Melting_Curves/meltCurve_P17568_NDUFB7.pdf", "Melting_Curves/meltCurve_P17568_NDUFB7.pdf")</f>
        <v>Melting_Curves/meltCurve_P17568_NDUFB7.pdf</v>
      </c>
    </row>
    <row r="2008" spans="1:28" x14ac:dyDescent="0.25">
      <c r="A2008" t="s">
        <v>2012</v>
      </c>
      <c r="B2008">
        <v>0.99996721820229495</v>
      </c>
      <c r="C2008">
        <v>0.98702242482687996</v>
      </c>
      <c r="D2008">
        <v>0.99797906592403396</v>
      </c>
      <c r="E2008">
        <v>0.94171599087975599</v>
      </c>
      <c r="F2008">
        <v>0.67255992935880904</v>
      </c>
      <c r="G2008">
        <v>0.311393711717806</v>
      </c>
      <c r="H2008">
        <v>0.12726965017912101</v>
      </c>
      <c r="I2008">
        <v>9.9075284314921699E-2</v>
      </c>
      <c r="J2008">
        <v>5.8757743987404701E-2</v>
      </c>
      <c r="K2008">
        <v>4.6782879383088803E-2</v>
      </c>
      <c r="L2008">
        <v>1335.2697043063299</v>
      </c>
      <c r="M2008">
        <v>24.458397129247299</v>
      </c>
      <c r="N2008">
        <v>54.862358683779298</v>
      </c>
      <c r="O2008">
        <v>54.232482814153101</v>
      </c>
      <c r="P2008">
        <v>-0.10638187773017101</v>
      </c>
      <c r="Q2008">
        <v>5.6476430447501301E-2</v>
      </c>
      <c r="R2008">
        <v>0.99863155809523896</v>
      </c>
      <c r="S2008" t="s">
        <v>7834</v>
      </c>
      <c r="T2008" t="s">
        <v>11650</v>
      </c>
      <c r="U2008" t="s">
        <v>11650</v>
      </c>
      <c r="V2008" t="s">
        <v>11650</v>
      </c>
      <c r="W2008" t="s">
        <v>13618</v>
      </c>
      <c r="X2008">
        <v>13</v>
      </c>
      <c r="Y2008" t="s">
        <v>19347</v>
      </c>
      <c r="Z2008" t="s">
        <v>25070</v>
      </c>
      <c r="AA2008">
        <v>0.52453616400826275</v>
      </c>
      <c r="AB2008" t="str">
        <f>HYPERLINK("Melting_Curves/meltCurve_P17612_PRKACA.pdf", "Melting_Curves/meltCurve_P17612_PRKACA.pdf")</f>
        <v>Melting_Curves/meltCurve_P17612_PRKACA.pdf</v>
      </c>
    </row>
    <row r="2009" spans="1:28" x14ac:dyDescent="0.25">
      <c r="A2009" t="s">
        <v>2013</v>
      </c>
      <c r="B2009">
        <v>0.99996721820229495</v>
      </c>
      <c r="C2009">
        <v>1.0453281451849099</v>
      </c>
      <c r="D2009">
        <v>1.1580907796322699</v>
      </c>
      <c r="E2009">
        <v>1.2875671872911001</v>
      </c>
      <c r="F2009">
        <v>1.6188375406693301</v>
      </c>
      <c r="G2009">
        <v>1.5695693590775901</v>
      </c>
      <c r="H2009">
        <v>0.29088868985633298</v>
      </c>
      <c r="I2009">
        <v>0.14921723639561599</v>
      </c>
      <c r="J2009">
        <v>9.9250006338885394E-2</v>
      </c>
      <c r="K2009">
        <v>7.5828784519250805E-2</v>
      </c>
      <c r="L2009">
        <v>15000</v>
      </c>
      <c r="M2009">
        <v>247.25730067557001</v>
      </c>
      <c r="N2009">
        <v>60.7253765997296</v>
      </c>
      <c r="O2009">
        <v>60.661601326304101</v>
      </c>
      <c r="P2009">
        <v>-0.90885108402680104</v>
      </c>
      <c r="Q2009">
        <v>0.108097625921037</v>
      </c>
      <c r="R2009">
        <v>0.76014227242816401</v>
      </c>
      <c r="S2009" t="s">
        <v>7835</v>
      </c>
      <c r="T2009" t="s">
        <v>11650</v>
      </c>
      <c r="U2009" t="s">
        <v>11650</v>
      </c>
      <c r="V2009" t="s">
        <v>11650</v>
      </c>
      <c r="W2009" t="s">
        <v>13619</v>
      </c>
      <c r="X2009">
        <v>44</v>
      </c>
      <c r="Y2009" t="s">
        <v>19348</v>
      </c>
      <c r="Z2009" t="s">
        <v>25071</v>
      </c>
      <c r="AA2009">
        <v>0.72258312340177544</v>
      </c>
      <c r="AB2009" t="str">
        <f>HYPERLINK("Melting_Curves/meltCurve_P17655_CAPN2.pdf", "Melting_Curves/meltCurve_P17655_CAPN2.pdf")</f>
        <v>Melting_Curves/meltCurve_P17655_CAPN2.pdf</v>
      </c>
    </row>
    <row r="2010" spans="1:28" x14ac:dyDescent="0.25">
      <c r="A2010" t="s">
        <v>2014</v>
      </c>
      <c r="B2010">
        <v>0.99996721820229495</v>
      </c>
      <c r="C2010">
        <v>1.1001573377725999</v>
      </c>
      <c r="D2010">
        <v>1.18617699017599</v>
      </c>
      <c r="E2010">
        <v>1.1439413316606299</v>
      </c>
      <c r="F2010">
        <v>2.0544519635265401</v>
      </c>
      <c r="G2010">
        <v>2.1133190395254902</v>
      </c>
      <c r="H2010">
        <v>1.41836938711641</v>
      </c>
      <c r="I2010">
        <v>1.1667670332203499</v>
      </c>
      <c r="J2010">
        <v>1.0523094003557001</v>
      </c>
      <c r="K2010">
        <v>0.65859658236117102</v>
      </c>
      <c r="L2010">
        <v>15000</v>
      </c>
      <c r="M2010">
        <v>213.62863138824801</v>
      </c>
      <c r="Q2010">
        <v>0</v>
      </c>
      <c r="R2010">
        <v>-0.379207870904676</v>
      </c>
      <c r="S2010" t="s">
        <v>7836</v>
      </c>
      <c r="T2010" t="s">
        <v>11650</v>
      </c>
      <c r="U2010" t="s">
        <v>11650</v>
      </c>
      <c r="V2010" t="s">
        <v>11650</v>
      </c>
      <c r="W2010" t="s">
        <v>13620</v>
      </c>
      <c r="X2010">
        <v>8</v>
      </c>
      <c r="Y2010" t="s">
        <v>19349</v>
      </c>
      <c r="Z2010" t="s">
        <v>25072</v>
      </c>
      <c r="AA2010">
        <v>0.99549885337952104</v>
      </c>
      <c r="AB2010" t="str">
        <f>HYPERLINK("Melting_Curves/meltCurve_P17661_DES.pdf", "Melting_Curves/meltCurve_P17661_DES.pdf")</f>
        <v>Melting_Curves/meltCurve_P17661_DES.pdf</v>
      </c>
    </row>
    <row r="2011" spans="1:28" x14ac:dyDescent="0.25">
      <c r="A2011" t="s">
        <v>2015</v>
      </c>
      <c r="B2011">
        <v>0.99996721820229495</v>
      </c>
      <c r="C2011">
        <v>0.83503234730743603</v>
      </c>
      <c r="D2011">
        <v>0.75356414089002599</v>
      </c>
      <c r="E2011">
        <v>0.73340847022025801</v>
      </c>
      <c r="F2011">
        <v>0.41625152726102699</v>
      </c>
      <c r="G2011">
        <v>0.29164070468117698</v>
      </c>
      <c r="H2011">
        <v>0.15155185587099801</v>
      </c>
      <c r="I2011">
        <v>9.1441009655931604E-2</v>
      </c>
      <c r="J2011">
        <v>7.4046665221058405E-2</v>
      </c>
      <c r="K2011">
        <v>6.1736671337651497E-2</v>
      </c>
      <c r="L2011">
        <v>569.54097699977899</v>
      </c>
      <c r="M2011">
        <v>10.920150797579</v>
      </c>
      <c r="N2011">
        <v>52.155039102983601</v>
      </c>
      <c r="O2011">
        <v>50.497492772215303</v>
      </c>
      <c r="P2011">
        <v>-5.40815711135781E-2</v>
      </c>
      <c r="Q2011">
        <v>0</v>
      </c>
      <c r="R2011">
        <v>0.97633824568616501</v>
      </c>
      <c r="S2011" t="s">
        <v>7837</v>
      </c>
      <c r="T2011" t="s">
        <v>11650</v>
      </c>
      <c r="U2011" t="s">
        <v>11650</v>
      </c>
      <c r="V2011" t="s">
        <v>11650</v>
      </c>
      <c r="W2011" t="s">
        <v>13621</v>
      </c>
      <c r="X2011">
        <v>23</v>
      </c>
      <c r="Y2011" t="s">
        <v>19350</v>
      </c>
      <c r="Z2011" t="s">
        <v>25073</v>
      </c>
      <c r="AA2011">
        <v>0.43909895792763559</v>
      </c>
      <c r="AB2011" t="str">
        <f>HYPERLINK("Melting_Curves/meltCurve_P17812_CTPS1.pdf", "Melting_Curves/meltCurve_P17812_CTPS1.pdf")</f>
        <v>Melting_Curves/meltCurve_P17812_CTPS1.pdf</v>
      </c>
    </row>
    <row r="2012" spans="1:28" x14ac:dyDescent="0.25">
      <c r="A2012" t="s">
        <v>2016</v>
      </c>
      <c r="B2012">
        <v>0.99996721820229495</v>
      </c>
      <c r="C2012">
        <v>0.89639955204600896</v>
      </c>
      <c r="D2012">
        <v>1.00517218578588</v>
      </c>
      <c r="E2012">
        <v>1.2125439783424199</v>
      </c>
      <c r="F2012">
        <v>1.60923582077109</v>
      </c>
      <c r="G2012">
        <v>1.64438769114801</v>
      </c>
      <c r="H2012">
        <v>1.1396656333550399</v>
      </c>
      <c r="I2012">
        <v>0.49137916711796598</v>
      </c>
      <c r="J2012">
        <v>0.20743760279161799</v>
      </c>
      <c r="K2012">
        <v>0.38564592283136001</v>
      </c>
      <c r="L2012">
        <v>15000</v>
      </c>
      <c r="M2012">
        <v>235.33441136803199</v>
      </c>
      <c r="N2012">
        <v>63.983517402357002</v>
      </c>
      <c r="O2012">
        <v>63.734484678568897</v>
      </c>
      <c r="P2012">
        <v>-0.64937141501869899</v>
      </c>
      <c r="Q2012">
        <v>0.29653550788569</v>
      </c>
      <c r="R2012">
        <v>0.58390874432538398</v>
      </c>
      <c r="S2012" t="s">
        <v>7838</v>
      </c>
      <c r="T2012" t="s">
        <v>11650</v>
      </c>
      <c r="U2012" t="s">
        <v>11650</v>
      </c>
      <c r="V2012" t="s">
        <v>11650</v>
      </c>
      <c r="W2012" t="s">
        <v>13622</v>
      </c>
      <c r="X2012">
        <v>21</v>
      </c>
      <c r="Y2012" t="s">
        <v>19351</v>
      </c>
      <c r="Z2012" t="s">
        <v>25074</v>
      </c>
      <c r="AA2012">
        <v>0.8532777547903273</v>
      </c>
      <c r="AB2012" t="str">
        <f>HYPERLINK("Melting_Curves/meltCurve_P17813_2_ENG.pdf", "Melting_Curves/meltCurve_P17813_2_ENG.pdf")</f>
        <v>Melting_Curves/meltCurve_P17813_2_ENG.pdf</v>
      </c>
    </row>
    <row r="2013" spans="1:28" x14ac:dyDescent="0.25">
      <c r="A2013" t="s">
        <v>2017</v>
      </c>
      <c r="B2013">
        <v>0.99996721820229495</v>
      </c>
      <c r="C2013">
        <v>0.994648541687433</v>
      </c>
      <c r="D2013">
        <v>1.0734487859788899</v>
      </c>
      <c r="E2013">
        <v>1.3587031124525699</v>
      </c>
      <c r="F2013">
        <v>1.98807239115392</v>
      </c>
      <c r="G2013">
        <v>2.07787579368599</v>
      </c>
      <c r="H2013">
        <v>1.73709663298321</v>
      </c>
      <c r="I2013">
        <v>0.97140169251057296</v>
      </c>
      <c r="J2013">
        <v>0.30970818855820698</v>
      </c>
      <c r="K2013">
        <v>0.17093986281323301</v>
      </c>
      <c r="L2013">
        <v>7378.6519520579504</v>
      </c>
      <c r="M2013">
        <v>111.73057096983</v>
      </c>
      <c r="N2013">
        <v>66.285923485877206</v>
      </c>
      <c r="O2013">
        <v>66.018557793389704</v>
      </c>
      <c r="P2013">
        <v>-0.35124019121842098</v>
      </c>
      <c r="Q2013">
        <v>0.16984714251021099</v>
      </c>
      <c r="R2013">
        <v>0.23845577262763701</v>
      </c>
      <c r="S2013" t="s">
        <v>7839</v>
      </c>
      <c r="T2013" t="s">
        <v>11650</v>
      </c>
      <c r="U2013" t="s">
        <v>11650</v>
      </c>
      <c r="V2013" t="s">
        <v>11650</v>
      </c>
      <c r="W2013" t="s">
        <v>13623</v>
      </c>
      <c r="X2013">
        <v>26</v>
      </c>
      <c r="Y2013" t="s">
        <v>19352</v>
      </c>
      <c r="Z2013" t="s">
        <v>25075</v>
      </c>
      <c r="AA2013">
        <v>0.89085963882959007</v>
      </c>
      <c r="AB2013" t="str">
        <f>HYPERLINK("Melting_Curves/meltCurve_P17858_PFKL.pdf", "Melting_Curves/meltCurve_P17858_PFKL.pdf")</f>
        <v>Melting_Curves/meltCurve_P17858_PFKL.pdf</v>
      </c>
    </row>
    <row r="2014" spans="1:28" x14ac:dyDescent="0.25">
      <c r="A2014" t="s">
        <v>2018</v>
      </c>
      <c r="B2014">
        <v>0.99996721820229495</v>
      </c>
      <c r="C2014">
        <v>0.91523782468283599</v>
      </c>
      <c r="D2014">
        <v>0.94177200872928402</v>
      </c>
      <c r="E2014">
        <v>0.90422615172487397</v>
      </c>
      <c r="F2014">
        <v>1.06001556601743</v>
      </c>
      <c r="G2014">
        <v>1.1335031918371601</v>
      </c>
      <c r="H2014">
        <v>0.84508831495466996</v>
      </c>
      <c r="I2014">
        <v>0.79285884710223198</v>
      </c>
      <c r="J2014">
        <v>0.67559037010198797</v>
      </c>
      <c r="K2014">
        <v>0.49453335818073901</v>
      </c>
      <c r="L2014">
        <v>1428.34018570221</v>
      </c>
      <c r="M2014">
        <v>21.481826390131101</v>
      </c>
      <c r="O2014">
        <v>65.922481676102905</v>
      </c>
      <c r="P2014">
        <v>-5.3707733252207901E-2</v>
      </c>
      <c r="Q2014">
        <v>0.34075247846701001</v>
      </c>
      <c r="R2014">
        <v>0.83240501069667905</v>
      </c>
      <c r="S2014" t="s">
        <v>7840</v>
      </c>
      <c r="T2014" t="s">
        <v>11650</v>
      </c>
      <c r="U2014" t="s">
        <v>11650</v>
      </c>
      <c r="V2014" t="s">
        <v>11650</v>
      </c>
      <c r="W2014" t="s">
        <v>13624</v>
      </c>
      <c r="X2014">
        <v>6</v>
      </c>
      <c r="Y2014" t="s">
        <v>19353</v>
      </c>
      <c r="Z2014" t="s">
        <v>25076</v>
      </c>
      <c r="AA2014">
        <v>0.90875363574474377</v>
      </c>
      <c r="AB2014" t="str">
        <f>HYPERLINK("Melting_Curves/meltCurve_P17900_GM2A.pdf", "Melting_Curves/meltCurve_P17900_GM2A.pdf")</f>
        <v>Melting_Curves/meltCurve_P17900_GM2A.pdf</v>
      </c>
    </row>
    <row r="2015" spans="1:28" x14ac:dyDescent="0.25">
      <c r="A2015" t="s">
        <v>2019</v>
      </c>
      <c r="B2015">
        <v>0.99996721820229495</v>
      </c>
      <c r="C2015">
        <v>0.77651026270772605</v>
      </c>
      <c r="D2015">
        <v>0.73848427862724297</v>
      </c>
      <c r="E2015">
        <v>0.747704236978187</v>
      </c>
      <c r="F2015">
        <v>0.50798471524742606</v>
      </c>
      <c r="G2015">
        <v>0.33894003177507298</v>
      </c>
      <c r="H2015">
        <v>0.205669533198513</v>
      </c>
      <c r="I2015">
        <v>0.11427578599131601</v>
      </c>
      <c r="J2015">
        <v>8.2756070696732201E-2</v>
      </c>
      <c r="K2015">
        <v>8.2810537383073798E-2</v>
      </c>
      <c r="L2015">
        <v>505.87780068113199</v>
      </c>
      <c r="M2015">
        <v>9.5718444296485892</v>
      </c>
      <c r="N2015">
        <v>52.850606544095598</v>
      </c>
      <c r="O2015">
        <v>50.698205684983598</v>
      </c>
      <c r="P2015">
        <v>-4.72272439248985E-2</v>
      </c>
      <c r="Q2015">
        <v>0</v>
      </c>
      <c r="R2015">
        <v>0.962429972054345</v>
      </c>
      <c r="S2015" t="s">
        <v>7841</v>
      </c>
      <c r="T2015" t="s">
        <v>11650</v>
      </c>
      <c r="U2015" t="s">
        <v>11650</v>
      </c>
      <c r="V2015" t="s">
        <v>11650</v>
      </c>
      <c r="W2015" t="s">
        <v>13625</v>
      </c>
      <c r="X2015">
        <v>17</v>
      </c>
      <c r="Y2015" t="s">
        <v>19354</v>
      </c>
      <c r="Z2015" t="s">
        <v>25077</v>
      </c>
      <c r="AA2015">
        <v>0.46454323994653313</v>
      </c>
      <c r="AB2015" t="str">
        <f>HYPERLINK("Melting_Curves/meltCurve_P17931_LGALS3.pdf", "Melting_Curves/meltCurve_P17931_LGALS3.pdf")</f>
        <v>Melting_Curves/meltCurve_P17931_LGALS3.pdf</v>
      </c>
    </row>
    <row r="2016" spans="1:28" x14ac:dyDescent="0.25">
      <c r="A2016" t="s">
        <v>2020</v>
      </c>
      <c r="B2016">
        <v>0.99996721820229495</v>
      </c>
      <c r="C2016">
        <v>0.99545203336385002</v>
      </c>
      <c r="D2016">
        <v>0.993966106219627</v>
      </c>
      <c r="E2016">
        <v>1.0529337260518701</v>
      </c>
      <c r="F2016">
        <v>1.23994908879944</v>
      </c>
      <c r="G2016">
        <v>1.2245783803466801</v>
      </c>
      <c r="H2016">
        <v>0.88790901172713699</v>
      </c>
      <c r="I2016">
        <v>0.70622689343412604</v>
      </c>
      <c r="J2016">
        <v>0.54702417885890098</v>
      </c>
      <c r="K2016">
        <v>0.50699502635011795</v>
      </c>
      <c r="L2016">
        <v>2787.4181086949502</v>
      </c>
      <c r="M2016">
        <v>44.026013444265402</v>
      </c>
      <c r="O2016">
        <v>63.182770298332102</v>
      </c>
      <c r="P2016">
        <v>-8.6254979175881694E-2</v>
      </c>
      <c r="Q2016">
        <v>0.50485447993645405</v>
      </c>
      <c r="R2016">
        <v>0.80582472183176002</v>
      </c>
      <c r="S2016" t="s">
        <v>7842</v>
      </c>
      <c r="T2016" t="s">
        <v>11650</v>
      </c>
      <c r="U2016" t="s">
        <v>11650</v>
      </c>
      <c r="V2016" t="s">
        <v>11650</v>
      </c>
      <c r="W2016" t="s">
        <v>13626</v>
      </c>
      <c r="X2016">
        <v>13</v>
      </c>
      <c r="Y2016" t="s">
        <v>19355</v>
      </c>
      <c r="Z2016" t="s">
        <v>25078</v>
      </c>
      <c r="AA2016">
        <v>0.89096536273562477</v>
      </c>
      <c r="AB2016" t="str">
        <f>HYPERLINK("Melting_Curves/meltCurve_P17936_IGFBP3.pdf", "Melting_Curves/meltCurve_P17936_IGFBP3.pdf")</f>
        <v>Melting_Curves/meltCurve_P17936_IGFBP3.pdf</v>
      </c>
    </row>
    <row r="2017" spans="1:28" x14ac:dyDescent="0.25">
      <c r="A2017" t="s">
        <v>2021</v>
      </c>
      <c r="B2017">
        <v>0.99996721820229495</v>
      </c>
      <c r="C2017">
        <v>0.96597969767936398</v>
      </c>
      <c r="D2017">
        <v>0.96415696197588696</v>
      </c>
      <c r="E2017">
        <v>1.3599498264449099</v>
      </c>
      <c r="F2017">
        <v>1.75193626558461</v>
      </c>
      <c r="G2017">
        <v>2.6528769688509302</v>
      </c>
      <c r="H2017">
        <v>1.1902375643187599</v>
      </c>
      <c r="I2017">
        <v>0.34635200638230301</v>
      </c>
      <c r="J2017">
        <v>0.175752945722249</v>
      </c>
      <c r="K2017">
        <v>0.13242599052391499</v>
      </c>
      <c r="L2017">
        <v>15000</v>
      </c>
      <c r="M2017">
        <v>235.598379049442</v>
      </c>
      <c r="N2017">
        <v>63.767398761377898</v>
      </c>
      <c r="O2017">
        <v>63.663083420468602</v>
      </c>
      <c r="P2017">
        <v>-0.78263032175470304</v>
      </c>
      <c r="Q2017">
        <v>0.15407467056707499</v>
      </c>
      <c r="R2017">
        <v>0.345415325990301</v>
      </c>
      <c r="S2017" t="s">
        <v>7843</v>
      </c>
      <c r="T2017" t="s">
        <v>11650</v>
      </c>
      <c r="U2017" t="s">
        <v>11650</v>
      </c>
      <c r="V2017" t="s">
        <v>11650</v>
      </c>
      <c r="W2017" t="s">
        <v>13627</v>
      </c>
      <c r="X2017">
        <v>24</v>
      </c>
      <c r="Y2017" t="s">
        <v>19356</v>
      </c>
      <c r="Z2017" t="s">
        <v>25079</v>
      </c>
      <c r="AA2017">
        <v>0.82155050514724381</v>
      </c>
      <c r="AB2017" t="str">
        <f>HYPERLINK("Melting_Curves/meltCurve_P17987_TCP1.pdf", "Melting_Curves/meltCurve_P17987_TCP1.pdf")</f>
        <v>Melting_Curves/meltCurve_P17987_TCP1.pdf</v>
      </c>
    </row>
    <row r="2018" spans="1:28" x14ac:dyDescent="0.25">
      <c r="A2018" t="s">
        <v>2022</v>
      </c>
      <c r="B2018">
        <v>0.99996721820229495</v>
      </c>
      <c r="C2018">
        <v>0.918149846030619</v>
      </c>
      <c r="D2018">
        <v>0.94682132415259102</v>
      </c>
      <c r="E2018">
        <v>0.401117211316733</v>
      </c>
      <c r="F2018">
        <v>0.259691668820556</v>
      </c>
      <c r="G2018">
        <v>0.24200281180796401</v>
      </c>
      <c r="H2018">
        <v>0.145733006574708</v>
      </c>
      <c r="I2018">
        <v>9.8709169339147806E-2</v>
      </c>
      <c r="J2018">
        <v>7.4534520243647304E-2</v>
      </c>
      <c r="K2018">
        <v>5.7386934149246401E-2</v>
      </c>
      <c r="L2018">
        <v>1338.8240553017599</v>
      </c>
      <c r="M2018">
        <v>27.260198587918801</v>
      </c>
      <c r="N2018">
        <v>49.607765867272498</v>
      </c>
      <c r="O2018">
        <v>48.850764694681097</v>
      </c>
      <c r="P2018">
        <v>-0.122897305478275</v>
      </c>
      <c r="Q2018">
        <v>0.119071711160001</v>
      </c>
      <c r="R2018">
        <v>0.97745498099522499</v>
      </c>
      <c r="S2018" t="s">
        <v>7844</v>
      </c>
      <c r="T2018" t="s">
        <v>11650</v>
      </c>
      <c r="U2018" t="s">
        <v>11650</v>
      </c>
      <c r="V2018" t="s">
        <v>11650</v>
      </c>
      <c r="W2018" t="s">
        <v>13628</v>
      </c>
      <c r="X2018">
        <v>15</v>
      </c>
      <c r="Y2018" t="s">
        <v>19357</v>
      </c>
      <c r="Z2018" t="s">
        <v>25080</v>
      </c>
      <c r="AA2018">
        <v>0.39320161349910449</v>
      </c>
      <c r="AB2018" t="str">
        <f>HYPERLINK("Melting_Curves/meltCurve_P18031_PTPN1.pdf", "Melting_Curves/meltCurve_P18031_PTPN1.pdf")</f>
        <v>Melting_Curves/meltCurve_P18031_PTPN1.pdf</v>
      </c>
    </row>
    <row r="2019" spans="1:28" x14ac:dyDescent="0.25">
      <c r="A2019" t="s">
        <v>2023</v>
      </c>
      <c r="B2019">
        <v>0.99996721820229495</v>
      </c>
      <c r="C2019">
        <v>1.03809823389694</v>
      </c>
      <c r="D2019">
        <v>0.98908108172473097</v>
      </c>
      <c r="E2019">
        <v>0.97460744748029304</v>
      </c>
      <c r="F2019">
        <v>1.2221333777301799</v>
      </c>
      <c r="G2019">
        <v>1.0950226291059499</v>
      </c>
      <c r="H2019">
        <v>0.758436626060359</v>
      </c>
      <c r="I2019">
        <v>0.58948154333621305</v>
      </c>
      <c r="J2019">
        <v>0.421178881671601</v>
      </c>
      <c r="K2019">
        <v>0.28222353494293101</v>
      </c>
      <c r="L2019">
        <v>1896.33268510106</v>
      </c>
      <c r="M2019">
        <v>29.970283369081201</v>
      </c>
      <c r="N2019">
        <v>64.974058911447401</v>
      </c>
      <c r="O2019">
        <v>62.994064583218403</v>
      </c>
      <c r="P2019">
        <v>-8.6616282375150899E-2</v>
      </c>
      <c r="Q2019">
        <v>0.27177518746178803</v>
      </c>
      <c r="R2019">
        <v>0.91611563550685304</v>
      </c>
      <c r="S2019" t="s">
        <v>7845</v>
      </c>
      <c r="T2019" t="s">
        <v>11650</v>
      </c>
      <c r="U2019" t="s">
        <v>11650</v>
      </c>
      <c r="V2019" t="s">
        <v>11650</v>
      </c>
      <c r="W2019" t="s">
        <v>13629</v>
      </c>
      <c r="X2019">
        <v>10</v>
      </c>
      <c r="Y2019" t="s">
        <v>19358</v>
      </c>
      <c r="Z2019" t="s">
        <v>25081</v>
      </c>
      <c r="AA2019">
        <v>0.8387250664610727</v>
      </c>
      <c r="AB2019" t="str">
        <f>HYPERLINK("Melting_Curves/meltCurve_P18065_IGFBP2.pdf", "Melting_Curves/meltCurve_P18065_IGFBP2.pdf")</f>
        <v>Melting_Curves/meltCurve_P18065_IGFBP2.pdf</v>
      </c>
    </row>
    <row r="2020" spans="1:28" x14ac:dyDescent="0.25">
      <c r="A2020" t="s">
        <v>2024</v>
      </c>
      <c r="B2020">
        <v>0.99996721820229495</v>
      </c>
      <c r="C2020">
        <v>0.93950250702771398</v>
      </c>
      <c r="D2020">
        <v>1.15541506799684</v>
      </c>
      <c r="E2020">
        <v>1.4675396422254801</v>
      </c>
      <c r="F2020">
        <v>1.9872485573198699</v>
      </c>
      <c r="G2020">
        <v>1.87536442058969</v>
      </c>
      <c r="H2020">
        <v>1.11732685106038</v>
      </c>
      <c r="I2020">
        <v>0.30908624908566101</v>
      </c>
      <c r="J2020">
        <v>0.14826041853376001</v>
      </c>
      <c r="K2020">
        <v>0.15021181541029699</v>
      </c>
      <c r="L2020">
        <v>15000</v>
      </c>
      <c r="M2020">
        <v>235.83844169264401</v>
      </c>
      <c r="N2020">
        <v>63.698623966690398</v>
      </c>
      <c r="O2020">
        <v>63.598288586585497</v>
      </c>
      <c r="P2020">
        <v>-0.78872410771094204</v>
      </c>
      <c r="Q2020">
        <v>0.149222606615903</v>
      </c>
      <c r="R2020">
        <v>0.49000948867465</v>
      </c>
      <c r="S2020" t="s">
        <v>7846</v>
      </c>
      <c r="T2020" t="s">
        <v>11650</v>
      </c>
      <c r="U2020" t="s">
        <v>11650</v>
      </c>
      <c r="V2020" t="s">
        <v>11650</v>
      </c>
      <c r="W2020" t="s">
        <v>13630</v>
      </c>
      <c r="X2020">
        <v>34</v>
      </c>
      <c r="Y2020" t="s">
        <v>19359</v>
      </c>
      <c r="Z2020" t="s">
        <v>25082</v>
      </c>
      <c r="AA2020">
        <v>0.81868871935136411</v>
      </c>
      <c r="AB2020" t="str">
        <f>HYPERLINK("Melting_Curves/meltCurve_P18084_ITGB5.pdf", "Melting_Curves/meltCurve_P18084_ITGB5.pdf")</f>
        <v>Melting_Curves/meltCurve_P18084_ITGB5.pdf</v>
      </c>
    </row>
    <row r="2021" spans="1:28" x14ac:dyDescent="0.25">
      <c r="A2021" t="s">
        <v>2025</v>
      </c>
      <c r="B2021">
        <v>0.99996721820229495</v>
      </c>
      <c r="C2021">
        <v>1.4563584096539499</v>
      </c>
      <c r="D2021">
        <v>1.0268382111185499</v>
      </c>
      <c r="E2021">
        <v>0.62554444521754704</v>
      </c>
      <c r="F2021">
        <v>0.34707923236837102</v>
      </c>
      <c r="G2021">
        <v>0.20828912985565101</v>
      </c>
      <c r="H2021">
        <v>0.121862632393357</v>
      </c>
      <c r="I2021">
        <v>7.3533510090264195E-2</v>
      </c>
      <c r="J2021">
        <v>5.4872156738513103E-2</v>
      </c>
      <c r="K2021">
        <v>5.36427459500671E-2</v>
      </c>
      <c r="L2021">
        <v>1423.3787643794301</v>
      </c>
      <c r="M2021">
        <v>27.868535420847198</v>
      </c>
      <c r="N2021">
        <v>51.435930179334299</v>
      </c>
      <c r="O2021">
        <v>50.813946271669501</v>
      </c>
      <c r="P2021">
        <v>-0.124927453911648</v>
      </c>
      <c r="Q2021">
        <v>8.8864715442452905E-2</v>
      </c>
      <c r="R2021">
        <v>0.90023932138294405</v>
      </c>
      <c r="S2021" t="s">
        <v>7847</v>
      </c>
      <c r="T2021" t="s">
        <v>11650</v>
      </c>
      <c r="U2021" t="s">
        <v>11650</v>
      </c>
      <c r="V2021" t="s">
        <v>11650</v>
      </c>
      <c r="W2021" t="s">
        <v>13631</v>
      </c>
      <c r="X2021">
        <v>8</v>
      </c>
      <c r="Y2021" t="s">
        <v>19360</v>
      </c>
      <c r="Z2021" t="s">
        <v>25083</v>
      </c>
      <c r="AA2021">
        <v>0.43186305108166628</v>
      </c>
      <c r="AB2021" t="str">
        <f>HYPERLINK("Melting_Curves/meltCurve_P18085_ARF4.pdf", "Melting_Curves/meltCurve_P18085_ARF4.pdf")</f>
        <v>Melting_Curves/meltCurve_P18085_ARF4.pdf</v>
      </c>
    </row>
    <row r="2022" spans="1:28" x14ac:dyDescent="0.25">
      <c r="A2022" t="s">
        <v>2026</v>
      </c>
      <c r="B2022">
        <v>0.99996721820229495</v>
      </c>
      <c r="C2022">
        <v>1.0528483569824401</v>
      </c>
      <c r="D2022">
        <v>1.09438149550804</v>
      </c>
      <c r="E2022">
        <v>1.58822922855624</v>
      </c>
      <c r="F2022">
        <v>1.56175483643115</v>
      </c>
      <c r="G2022">
        <v>1.4242382069394499</v>
      </c>
      <c r="H2022">
        <v>0.78315208187757002</v>
      </c>
      <c r="I2022">
        <v>0.45776493100010102</v>
      </c>
      <c r="J2022">
        <v>0.19089705572643301</v>
      </c>
      <c r="K2022">
        <v>0.22748788508063</v>
      </c>
      <c r="L2022">
        <v>3085.9959477965599</v>
      </c>
      <c r="M2022">
        <v>49.198843318781897</v>
      </c>
      <c r="N2022">
        <v>63.387249455441498</v>
      </c>
      <c r="O2022">
        <v>62.621600901943097</v>
      </c>
      <c r="P2022">
        <v>-0.156941905762401</v>
      </c>
      <c r="Q2022">
        <v>0.200961362739253</v>
      </c>
      <c r="R2022">
        <v>0.64052706644245805</v>
      </c>
      <c r="S2022" t="s">
        <v>7848</v>
      </c>
      <c r="T2022" t="s">
        <v>11650</v>
      </c>
      <c r="U2022" t="s">
        <v>11650</v>
      </c>
      <c r="V2022" t="s">
        <v>11650</v>
      </c>
      <c r="W2022" t="s">
        <v>13632</v>
      </c>
      <c r="X2022">
        <v>2</v>
      </c>
      <c r="Y2022" t="s">
        <v>19361</v>
      </c>
      <c r="Z2022" t="s">
        <v>25084</v>
      </c>
      <c r="AA2022">
        <v>0.80825004175561721</v>
      </c>
      <c r="AB2022" t="str">
        <f>HYPERLINK("Melting_Curves/meltCurve_P18124_RPL7.pdf", "Melting_Curves/meltCurve_P18124_RPL7.pdf")</f>
        <v>Melting_Curves/meltCurve_P18124_RPL7.pdf</v>
      </c>
    </row>
    <row r="2023" spans="1:28" x14ac:dyDescent="0.25">
      <c r="A2023" t="s">
        <v>2027</v>
      </c>
      <c r="B2023">
        <v>0.99996721820229495</v>
      </c>
      <c r="C2023">
        <v>1.0127856905193799</v>
      </c>
      <c r="D2023">
        <v>0.87254254828190403</v>
      </c>
      <c r="E2023">
        <v>0.92024591565123404</v>
      </c>
      <c r="F2023">
        <v>1.13182111707063</v>
      </c>
      <c r="G2023">
        <v>1.1689558706763601</v>
      </c>
      <c r="H2023">
        <v>0.83324319263869795</v>
      </c>
      <c r="I2023">
        <v>0.748915316177857</v>
      </c>
      <c r="J2023">
        <v>0.61305596084620095</v>
      </c>
      <c r="K2023">
        <v>0.70364080370409998</v>
      </c>
      <c r="L2023">
        <v>4290.7702523518001</v>
      </c>
      <c r="M2023">
        <v>70.287752305669102</v>
      </c>
      <c r="O2023">
        <v>60.996422582511201</v>
      </c>
      <c r="P2023">
        <v>-9.1570108040037304E-2</v>
      </c>
      <c r="Q2023">
        <v>0.68213824583784499</v>
      </c>
      <c r="R2023">
        <v>0.73871498291382998</v>
      </c>
      <c r="S2023" t="s">
        <v>7849</v>
      </c>
      <c r="T2023" t="s">
        <v>11650</v>
      </c>
      <c r="U2023" t="s">
        <v>11650</v>
      </c>
      <c r="V2023" t="s">
        <v>11650</v>
      </c>
      <c r="W2023" t="s">
        <v>13633</v>
      </c>
      <c r="X2023">
        <v>1</v>
      </c>
      <c r="Y2023" t="s">
        <v>19362</v>
      </c>
      <c r="Z2023" t="s">
        <v>25085</v>
      </c>
      <c r="AA2023">
        <v>0.90555683956499988</v>
      </c>
      <c r="AB2023" t="str">
        <f>HYPERLINK("Melting_Curves/meltCurve_P18146_EGR1.pdf", "Melting_Curves/meltCurve_P18146_EGR1.pdf")</f>
        <v>Melting_Curves/meltCurve_P18146_EGR1.pdf</v>
      </c>
    </row>
    <row r="2024" spans="1:28" x14ac:dyDescent="0.25">
      <c r="A2024" t="s">
        <v>2028</v>
      </c>
      <c r="B2024">
        <v>0.99996721820229495</v>
      </c>
      <c r="C2024">
        <v>1.09105744009659</v>
      </c>
      <c r="D2024">
        <v>1.0878724363647601</v>
      </c>
      <c r="E2024">
        <v>0.92910003784550299</v>
      </c>
      <c r="F2024">
        <v>0.88866562190556297</v>
      </c>
      <c r="G2024">
        <v>0.92800524952119401</v>
      </c>
      <c r="H2024">
        <v>0.66439278477096397</v>
      </c>
      <c r="I2024">
        <v>0.674600939775029</v>
      </c>
      <c r="J2024">
        <v>0.53615611535492003</v>
      </c>
      <c r="K2024">
        <v>0.48350651318663201</v>
      </c>
      <c r="L2024">
        <v>790.51816549127398</v>
      </c>
      <c r="M2024">
        <v>12.6054836414168</v>
      </c>
      <c r="N2024">
        <v>69.1414915820136</v>
      </c>
      <c r="O2024">
        <v>61.196738284795103</v>
      </c>
      <c r="P2024">
        <v>-3.3728764580706803E-2</v>
      </c>
      <c r="Q2024">
        <v>0.34514848736847697</v>
      </c>
      <c r="R2024">
        <v>0.92372918686104699</v>
      </c>
      <c r="S2024" t="s">
        <v>7850</v>
      </c>
      <c r="T2024" t="s">
        <v>11650</v>
      </c>
      <c r="U2024" t="s">
        <v>11650</v>
      </c>
      <c r="V2024" t="s">
        <v>11650</v>
      </c>
      <c r="W2024" t="s">
        <v>13634</v>
      </c>
      <c r="X2024">
        <v>5</v>
      </c>
      <c r="Y2024" t="s">
        <v>19363</v>
      </c>
      <c r="Z2024" t="s">
        <v>25086</v>
      </c>
      <c r="AA2024">
        <v>0.83132160899033924</v>
      </c>
      <c r="AB2024" t="str">
        <f>HYPERLINK("Melting_Curves/meltCurve_P18615_NELFE.pdf", "Melting_Curves/meltCurve_P18615_NELFE.pdf")</f>
        <v>Melting_Curves/meltCurve_P18615_NELFE.pdf</v>
      </c>
    </row>
    <row r="2025" spans="1:28" x14ac:dyDescent="0.25">
      <c r="A2025" t="s">
        <v>2029</v>
      </c>
      <c r="B2025">
        <v>0.99996721820229495</v>
      </c>
      <c r="C2025">
        <v>0.94920555150227803</v>
      </c>
      <c r="D2025">
        <v>0.942089796766299</v>
      </c>
      <c r="E2025">
        <v>1.07149995802332</v>
      </c>
      <c r="F2025">
        <v>1.32732002922257</v>
      </c>
      <c r="G2025">
        <v>1.3789980930272101</v>
      </c>
      <c r="H2025">
        <v>1.06031538190048</v>
      </c>
      <c r="I2025">
        <v>0.65396137046187697</v>
      </c>
      <c r="J2025">
        <v>0.284264925884544</v>
      </c>
      <c r="K2025">
        <v>0.15565004591098699</v>
      </c>
      <c r="L2025">
        <v>4206.3620740877304</v>
      </c>
      <c r="M2025">
        <v>65.318217154134103</v>
      </c>
      <c r="N2025">
        <v>64.852312363829299</v>
      </c>
      <c r="O2025">
        <v>64.337711078212905</v>
      </c>
      <c r="P2025">
        <v>-0.20721193719081099</v>
      </c>
      <c r="Q2025">
        <v>0.18359450609106301</v>
      </c>
      <c r="R2025">
        <v>0.81545102132528202</v>
      </c>
      <c r="S2025" t="s">
        <v>7851</v>
      </c>
      <c r="T2025" t="s">
        <v>11650</v>
      </c>
      <c r="U2025" t="s">
        <v>11650</v>
      </c>
      <c r="V2025" t="s">
        <v>11650</v>
      </c>
      <c r="W2025" t="s">
        <v>13635</v>
      </c>
      <c r="X2025">
        <v>28</v>
      </c>
      <c r="Y2025" t="s">
        <v>19364</v>
      </c>
      <c r="Z2025" t="s">
        <v>25087</v>
      </c>
      <c r="AA2025">
        <v>0.84872976872166739</v>
      </c>
      <c r="AB2025" t="str">
        <f>HYPERLINK("Melting_Curves/meltCurve_P18669_PGAM1.pdf", "Melting_Curves/meltCurve_P18669_PGAM1.pdf")</f>
        <v>Melting_Curves/meltCurve_P18669_PGAM1.pdf</v>
      </c>
    </row>
    <row r="2026" spans="1:28" x14ac:dyDescent="0.25">
      <c r="A2026" t="s">
        <v>2030</v>
      </c>
      <c r="B2026">
        <v>0.99996721820229495</v>
      </c>
      <c r="C2026">
        <v>1.0204087882184201</v>
      </c>
      <c r="D2026">
        <v>0.76755630859872603</v>
      </c>
      <c r="E2026">
        <v>0.24094974314787401</v>
      </c>
      <c r="F2026">
        <v>0.20387423211713199</v>
      </c>
      <c r="G2026">
        <v>0.13224053174754399</v>
      </c>
      <c r="H2026">
        <v>7.3524581937976397E-2</v>
      </c>
      <c r="I2026">
        <v>7.0141083783923697E-2</v>
      </c>
      <c r="J2026">
        <v>4.1882000409294899E-2</v>
      </c>
      <c r="K2026">
        <v>3.5010214942225698E-2</v>
      </c>
      <c r="L2026">
        <v>1387.53606734972</v>
      </c>
      <c r="M2026">
        <v>29.058715526940599</v>
      </c>
      <c r="N2026">
        <v>48.029366185785101</v>
      </c>
      <c r="O2026">
        <v>47.524972739162003</v>
      </c>
      <c r="P2026">
        <v>-0.14095200494156601</v>
      </c>
      <c r="Q2026">
        <v>7.7909591402391204E-2</v>
      </c>
      <c r="R2026">
        <v>0.989616630741045</v>
      </c>
      <c r="S2026" t="s">
        <v>7852</v>
      </c>
      <c r="T2026" t="s">
        <v>11650</v>
      </c>
      <c r="U2026" t="s">
        <v>11650</v>
      </c>
      <c r="V2026" t="s">
        <v>11650</v>
      </c>
      <c r="W2026" t="s">
        <v>13636</v>
      </c>
      <c r="X2026">
        <v>4</v>
      </c>
      <c r="Y2026" t="s">
        <v>19365</v>
      </c>
      <c r="Z2026" t="s">
        <v>25088</v>
      </c>
      <c r="AA2026">
        <v>0.32202137314816731</v>
      </c>
      <c r="AB2026" t="str">
        <f>HYPERLINK("Melting_Curves/meltCurve_P18754_RCC1.pdf", "Melting_Curves/meltCurve_P18754_RCC1.pdf")</f>
        <v>Melting_Curves/meltCurve_P18754_RCC1.pdf</v>
      </c>
    </row>
    <row r="2027" spans="1:28" x14ac:dyDescent="0.25">
      <c r="A2027" t="s">
        <v>2031</v>
      </c>
      <c r="B2027">
        <v>0.99996721820229495</v>
      </c>
      <c r="C2027">
        <v>1.11561759812006</v>
      </c>
      <c r="D2027">
        <v>1.2180136247720501</v>
      </c>
      <c r="E2027">
        <v>1.45033491478687</v>
      </c>
      <c r="F2027">
        <v>2.4730484981502401</v>
      </c>
      <c r="G2027">
        <v>4.1839947055835598</v>
      </c>
      <c r="H2027">
        <v>3.90549236471804</v>
      </c>
      <c r="I2027">
        <v>4.1651518089553496</v>
      </c>
      <c r="J2027">
        <v>3.8638395952534101</v>
      </c>
      <c r="K2027">
        <v>2.54694964838533</v>
      </c>
      <c r="L2027">
        <v>2340.1967987200701</v>
      </c>
      <c r="M2027">
        <v>50.713139567411403</v>
      </c>
      <c r="O2027">
        <v>46.074183232196297</v>
      </c>
      <c r="P2027">
        <v>0.13758567528900301</v>
      </c>
      <c r="Q2027">
        <v>1.5</v>
      </c>
      <c r="R2027">
        <v>-0.70447481962662695</v>
      </c>
      <c r="S2027" t="s">
        <v>7853</v>
      </c>
      <c r="T2027" t="s">
        <v>11650</v>
      </c>
      <c r="U2027" t="s">
        <v>11650</v>
      </c>
      <c r="V2027" t="s">
        <v>11650</v>
      </c>
      <c r="W2027" t="s">
        <v>13637</v>
      </c>
      <c r="X2027">
        <v>5</v>
      </c>
      <c r="Y2027" t="s">
        <v>19366</v>
      </c>
      <c r="Z2027" t="s">
        <v>25089</v>
      </c>
      <c r="AA2027">
        <v>1.396576795737251</v>
      </c>
      <c r="AB2027" t="str">
        <f>HYPERLINK("Melting_Curves/meltCurve_P18827_SDC1.pdf", "Melting_Curves/meltCurve_P18827_SDC1.pdf")</f>
        <v>Melting_Curves/meltCurve_P18827_SDC1.pdf</v>
      </c>
    </row>
    <row r="2028" spans="1:28" x14ac:dyDescent="0.25">
      <c r="A2028" t="s">
        <v>2032</v>
      </c>
      <c r="B2028">
        <v>0.99996721820229495</v>
      </c>
      <c r="C2028">
        <v>0.92478029288270103</v>
      </c>
      <c r="D2028">
        <v>0.85817005977947902</v>
      </c>
      <c r="E2028">
        <v>0.99014760678230695</v>
      </c>
      <c r="F2028">
        <v>1.0793691133866901</v>
      </c>
      <c r="G2028">
        <v>0.84565198442552802</v>
      </c>
      <c r="H2028">
        <v>0.71833045879181801</v>
      </c>
      <c r="I2028">
        <v>0.80588413891381205</v>
      </c>
      <c r="J2028">
        <v>0.73427506362029404</v>
      </c>
      <c r="K2028">
        <v>0.727182676916314</v>
      </c>
      <c r="L2028">
        <v>14224.8213779898</v>
      </c>
      <c r="M2028">
        <v>250</v>
      </c>
      <c r="O2028">
        <v>56.895644099940597</v>
      </c>
      <c r="P2028">
        <v>-0.27856033758568199</v>
      </c>
      <c r="Q2028">
        <v>0.74641808200695303</v>
      </c>
      <c r="R2028">
        <v>0.74439025642468604</v>
      </c>
      <c r="S2028" t="s">
        <v>7854</v>
      </c>
      <c r="T2028" t="s">
        <v>11650</v>
      </c>
      <c r="U2028" t="s">
        <v>11650</v>
      </c>
      <c r="V2028" t="s">
        <v>11650</v>
      </c>
      <c r="W2028" t="s">
        <v>13638</v>
      </c>
      <c r="X2028">
        <v>6</v>
      </c>
      <c r="Y2028" t="s">
        <v>19367</v>
      </c>
      <c r="Z2028" t="s">
        <v>25090</v>
      </c>
      <c r="AA2028">
        <v>0.88928851178911816</v>
      </c>
      <c r="AB2028" t="str">
        <f>HYPERLINK("Melting_Curves/meltCurve_P18846_ATF1.pdf", "Melting_Curves/meltCurve_P18846_ATF1.pdf")</f>
        <v>Melting_Curves/meltCurve_P18846_ATF1.pdf</v>
      </c>
    </row>
    <row r="2029" spans="1:28" x14ac:dyDescent="0.25">
      <c r="A2029" t="s">
        <v>2033</v>
      </c>
      <c r="B2029">
        <v>0.99996721820229495</v>
      </c>
      <c r="C2029">
        <v>0.94107008569327499</v>
      </c>
      <c r="D2029">
        <v>0.86202706262773499</v>
      </c>
      <c r="E2029">
        <v>0.975554066169246</v>
      </c>
      <c r="F2029">
        <v>1.3784873618943401</v>
      </c>
      <c r="G2029">
        <v>1.9593001191246</v>
      </c>
      <c r="H2029">
        <v>2.4286132871649602</v>
      </c>
      <c r="I2029">
        <v>6.5276996117621398</v>
      </c>
      <c r="J2029">
        <v>10.701273282366399</v>
      </c>
      <c r="K2029">
        <v>4.7903159077785702</v>
      </c>
      <c r="L2029">
        <v>13189.7832184174</v>
      </c>
      <c r="M2029">
        <v>250</v>
      </c>
      <c r="O2029">
        <v>52.755756634152199</v>
      </c>
      <c r="P2029">
        <v>0.59235241853137899</v>
      </c>
      <c r="Q2029">
        <v>1.5</v>
      </c>
      <c r="R2029">
        <v>-0.27389567145051702</v>
      </c>
      <c r="S2029" t="s">
        <v>7855</v>
      </c>
      <c r="T2029" t="s">
        <v>11650</v>
      </c>
      <c r="U2029" t="s">
        <v>11650</v>
      </c>
      <c r="V2029" t="s">
        <v>11650</v>
      </c>
      <c r="W2029" t="s">
        <v>13639</v>
      </c>
      <c r="X2029">
        <v>10</v>
      </c>
      <c r="Y2029" t="s">
        <v>19368</v>
      </c>
      <c r="Z2029" t="s">
        <v>25091</v>
      </c>
      <c r="AA2029">
        <v>1.287301489710297</v>
      </c>
      <c r="AB2029" t="str">
        <f>HYPERLINK("Melting_Curves/meltCurve_P18859_ATP5J.pdf", "Melting_Curves/meltCurve_P18859_ATP5J.pdf")</f>
        <v>Melting_Curves/meltCurve_P18859_ATP5J.pdf</v>
      </c>
    </row>
    <row r="2030" spans="1:28" x14ac:dyDescent="0.25">
      <c r="A2030" t="s">
        <v>2034</v>
      </c>
      <c r="B2030">
        <v>0.99996721820229495</v>
      </c>
      <c r="C2030">
        <v>0.91601746287570496</v>
      </c>
      <c r="D2030">
        <v>0.98405269882507795</v>
      </c>
      <c r="E2030">
        <v>1.06503691914884</v>
      </c>
      <c r="F2030">
        <v>1.41581369213212</v>
      </c>
      <c r="G2030">
        <v>1.36066251364237</v>
      </c>
      <c r="H2030">
        <v>1.05039042580648</v>
      </c>
      <c r="I2030">
        <v>0.695013900577515</v>
      </c>
      <c r="J2030">
        <v>0.48158752245268999</v>
      </c>
      <c r="K2030">
        <v>0.39955126106398198</v>
      </c>
      <c r="L2030">
        <v>9767.2221448922392</v>
      </c>
      <c r="M2030">
        <v>152.79067163068601</v>
      </c>
      <c r="N2030">
        <v>64.826791930261393</v>
      </c>
      <c r="O2030">
        <v>63.914563476778298</v>
      </c>
      <c r="P2030">
        <v>-0.33453445839229301</v>
      </c>
      <c r="Q2030">
        <v>0.44023745867663899</v>
      </c>
      <c r="R2030">
        <v>0.67940163488239602</v>
      </c>
      <c r="S2030" t="s">
        <v>7856</v>
      </c>
      <c r="T2030" t="s">
        <v>11650</v>
      </c>
      <c r="U2030" t="s">
        <v>11650</v>
      </c>
      <c r="V2030" t="s">
        <v>11650</v>
      </c>
      <c r="W2030" t="s">
        <v>13640</v>
      </c>
      <c r="X2030">
        <v>8</v>
      </c>
      <c r="Y2030" t="s">
        <v>19369</v>
      </c>
      <c r="Z2030" t="s">
        <v>25092</v>
      </c>
      <c r="AA2030">
        <v>0.8868258399536959</v>
      </c>
      <c r="AB2030" t="str">
        <f>HYPERLINK("Melting_Curves/meltCurve_P19021_PAM.pdf", "Melting_Curves/meltCurve_P19021_PAM.pdf")</f>
        <v>Melting_Curves/meltCurve_P19021_PAM.pdf</v>
      </c>
    </row>
    <row r="2031" spans="1:28" x14ac:dyDescent="0.25">
      <c r="A2031" t="s">
        <v>2035</v>
      </c>
      <c r="B2031">
        <v>0.99996721820229495</v>
      </c>
      <c r="C2031">
        <v>0.98330209391365897</v>
      </c>
      <c r="D2031">
        <v>1.04976248920969</v>
      </c>
      <c r="E2031">
        <v>1.2468396462196001</v>
      </c>
      <c r="F2031">
        <v>1.05893356102234</v>
      </c>
      <c r="G2031">
        <v>1.00104609871754</v>
      </c>
      <c r="H2031">
        <v>0.72275453238453702</v>
      </c>
      <c r="I2031">
        <v>1.12091963117638</v>
      </c>
      <c r="J2031">
        <v>0.385028518875072</v>
      </c>
      <c r="K2031">
        <v>0.36285262572944099</v>
      </c>
      <c r="L2031">
        <v>15000</v>
      </c>
      <c r="M2031">
        <v>227.03872609976901</v>
      </c>
      <c r="N2031">
        <v>66.442639510846206</v>
      </c>
      <c r="O2031">
        <v>66.062897788428899</v>
      </c>
      <c r="P2031">
        <v>-0.54901933276882597</v>
      </c>
      <c r="Q2031">
        <v>0.36099345497172602</v>
      </c>
      <c r="R2031">
        <v>0.80840757738776303</v>
      </c>
      <c r="S2031" t="s">
        <v>7857</v>
      </c>
      <c r="T2031" t="s">
        <v>11650</v>
      </c>
      <c r="U2031" t="s">
        <v>11650</v>
      </c>
      <c r="V2031" t="s">
        <v>11650</v>
      </c>
      <c r="W2031" t="s">
        <v>13641</v>
      </c>
      <c r="X2031">
        <v>27</v>
      </c>
      <c r="Y2031" t="s">
        <v>19370</v>
      </c>
      <c r="Z2031" t="s">
        <v>25093</v>
      </c>
      <c r="AA2031">
        <v>0.9163378727329925</v>
      </c>
      <c r="AB2031" t="str">
        <f>HYPERLINK("Melting_Curves/meltCurve_P19338_NCL.pdf", "Melting_Curves/meltCurve_P19338_NCL.pdf")</f>
        <v>Melting_Curves/meltCurve_P19338_NCL.pdf</v>
      </c>
    </row>
    <row r="2032" spans="1:28" x14ac:dyDescent="0.25">
      <c r="A2032" t="s">
        <v>2036</v>
      </c>
      <c r="B2032">
        <v>0.99996721820229495</v>
      </c>
      <c r="C2032">
        <v>1.0269751624605801</v>
      </c>
      <c r="D2032">
        <v>1.05715822674272</v>
      </c>
      <c r="E2032">
        <v>1.04689079148091</v>
      </c>
      <c r="F2032">
        <v>0.42597453274875902</v>
      </c>
      <c r="G2032">
        <v>0.25145336541471702</v>
      </c>
      <c r="H2032">
        <v>0.14229932743618501</v>
      </c>
      <c r="I2032">
        <v>8.6628391310504801E-2</v>
      </c>
      <c r="J2032">
        <v>5.8258890775581398E-2</v>
      </c>
      <c r="K2032">
        <v>5.3644166651231603E-2</v>
      </c>
      <c r="L2032">
        <v>13216.920560586301</v>
      </c>
      <c r="M2032">
        <v>250</v>
      </c>
      <c r="N2032">
        <v>52.924922899488202</v>
      </c>
      <c r="O2032">
        <v>52.864297326644397</v>
      </c>
      <c r="P2032">
        <v>-1.04222415253579</v>
      </c>
      <c r="Q2032">
        <v>0.11845681240053201</v>
      </c>
      <c r="R2032">
        <v>0.98243776691405205</v>
      </c>
      <c r="S2032" t="s">
        <v>7858</v>
      </c>
      <c r="T2032" t="s">
        <v>11650</v>
      </c>
      <c r="U2032" t="s">
        <v>11650</v>
      </c>
      <c r="V2032" t="s">
        <v>11650</v>
      </c>
      <c r="W2032" t="s">
        <v>13642</v>
      </c>
      <c r="X2032">
        <v>64</v>
      </c>
      <c r="Y2032" t="s">
        <v>19371</v>
      </c>
      <c r="Z2032" t="s">
        <v>25094</v>
      </c>
      <c r="AA2032">
        <v>0.49665252440269009</v>
      </c>
      <c r="AB2032" t="str">
        <f>HYPERLINK("Melting_Curves/meltCurve_P19367_HK1.pdf", "Melting_Curves/meltCurve_P19367_HK1.pdf")</f>
        <v>Melting_Curves/meltCurve_P19367_HK1.pdf</v>
      </c>
    </row>
    <row r="2033" spans="1:28" x14ac:dyDescent="0.25">
      <c r="A2033" t="s">
        <v>2037</v>
      </c>
      <c r="B2033">
        <v>0.99996721820229495</v>
      </c>
      <c r="C2033">
        <v>0.90548257846875801</v>
      </c>
      <c r="D2033">
        <v>0.624545074226033</v>
      </c>
      <c r="E2033">
        <v>0.64030214026542798</v>
      </c>
      <c r="F2033">
        <v>0.66837301813518601</v>
      </c>
      <c r="G2033">
        <v>0.62138501478349795</v>
      </c>
      <c r="H2033">
        <v>0.39974207362102299</v>
      </c>
      <c r="I2033">
        <v>0.41733072869793703</v>
      </c>
      <c r="J2033">
        <v>0.306039829250214</v>
      </c>
      <c r="K2033">
        <v>0.25102745478411698</v>
      </c>
      <c r="L2033">
        <v>297.15279001032701</v>
      </c>
      <c r="M2033">
        <v>5.1364205332300203</v>
      </c>
      <c r="N2033">
        <v>57.852114733600402</v>
      </c>
      <c r="O2033">
        <v>50.804082517687497</v>
      </c>
      <c r="P2033">
        <v>-2.5416833310842601E-2</v>
      </c>
      <c r="Q2033">
        <v>0</v>
      </c>
      <c r="R2033">
        <v>0.89103412511204605</v>
      </c>
      <c r="S2033" t="s">
        <v>7859</v>
      </c>
      <c r="T2033" t="s">
        <v>11650</v>
      </c>
      <c r="U2033" t="s">
        <v>11650</v>
      </c>
      <c r="V2033" t="s">
        <v>11650</v>
      </c>
      <c r="W2033" t="s">
        <v>13643</v>
      </c>
      <c r="X2033">
        <v>3</v>
      </c>
      <c r="Y2033" t="s">
        <v>19372</v>
      </c>
      <c r="Z2033" t="s">
        <v>25095</v>
      </c>
      <c r="AA2033">
        <v>0.58084407282872919</v>
      </c>
      <c r="AB2033" t="str">
        <f>HYPERLINK("Melting_Curves/meltCurve_P19525_2_EIF2AK2.pdf", "Melting_Curves/meltCurve_P19525_2_EIF2AK2.pdf")</f>
        <v>Melting_Curves/meltCurve_P19525_2_EIF2AK2.pdf</v>
      </c>
    </row>
    <row r="2034" spans="1:28" x14ac:dyDescent="0.25">
      <c r="A2034" t="s">
        <v>2038</v>
      </c>
      <c r="B2034">
        <v>0.99996721820229495</v>
      </c>
      <c r="C2034">
        <v>1.0586322774578001</v>
      </c>
      <c r="D2034">
        <v>0.95121985693901101</v>
      </c>
      <c r="E2034">
        <v>0.815882053330241</v>
      </c>
      <c r="F2034">
        <v>0.71698215995840098</v>
      </c>
      <c r="G2034">
        <v>0.54889222426778195</v>
      </c>
      <c r="H2034">
        <v>0.320350731911974</v>
      </c>
      <c r="I2034">
        <v>0.42793467080140801</v>
      </c>
      <c r="J2034">
        <v>0.50589803339127304</v>
      </c>
      <c r="K2034">
        <v>0.45753632409450201</v>
      </c>
      <c r="L2034">
        <v>1098.4870205157899</v>
      </c>
      <c r="M2034">
        <v>20.935143090139601</v>
      </c>
      <c r="N2034">
        <v>57.728924588590502</v>
      </c>
      <c r="O2034">
        <v>51.999236915183999</v>
      </c>
      <c r="P2034">
        <v>-5.7803505385631497E-2</v>
      </c>
      <c r="Q2034">
        <v>0.42572038019887698</v>
      </c>
      <c r="R2034">
        <v>0.94861114997209295</v>
      </c>
      <c r="S2034" t="s">
        <v>7860</v>
      </c>
      <c r="T2034" t="s">
        <v>11650</v>
      </c>
      <c r="U2034" t="s">
        <v>11650</v>
      </c>
      <c r="V2034" t="s">
        <v>11650</v>
      </c>
      <c r="W2034" t="s">
        <v>13644</v>
      </c>
      <c r="X2034">
        <v>7</v>
      </c>
      <c r="Y2034" t="s">
        <v>19373</v>
      </c>
      <c r="Z2034" t="s">
        <v>25096</v>
      </c>
      <c r="AA2034">
        <v>0.67175968002563247</v>
      </c>
      <c r="AB2034" t="str">
        <f>HYPERLINK("Melting_Curves/meltCurve_P19532_TFE3.pdf", "Melting_Curves/meltCurve_P19532_TFE3.pdf")</f>
        <v>Melting_Curves/meltCurve_P19532_TFE3.pdf</v>
      </c>
    </row>
    <row r="2035" spans="1:28" x14ac:dyDescent="0.25">
      <c r="A2035" t="s">
        <v>2039</v>
      </c>
      <c r="B2035">
        <v>0.99996721820229495</v>
      </c>
      <c r="C2035">
        <v>1.01523603497165</v>
      </c>
      <c r="D2035">
        <v>0.97628792213108395</v>
      </c>
      <c r="E2035">
        <v>0.694061196276202</v>
      </c>
      <c r="F2035">
        <v>0.30385702353568</v>
      </c>
      <c r="G2035">
        <v>0.24479544170158701</v>
      </c>
      <c r="H2035">
        <v>0.147955347768155</v>
      </c>
      <c r="I2035">
        <v>0.100806832147917</v>
      </c>
      <c r="J2035">
        <v>7.6933082335578898E-2</v>
      </c>
      <c r="K2035">
        <v>6.2313771953914299E-2</v>
      </c>
      <c r="L2035">
        <v>1384.5482586194501</v>
      </c>
      <c r="M2035">
        <v>27.107255580488399</v>
      </c>
      <c r="N2035">
        <v>51.532819103885103</v>
      </c>
      <c r="O2035">
        <v>50.801120638372602</v>
      </c>
      <c r="P2035">
        <v>-0.119171157227085</v>
      </c>
      <c r="Q2035">
        <v>0.10666437158261299</v>
      </c>
      <c r="R2035">
        <v>0.990289367421189</v>
      </c>
      <c r="S2035" t="s">
        <v>7861</v>
      </c>
      <c r="T2035" t="s">
        <v>11650</v>
      </c>
      <c r="U2035" t="s">
        <v>11650</v>
      </c>
      <c r="V2035" t="s">
        <v>11650</v>
      </c>
      <c r="W2035" t="s">
        <v>13645</v>
      </c>
      <c r="X2035">
        <v>11</v>
      </c>
      <c r="Y2035" t="s">
        <v>19374</v>
      </c>
      <c r="Z2035" t="s">
        <v>25097</v>
      </c>
      <c r="AA2035">
        <v>0.44338767722704731</v>
      </c>
      <c r="AB2035" t="str">
        <f>HYPERLINK("Melting_Curves/meltCurve_P19623_SRM.pdf", "Melting_Curves/meltCurve_P19623_SRM.pdf")</f>
        <v>Melting_Curves/meltCurve_P19623_SRM.pdf</v>
      </c>
    </row>
    <row r="2036" spans="1:28" x14ac:dyDescent="0.25">
      <c r="A2036" t="s">
        <v>2040</v>
      </c>
      <c r="B2036">
        <v>0.99996721820229495</v>
      </c>
      <c r="C2036">
        <v>0.99865263878414601</v>
      </c>
      <c r="D2036">
        <v>1.05641945032048</v>
      </c>
      <c r="E2036">
        <v>1.1795220051850099</v>
      </c>
      <c r="F2036">
        <v>0.75272608646059103</v>
      </c>
      <c r="G2036">
        <v>0.65819708423099199</v>
      </c>
      <c r="H2036">
        <v>0.37555253768144597</v>
      </c>
      <c r="I2036">
        <v>0.25565535656905503</v>
      </c>
      <c r="J2036">
        <v>0.238529929124912</v>
      </c>
      <c r="K2036">
        <v>0.15672283881145699</v>
      </c>
      <c r="L2036">
        <v>1178.28325342024</v>
      </c>
      <c r="M2036">
        <v>20.4164653187858</v>
      </c>
      <c r="N2036">
        <v>58.842534383076199</v>
      </c>
      <c r="O2036">
        <v>57.1672815880437</v>
      </c>
      <c r="P2036">
        <v>-7.4805316336414296E-2</v>
      </c>
      <c r="Q2036">
        <v>0.162188338668766</v>
      </c>
      <c r="R2036">
        <v>0.94875940875311304</v>
      </c>
      <c r="S2036" t="s">
        <v>7862</v>
      </c>
      <c r="T2036" t="s">
        <v>11650</v>
      </c>
      <c r="U2036" t="s">
        <v>11650</v>
      </c>
      <c r="V2036" t="s">
        <v>11650</v>
      </c>
      <c r="W2036" t="s">
        <v>12095</v>
      </c>
      <c r="X2036">
        <v>8</v>
      </c>
      <c r="Y2036" t="s">
        <v>19375</v>
      </c>
      <c r="Z2036" t="s">
        <v>25098</v>
      </c>
      <c r="AA2036">
        <v>0.66637361219573188</v>
      </c>
      <c r="AB2036" t="str">
        <f>HYPERLINK("Melting_Curves/meltCurve_P19784_CSNK2A2.pdf", "Melting_Curves/meltCurve_P19784_CSNK2A2.pdf")</f>
        <v>Melting_Curves/meltCurve_P19784_CSNK2A2.pdf</v>
      </c>
    </row>
    <row r="2037" spans="1:28" x14ac:dyDescent="0.25">
      <c r="A2037" t="s">
        <v>2041</v>
      </c>
      <c r="B2037">
        <v>0.99996721820229495</v>
      </c>
      <c r="C2037">
        <v>0.93906313393559204</v>
      </c>
      <c r="D2037">
        <v>0.99144615903081601</v>
      </c>
      <c r="E2037">
        <v>0.71128813491163301</v>
      </c>
      <c r="F2037">
        <v>0.43803400402751003</v>
      </c>
      <c r="G2037">
        <v>0.33427098645657999</v>
      </c>
      <c r="H2037">
        <v>0.20861559799219101</v>
      </c>
      <c r="I2037">
        <v>0.15051950235584599</v>
      </c>
      <c r="J2037">
        <v>0.111022945954646</v>
      </c>
      <c r="K2037">
        <v>9.0923761503380204E-2</v>
      </c>
      <c r="L2037">
        <v>880.39775781121796</v>
      </c>
      <c r="M2037">
        <v>16.860980324009901</v>
      </c>
      <c r="N2037">
        <v>52.974222237265899</v>
      </c>
      <c r="O2037">
        <v>51.497207770267501</v>
      </c>
      <c r="P2037">
        <v>-7.3073832226156807E-2</v>
      </c>
      <c r="Q2037">
        <v>0.10732162173386001</v>
      </c>
      <c r="R2037">
        <v>0.98800988135638401</v>
      </c>
      <c r="S2037" t="s">
        <v>7863</v>
      </c>
      <c r="T2037" t="s">
        <v>11650</v>
      </c>
      <c r="U2037" t="s">
        <v>11650</v>
      </c>
      <c r="V2037" t="s">
        <v>11650</v>
      </c>
      <c r="W2037" t="s">
        <v>13646</v>
      </c>
      <c r="X2037">
        <v>10</v>
      </c>
      <c r="Y2037" t="s">
        <v>19376</v>
      </c>
      <c r="Z2037" t="s">
        <v>25099</v>
      </c>
      <c r="AA2037">
        <v>0.48729304594629619</v>
      </c>
      <c r="AB2037" t="str">
        <f>HYPERLINK("Melting_Curves/meltCurve_P19838_NFKB1.pdf", "Melting_Curves/meltCurve_P19838_NFKB1.pdf")</f>
        <v>Melting_Curves/meltCurve_P19838_NFKB1.pdf</v>
      </c>
    </row>
    <row r="2038" spans="1:28" x14ac:dyDescent="0.25">
      <c r="A2038" t="s">
        <v>2042</v>
      </c>
      <c r="B2038">
        <v>0.99996721820229495</v>
      </c>
      <c r="C2038">
        <v>0.82065685733996496</v>
      </c>
      <c r="D2038">
        <v>0.72449837693794095</v>
      </c>
      <c r="E2038">
        <v>1.2042221586475601</v>
      </c>
      <c r="F2038">
        <v>1.39958108055271</v>
      </c>
      <c r="G2038">
        <v>1.24651290455483</v>
      </c>
      <c r="H2038">
        <v>1.15313398003339</v>
      </c>
      <c r="I2038">
        <v>1.00362838042046</v>
      </c>
      <c r="J2038">
        <v>0.64301044332192203</v>
      </c>
      <c r="K2038">
        <v>0.78518256017424903</v>
      </c>
      <c r="L2038">
        <v>15000</v>
      </c>
      <c r="M2038">
        <v>230.23130020166201</v>
      </c>
      <c r="O2038">
        <v>65.146955801232394</v>
      </c>
      <c r="P2038">
        <v>-0.25270721714317801</v>
      </c>
      <c r="Q2038">
        <v>0.71397276193899295</v>
      </c>
      <c r="R2038">
        <v>0.28793112396770199</v>
      </c>
      <c r="S2038" t="s">
        <v>7864</v>
      </c>
      <c r="T2038" t="s">
        <v>11650</v>
      </c>
      <c r="U2038" t="s">
        <v>11650</v>
      </c>
      <c r="V2038" t="s">
        <v>11650</v>
      </c>
      <c r="W2038" t="s">
        <v>13647</v>
      </c>
      <c r="X2038">
        <v>5</v>
      </c>
      <c r="Y2038" t="s">
        <v>19377</v>
      </c>
      <c r="Z2038" t="s">
        <v>25100</v>
      </c>
      <c r="AA2038">
        <v>0.95381533270879681</v>
      </c>
      <c r="AB2038" t="str">
        <f>HYPERLINK("Melting_Curves/meltCurve_P19883_2_FST.pdf", "Melting_Curves/meltCurve_P19883_2_FST.pdf")</f>
        <v>Melting_Curves/meltCurve_P19883_2_FST.pdf</v>
      </c>
    </row>
    <row r="2039" spans="1:28" x14ac:dyDescent="0.25">
      <c r="A2039" t="s">
        <v>2043</v>
      </c>
      <c r="B2039">
        <v>0.99996721820229495</v>
      </c>
      <c r="C2039">
        <v>0.924135147668672</v>
      </c>
      <c r="D2039">
        <v>0.93653681431201696</v>
      </c>
      <c r="E2039">
        <v>0.95471847490093098</v>
      </c>
      <c r="F2039">
        <v>1.26388651630631</v>
      </c>
      <c r="G2039">
        <v>1.17353161813079</v>
      </c>
      <c r="H2039">
        <v>0.78101538976790597</v>
      </c>
      <c r="I2039">
        <v>0.44409063484488498</v>
      </c>
      <c r="J2039">
        <v>0.190510129220686</v>
      </c>
      <c r="K2039">
        <v>0.1106156090532</v>
      </c>
      <c r="L2039">
        <v>2540.81903081779</v>
      </c>
      <c r="M2039">
        <v>40.266515742085197</v>
      </c>
      <c r="N2039">
        <v>63.471441089640102</v>
      </c>
      <c r="O2039">
        <v>62.945015127573399</v>
      </c>
      <c r="P2039">
        <v>-0.143142242667672</v>
      </c>
      <c r="Q2039">
        <v>0.10495633484207501</v>
      </c>
      <c r="R2039">
        <v>0.91695326914081399</v>
      </c>
      <c r="S2039" t="s">
        <v>7865</v>
      </c>
      <c r="T2039" t="s">
        <v>11650</v>
      </c>
      <c r="U2039" t="s">
        <v>11650</v>
      </c>
      <c r="V2039" t="s">
        <v>11650</v>
      </c>
      <c r="W2039" t="s">
        <v>13648</v>
      </c>
      <c r="X2039">
        <v>19</v>
      </c>
      <c r="Y2039" t="s">
        <v>19378</v>
      </c>
      <c r="Z2039" t="s">
        <v>25101</v>
      </c>
      <c r="AA2039">
        <v>0.79685244365588404</v>
      </c>
      <c r="AB2039" t="str">
        <f>HYPERLINK("Melting_Curves/meltCurve_P19971_TYMP.pdf", "Melting_Curves/meltCurve_P19971_TYMP.pdf")</f>
        <v>Melting_Curves/meltCurve_P19971_TYMP.pdf</v>
      </c>
    </row>
    <row r="2040" spans="1:28" x14ac:dyDescent="0.25">
      <c r="A2040" t="s">
        <v>2044</v>
      </c>
      <c r="B2040">
        <v>0.99996721820229495</v>
      </c>
      <c r="C2040">
        <v>0.84356982308518202</v>
      </c>
      <c r="D2040">
        <v>1.1814314185927099</v>
      </c>
      <c r="E2040">
        <v>1.46750510551715</v>
      </c>
      <c r="F2040">
        <v>1.0599828596657099</v>
      </c>
      <c r="G2040">
        <v>0.58962393205467101</v>
      </c>
      <c r="H2040">
        <v>0.28069983225275602</v>
      </c>
      <c r="I2040">
        <v>0.19564550878091599</v>
      </c>
      <c r="J2040">
        <v>0.16343576637479501</v>
      </c>
      <c r="K2040">
        <v>0.13590671078597</v>
      </c>
      <c r="L2040">
        <v>2906.7319683775399</v>
      </c>
      <c r="M2040">
        <v>50.923010785104502</v>
      </c>
      <c r="N2040">
        <v>57.597477103362301</v>
      </c>
      <c r="O2040">
        <v>56.993090646438198</v>
      </c>
      <c r="P2040">
        <v>-0.182425764021312</v>
      </c>
      <c r="Q2040">
        <v>0.18331617169926201</v>
      </c>
      <c r="R2040">
        <v>0.86254944742370299</v>
      </c>
      <c r="S2040" t="s">
        <v>7866</v>
      </c>
      <c r="T2040" t="s">
        <v>11650</v>
      </c>
      <c r="U2040" t="s">
        <v>11650</v>
      </c>
      <c r="V2040" t="s">
        <v>11650</v>
      </c>
      <c r="W2040" t="s">
        <v>13649</v>
      </c>
      <c r="X2040">
        <v>29</v>
      </c>
      <c r="Y2040" t="s">
        <v>19379</v>
      </c>
      <c r="Z2040" t="s">
        <v>25102</v>
      </c>
      <c r="AA2040">
        <v>0.65028439274887062</v>
      </c>
      <c r="AB2040" t="str">
        <f>HYPERLINK("Melting_Curves/meltCurve_P20020_6_ATP2B1.pdf", "Melting_Curves/meltCurve_P20020_6_ATP2B1.pdf")</f>
        <v>Melting_Curves/meltCurve_P20020_6_ATP2B1.pdf</v>
      </c>
    </row>
    <row r="2041" spans="1:28" x14ac:dyDescent="0.25">
      <c r="A2041" t="s">
        <v>2045</v>
      </c>
      <c r="B2041">
        <v>0.99996721820229495</v>
      </c>
      <c r="C2041">
        <v>0.94401809746892595</v>
      </c>
      <c r="D2041">
        <v>0.88035496678049296</v>
      </c>
      <c r="E2041">
        <v>1.0231828663820699</v>
      </c>
      <c r="F2041">
        <v>0.87643350658517405</v>
      </c>
      <c r="G2041">
        <v>0.46190556099234698</v>
      </c>
      <c r="H2041">
        <v>0.294338961023696</v>
      </c>
      <c r="I2041">
        <v>0.224750845169715</v>
      </c>
      <c r="J2041">
        <v>0.19495612140136001</v>
      </c>
      <c r="K2041">
        <v>0.172898091805613</v>
      </c>
      <c r="L2041">
        <v>1710.7594227724601</v>
      </c>
      <c r="M2041">
        <v>30.622942730775801</v>
      </c>
      <c r="N2041">
        <v>56.804367313667697</v>
      </c>
      <c r="O2041">
        <v>55.628680434978499</v>
      </c>
      <c r="P2041">
        <v>-0.110287482468307</v>
      </c>
      <c r="Q2041">
        <v>0.198625732345278</v>
      </c>
      <c r="R2041">
        <v>0.98183757659127202</v>
      </c>
      <c r="S2041" t="s">
        <v>7867</v>
      </c>
      <c r="T2041" t="s">
        <v>11650</v>
      </c>
      <c r="U2041" t="s">
        <v>11650</v>
      </c>
      <c r="V2041" t="s">
        <v>11650</v>
      </c>
      <c r="W2041" t="s">
        <v>13650</v>
      </c>
      <c r="X2041">
        <v>12</v>
      </c>
      <c r="Y2041" t="s">
        <v>19380</v>
      </c>
      <c r="Z2041" t="s">
        <v>25103</v>
      </c>
      <c r="AA2041">
        <v>0.62756954983509561</v>
      </c>
      <c r="AB2041" t="str">
        <f>HYPERLINK("Melting_Curves/meltCurve_P20042_EIF2S2.pdf", "Melting_Curves/meltCurve_P20042_EIF2S2.pdf")</f>
        <v>Melting_Curves/meltCurve_P20042_EIF2S2.pdf</v>
      </c>
    </row>
    <row r="2042" spans="1:28" x14ac:dyDescent="0.25">
      <c r="A2042" t="s">
        <v>2046</v>
      </c>
      <c r="B2042">
        <v>0.99996721820229495</v>
      </c>
      <c r="C2042">
        <v>0.99349248121925704</v>
      </c>
      <c r="D2042">
        <v>1.0435708185625601</v>
      </c>
      <c r="E2042">
        <v>1.25064649575818</v>
      </c>
      <c r="F2042">
        <v>1.7132792155811001</v>
      </c>
      <c r="G2042">
        <v>2.0679769564520001</v>
      </c>
      <c r="H2042">
        <v>1.6146892330534599</v>
      </c>
      <c r="I2042">
        <v>1.35672552986698</v>
      </c>
      <c r="J2042">
        <v>1.72534929120571</v>
      </c>
      <c r="K2042">
        <v>1.8243002153413499</v>
      </c>
      <c r="L2042">
        <v>12499.741172019299</v>
      </c>
      <c r="M2042">
        <v>250</v>
      </c>
      <c r="O2042">
        <v>49.995748213000397</v>
      </c>
      <c r="P2042">
        <v>0.62505294052819305</v>
      </c>
      <c r="Q2042">
        <v>1.5</v>
      </c>
      <c r="R2042">
        <v>0.57537019198053896</v>
      </c>
      <c r="S2042" t="s">
        <v>7868</v>
      </c>
      <c r="T2042" t="s">
        <v>11650</v>
      </c>
      <c r="U2042" t="s">
        <v>11650</v>
      </c>
      <c r="V2042" t="s">
        <v>11650</v>
      </c>
      <c r="W2042" t="s">
        <v>13651</v>
      </c>
      <c r="X2042">
        <v>10</v>
      </c>
      <c r="Y2042" t="s">
        <v>19381</v>
      </c>
      <c r="Z2042" t="s">
        <v>25104</v>
      </c>
      <c r="AA2042">
        <v>1.3333067148296109</v>
      </c>
      <c r="AB2042" t="str">
        <f>HYPERLINK("Melting_Curves/meltCurve_P20290_BTF3.pdf", "Melting_Curves/meltCurve_P20290_BTF3.pdf")</f>
        <v>Melting_Curves/meltCurve_P20290_BTF3.pdf</v>
      </c>
    </row>
    <row r="2043" spans="1:28" x14ac:dyDescent="0.25">
      <c r="A2043" t="s">
        <v>2047</v>
      </c>
      <c r="B2043">
        <v>0.99996721820229495</v>
      </c>
      <c r="C2043">
        <v>0.94271446562110195</v>
      </c>
      <c r="D2043">
        <v>0.87192499571961901</v>
      </c>
      <c r="E2043">
        <v>0.88608145197880295</v>
      </c>
      <c r="F2043">
        <v>1.14952405886526</v>
      </c>
      <c r="G2043">
        <v>1.11160862320019</v>
      </c>
      <c r="H2043">
        <v>0.82904301409839298</v>
      </c>
      <c r="I2043">
        <v>1.10447710428598</v>
      </c>
      <c r="J2043">
        <v>1.5787335570818</v>
      </c>
      <c r="K2043">
        <v>1.39444841165805</v>
      </c>
      <c r="L2043">
        <v>15000</v>
      </c>
      <c r="M2043">
        <v>233.07885296282001</v>
      </c>
      <c r="O2043">
        <v>64.351164667934995</v>
      </c>
      <c r="P2043">
        <v>0.44061887507289899</v>
      </c>
      <c r="Q2043">
        <v>1.4866050685980099</v>
      </c>
      <c r="R2043">
        <v>0.782492741476708</v>
      </c>
      <c r="S2043" t="s">
        <v>7869</v>
      </c>
      <c r="T2043" t="s">
        <v>11650</v>
      </c>
      <c r="U2043" t="s">
        <v>11650</v>
      </c>
      <c r="V2043" t="s">
        <v>11650</v>
      </c>
      <c r="W2043" t="s">
        <v>13652</v>
      </c>
      <c r="X2043">
        <v>8</v>
      </c>
      <c r="Y2043" t="s">
        <v>19381</v>
      </c>
      <c r="Z2043" t="s">
        <v>25105</v>
      </c>
      <c r="AA2043">
        <v>1.091484980069477</v>
      </c>
      <c r="AB2043" t="str">
        <f>HYPERLINK("Melting_Curves/meltCurve_P20290_2_BTF3.pdf", "Melting_Curves/meltCurve_P20290_2_BTF3.pdf")</f>
        <v>Melting_Curves/meltCurve_P20290_2_BTF3.pdf</v>
      </c>
    </row>
    <row r="2044" spans="1:28" x14ac:dyDescent="0.25">
      <c r="A2044" t="s">
        <v>2048</v>
      </c>
      <c r="B2044">
        <v>0.99996721820229495</v>
      </c>
      <c r="C2044">
        <v>1.13970109601061</v>
      </c>
      <c r="D2044">
        <v>1.08769162251666</v>
      </c>
      <c r="E2044">
        <v>0.97230874582273297</v>
      </c>
      <c r="F2044">
        <v>1.0026148036538001</v>
      </c>
      <c r="G2044">
        <v>0.96791142241648398</v>
      </c>
      <c r="H2044">
        <v>0.55331419057845399</v>
      </c>
      <c r="I2044">
        <v>0.244058835816655</v>
      </c>
      <c r="J2044">
        <v>0.129852259067193</v>
      </c>
      <c r="K2044">
        <v>8.9155627669913001E-2</v>
      </c>
      <c r="L2044">
        <v>2347.4102075544802</v>
      </c>
      <c r="M2044">
        <v>38.403427404641498</v>
      </c>
      <c r="N2044">
        <v>61.459137177717501</v>
      </c>
      <c r="O2044">
        <v>60.959981349291297</v>
      </c>
      <c r="P2044">
        <v>-0.14265747909193399</v>
      </c>
      <c r="Q2044">
        <v>9.4208339185180595E-2</v>
      </c>
      <c r="R2044">
        <v>0.98188444470455805</v>
      </c>
      <c r="S2044" t="s">
        <v>7870</v>
      </c>
      <c r="T2044" t="s">
        <v>11650</v>
      </c>
      <c r="U2044" t="s">
        <v>11650</v>
      </c>
      <c r="V2044" t="s">
        <v>11650</v>
      </c>
      <c r="W2044" t="s">
        <v>13653</v>
      </c>
      <c r="X2044">
        <v>9</v>
      </c>
      <c r="Y2044" t="s">
        <v>19382</v>
      </c>
      <c r="Z2044" t="s">
        <v>25106</v>
      </c>
      <c r="AA2044">
        <v>0.73567944292276122</v>
      </c>
      <c r="AB2044" t="str">
        <f>HYPERLINK("Melting_Curves/meltCurve_P20336_RAB3A.pdf", "Melting_Curves/meltCurve_P20336_RAB3A.pdf")</f>
        <v>Melting_Curves/meltCurve_P20336_RAB3A.pdf</v>
      </c>
    </row>
    <row r="2045" spans="1:28" x14ac:dyDescent="0.25">
      <c r="A2045" t="s">
        <v>2049</v>
      </c>
      <c r="B2045">
        <v>0.99996721820229495</v>
      </c>
      <c r="C2045">
        <v>1.0119907341327099</v>
      </c>
      <c r="D2045">
        <v>0.96483481800923099</v>
      </c>
      <c r="E2045">
        <v>0.81256430919587497</v>
      </c>
      <c r="F2045">
        <v>0.67377441723131404</v>
      </c>
      <c r="G2045">
        <v>0.49663158434997201</v>
      </c>
      <c r="H2045">
        <v>0.17574297270129199</v>
      </c>
      <c r="I2045">
        <v>9.1981004055515694E-2</v>
      </c>
      <c r="J2045">
        <v>7.2045248382725705E-2</v>
      </c>
      <c r="K2045">
        <v>5.38402567884564E-2</v>
      </c>
      <c r="L2045">
        <v>841.08588578808701</v>
      </c>
      <c r="M2045">
        <v>15.073700725406599</v>
      </c>
      <c r="N2045">
        <v>55.798235144129201</v>
      </c>
      <c r="O2045">
        <v>54.843826660824</v>
      </c>
      <c r="P2045">
        <v>-6.8718744442693797E-2</v>
      </c>
      <c r="Q2045">
        <v>0</v>
      </c>
      <c r="R2045">
        <v>0.99269390932565105</v>
      </c>
      <c r="S2045" t="s">
        <v>7871</v>
      </c>
      <c r="T2045" t="s">
        <v>11650</v>
      </c>
      <c r="U2045" t="s">
        <v>11650</v>
      </c>
      <c r="V2045" t="s">
        <v>11650</v>
      </c>
      <c r="W2045" t="s">
        <v>13654</v>
      </c>
      <c r="X2045">
        <v>11</v>
      </c>
      <c r="Y2045" t="s">
        <v>19383</v>
      </c>
      <c r="Z2045" t="s">
        <v>25107</v>
      </c>
      <c r="AA2045">
        <v>0.5446093914918535</v>
      </c>
      <c r="AB2045" t="str">
        <f>HYPERLINK("Melting_Curves/meltCurve_P20337_RAB3B.pdf", "Melting_Curves/meltCurve_P20337_RAB3B.pdf")</f>
        <v>Melting_Curves/meltCurve_P20337_RAB3B.pdf</v>
      </c>
    </row>
    <row r="2046" spans="1:28" x14ac:dyDescent="0.25">
      <c r="A2046" t="s">
        <v>2050</v>
      </c>
      <c r="B2046">
        <v>0.99996721820229495</v>
      </c>
      <c r="C2046">
        <v>0.96974068962818105</v>
      </c>
      <c r="D2046">
        <v>1.02182137955804</v>
      </c>
      <c r="E2046">
        <v>0.99816499667027903</v>
      </c>
      <c r="F2046">
        <v>1.3331221708240999</v>
      </c>
      <c r="G2046">
        <v>1.3272346538143101</v>
      </c>
      <c r="H2046">
        <v>0.87857192756043501</v>
      </c>
      <c r="I2046">
        <v>0.53608055627150497</v>
      </c>
      <c r="J2046">
        <v>0.235680914991201</v>
      </c>
      <c r="K2046">
        <v>0.105454442002407</v>
      </c>
      <c r="L2046">
        <v>2807.8720479614099</v>
      </c>
      <c r="M2046">
        <v>43.919386325697701</v>
      </c>
      <c r="N2046">
        <v>64.276139039520203</v>
      </c>
      <c r="O2046">
        <v>63.8002866863146</v>
      </c>
      <c r="P2046">
        <v>-0.15408499893150199</v>
      </c>
      <c r="Q2046">
        <v>0.10466391017353401</v>
      </c>
      <c r="R2046">
        <v>0.85822200500760404</v>
      </c>
      <c r="S2046" t="s">
        <v>7872</v>
      </c>
      <c r="T2046" t="s">
        <v>11650</v>
      </c>
      <c r="U2046" t="s">
        <v>11650</v>
      </c>
      <c r="V2046" t="s">
        <v>11650</v>
      </c>
      <c r="W2046" t="s">
        <v>13655</v>
      </c>
      <c r="X2046">
        <v>12</v>
      </c>
      <c r="Y2046" t="s">
        <v>19384</v>
      </c>
      <c r="Z2046" t="s">
        <v>25108</v>
      </c>
      <c r="AA2046">
        <v>0.82098687171896301</v>
      </c>
      <c r="AB2046" t="str">
        <f>HYPERLINK("Melting_Curves/meltCurve_P20338_RAB4A.pdf", "Melting_Curves/meltCurve_P20338_RAB4A.pdf")</f>
        <v>Melting_Curves/meltCurve_P20338_RAB4A.pdf</v>
      </c>
    </row>
    <row r="2047" spans="1:28" x14ac:dyDescent="0.25">
      <c r="A2047" t="s">
        <v>2051</v>
      </c>
      <c r="B2047">
        <v>0.99996721820229495</v>
      </c>
      <c r="C2047">
        <v>0.93308811022721205</v>
      </c>
      <c r="D2047">
        <v>0.94877571499457702</v>
      </c>
      <c r="E2047">
        <v>1.0048936474786201</v>
      </c>
      <c r="F2047">
        <v>1.53508343111181</v>
      </c>
      <c r="G2047">
        <v>2.14128813343887</v>
      </c>
      <c r="H2047">
        <v>2.4373483755980301</v>
      </c>
      <c r="I2047">
        <v>1.2723984851205701</v>
      </c>
      <c r="J2047">
        <v>0.26491541915648997</v>
      </c>
      <c r="K2047">
        <v>1.14737568676812</v>
      </c>
      <c r="L2047">
        <v>12724.407008054301</v>
      </c>
      <c r="M2047">
        <v>250</v>
      </c>
      <c r="O2047">
        <v>50.894370590533399</v>
      </c>
      <c r="P2047">
        <v>0.57276019816103596</v>
      </c>
      <c r="Q2047">
        <v>1.4664043190432099</v>
      </c>
      <c r="R2047">
        <v>0.16331346278646799</v>
      </c>
      <c r="S2047" t="s">
        <v>7873</v>
      </c>
      <c r="T2047" t="s">
        <v>11650</v>
      </c>
      <c r="U2047" t="s">
        <v>11650</v>
      </c>
      <c r="V2047" t="s">
        <v>11650</v>
      </c>
      <c r="W2047" t="s">
        <v>13656</v>
      </c>
      <c r="X2047">
        <v>6</v>
      </c>
      <c r="Y2047" t="s">
        <v>19385</v>
      </c>
      <c r="Z2047" t="s">
        <v>25109</v>
      </c>
      <c r="AA2047">
        <v>1.296939298304518</v>
      </c>
      <c r="AB2047" t="str">
        <f>HYPERLINK("Melting_Curves/meltCurve_P20618_PSMB1.pdf", "Melting_Curves/meltCurve_P20618_PSMB1.pdf")</f>
        <v>Melting_Curves/meltCurve_P20618_PSMB1.pdf</v>
      </c>
    </row>
    <row r="2048" spans="1:28" x14ac:dyDescent="0.25">
      <c r="A2048" t="s">
        <v>2052</v>
      </c>
      <c r="B2048">
        <v>0.99996721820229495</v>
      </c>
      <c r="C2048">
        <v>0.84730133914350503</v>
      </c>
      <c r="D2048">
        <v>0.89606877653308903</v>
      </c>
      <c r="E2048">
        <v>1.1483179284121201</v>
      </c>
      <c r="F2048">
        <v>1.3611618589822201</v>
      </c>
      <c r="G2048">
        <v>1.1415682769214199</v>
      </c>
      <c r="H2048">
        <v>1.1014413545464401</v>
      </c>
      <c r="I2048">
        <v>0.97663728175352904</v>
      </c>
      <c r="J2048">
        <v>0.67773327708316999</v>
      </c>
      <c r="K2048">
        <v>0.83238098338743705</v>
      </c>
      <c r="L2048">
        <v>15000</v>
      </c>
      <c r="M2048">
        <v>232.136130424919</v>
      </c>
      <c r="O2048">
        <v>64.612461435471104</v>
      </c>
      <c r="P2048">
        <v>-0.22001391740215401</v>
      </c>
      <c r="Q2048">
        <v>0.75504647844793304</v>
      </c>
      <c r="R2048">
        <v>0.34492097404174699</v>
      </c>
      <c r="S2048" t="s">
        <v>7874</v>
      </c>
      <c r="T2048" t="s">
        <v>11650</v>
      </c>
      <c r="U2048" t="s">
        <v>11650</v>
      </c>
      <c r="V2048" t="s">
        <v>11650</v>
      </c>
      <c r="W2048" t="s">
        <v>13657</v>
      </c>
      <c r="X2048">
        <v>18</v>
      </c>
      <c r="Y2048" t="s">
        <v>19386</v>
      </c>
      <c r="Z2048" t="s">
        <v>25110</v>
      </c>
      <c r="AA2048">
        <v>0.9560814907969003</v>
      </c>
      <c r="AB2048" t="str">
        <f>HYPERLINK("Melting_Curves/meltCurve_P20645_M6PR.pdf", "Melting_Curves/meltCurve_P20645_M6PR.pdf")</f>
        <v>Melting_Curves/meltCurve_P20645_M6PR.pdf</v>
      </c>
    </row>
    <row r="2049" spans="1:28" x14ac:dyDescent="0.25">
      <c r="A2049" t="s">
        <v>2053</v>
      </c>
      <c r="B2049">
        <v>0.99996721820229495</v>
      </c>
      <c r="C2049">
        <v>0.929934825161155</v>
      </c>
      <c r="D2049">
        <v>0.92344977102571602</v>
      </c>
      <c r="E2049">
        <v>0.890270186042461</v>
      </c>
      <c r="F2049">
        <v>1.27197977767296</v>
      </c>
      <c r="G2049">
        <v>1.6690661451192099</v>
      </c>
      <c r="H2049">
        <v>1.8096252393574199</v>
      </c>
      <c r="I2049">
        <v>3.0864657425075199</v>
      </c>
      <c r="J2049">
        <v>3.7395982049818799</v>
      </c>
      <c r="K2049">
        <v>2.4841922394773901</v>
      </c>
      <c r="L2049">
        <v>13240.6565182863</v>
      </c>
      <c r="M2049">
        <v>250</v>
      </c>
      <c r="O2049">
        <v>52.95921359858</v>
      </c>
      <c r="P2049">
        <v>0.590076478085242</v>
      </c>
      <c r="Q2049">
        <v>1.5</v>
      </c>
      <c r="R2049">
        <v>5.6902863365354203E-2</v>
      </c>
      <c r="S2049" t="s">
        <v>7875</v>
      </c>
      <c r="T2049" t="s">
        <v>11650</v>
      </c>
      <c r="U2049" t="s">
        <v>11650</v>
      </c>
      <c r="V2049" t="s">
        <v>11650</v>
      </c>
      <c r="W2049" t="s">
        <v>13658</v>
      </c>
      <c r="X2049">
        <v>7</v>
      </c>
      <c r="Y2049" t="s">
        <v>19387</v>
      </c>
      <c r="Z2049" t="s">
        <v>25111</v>
      </c>
      <c r="AA2049">
        <v>1.2839097578220069</v>
      </c>
      <c r="AB2049" t="str">
        <f>HYPERLINK("Melting_Curves/meltCurve_P20674_COX5A.pdf", "Melting_Curves/meltCurve_P20674_COX5A.pdf")</f>
        <v>Melting_Curves/meltCurve_P20674_COX5A.pdf</v>
      </c>
    </row>
    <row r="2050" spans="1:28" x14ac:dyDescent="0.25">
      <c r="A2050" t="s">
        <v>2054</v>
      </c>
      <c r="B2050">
        <v>0.99996721820229495</v>
      </c>
      <c r="C2050">
        <v>0.94632602243186503</v>
      </c>
      <c r="D2050">
        <v>0.97469959669487805</v>
      </c>
      <c r="E2050">
        <v>1.255431396456</v>
      </c>
      <c r="F2050">
        <v>2.2185317259093198</v>
      </c>
      <c r="G2050">
        <v>1.89351580387415</v>
      </c>
      <c r="H2050">
        <v>1.33805858513413</v>
      </c>
      <c r="I2050">
        <v>1.4125251701267301</v>
      </c>
      <c r="J2050">
        <v>1.03236084729674</v>
      </c>
      <c r="K2050">
        <v>0.72326003342441703</v>
      </c>
      <c r="L2050">
        <v>942.435284304211</v>
      </c>
      <c r="M2050">
        <v>9.0621423731699799</v>
      </c>
      <c r="Q2050">
        <v>1.05560725480206E-13</v>
      </c>
      <c r="R2050">
        <v>-0.40371160047608601</v>
      </c>
      <c r="S2050" t="s">
        <v>7876</v>
      </c>
      <c r="T2050" t="s">
        <v>11650</v>
      </c>
      <c r="U2050" t="s">
        <v>11650</v>
      </c>
      <c r="V2050" t="s">
        <v>11650</v>
      </c>
      <c r="W2050" t="s">
        <v>13659</v>
      </c>
      <c r="X2050">
        <v>13</v>
      </c>
      <c r="Y2050" t="s">
        <v>19388</v>
      </c>
      <c r="Z2050" t="s">
        <v>25112</v>
      </c>
      <c r="AA2050">
        <v>0.99814769388197044</v>
      </c>
      <c r="AB2050" t="str">
        <f>HYPERLINK("Melting_Curves/meltCurve_P20700_LMNB1.pdf", "Melting_Curves/meltCurve_P20700_LMNB1.pdf")</f>
        <v>Melting_Curves/meltCurve_P20700_LMNB1.pdf</v>
      </c>
    </row>
    <row r="2051" spans="1:28" x14ac:dyDescent="0.25">
      <c r="A2051" t="s">
        <v>2055</v>
      </c>
      <c r="B2051">
        <v>0.99996721820229495</v>
      </c>
      <c r="C2051">
        <v>0.86807480174037099</v>
      </c>
      <c r="D2051">
        <v>0.90336750273264499</v>
      </c>
      <c r="E2051">
        <v>1.2810554438773201</v>
      </c>
      <c r="F2051">
        <v>2.0022910648111698</v>
      </c>
      <c r="G2051">
        <v>2.09088071999461</v>
      </c>
      <c r="H2051">
        <v>1.35128079523484</v>
      </c>
      <c r="I2051">
        <v>0.89210757848730204</v>
      </c>
      <c r="J2051">
        <v>0.59405487626597797</v>
      </c>
      <c r="K2051">
        <v>0.62965419773676501</v>
      </c>
      <c r="L2051">
        <v>15000</v>
      </c>
      <c r="M2051">
        <v>233.420393070941</v>
      </c>
      <c r="O2051">
        <v>64.257011942727004</v>
      </c>
      <c r="P2051">
        <v>-0.35250634186590901</v>
      </c>
      <c r="Q2051">
        <v>0.61184184807313002</v>
      </c>
      <c r="R2051">
        <v>2.1338843293813199E-2</v>
      </c>
      <c r="S2051" t="s">
        <v>7877</v>
      </c>
      <c r="T2051" t="s">
        <v>11650</v>
      </c>
      <c r="U2051" t="s">
        <v>11650</v>
      </c>
      <c r="V2051" t="s">
        <v>11650</v>
      </c>
      <c r="W2051" t="s">
        <v>13660</v>
      </c>
      <c r="X2051">
        <v>35</v>
      </c>
      <c r="Y2051" t="s">
        <v>19389</v>
      </c>
      <c r="Z2051" t="s">
        <v>25113</v>
      </c>
      <c r="AA2051">
        <v>0.92580510328614407</v>
      </c>
      <c r="AB2051" t="str">
        <f>HYPERLINK("Melting_Curves/meltCurve_P20908_COL5A1.pdf", "Melting_Curves/meltCurve_P20908_COL5A1.pdf")</f>
        <v>Melting_Curves/meltCurve_P20908_COL5A1.pdf</v>
      </c>
    </row>
    <row r="2052" spans="1:28" x14ac:dyDescent="0.25">
      <c r="A2052" t="s">
        <v>2056</v>
      </c>
      <c r="B2052">
        <v>0.99996721820229495</v>
      </c>
      <c r="C2052">
        <v>0.87385668081712897</v>
      </c>
      <c r="D2052">
        <v>0.85268718141626798</v>
      </c>
      <c r="E2052">
        <v>0.81510335063450901</v>
      </c>
      <c r="F2052">
        <v>0.79522313347907203</v>
      </c>
      <c r="G2052">
        <v>0.540532786470309</v>
      </c>
      <c r="H2052">
        <v>0.24285944878483501</v>
      </c>
      <c r="I2052">
        <v>0.17625759682309</v>
      </c>
      <c r="J2052">
        <v>0.147484486925506</v>
      </c>
      <c r="K2052">
        <v>0.156607290925353</v>
      </c>
      <c r="L2052">
        <v>668.00953774587003</v>
      </c>
      <c r="M2052">
        <v>11.720036840759301</v>
      </c>
      <c r="N2052">
        <v>57.001282081043598</v>
      </c>
      <c r="O2052">
        <v>55.4137242371485</v>
      </c>
      <c r="P2052">
        <v>-5.28670440067553E-2</v>
      </c>
      <c r="Q2052">
        <v>4.1732752222170598E-4</v>
      </c>
      <c r="R2052">
        <v>0.96366944610897598</v>
      </c>
      <c r="S2052" t="s">
        <v>7878</v>
      </c>
      <c r="T2052" t="s">
        <v>11650</v>
      </c>
      <c r="U2052" t="s">
        <v>11650</v>
      </c>
      <c r="V2052" t="s">
        <v>11650</v>
      </c>
      <c r="W2052" t="s">
        <v>13661</v>
      </c>
      <c r="X2052">
        <v>3</v>
      </c>
      <c r="Y2052" t="s">
        <v>19390</v>
      </c>
      <c r="Z2052" t="s">
        <v>25114</v>
      </c>
      <c r="AA2052">
        <v>0.58356024634091852</v>
      </c>
      <c r="AB2052" t="str">
        <f>HYPERLINK("Melting_Curves/meltCurve_P20933_AGA.pdf", "Melting_Curves/meltCurve_P20933_AGA.pdf")</f>
        <v>Melting_Curves/meltCurve_P20933_AGA.pdf</v>
      </c>
    </row>
    <row r="2053" spans="1:28" x14ac:dyDescent="0.25">
      <c r="A2053" t="s">
        <v>2057</v>
      </c>
      <c r="B2053">
        <v>0.99996721820229495</v>
      </c>
      <c r="C2053">
        <v>0.95490032355615095</v>
      </c>
      <c r="D2053">
        <v>0.866471176562706</v>
      </c>
      <c r="E2053">
        <v>0.99429309342699101</v>
      </c>
      <c r="F2053">
        <v>1.39597542446946</v>
      </c>
      <c r="G2053">
        <v>1.3752229285031199</v>
      </c>
      <c r="H2053">
        <v>1.26950946099886</v>
      </c>
      <c r="I2053">
        <v>1.4492270483073599</v>
      </c>
      <c r="J2053">
        <v>1.3240056512419001</v>
      </c>
      <c r="K2053">
        <v>0.98328372959334198</v>
      </c>
      <c r="L2053">
        <v>12796.0728503629</v>
      </c>
      <c r="M2053">
        <v>250</v>
      </c>
      <c r="O2053">
        <v>51.181015959565997</v>
      </c>
      <c r="P2053">
        <v>0.36578617267477298</v>
      </c>
      <c r="Q2053">
        <v>1.2995409266345499</v>
      </c>
      <c r="R2053">
        <v>0.63649899663706899</v>
      </c>
      <c r="S2053" t="s">
        <v>7879</v>
      </c>
      <c r="T2053" t="s">
        <v>11650</v>
      </c>
      <c r="U2053" t="s">
        <v>11650</v>
      </c>
      <c r="V2053" t="s">
        <v>11650</v>
      </c>
      <c r="W2053" t="s">
        <v>13662</v>
      </c>
      <c r="X2053">
        <v>8</v>
      </c>
      <c r="Y2053" t="s">
        <v>19391</v>
      </c>
      <c r="Z2053" t="s">
        <v>25115</v>
      </c>
      <c r="AA2053">
        <v>1.187842252576861</v>
      </c>
      <c r="AB2053" t="str">
        <f>HYPERLINK("Melting_Curves/meltCurve_P20962_PTMS.pdf", "Melting_Curves/meltCurve_P20962_PTMS.pdf")</f>
        <v>Melting_Curves/meltCurve_P20962_PTMS.pdf</v>
      </c>
    </row>
    <row r="2054" spans="1:28" x14ac:dyDescent="0.25">
      <c r="A2054" t="s">
        <v>2058</v>
      </c>
      <c r="B2054">
        <v>0.99996721820229495</v>
      </c>
      <c r="C2054">
        <v>1.1332591196600099</v>
      </c>
      <c r="D2054">
        <v>0.67546290880183102</v>
      </c>
      <c r="E2054">
        <v>0.28406723296708403</v>
      </c>
      <c r="F2054">
        <v>0.21058306810314101</v>
      </c>
      <c r="G2054">
        <v>0.16978657548699</v>
      </c>
      <c r="H2054">
        <v>9.9291967155999403E-2</v>
      </c>
      <c r="I2054">
        <v>5.9010632434387998E-2</v>
      </c>
      <c r="J2054">
        <v>4.3113759953775102E-2</v>
      </c>
      <c r="K2054">
        <v>3.6168717729401403E-2</v>
      </c>
      <c r="L2054">
        <v>1273.4027368230199</v>
      </c>
      <c r="M2054">
        <v>26.762812966637298</v>
      </c>
      <c r="N2054">
        <v>47.9313859052655</v>
      </c>
      <c r="O2054">
        <v>47.317773065988398</v>
      </c>
      <c r="P2054">
        <v>-0.128839185602629</v>
      </c>
      <c r="Q2054">
        <v>8.8837064476085498E-2</v>
      </c>
      <c r="R2054">
        <v>0.96620481691030602</v>
      </c>
      <c r="S2054" t="s">
        <v>7880</v>
      </c>
      <c r="T2054" t="s">
        <v>11650</v>
      </c>
      <c r="U2054" t="s">
        <v>11650</v>
      </c>
      <c r="V2054" t="s">
        <v>11650</v>
      </c>
      <c r="W2054" t="s">
        <v>13663</v>
      </c>
      <c r="X2054">
        <v>24</v>
      </c>
      <c r="Y2054" t="s">
        <v>19392</v>
      </c>
      <c r="Z2054" t="s">
        <v>25116</v>
      </c>
      <c r="AA2054">
        <v>0.3260610065193284</v>
      </c>
      <c r="AB2054" t="str">
        <f>HYPERLINK("Melting_Curves/meltCurve_P21266_GSTM3.pdf", "Melting_Curves/meltCurve_P21266_GSTM3.pdf")</f>
        <v>Melting_Curves/meltCurve_P21266_GSTM3.pdf</v>
      </c>
    </row>
    <row r="2055" spans="1:28" x14ac:dyDescent="0.25">
      <c r="A2055" t="s">
        <v>2059</v>
      </c>
      <c r="B2055">
        <v>0.99996721820229495</v>
      </c>
      <c r="C2055">
        <v>0.99219106929564105</v>
      </c>
      <c r="D2055">
        <v>1.11672370504035</v>
      </c>
      <c r="E2055">
        <v>1.5366764290847199</v>
      </c>
      <c r="F2055">
        <v>1.74618011791011</v>
      </c>
      <c r="G2055">
        <v>2.6692066480294301</v>
      </c>
      <c r="H2055">
        <v>1.85007765283871</v>
      </c>
      <c r="I2055">
        <v>0.51639179524940204</v>
      </c>
      <c r="J2055">
        <v>0.2175653195433</v>
      </c>
      <c r="K2055">
        <v>0.15089683333331599</v>
      </c>
      <c r="L2055">
        <v>15000</v>
      </c>
      <c r="M2055">
        <v>234.75033283704801</v>
      </c>
      <c r="N2055">
        <v>64.023003599387707</v>
      </c>
      <c r="O2055">
        <v>63.893045551020002</v>
      </c>
      <c r="P2055">
        <v>-0.74932336803614097</v>
      </c>
      <c r="Q2055">
        <v>0.184213390869437</v>
      </c>
      <c r="R2055">
        <v>0.22136805029693901</v>
      </c>
      <c r="S2055" t="s">
        <v>7881</v>
      </c>
      <c r="T2055" t="s">
        <v>11650</v>
      </c>
      <c r="U2055" t="s">
        <v>11650</v>
      </c>
      <c r="V2055" t="s">
        <v>11650</v>
      </c>
      <c r="W2055" t="s">
        <v>13664</v>
      </c>
      <c r="X2055">
        <v>24</v>
      </c>
      <c r="Y2055" t="s">
        <v>19393</v>
      </c>
      <c r="Z2055" t="s">
        <v>25117</v>
      </c>
      <c r="AA2055">
        <v>0.83416386763410033</v>
      </c>
      <c r="AB2055" t="str">
        <f>HYPERLINK("Melting_Curves/meltCurve_P21281_ATP6V1B2.pdf", "Melting_Curves/meltCurve_P21281_ATP6V1B2.pdf")</f>
        <v>Melting_Curves/meltCurve_P21281_ATP6V1B2.pdf</v>
      </c>
    </row>
    <row r="2056" spans="1:28" x14ac:dyDescent="0.25">
      <c r="A2056" t="s">
        <v>2060</v>
      </c>
      <c r="B2056">
        <v>0.99996721820229495</v>
      </c>
      <c r="C2056">
        <v>0.88222166199781205</v>
      </c>
      <c r="D2056">
        <v>0.85665904092874801</v>
      </c>
      <c r="E2056">
        <v>0.86524151605760302</v>
      </c>
      <c r="F2056">
        <v>0.525959617363563</v>
      </c>
      <c r="G2056">
        <v>0.35756446664285402</v>
      </c>
      <c r="H2056">
        <v>0.142891386216035</v>
      </c>
      <c r="I2056">
        <v>0.104049637551988</v>
      </c>
      <c r="J2056">
        <v>7.8783083335868406E-2</v>
      </c>
      <c r="K2056">
        <v>7.72738528246142E-2</v>
      </c>
      <c r="L2056">
        <v>776.74691052787398</v>
      </c>
      <c r="M2056">
        <v>14.3818475807551</v>
      </c>
      <c r="N2056">
        <v>54.154439730572399</v>
      </c>
      <c r="O2056">
        <v>52.9968338895575</v>
      </c>
      <c r="P2056">
        <v>-6.6564289610731006E-2</v>
      </c>
      <c r="Q2056">
        <v>1.8964312230272801E-2</v>
      </c>
      <c r="R2056">
        <v>0.978093537268383</v>
      </c>
      <c r="S2056" t="s">
        <v>7882</v>
      </c>
      <c r="T2056" t="s">
        <v>11650</v>
      </c>
      <c r="U2056" t="s">
        <v>11650</v>
      </c>
      <c r="V2056" t="s">
        <v>11650</v>
      </c>
      <c r="W2056" t="s">
        <v>13665</v>
      </c>
      <c r="X2056">
        <v>19</v>
      </c>
      <c r="Y2056" t="s">
        <v>19394</v>
      </c>
      <c r="Z2056" t="s">
        <v>25118</v>
      </c>
      <c r="AA2056">
        <v>0.49823856747216999</v>
      </c>
      <c r="AB2056" t="str">
        <f>HYPERLINK("Melting_Curves/meltCurve_P21283_ATP6V1C1.pdf", "Melting_Curves/meltCurve_P21283_ATP6V1C1.pdf")</f>
        <v>Melting_Curves/meltCurve_P21283_ATP6V1C1.pdf</v>
      </c>
    </row>
    <row r="2057" spans="1:28" x14ac:dyDescent="0.25">
      <c r="A2057" t="s">
        <v>2061</v>
      </c>
      <c r="B2057">
        <v>0.99996721820229495</v>
      </c>
      <c r="C2057">
        <v>1.0599083029848</v>
      </c>
      <c r="D2057">
        <v>1.0373106505868299</v>
      </c>
      <c r="E2057">
        <v>1.0956490995356301</v>
      </c>
      <c r="F2057">
        <v>1.35617505732804</v>
      </c>
      <c r="G2057">
        <v>1.62108296529672</v>
      </c>
      <c r="H2057">
        <v>1.2225704106700399</v>
      </c>
      <c r="I2057">
        <v>1.26576752821588</v>
      </c>
      <c r="J2057">
        <v>1.24321349950855</v>
      </c>
      <c r="K2057">
        <v>0.70758421696527696</v>
      </c>
      <c r="L2057">
        <v>12519.195912126899</v>
      </c>
      <c r="M2057">
        <v>250</v>
      </c>
      <c r="O2057">
        <v>50.073579110628103</v>
      </c>
      <c r="P2057">
        <v>0.29464840161823402</v>
      </c>
      <c r="Q2057">
        <v>1.2360656002873001</v>
      </c>
      <c r="R2057">
        <v>0.158746430426633</v>
      </c>
      <c r="S2057" t="s">
        <v>7883</v>
      </c>
      <c r="T2057" t="s">
        <v>11650</v>
      </c>
      <c r="U2057" t="s">
        <v>11650</v>
      </c>
      <c r="V2057" t="s">
        <v>11650</v>
      </c>
      <c r="W2057" t="s">
        <v>13666</v>
      </c>
      <c r="X2057">
        <v>20</v>
      </c>
      <c r="Y2057" t="s">
        <v>19395</v>
      </c>
      <c r="Z2057" t="s">
        <v>25119</v>
      </c>
      <c r="AA2057">
        <v>1.156752121205425</v>
      </c>
      <c r="AB2057" t="str">
        <f>HYPERLINK("Melting_Curves/meltCurve_P21291_CSRP1.pdf", "Melting_Curves/meltCurve_P21291_CSRP1.pdf")</f>
        <v>Melting_Curves/meltCurve_P21291_CSRP1.pdf</v>
      </c>
    </row>
    <row r="2058" spans="1:28" x14ac:dyDescent="0.25">
      <c r="A2058" t="s">
        <v>2062</v>
      </c>
      <c r="B2058">
        <v>0.99996721820229495</v>
      </c>
      <c r="C2058">
        <v>0.85674854490289498</v>
      </c>
      <c r="D2058">
        <v>0.95066949585792104</v>
      </c>
      <c r="E2058">
        <v>1.13322346834133</v>
      </c>
      <c r="F2058">
        <v>0.50593564837514604</v>
      </c>
      <c r="G2058">
        <v>0.40713586820086101</v>
      </c>
      <c r="H2058">
        <v>0.24802691026882101</v>
      </c>
      <c r="I2058">
        <v>0.14619865147108799</v>
      </c>
      <c r="J2058">
        <v>0.10635811451872999</v>
      </c>
      <c r="K2058">
        <v>8.5163903114714598E-2</v>
      </c>
      <c r="L2058">
        <v>1311.32306139561</v>
      </c>
      <c r="M2058">
        <v>24.203911940562399</v>
      </c>
      <c r="N2058">
        <v>54.855181546506401</v>
      </c>
      <c r="O2058">
        <v>53.812376307383097</v>
      </c>
      <c r="P2058">
        <v>-9.7928287405045902E-2</v>
      </c>
      <c r="Q2058">
        <v>0.12912040094022401</v>
      </c>
      <c r="R2058">
        <v>0.91935312264357705</v>
      </c>
      <c r="S2058" t="s">
        <v>7884</v>
      </c>
      <c r="T2058" t="s">
        <v>11650</v>
      </c>
      <c r="U2058" t="s">
        <v>11650</v>
      </c>
      <c r="V2058" t="s">
        <v>11650</v>
      </c>
      <c r="W2058" t="s">
        <v>13667</v>
      </c>
      <c r="X2058">
        <v>139</v>
      </c>
      <c r="Y2058" t="s">
        <v>19396</v>
      </c>
      <c r="Z2058" t="s">
        <v>25120</v>
      </c>
      <c r="AA2058">
        <v>0.54924715320920625</v>
      </c>
      <c r="AB2058" t="str">
        <f>HYPERLINK("Melting_Curves/meltCurve_P21333_2_FLNA.pdf", "Melting_Curves/meltCurve_P21333_2_FLNA.pdf")</f>
        <v>Melting_Curves/meltCurve_P21333_2_FLNA.pdf</v>
      </c>
    </row>
    <row r="2059" spans="1:28" x14ac:dyDescent="0.25">
      <c r="A2059" t="s">
        <v>2063</v>
      </c>
      <c r="B2059">
        <v>0.99996721820229495</v>
      </c>
      <c r="C2059">
        <v>0.93316858700289196</v>
      </c>
      <c r="D2059">
        <v>0.95512818476934003</v>
      </c>
      <c r="E2059">
        <v>0.87475227429032998</v>
      </c>
      <c r="F2059">
        <v>1.00586672321781</v>
      </c>
      <c r="G2059">
        <v>0.71447550400395299</v>
      </c>
      <c r="H2059">
        <v>0.29509383859664901</v>
      </c>
      <c r="I2059">
        <v>0.195650792148688</v>
      </c>
      <c r="J2059">
        <v>0.15450953165551901</v>
      </c>
      <c r="K2059">
        <v>0.136799570854098</v>
      </c>
      <c r="L2059">
        <v>1932.5579081890401</v>
      </c>
      <c r="M2059">
        <v>33.189786799121102</v>
      </c>
      <c r="N2059">
        <v>58.8235864238804</v>
      </c>
      <c r="O2059">
        <v>58.017323218655498</v>
      </c>
      <c r="P2059">
        <v>-0.122593340777579</v>
      </c>
      <c r="Q2059">
        <v>0.142807822791753</v>
      </c>
      <c r="R2059">
        <v>0.98256329193546599</v>
      </c>
      <c r="S2059" t="s">
        <v>7885</v>
      </c>
      <c r="T2059" t="s">
        <v>11650</v>
      </c>
      <c r="U2059" t="s">
        <v>11650</v>
      </c>
      <c r="V2059" t="s">
        <v>11650</v>
      </c>
      <c r="W2059" t="s">
        <v>13668</v>
      </c>
      <c r="X2059">
        <v>4</v>
      </c>
      <c r="Y2059" t="s">
        <v>19397</v>
      </c>
      <c r="Z2059" t="s">
        <v>25121</v>
      </c>
      <c r="AA2059">
        <v>0.66836161149961404</v>
      </c>
      <c r="AB2059" t="str">
        <f>HYPERLINK("Melting_Curves/meltCurve_P21359_2_NF1.pdf", "Melting_Curves/meltCurve_P21359_2_NF1.pdf")</f>
        <v>Melting_Curves/meltCurve_P21359_2_NF1.pdf</v>
      </c>
    </row>
    <row r="2060" spans="1:28" x14ac:dyDescent="0.25">
      <c r="A2060" t="s">
        <v>2064</v>
      </c>
      <c r="B2060">
        <v>0.99996721820229495</v>
      </c>
      <c r="C2060">
        <v>0.813945392632627</v>
      </c>
      <c r="D2060">
        <v>1.01053294696944</v>
      </c>
      <c r="E2060">
        <v>1.2907101907624701</v>
      </c>
      <c r="F2060">
        <v>1.8563145337993401</v>
      </c>
      <c r="G2060">
        <v>1.8037632413535301</v>
      </c>
      <c r="H2060">
        <v>0.96910282756247901</v>
      </c>
      <c r="I2060">
        <v>0.33755131287287898</v>
      </c>
      <c r="J2060">
        <v>0.26631759973969499</v>
      </c>
      <c r="K2060">
        <v>0.175260018843689</v>
      </c>
      <c r="L2060">
        <v>6349.2438402511998</v>
      </c>
      <c r="M2060">
        <v>100.920329135694</v>
      </c>
      <c r="N2060">
        <v>63.275750538794497</v>
      </c>
      <c r="O2060">
        <v>62.888742882488899</v>
      </c>
      <c r="P2060">
        <v>-0.31314353279898499</v>
      </c>
      <c r="Q2060">
        <v>0.219455586063277</v>
      </c>
      <c r="R2060">
        <v>0.52057143168129805</v>
      </c>
      <c r="S2060" t="s">
        <v>7886</v>
      </c>
      <c r="T2060" t="s">
        <v>11650</v>
      </c>
      <c r="U2060" t="s">
        <v>11650</v>
      </c>
      <c r="V2060" t="s">
        <v>11650</v>
      </c>
      <c r="W2060" t="s">
        <v>13669</v>
      </c>
      <c r="X2060">
        <v>12</v>
      </c>
      <c r="Y2060" t="s">
        <v>19398</v>
      </c>
      <c r="Z2060" t="s">
        <v>25122</v>
      </c>
      <c r="AA2060">
        <v>0.81614922909930709</v>
      </c>
      <c r="AB2060" t="str">
        <f>HYPERLINK("Melting_Curves/meltCurve_P21397_MAOA.pdf", "Melting_Curves/meltCurve_P21397_MAOA.pdf")</f>
        <v>Melting_Curves/meltCurve_P21397_MAOA.pdf</v>
      </c>
    </row>
    <row r="2061" spans="1:28" x14ac:dyDescent="0.25">
      <c r="A2061" t="s">
        <v>2065</v>
      </c>
      <c r="B2061">
        <v>0.99996721820229495</v>
      </c>
      <c r="C2061">
        <v>0.95977413491426</v>
      </c>
      <c r="D2061">
        <v>0.84908820813420105</v>
      </c>
      <c r="E2061">
        <v>0.57546002005641195</v>
      </c>
      <c r="F2061">
        <v>0.37314339306701499</v>
      </c>
      <c r="G2061">
        <v>0.19855222741682499</v>
      </c>
      <c r="H2061">
        <v>0.116251790242098</v>
      </c>
      <c r="I2061">
        <v>7.4194340355670296E-2</v>
      </c>
      <c r="J2061">
        <v>5.2154668509183801E-2</v>
      </c>
      <c r="K2061">
        <v>4.3906291599839997E-2</v>
      </c>
      <c r="L2061">
        <v>789.76986743556995</v>
      </c>
      <c r="M2061">
        <v>15.5147397260196</v>
      </c>
      <c r="N2061">
        <v>51.152854352732803</v>
      </c>
      <c r="O2061">
        <v>50.0812771230229</v>
      </c>
      <c r="P2061">
        <v>-7.4644756892652001E-2</v>
      </c>
      <c r="Q2061">
        <v>3.6278024933287203E-2</v>
      </c>
      <c r="R2061">
        <v>0.99949837261068197</v>
      </c>
      <c r="S2061" t="s">
        <v>7887</v>
      </c>
      <c r="T2061" t="s">
        <v>11650</v>
      </c>
      <c r="U2061" t="s">
        <v>11650</v>
      </c>
      <c r="V2061" t="s">
        <v>11650</v>
      </c>
      <c r="W2061" t="s">
        <v>13670</v>
      </c>
      <c r="X2061">
        <v>34</v>
      </c>
      <c r="Y2061" t="s">
        <v>19399</v>
      </c>
      <c r="Z2061" t="s">
        <v>25123</v>
      </c>
      <c r="AA2061">
        <v>0.40767730173364791</v>
      </c>
      <c r="AB2061" t="str">
        <f>HYPERLINK("Melting_Curves/meltCurve_P21399_ACO1.pdf", "Melting_Curves/meltCurve_P21399_ACO1.pdf")</f>
        <v>Melting_Curves/meltCurve_P21399_ACO1.pdf</v>
      </c>
    </row>
    <row r="2062" spans="1:28" x14ac:dyDescent="0.25">
      <c r="A2062" t="s">
        <v>2066</v>
      </c>
      <c r="B2062">
        <v>0.99996721820229495</v>
      </c>
      <c r="C2062">
        <v>0.86606751003651405</v>
      </c>
      <c r="D2062">
        <v>0.91977388113039005</v>
      </c>
      <c r="E2062">
        <v>0.87432316345602501</v>
      </c>
      <c r="F2062">
        <v>1.10305286896813</v>
      </c>
      <c r="G2062">
        <v>1.0702048515064899</v>
      </c>
      <c r="H2062">
        <v>0.72440859088982601</v>
      </c>
      <c r="I2062">
        <v>0.61054754221020302</v>
      </c>
      <c r="J2062">
        <v>0.45109771776044999</v>
      </c>
      <c r="K2062">
        <v>0.39436425544345399</v>
      </c>
      <c r="L2062">
        <v>2032.7222412649701</v>
      </c>
      <c r="M2062">
        <v>32.731762708885</v>
      </c>
      <c r="N2062">
        <v>65.293430711533702</v>
      </c>
      <c r="O2062">
        <v>61.872008213588501</v>
      </c>
      <c r="P2062">
        <v>-7.9483977993559093E-2</v>
      </c>
      <c r="Q2062">
        <v>0.39901670529143002</v>
      </c>
      <c r="R2062">
        <v>0.87857948029246202</v>
      </c>
      <c r="S2062" t="s">
        <v>7888</v>
      </c>
      <c r="T2062" t="s">
        <v>11650</v>
      </c>
      <c r="U2062" t="s">
        <v>11650</v>
      </c>
      <c r="V2062" t="s">
        <v>11650</v>
      </c>
      <c r="W2062" t="s">
        <v>13671</v>
      </c>
      <c r="X2062">
        <v>4</v>
      </c>
      <c r="Y2062" t="s">
        <v>19400</v>
      </c>
      <c r="Z2062" t="s">
        <v>25124</v>
      </c>
      <c r="AA2062">
        <v>0.84438092249911045</v>
      </c>
      <c r="AB2062" t="str">
        <f>HYPERLINK("Melting_Curves/meltCurve_P21583_2_KITLG.pdf", "Melting_Curves/meltCurve_P21583_2_KITLG.pdf")</f>
        <v>Melting_Curves/meltCurve_P21583_2_KITLG.pdf</v>
      </c>
    </row>
    <row r="2063" spans="1:28" x14ac:dyDescent="0.25">
      <c r="A2063" t="s">
        <v>2067</v>
      </c>
      <c r="B2063">
        <v>0.99996721820229495</v>
      </c>
      <c r="C2063">
        <v>1.0281498161100799</v>
      </c>
      <c r="D2063">
        <v>1.1988823835340601</v>
      </c>
      <c r="E2063">
        <v>1.8278358234284799</v>
      </c>
      <c r="F2063">
        <v>2.7070974260581901</v>
      </c>
      <c r="G2063">
        <v>2.8560628069624401</v>
      </c>
      <c r="H2063">
        <v>2.00682794331586</v>
      </c>
      <c r="I2063">
        <v>0.71253950739073502</v>
      </c>
      <c r="J2063">
        <v>0.296876755956552</v>
      </c>
      <c r="K2063">
        <v>0.51245117842590304</v>
      </c>
      <c r="L2063">
        <v>15000</v>
      </c>
      <c r="M2063">
        <v>234.30619870810401</v>
      </c>
      <c r="N2063">
        <v>64.474774389755495</v>
      </c>
      <c r="O2063">
        <v>64.014128989125496</v>
      </c>
      <c r="P2063">
        <v>-0.54477390180687002</v>
      </c>
      <c r="Q2063">
        <v>0.40465549874887202</v>
      </c>
      <c r="R2063">
        <v>-0.129006258901429</v>
      </c>
      <c r="S2063" t="s">
        <v>7889</v>
      </c>
      <c r="T2063" t="s">
        <v>11650</v>
      </c>
      <c r="U2063" t="s">
        <v>11650</v>
      </c>
      <c r="V2063" t="s">
        <v>11650</v>
      </c>
      <c r="W2063" t="s">
        <v>13672</v>
      </c>
      <c r="X2063">
        <v>22</v>
      </c>
      <c r="Y2063" t="s">
        <v>19401</v>
      </c>
      <c r="Z2063" t="s">
        <v>25125</v>
      </c>
      <c r="AA2063">
        <v>0.88138019139039636</v>
      </c>
      <c r="AB2063" t="str">
        <f>HYPERLINK("Melting_Curves/meltCurve_P21589_NT5E.pdf", "Melting_Curves/meltCurve_P21589_NT5E.pdf")</f>
        <v>Melting_Curves/meltCurve_P21589_NT5E.pdf</v>
      </c>
    </row>
    <row r="2064" spans="1:28" x14ac:dyDescent="0.25">
      <c r="A2064" t="s">
        <v>2068</v>
      </c>
      <c r="B2064">
        <v>0.99996721820229495</v>
      </c>
      <c r="C2064">
        <v>0.66320783914922499</v>
      </c>
      <c r="D2064">
        <v>0.95022639138641696</v>
      </c>
      <c r="E2064">
        <v>1.19329508260637</v>
      </c>
      <c r="F2064">
        <v>1.61098048157633</v>
      </c>
      <c r="G2064">
        <v>1.7471974471531699</v>
      </c>
      <c r="H2064">
        <v>1.2880627734925401</v>
      </c>
      <c r="I2064">
        <v>0.79761431498037805</v>
      </c>
      <c r="J2064">
        <v>0.39119028828765401</v>
      </c>
      <c r="K2064">
        <v>0.54676342719771898</v>
      </c>
      <c r="L2064">
        <v>15000</v>
      </c>
      <c r="M2064">
        <v>233.890255163207</v>
      </c>
      <c r="N2064">
        <v>64.903977040353297</v>
      </c>
      <c r="O2064">
        <v>64.127959725073396</v>
      </c>
      <c r="P2064">
        <v>-0.48419986278946198</v>
      </c>
      <c r="Q2064">
        <v>0.46896896472876798</v>
      </c>
      <c r="R2064">
        <v>0.33759727820982399</v>
      </c>
      <c r="S2064" t="s">
        <v>7890</v>
      </c>
      <c r="T2064" t="s">
        <v>11650</v>
      </c>
      <c r="U2064" t="s">
        <v>11650</v>
      </c>
      <c r="V2064" t="s">
        <v>11650</v>
      </c>
      <c r="W2064" t="s">
        <v>13673</v>
      </c>
      <c r="X2064">
        <v>23</v>
      </c>
      <c r="Y2064" t="s">
        <v>19402</v>
      </c>
      <c r="Z2064" t="s">
        <v>25126</v>
      </c>
      <c r="AA2064">
        <v>0.89620998100665039</v>
      </c>
      <c r="AB2064" t="str">
        <f>HYPERLINK("Melting_Curves/meltCurve_P21796_VDAC1.pdf", "Melting_Curves/meltCurve_P21796_VDAC1.pdf")</f>
        <v>Melting_Curves/meltCurve_P21796_VDAC1.pdf</v>
      </c>
    </row>
    <row r="2065" spans="1:28" x14ac:dyDescent="0.25">
      <c r="A2065" t="s">
        <v>2069</v>
      </c>
      <c r="B2065">
        <v>0.99996721820229495</v>
      </c>
      <c r="C2065">
        <v>0.83072444809434098</v>
      </c>
      <c r="D2065">
        <v>1.0492494627045701</v>
      </c>
      <c r="E2065">
        <v>1.3665872922490601</v>
      </c>
      <c r="F2065">
        <v>1.7894057519086599</v>
      </c>
      <c r="G2065">
        <v>1.9184708335973499</v>
      </c>
      <c r="H2065">
        <v>1.23614438262983</v>
      </c>
      <c r="I2065">
        <v>0.34562408631559299</v>
      </c>
      <c r="J2065">
        <v>0.22552082184526401</v>
      </c>
      <c r="K2065">
        <v>0.17437353282500601</v>
      </c>
      <c r="L2065">
        <v>15000</v>
      </c>
      <c r="M2065">
        <v>235.87651169014401</v>
      </c>
      <c r="N2065">
        <v>63.730552587133801</v>
      </c>
      <c r="O2065">
        <v>63.588025533024499</v>
      </c>
      <c r="P2065">
        <v>-0.74196322326438402</v>
      </c>
      <c r="Q2065">
        <v>0.19992073469002999</v>
      </c>
      <c r="R2065">
        <v>0.50274440623328698</v>
      </c>
      <c r="S2065" t="s">
        <v>7891</v>
      </c>
      <c r="T2065" t="s">
        <v>11650</v>
      </c>
      <c r="U2065" t="s">
        <v>11650</v>
      </c>
      <c r="V2065" t="s">
        <v>11650</v>
      </c>
      <c r="W2065" t="s">
        <v>13674</v>
      </c>
      <c r="X2065">
        <v>19</v>
      </c>
      <c r="Y2065" t="s">
        <v>19403</v>
      </c>
      <c r="Z2065" t="s">
        <v>25127</v>
      </c>
      <c r="AA2065">
        <v>0.82921930413604927</v>
      </c>
      <c r="AB2065" t="str">
        <f>HYPERLINK("Melting_Curves/meltCurve_P21912_SDHB.pdf", "Melting_Curves/meltCurve_P21912_SDHB.pdf")</f>
        <v>Melting_Curves/meltCurve_P21912_SDHB.pdf</v>
      </c>
    </row>
    <row r="2066" spans="1:28" x14ac:dyDescent="0.25">
      <c r="A2066" t="s">
        <v>2070</v>
      </c>
      <c r="B2066">
        <v>0.99996721820229495</v>
      </c>
      <c r="C2066">
        <v>1.03900449056052</v>
      </c>
      <c r="D2066">
        <v>0.86157662583572603</v>
      </c>
      <c r="E2066">
        <v>0.63962187166305695</v>
      </c>
      <c r="F2066">
        <v>0.45568525874837901</v>
      </c>
      <c r="G2066">
        <v>0.36177270412367601</v>
      </c>
      <c r="H2066">
        <v>0.227099680511332</v>
      </c>
      <c r="I2066">
        <v>0.18799930359932801</v>
      </c>
      <c r="J2066">
        <v>0.132805600060527</v>
      </c>
      <c r="K2066">
        <v>8.62501529597271E-2</v>
      </c>
      <c r="L2066">
        <v>692.90600367849697</v>
      </c>
      <c r="M2066">
        <v>13.325254804204301</v>
      </c>
      <c r="N2066">
        <v>52.867290304946003</v>
      </c>
      <c r="O2066">
        <v>50.870212028441202</v>
      </c>
      <c r="P2066">
        <v>-5.9063005868941899E-2</v>
      </c>
      <c r="Q2066">
        <v>9.8233946381680995E-2</v>
      </c>
      <c r="R2066">
        <v>0.98711119188527896</v>
      </c>
      <c r="S2066" t="s">
        <v>7892</v>
      </c>
      <c r="T2066" t="s">
        <v>11650</v>
      </c>
      <c r="U2066" t="s">
        <v>11650</v>
      </c>
      <c r="V2066" t="s">
        <v>11650</v>
      </c>
      <c r="W2066" t="s">
        <v>13675</v>
      </c>
      <c r="X2066">
        <v>19</v>
      </c>
      <c r="Y2066" t="s">
        <v>19404</v>
      </c>
      <c r="Z2066" t="s">
        <v>25128</v>
      </c>
      <c r="AA2066">
        <v>0.48290244167926971</v>
      </c>
      <c r="AB2066" t="str">
        <f>HYPERLINK("Melting_Curves/meltCurve_P21964_2_COMT.pdf", "Melting_Curves/meltCurve_P21964_2_COMT.pdf")</f>
        <v>Melting_Curves/meltCurve_P21964_2_COMT.pdf</v>
      </c>
    </row>
    <row r="2067" spans="1:28" x14ac:dyDescent="0.25">
      <c r="A2067" t="s">
        <v>2071</v>
      </c>
      <c r="B2067">
        <v>0.99996721820229495</v>
      </c>
      <c r="C2067">
        <v>0.99945576612156495</v>
      </c>
      <c r="D2067">
        <v>1.00449533608771</v>
      </c>
      <c r="E2067">
        <v>1.0650458952335</v>
      </c>
      <c r="F2067">
        <v>0.65438524617820204</v>
      </c>
      <c r="G2067">
        <v>0.34495901555104402</v>
      </c>
      <c r="H2067">
        <v>0.16464104454967299</v>
      </c>
      <c r="I2067">
        <v>9.79752360391552E-2</v>
      </c>
      <c r="J2067">
        <v>6.6137180313983399E-2</v>
      </c>
      <c r="K2067">
        <v>5.5831248752473098E-2</v>
      </c>
      <c r="L2067">
        <v>1447.1892080651201</v>
      </c>
      <c r="M2067">
        <v>26.412899452146601</v>
      </c>
      <c r="N2067">
        <v>55.1296975119037</v>
      </c>
      <c r="O2067">
        <v>54.479821077713602</v>
      </c>
      <c r="P2067">
        <v>-0.11212858181084299</v>
      </c>
      <c r="Q2067">
        <v>7.4894597275103406E-2</v>
      </c>
      <c r="R2067">
        <v>0.98516023122247098</v>
      </c>
      <c r="S2067" t="s">
        <v>7893</v>
      </c>
      <c r="T2067" t="s">
        <v>11650</v>
      </c>
      <c r="U2067" t="s">
        <v>11650</v>
      </c>
      <c r="V2067" t="s">
        <v>11650</v>
      </c>
      <c r="W2067" t="s">
        <v>13676</v>
      </c>
      <c r="X2067">
        <v>26</v>
      </c>
      <c r="Y2067" t="s">
        <v>19405</v>
      </c>
      <c r="Z2067" t="s">
        <v>25129</v>
      </c>
      <c r="AA2067">
        <v>0.53876342680819045</v>
      </c>
      <c r="AB2067" t="str">
        <f>HYPERLINK("Melting_Curves/meltCurve_P21980_TGM2.pdf", "Melting_Curves/meltCurve_P21980_TGM2.pdf")</f>
        <v>Melting_Curves/meltCurve_P21980_TGM2.pdf</v>
      </c>
    </row>
    <row r="2068" spans="1:28" x14ac:dyDescent="0.25">
      <c r="A2068" t="s">
        <v>2072</v>
      </c>
      <c r="B2068">
        <v>0.99996721820229495</v>
      </c>
      <c r="C2068">
        <v>0.96516524279045701</v>
      </c>
      <c r="D2068">
        <v>0.98762659461447699</v>
      </c>
      <c r="E2068">
        <v>0.72045465282733401</v>
      </c>
      <c r="F2068">
        <v>0.35973299387641</v>
      </c>
      <c r="G2068">
        <v>0.31941393459602102</v>
      </c>
      <c r="H2068">
        <v>0.19117963946675501</v>
      </c>
      <c r="I2068">
        <v>0.141716527815195</v>
      </c>
      <c r="J2068">
        <v>8.7180505656738003E-2</v>
      </c>
      <c r="K2068">
        <v>7.7511553721621801E-2</v>
      </c>
      <c r="L2068">
        <v>1056.0268866665799</v>
      </c>
      <c r="M2068">
        <v>20.4611504241538</v>
      </c>
      <c r="N2068">
        <v>52.294835111669499</v>
      </c>
      <c r="O2068">
        <v>51.125908861837502</v>
      </c>
      <c r="P2068">
        <v>-8.83160812709093E-2</v>
      </c>
      <c r="Q2068">
        <v>0.117330926139148</v>
      </c>
      <c r="R2068">
        <v>0.98259847745851603</v>
      </c>
      <c r="S2068" t="s">
        <v>7894</v>
      </c>
      <c r="T2068" t="s">
        <v>11650</v>
      </c>
      <c r="U2068" t="s">
        <v>11650</v>
      </c>
      <c r="V2068" t="s">
        <v>11650</v>
      </c>
      <c r="W2068" t="s">
        <v>13677</v>
      </c>
      <c r="X2068">
        <v>13</v>
      </c>
      <c r="Y2068" t="s">
        <v>19406</v>
      </c>
      <c r="Z2068" t="s">
        <v>25130</v>
      </c>
      <c r="AA2068">
        <v>0.47069482621944531</v>
      </c>
      <c r="AB2068" t="str">
        <f>HYPERLINK("Melting_Curves/meltCurve_P22033_MUT.pdf", "Melting_Curves/meltCurve_P22033_MUT.pdf")</f>
        <v>Melting_Curves/meltCurve_P22033_MUT.pdf</v>
      </c>
    </row>
    <row r="2069" spans="1:28" x14ac:dyDescent="0.25">
      <c r="A2069" t="s">
        <v>2073</v>
      </c>
      <c r="B2069">
        <v>0.99996721820229495</v>
      </c>
      <c r="C2069">
        <v>1.07704899329057</v>
      </c>
      <c r="D2069">
        <v>1.16819469926143</v>
      </c>
      <c r="E2069">
        <v>1.4384913705626201</v>
      </c>
      <c r="F2069">
        <v>1.09701024288662</v>
      </c>
      <c r="G2069">
        <v>0.59574196945728297</v>
      </c>
      <c r="H2069">
        <v>0.28662791906517499</v>
      </c>
      <c r="I2069">
        <v>0.16641998311226899</v>
      </c>
      <c r="J2069">
        <v>0.14320813734659099</v>
      </c>
      <c r="K2069">
        <v>9.2080508780489498E-2</v>
      </c>
      <c r="L2069">
        <v>2544.6838092667899</v>
      </c>
      <c r="M2069">
        <v>44.384792817375903</v>
      </c>
      <c r="N2069">
        <v>57.803201175145098</v>
      </c>
      <c r="O2069">
        <v>57.2163190669717</v>
      </c>
      <c r="P2069">
        <v>-0.164513514603817</v>
      </c>
      <c r="Q2069">
        <v>0.151705442049101</v>
      </c>
      <c r="R2069">
        <v>0.88996153217395002</v>
      </c>
      <c r="S2069" t="s">
        <v>7895</v>
      </c>
      <c r="T2069" t="s">
        <v>11650</v>
      </c>
      <c r="U2069" t="s">
        <v>11650</v>
      </c>
      <c r="V2069" t="s">
        <v>11650</v>
      </c>
      <c r="W2069" t="s">
        <v>13678</v>
      </c>
      <c r="X2069">
        <v>28</v>
      </c>
      <c r="Y2069" t="s">
        <v>19407</v>
      </c>
      <c r="Z2069" t="s">
        <v>25131</v>
      </c>
      <c r="AA2069">
        <v>0.64451079937491784</v>
      </c>
      <c r="AB2069" t="str">
        <f>HYPERLINK("Melting_Curves/meltCurve_P22059_OSBP.pdf", "Melting_Curves/meltCurve_P22059_OSBP.pdf")</f>
        <v>Melting_Curves/meltCurve_P22059_OSBP.pdf</v>
      </c>
    </row>
    <row r="2070" spans="1:28" x14ac:dyDescent="0.25">
      <c r="A2070" t="s">
        <v>2074</v>
      </c>
      <c r="B2070">
        <v>0.99996721820229495</v>
      </c>
      <c r="C2070">
        <v>0.95299345805820701</v>
      </c>
      <c r="D2070">
        <v>0.87772117149231699</v>
      </c>
      <c r="E2070">
        <v>0.57374364147630497</v>
      </c>
      <c r="F2070">
        <v>0.28630792663726701</v>
      </c>
      <c r="G2070">
        <v>0.21577920814401899</v>
      </c>
      <c r="H2070">
        <v>0.13119608195090901</v>
      </c>
      <c r="I2070">
        <v>8.77772588050173E-2</v>
      </c>
      <c r="J2070">
        <v>6.6158559115598606E-2</v>
      </c>
      <c r="K2070">
        <v>5.0426779077104099E-2</v>
      </c>
      <c r="L2070">
        <v>937.94523541396904</v>
      </c>
      <c r="M2070">
        <v>18.640939771272699</v>
      </c>
      <c r="N2070">
        <v>50.7408042493906</v>
      </c>
      <c r="O2070">
        <v>49.748081760285999</v>
      </c>
      <c r="P2070">
        <v>-8.6918628814511997E-2</v>
      </c>
      <c r="Q2070">
        <v>7.2182197377044094E-2</v>
      </c>
      <c r="R2070">
        <v>0.99513630405479803</v>
      </c>
      <c r="S2070" t="s">
        <v>7896</v>
      </c>
      <c r="T2070" t="s">
        <v>11650</v>
      </c>
      <c r="U2070" t="s">
        <v>11650</v>
      </c>
      <c r="V2070" t="s">
        <v>11650</v>
      </c>
      <c r="W2070" t="s">
        <v>13679</v>
      </c>
      <c r="X2070">
        <v>27</v>
      </c>
      <c r="Y2070" t="s">
        <v>19408</v>
      </c>
      <c r="Z2070" t="s">
        <v>25132</v>
      </c>
      <c r="AA2070">
        <v>0.40599733681488631</v>
      </c>
      <c r="AB2070" t="str">
        <f>HYPERLINK("Melting_Curves/meltCurve_P22102_GART.pdf", "Melting_Curves/meltCurve_P22102_GART.pdf")</f>
        <v>Melting_Curves/meltCurve_P22102_GART.pdf</v>
      </c>
    </row>
    <row r="2071" spans="1:28" x14ac:dyDescent="0.25">
      <c r="A2071" t="s">
        <v>2075</v>
      </c>
      <c r="B2071">
        <v>0.99996721820229495</v>
      </c>
      <c r="C2071">
        <v>1.00646989855119</v>
      </c>
      <c r="D2071">
        <v>0.99005379341740396</v>
      </c>
      <c r="E2071">
        <v>0.87266513782801203</v>
      </c>
      <c r="F2071">
        <v>1.06414789720339</v>
      </c>
      <c r="G2071">
        <v>1.0823241893607201</v>
      </c>
      <c r="H2071">
        <v>0.76987720414806204</v>
      </c>
      <c r="I2071">
        <v>0.63231926990544896</v>
      </c>
      <c r="J2071">
        <v>0.27428247660688898</v>
      </c>
      <c r="K2071">
        <v>0.137115999669954</v>
      </c>
      <c r="L2071">
        <v>1758.4329778393201</v>
      </c>
      <c r="M2071">
        <v>27.158279556859998</v>
      </c>
      <c r="N2071">
        <v>64.827644306361904</v>
      </c>
      <c r="O2071">
        <v>64.399586305550201</v>
      </c>
      <c r="P2071">
        <v>-0.10369104788947101</v>
      </c>
      <c r="Q2071">
        <v>1.6492057151474501E-2</v>
      </c>
      <c r="R2071">
        <v>0.96032545781949596</v>
      </c>
      <c r="S2071" t="s">
        <v>7897</v>
      </c>
      <c r="T2071" t="s">
        <v>11650</v>
      </c>
      <c r="U2071" t="s">
        <v>11650</v>
      </c>
      <c r="V2071" t="s">
        <v>11650</v>
      </c>
      <c r="W2071" t="s">
        <v>13680</v>
      </c>
      <c r="X2071">
        <v>4</v>
      </c>
      <c r="Y2071" t="s">
        <v>19409</v>
      </c>
      <c r="Z2071" t="s">
        <v>25133</v>
      </c>
      <c r="AA2071">
        <v>0.82521723141513681</v>
      </c>
      <c r="AB2071" t="str">
        <f>HYPERLINK("Melting_Curves/meltCurve_P22304_IDS.pdf", "Melting_Curves/meltCurve_P22304_IDS.pdf")</f>
        <v>Melting_Curves/meltCurve_P22304_IDS.pdf</v>
      </c>
    </row>
    <row r="2072" spans="1:28" x14ac:dyDescent="0.25">
      <c r="A2072" t="s">
        <v>2076</v>
      </c>
      <c r="B2072">
        <v>0.99996721820229495</v>
      </c>
      <c r="C2072">
        <v>1.0685268462886901</v>
      </c>
      <c r="D2072">
        <v>1.05084450866583</v>
      </c>
      <c r="E2072">
        <v>0.898850757405949</v>
      </c>
      <c r="F2072">
        <v>0.51129881019161805</v>
      </c>
      <c r="G2072">
        <v>0.41202562731049802</v>
      </c>
      <c r="H2072">
        <v>0.23918817903373599</v>
      </c>
      <c r="I2072">
        <v>0.15251853766799101</v>
      </c>
      <c r="J2072">
        <v>0.120161971696899</v>
      </c>
      <c r="K2072">
        <v>0.106846600668957</v>
      </c>
      <c r="L2072">
        <v>1047.6240653790701</v>
      </c>
      <c r="M2072">
        <v>19.4736710144375</v>
      </c>
      <c r="N2072">
        <v>54.583008949236699</v>
      </c>
      <c r="O2072">
        <v>53.239283418504201</v>
      </c>
      <c r="P2072">
        <v>-8.0265576361869304E-2</v>
      </c>
      <c r="Q2072">
        <v>0.122275983607795</v>
      </c>
      <c r="R2072">
        <v>0.97575931804919502</v>
      </c>
      <c r="S2072" t="s">
        <v>7898</v>
      </c>
      <c r="T2072" t="s">
        <v>11650</v>
      </c>
      <c r="U2072" t="s">
        <v>11650</v>
      </c>
      <c r="V2072" t="s">
        <v>11650</v>
      </c>
      <c r="W2072" t="s">
        <v>13681</v>
      </c>
      <c r="X2072">
        <v>33</v>
      </c>
      <c r="Y2072" t="s">
        <v>19410</v>
      </c>
      <c r="Z2072" t="s">
        <v>25134</v>
      </c>
      <c r="AA2072">
        <v>0.53843226283250489</v>
      </c>
      <c r="AB2072" t="str">
        <f>HYPERLINK("Melting_Curves/meltCurve_P22307_SCP2.pdf", "Melting_Curves/meltCurve_P22307_SCP2.pdf")</f>
        <v>Melting_Curves/meltCurve_P22307_SCP2.pdf</v>
      </c>
    </row>
    <row r="2073" spans="1:28" x14ac:dyDescent="0.25">
      <c r="A2073" t="s">
        <v>2077</v>
      </c>
      <c r="B2073">
        <v>0.99996721820229495</v>
      </c>
      <c r="C2073">
        <v>0.90742009041014304</v>
      </c>
      <c r="D2073">
        <v>1.06144813099818</v>
      </c>
      <c r="E2073">
        <v>1.4606923935821301</v>
      </c>
      <c r="F2073">
        <v>0.91181742947491196</v>
      </c>
      <c r="G2073">
        <v>0.60993610683006605</v>
      </c>
      <c r="H2073">
        <v>0.51622536665232999</v>
      </c>
      <c r="I2073">
        <v>0.233339053920044</v>
      </c>
      <c r="J2073">
        <v>8.5463287076008199E-2</v>
      </c>
      <c r="K2073">
        <v>0.17516802781566601</v>
      </c>
      <c r="L2073">
        <v>1330.03694426378</v>
      </c>
      <c r="M2073">
        <v>22.4926046808934</v>
      </c>
      <c r="N2073">
        <v>59.770704893413701</v>
      </c>
      <c r="O2073">
        <v>58.670728933535102</v>
      </c>
      <c r="P2073">
        <v>-8.5608541958712106E-2</v>
      </c>
      <c r="Q2073">
        <v>0.10679741020927799</v>
      </c>
      <c r="R2073">
        <v>0.84761339462575702</v>
      </c>
      <c r="S2073" t="s">
        <v>7899</v>
      </c>
      <c r="T2073" t="s">
        <v>11650</v>
      </c>
      <c r="U2073" t="s">
        <v>11650</v>
      </c>
      <c r="V2073" t="s">
        <v>11650</v>
      </c>
      <c r="W2073" t="s">
        <v>13682</v>
      </c>
      <c r="X2073">
        <v>20</v>
      </c>
      <c r="Y2073" t="s">
        <v>19410</v>
      </c>
      <c r="Z2073" t="s">
        <v>25135</v>
      </c>
      <c r="AA2073">
        <v>0.68450278409172571</v>
      </c>
      <c r="AB2073" t="str">
        <f>HYPERLINK("Melting_Curves/meltCurve_P22307_2_SCP2.pdf", "Melting_Curves/meltCurve_P22307_2_SCP2.pdf")</f>
        <v>Melting_Curves/meltCurve_P22307_2_SCP2.pdf</v>
      </c>
    </row>
    <row r="2074" spans="1:28" x14ac:dyDescent="0.25">
      <c r="A2074" t="s">
        <v>2078</v>
      </c>
      <c r="B2074">
        <v>0.99996721820229495</v>
      </c>
      <c r="C2074">
        <v>1.0049607178451401</v>
      </c>
      <c r="D2074">
        <v>1.0030384344460499</v>
      </c>
      <c r="E2074">
        <v>0.40315233035334103</v>
      </c>
      <c r="F2074">
        <v>0.221695560327592</v>
      </c>
      <c r="G2074">
        <v>0.17456977138919</v>
      </c>
      <c r="H2074">
        <v>0.113839046289055</v>
      </c>
      <c r="I2074">
        <v>6.9610346905193896E-2</v>
      </c>
      <c r="J2074">
        <v>5.2218513098622202E-2</v>
      </c>
      <c r="K2074">
        <v>4.4481969011554101E-2</v>
      </c>
      <c r="L2074">
        <v>1895.56615573719</v>
      </c>
      <c r="M2074">
        <v>38.429829907485299</v>
      </c>
      <c r="N2074">
        <v>49.6084170168781</v>
      </c>
      <c r="O2074">
        <v>49.1923951909897</v>
      </c>
      <c r="P2074">
        <v>-0.17607752139195601</v>
      </c>
      <c r="Q2074">
        <v>9.8444839314114893E-2</v>
      </c>
      <c r="R2074">
        <v>0.98788081115023296</v>
      </c>
      <c r="S2074" t="s">
        <v>7900</v>
      </c>
      <c r="T2074" t="s">
        <v>11650</v>
      </c>
      <c r="U2074" t="s">
        <v>11650</v>
      </c>
      <c r="V2074" t="s">
        <v>11650</v>
      </c>
      <c r="W2074" t="s">
        <v>13683</v>
      </c>
      <c r="X2074">
        <v>54</v>
      </c>
      <c r="Y2074" t="s">
        <v>19411</v>
      </c>
      <c r="Z2074" t="s">
        <v>25136</v>
      </c>
      <c r="AA2074">
        <v>0.38202556500029428</v>
      </c>
      <c r="AB2074" t="str">
        <f>HYPERLINK("Melting_Curves/meltCurve_P22314_UBA1.pdf", "Melting_Curves/meltCurve_P22314_UBA1.pdf")</f>
        <v>Melting_Curves/meltCurve_P22314_UBA1.pdf</v>
      </c>
    </row>
    <row r="2075" spans="1:28" x14ac:dyDescent="0.25">
      <c r="A2075" t="s">
        <v>2079</v>
      </c>
      <c r="B2075">
        <v>0.99996721820229495</v>
      </c>
      <c r="C2075">
        <v>0.89433535399098196</v>
      </c>
      <c r="D2075">
        <v>1.00680568574456</v>
      </c>
      <c r="E2075">
        <v>1.39205615764965</v>
      </c>
      <c r="F2075">
        <v>1.7052458977401199</v>
      </c>
      <c r="G2075">
        <v>1.72196911597743</v>
      </c>
      <c r="H2075">
        <v>1.0842663448876899</v>
      </c>
      <c r="I2075">
        <v>0.59203894420839498</v>
      </c>
      <c r="J2075">
        <v>0.34540425933268298</v>
      </c>
      <c r="K2075">
        <v>0.37662239874957898</v>
      </c>
      <c r="L2075">
        <v>15000</v>
      </c>
      <c r="M2075">
        <v>234.94358190439999</v>
      </c>
      <c r="N2075">
        <v>64.194909738825004</v>
      </c>
      <c r="O2075">
        <v>63.840488967905799</v>
      </c>
      <c r="P2075">
        <v>-0.58789959696980099</v>
      </c>
      <c r="Q2075">
        <v>0.36100748349192902</v>
      </c>
      <c r="R2075">
        <v>0.45179101272663502</v>
      </c>
      <c r="S2075" t="s">
        <v>7901</v>
      </c>
      <c r="T2075" t="s">
        <v>11650</v>
      </c>
      <c r="U2075" t="s">
        <v>11650</v>
      </c>
      <c r="V2075" t="s">
        <v>11650</v>
      </c>
      <c r="W2075" t="s">
        <v>13684</v>
      </c>
      <c r="X2075">
        <v>19</v>
      </c>
      <c r="Y2075" t="s">
        <v>19412</v>
      </c>
      <c r="Z2075" t="s">
        <v>25137</v>
      </c>
      <c r="AA2075">
        <v>0.86898355474743016</v>
      </c>
      <c r="AB2075" t="str">
        <f>HYPERLINK("Melting_Curves/meltCurve_P22413_ENPP1.pdf", "Melting_Curves/meltCurve_P22413_ENPP1.pdf")</f>
        <v>Melting_Curves/meltCurve_P22413_ENPP1.pdf</v>
      </c>
    </row>
    <row r="2076" spans="1:28" x14ac:dyDescent="0.25">
      <c r="A2076" t="s">
        <v>2080</v>
      </c>
      <c r="B2076">
        <v>0.99996721820229495</v>
      </c>
      <c r="C2076">
        <v>0.95222368934629897</v>
      </c>
      <c r="D2076">
        <v>1.0299124968943001</v>
      </c>
      <c r="E2076">
        <v>1.0042563983956401</v>
      </c>
      <c r="F2076">
        <v>1.3462128077012701</v>
      </c>
      <c r="G2076">
        <v>1.3949087538798199</v>
      </c>
      <c r="H2076">
        <v>0.90052987978184595</v>
      </c>
      <c r="I2076">
        <v>0.82261068494767198</v>
      </c>
      <c r="J2076">
        <v>0.63934068430530799</v>
      </c>
      <c r="K2076">
        <v>0.40075673097771702</v>
      </c>
      <c r="L2076">
        <v>2008.06763740205</v>
      </c>
      <c r="M2076">
        <v>30.0318123647519</v>
      </c>
      <c r="N2076">
        <v>68.488909427471</v>
      </c>
      <c r="O2076">
        <v>66.570317542547002</v>
      </c>
      <c r="P2076">
        <v>-8.4054913466166101E-2</v>
      </c>
      <c r="Q2076">
        <v>0.25472025564087503</v>
      </c>
      <c r="R2076">
        <v>0.63345173582137504</v>
      </c>
      <c r="S2076" t="s">
        <v>7902</v>
      </c>
      <c r="T2076" t="s">
        <v>11650</v>
      </c>
      <c r="U2076" t="s">
        <v>11650</v>
      </c>
      <c r="V2076" t="s">
        <v>11650</v>
      </c>
      <c r="W2076" t="s">
        <v>13685</v>
      </c>
      <c r="X2076">
        <v>1</v>
      </c>
      <c r="Y2076" t="s">
        <v>19413</v>
      </c>
      <c r="Z2076" t="s">
        <v>25138</v>
      </c>
      <c r="AA2076">
        <v>0.91306395073426627</v>
      </c>
      <c r="AB2076" t="str">
        <f>HYPERLINK("Melting_Curves/meltCurve_P22466_GAL.pdf", "Melting_Curves/meltCurve_P22466_GAL.pdf")</f>
        <v>Melting_Curves/meltCurve_P22466_GAL.pdf</v>
      </c>
    </row>
    <row r="2077" spans="1:28" x14ac:dyDescent="0.25">
      <c r="A2077" t="s">
        <v>2081</v>
      </c>
      <c r="B2077">
        <v>0.99996721820229495</v>
      </c>
      <c r="C2077">
        <v>1.0987996368783599</v>
      </c>
      <c r="D2077">
        <v>0.96520191435722502</v>
      </c>
      <c r="E2077">
        <v>0.84382506373363897</v>
      </c>
      <c r="F2077">
        <v>0.67761810051836202</v>
      </c>
      <c r="G2077">
        <v>0.48449157988955399</v>
      </c>
      <c r="H2077">
        <v>0.36286393707742298</v>
      </c>
      <c r="I2077">
        <v>0.406170488540743</v>
      </c>
      <c r="J2077">
        <v>0.29261015208125601</v>
      </c>
      <c r="K2077">
        <v>0.298695619801571</v>
      </c>
      <c r="L2077">
        <v>973.316020687079</v>
      </c>
      <c r="M2077">
        <v>18.184352071306002</v>
      </c>
      <c r="N2077">
        <v>56.498013663607402</v>
      </c>
      <c r="O2077">
        <v>52.890208737413097</v>
      </c>
      <c r="P2077">
        <v>-5.9485783453725002E-2</v>
      </c>
      <c r="Q2077">
        <v>0.30796184337557603</v>
      </c>
      <c r="R2077">
        <v>0.980503081342465</v>
      </c>
      <c r="S2077" t="s">
        <v>7903</v>
      </c>
      <c r="T2077" t="s">
        <v>11650</v>
      </c>
      <c r="U2077" t="s">
        <v>11650</v>
      </c>
      <c r="V2077" t="s">
        <v>11650</v>
      </c>
      <c r="W2077" t="s">
        <v>13686</v>
      </c>
      <c r="X2077">
        <v>26</v>
      </c>
      <c r="Y2077" t="s">
        <v>19414</v>
      </c>
      <c r="Z2077" t="s">
        <v>25139</v>
      </c>
      <c r="AA2077">
        <v>0.63098541651769691</v>
      </c>
      <c r="AB2077" t="str">
        <f>HYPERLINK("Melting_Curves/meltCurve_P22570_FDXR.pdf", "Melting_Curves/meltCurve_P22570_FDXR.pdf")</f>
        <v>Melting_Curves/meltCurve_P22570_FDXR.pdf</v>
      </c>
    </row>
    <row r="2078" spans="1:28" x14ac:dyDescent="0.25">
      <c r="A2078" t="s">
        <v>2082</v>
      </c>
      <c r="B2078">
        <v>0.99996721820229495</v>
      </c>
      <c r="C2078">
        <v>1.1864528396011</v>
      </c>
      <c r="D2078">
        <v>1.20496620697639</v>
      </c>
      <c r="E2078">
        <v>1.2501513529408601</v>
      </c>
      <c r="F2078">
        <v>1.06550380437581</v>
      </c>
      <c r="G2078">
        <v>0.90033681441795299</v>
      </c>
      <c r="H2078">
        <v>0.53338895539030096</v>
      </c>
      <c r="I2078">
        <v>0.56070293649112002</v>
      </c>
      <c r="J2078">
        <v>0.37565432035430801</v>
      </c>
      <c r="K2078">
        <v>0.41987780794042201</v>
      </c>
      <c r="L2078">
        <v>2399.1817229871199</v>
      </c>
      <c r="M2078">
        <v>40.570864795002798</v>
      </c>
      <c r="N2078">
        <v>62.238125314945499</v>
      </c>
      <c r="O2078">
        <v>58.9924398783551</v>
      </c>
      <c r="P2078">
        <v>-9.7342603065949801E-2</v>
      </c>
      <c r="Q2078">
        <v>0.43383333525204398</v>
      </c>
      <c r="R2078">
        <v>0.84983629843512498</v>
      </c>
      <c r="S2078" t="s">
        <v>7904</v>
      </c>
      <c r="T2078" t="s">
        <v>11650</v>
      </c>
      <c r="U2078" t="s">
        <v>11650</v>
      </c>
      <c r="V2078" t="s">
        <v>11650</v>
      </c>
      <c r="W2078" t="s">
        <v>13687</v>
      </c>
      <c r="X2078">
        <v>15</v>
      </c>
      <c r="Y2078" t="s">
        <v>19415</v>
      </c>
      <c r="Z2078" t="s">
        <v>25140</v>
      </c>
      <c r="AA2078">
        <v>0.79713850291968857</v>
      </c>
      <c r="AB2078" t="str">
        <f>HYPERLINK("Melting_Curves/meltCurve_P22626_HNRNPA2B1.pdf", "Melting_Curves/meltCurve_P22626_HNRNPA2B1.pdf")</f>
        <v>Melting_Curves/meltCurve_P22626_HNRNPA2B1.pdf</v>
      </c>
    </row>
    <row r="2079" spans="1:28" x14ac:dyDescent="0.25">
      <c r="A2079" t="s">
        <v>2083</v>
      </c>
      <c r="B2079">
        <v>0.99996721820229495</v>
      </c>
      <c r="C2079">
        <v>1.10287103185437</v>
      </c>
      <c r="D2079">
        <v>1.12058357607866</v>
      </c>
      <c r="E2079">
        <v>0.926155619305013</v>
      </c>
      <c r="F2079">
        <v>1.0684807727894901</v>
      </c>
      <c r="G2079">
        <v>0.86678636683246602</v>
      </c>
      <c r="H2079">
        <v>0.449839270173718</v>
      </c>
      <c r="I2079">
        <v>0.29508368969856003</v>
      </c>
      <c r="J2079">
        <v>0.14877052511417199</v>
      </c>
      <c r="K2079">
        <v>0.123659516282302</v>
      </c>
      <c r="L2079">
        <v>1819.0541007904701</v>
      </c>
      <c r="M2079">
        <v>30.2148159255912</v>
      </c>
      <c r="N2079">
        <v>60.774653598875801</v>
      </c>
      <c r="O2079">
        <v>59.942171354895599</v>
      </c>
      <c r="P2079">
        <v>-0.110454457514454</v>
      </c>
      <c r="Q2079">
        <v>0.123497804725181</v>
      </c>
      <c r="R2079">
        <v>0.973180200313574</v>
      </c>
      <c r="S2079" t="s">
        <v>7905</v>
      </c>
      <c r="T2079" t="s">
        <v>11650</v>
      </c>
      <c r="U2079" t="s">
        <v>11650</v>
      </c>
      <c r="V2079" t="s">
        <v>11650</v>
      </c>
      <c r="W2079" t="s">
        <v>13688</v>
      </c>
      <c r="X2079">
        <v>4</v>
      </c>
      <c r="Y2079" t="s">
        <v>19416</v>
      </c>
      <c r="Z2079" t="s">
        <v>25141</v>
      </c>
      <c r="AA2079">
        <v>0.71899314274012149</v>
      </c>
      <c r="AB2079" t="str">
        <f>HYPERLINK("Melting_Curves/meltCurve_P22676_CALB2.pdf", "Melting_Curves/meltCurve_P22676_CALB2.pdf")</f>
        <v>Melting_Curves/meltCurve_P22676_CALB2.pdf</v>
      </c>
    </row>
    <row r="2080" spans="1:28" x14ac:dyDescent="0.25">
      <c r="A2080" t="s">
        <v>2084</v>
      </c>
      <c r="B2080">
        <v>0.99996721820229495</v>
      </c>
      <c r="C2080">
        <v>0.99954935773075904</v>
      </c>
      <c r="D2080">
        <v>1.03333871525328</v>
      </c>
      <c r="E2080">
        <v>1.10229175738134</v>
      </c>
      <c r="F2080">
        <v>1.25125578600772</v>
      </c>
      <c r="G2080">
        <v>0.82753453437326596</v>
      </c>
      <c r="H2080">
        <v>0.30492222608925201</v>
      </c>
      <c r="I2080">
        <v>0.20700191691123501</v>
      </c>
      <c r="J2080">
        <v>0.157275628332425</v>
      </c>
      <c r="K2080">
        <v>0.118658080067336</v>
      </c>
      <c r="L2080">
        <v>2670.0184728610998</v>
      </c>
      <c r="M2080">
        <v>45.319175495909299</v>
      </c>
      <c r="N2080">
        <v>59.391628945139203</v>
      </c>
      <c r="O2080">
        <v>58.801490297110902</v>
      </c>
      <c r="P2080">
        <v>-0.16335031023712099</v>
      </c>
      <c r="Q2080">
        <v>0.15221492676559101</v>
      </c>
      <c r="R2080">
        <v>0.95559020032263897</v>
      </c>
      <c r="S2080" t="s">
        <v>7906</v>
      </c>
      <c r="T2080" t="s">
        <v>11650</v>
      </c>
      <c r="U2080" t="s">
        <v>11650</v>
      </c>
      <c r="V2080" t="s">
        <v>11650</v>
      </c>
      <c r="W2080" t="s">
        <v>13689</v>
      </c>
      <c r="X2080">
        <v>23</v>
      </c>
      <c r="Y2080" t="s">
        <v>19417</v>
      </c>
      <c r="Z2080" t="s">
        <v>25142</v>
      </c>
      <c r="AA2080">
        <v>0.68941113540148946</v>
      </c>
      <c r="AB2080" t="str">
        <f>HYPERLINK("Melting_Curves/meltCurve_P22681_CBL.pdf", "Melting_Curves/meltCurve_P22681_CBL.pdf")</f>
        <v>Melting_Curves/meltCurve_P22681_CBL.pdf</v>
      </c>
    </row>
    <row r="2081" spans="1:28" x14ac:dyDescent="0.25">
      <c r="A2081" t="s">
        <v>2085</v>
      </c>
      <c r="B2081">
        <v>0.99996721820229495</v>
      </c>
      <c r="C2081">
        <v>0.86095401732385801</v>
      </c>
      <c r="D2081">
        <v>0.73188215770444098</v>
      </c>
      <c r="E2081">
        <v>0.912080824441314</v>
      </c>
      <c r="F2081">
        <v>1.06448695688157</v>
      </c>
      <c r="G2081">
        <v>0.91606618801863005</v>
      </c>
      <c r="H2081">
        <v>0.73874790099337495</v>
      </c>
      <c r="I2081">
        <v>0.77597590415857598</v>
      </c>
      <c r="J2081">
        <v>0.64764185647662198</v>
      </c>
      <c r="K2081">
        <v>0.44542821211116501</v>
      </c>
      <c r="L2081">
        <v>699.49435513560297</v>
      </c>
      <c r="M2081">
        <v>10.006663818523499</v>
      </c>
      <c r="N2081">
        <v>69.9028535174307</v>
      </c>
      <c r="O2081">
        <v>67.2831846489035</v>
      </c>
      <c r="P2081">
        <v>-3.7199180661143999E-2</v>
      </c>
      <c r="Q2081">
        <v>0</v>
      </c>
      <c r="R2081">
        <v>0.60637189860933105</v>
      </c>
      <c r="S2081" t="s">
        <v>7907</v>
      </c>
      <c r="T2081" t="s">
        <v>11650</v>
      </c>
      <c r="U2081" t="s">
        <v>11650</v>
      </c>
      <c r="V2081" t="s">
        <v>11650</v>
      </c>
      <c r="W2081" t="s">
        <v>13690</v>
      </c>
      <c r="X2081">
        <v>12</v>
      </c>
      <c r="Y2081" t="s">
        <v>19418</v>
      </c>
      <c r="Z2081" t="s">
        <v>25143</v>
      </c>
      <c r="AA2081">
        <v>0.86627110564047316</v>
      </c>
      <c r="AB2081" t="str">
        <f>HYPERLINK("Melting_Curves/meltCurve_P22692_IGFBP4.pdf", "Melting_Curves/meltCurve_P22692_IGFBP4.pdf")</f>
        <v>Melting_Curves/meltCurve_P22692_IGFBP4.pdf</v>
      </c>
    </row>
    <row r="2082" spans="1:28" x14ac:dyDescent="0.25">
      <c r="A2082" t="s">
        <v>2086</v>
      </c>
      <c r="B2082">
        <v>0.99996721820229495</v>
      </c>
      <c r="C2082">
        <v>1.04013541519382</v>
      </c>
      <c r="D2082">
        <v>0.90088851457627295</v>
      </c>
      <c r="E2082">
        <v>0.62801177215068105</v>
      </c>
      <c r="F2082">
        <v>0.37233363732084901</v>
      </c>
      <c r="G2082">
        <v>0.2471054816097</v>
      </c>
      <c r="H2082">
        <v>0.14734758787265001</v>
      </c>
      <c r="I2082">
        <v>8.8833260944582396E-2</v>
      </c>
      <c r="J2082">
        <v>7.1205423989747996E-2</v>
      </c>
      <c r="K2082">
        <v>5.9073833083774403E-2</v>
      </c>
      <c r="L2082">
        <v>924.36278639185605</v>
      </c>
      <c r="M2082">
        <v>18.044509282092498</v>
      </c>
      <c r="N2082">
        <v>51.678946339855599</v>
      </c>
      <c r="O2082">
        <v>50.6101057477116</v>
      </c>
      <c r="P2082">
        <v>-8.2630546047039802E-2</v>
      </c>
      <c r="Q2082">
        <v>7.3017685046490602E-2</v>
      </c>
      <c r="R2082">
        <v>0.99380924479231103</v>
      </c>
      <c r="S2082" t="s">
        <v>7908</v>
      </c>
      <c r="T2082" t="s">
        <v>11650</v>
      </c>
      <c r="U2082" t="s">
        <v>11650</v>
      </c>
      <c r="V2082" t="s">
        <v>11650</v>
      </c>
      <c r="W2082" t="s">
        <v>13691</v>
      </c>
      <c r="X2082">
        <v>12</v>
      </c>
      <c r="Y2082" t="s">
        <v>19419</v>
      </c>
      <c r="Z2082" t="s">
        <v>25144</v>
      </c>
      <c r="AA2082">
        <v>0.43542881242508991</v>
      </c>
      <c r="AB2082" t="str">
        <f>HYPERLINK("Melting_Curves/meltCurve_P22694_PRKACB.pdf", "Melting_Curves/meltCurve_P22694_PRKACB.pdf")</f>
        <v>Melting_Curves/meltCurve_P22694_PRKACB.pdf</v>
      </c>
    </row>
    <row r="2083" spans="1:28" x14ac:dyDescent="0.25">
      <c r="A2083" t="s">
        <v>2087</v>
      </c>
      <c r="B2083">
        <v>0.99996721820229495</v>
      </c>
      <c r="C2083">
        <v>0.95168078545366297</v>
      </c>
      <c r="D2083">
        <v>1.00179905213944</v>
      </c>
      <c r="E2083">
        <v>1.1259677194222</v>
      </c>
      <c r="F2083">
        <v>0.96910436924574395</v>
      </c>
      <c r="G2083">
        <v>0.53061761380460004</v>
      </c>
      <c r="H2083">
        <v>0.24385820635915101</v>
      </c>
      <c r="I2083">
        <v>0.16427842079990401</v>
      </c>
      <c r="J2083">
        <v>0.12540569571629701</v>
      </c>
      <c r="K2083">
        <v>9.2665976466891106E-2</v>
      </c>
      <c r="L2083">
        <v>2069.97904450328</v>
      </c>
      <c r="M2083">
        <v>36.369945595259601</v>
      </c>
      <c r="N2083">
        <v>57.393314541498199</v>
      </c>
      <c r="O2083">
        <v>56.7433055300489</v>
      </c>
      <c r="P2083">
        <v>-0.139273752142372</v>
      </c>
      <c r="Q2083">
        <v>0.130839612229943</v>
      </c>
      <c r="R2083">
        <v>0.985167217868537</v>
      </c>
      <c r="S2083" t="s">
        <v>7909</v>
      </c>
      <c r="T2083" t="s">
        <v>11650</v>
      </c>
      <c r="U2083" t="s">
        <v>11650</v>
      </c>
      <c r="V2083" t="s">
        <v>11650</v>
      </c>
      <c r="W2083" t="s">
        <v>13692</v>
      </c>
      <c r="X2083">
        <v>16</v>
      </c>
      <c r="Y2083" t="s">
        <v>19420</v>
      </c>
      <c r="Z2083" t="s">
        <v>25145</v>
      </c>
      <c r="AA2083">
        <v>0.62495087714539921</v>
      </c>
      <c r="AB2083" t="str">
        <f>HYPERLINK("Melting_Curves/meltCurve_P22830_FECH.pdf", "Melting_Curves/meltCurve_P22830_FECH.pdf")</f>
        <v>Melting_Curves/meltCurve_P22830_FECH.pdf</v>
      </c>
    </row>
    <row r="2084" spans="1:28" x14ac:dyDescent="0.25">
      <c r="A2084" t="s">
        <v>2088</v>
      </c>
      <c r="B2084">
        <v>0.99996721820229495</v>
      </c>
      <c r="C2084">
        <v>1.0758366785142599</v>
      </c>
      <c r="D2084">
        <v>1.1425043307178699</v>
      </c>
      <c r="E2084">
        <v>1.26820552393099</v>
      </c>
      <c r="F2084">
        <v>1.26370698446772</v>
      </c>
      <c r="G2084">
        <v>0.96500992522116702</v>
      </c>
      <c r="H2084">
        <v>0.395177294309764</v>
      </c>
      <c r="I2084">
        <v>0.237237640700386</v>
      </c>
      <c r="J2084">
        <v>0.16059991364116</v>
      </c>
      <c r="K2084">
        <v>0.10857911144613699</v>
      </c>
      <c r="L2084">
        <v>3185.8946927378302</v>
      </c>
      <c r="M2084">
        <v>53.073709785313802</v>
      </c>
      <c r="N2084">
        <v>60.4474516995597</v>
      </c>
      <c r="O2084">
        <v>59.942699006423901</v>
      </c>
      <c r="P2084">
        <v>-0.18723722159255199</v>
      </c>
      <c r="Q2084">
        <v>0.15412007650930601</v>
      </c>
      <c r="R2084">
        <v>0.91542379169926302</v>
      </c>
      <c r="S2084" t="s">
        <v>7910</v>
      </c>
      <c r="T2084" t="s">
        <v>11650</v>
      </c>
      <c r="U2084" t="s">
        <v>11650</v>
      </c>
      <c r="V2084" t="s">
        <v>11650</v>
      </c>
      <c r="W2084" t="s">
        <v>13693</v>
      </c>
      <c r="X2084">
        <v>26</v>
      </c>
      <c r="Y2084" t="s">
        <v>19421</v>
      </c>
      <c r="Z2084" t="s">
        <v>25146</v>
      </c>
      <c r="AA2084">
        <v>0.72078506261962472</v>
      </c>
      <c r="AB2084" t="str">
        <f>HYPERLINK("Melting_Curves/meltCurve_P23141_3_CES1.pdf", "Melting_Curves/meltCurve_P23141_3_CES1.pdf")</f>
        <v>Melting_Curves/meltCurve_P23141_3_CES1.pdf</v>
      </c>
    </row>
    <row r="2085" spans="1:28" x14ac:dyDescent="0.25">
      <c r="A2085" t="s">
        <v>2089</v>
      </c>
      <c r="B2085">
        <v>0.99996721820229495</v>
      </c>
      <c r="C2085">
        <v>0.87135766789656499</v>
      </c>
      <c r="D2085">
        <v>1.06818447044739</v>
      </c>
      <c r="E2085">
        <v>1.1961783526371099</v>
      </c>
      <c r="F2085">
        <v>1.29696169809037</v>
      </c>
      <c r="G2085">
        <v>1.1779459475581899</v>
      </c>
      <c r="H2085">
        <v>0.59538015791662502</v>
      </c>
      <c r="I2085">
        <v>0.26271222427491497</v>
      </c>
      <c r="J2085">
        <v>0.11480681220078801</v>
      </c>
      <c r="K2085">
        <v>0.15679398641412401</v>
      </c>
      <c r="L2085">
        <v>3881.7118536921598</v>
      </c>
      <c r="M2085">
        <v>63.4665408097297</v>
      </c>
      <c r="N2085">
        <v>61.5290258020488</v>
      </c>
      <c r="O2085">
        <v>61.100907934906502</v>
      </c>
      <c r="P2085">
        <v>-0.21871635313128901</v>
      </c>
      <c r="Q2085">
        <v>0.15774428620348499</v>
      </c>
      <c r="R2085">
        <v>0.89934703021306095</v>
      </c>
      <c r="S2085" t="s">
        <v>7911</v>
      </c>
      <c r="T2085" t="s">
        <v>11650</v>
      </c>
      <c r="U2085" t="s">
        <v>11650</v>
      </c>
      <c r="V2085" t="s">
        <v>11650</v>
      </c>
      <c r="W2085" t="s">
        <v>13694</v>
      </c>
      <c r="X2085">
        <v>17</v>
      </c>
      <c r="Y2085" t="s">
        <v>19422</v>
      </c>
      <c r="Z2085" t="s">
        <v>25147</v>
      </c>
      <c r="AA2085">
        <v>0.75325389635327022</v>
      </c>
      <c r="AB2085" t="str">
        <f>HYPERLINK("Melting_Curves/meltCurve_P23142_FBLN1.pdf", "Melting_Curves/meltCurve_P23142_FBLN1.pdf")</f>
        <v>Melting_Curves/meltCurve_P23142_FBLN1.pdf</v>
      </c>
    </row>
    <row r="2086" spans="1:28" x14ac:dyDescent="0.25">
      <c r="A2086" t="s">
        <v>2090</v>
      </c>
      <c r="B2086">
        <v>0.99996721820229495</v>
      </c>
      <c r="C2086">
        <v>0.94429089122509302</v>
      </c>
      <c r="D2086">
        <v>1.23566483564462</v>
      </c>
      <c r="E2086">
        <v>1.59740968295519</v>
      </c>
      <c r="F2086">
        <v>2.1398143482672798</v>
      </c>
      <c r="G2086">
        <v>2.9301479547025799</v>
      </c>
      <c r="H2086">
        <v>1.1533717346021699</v>
      </c>
      <c r="I2086">
        <v>0.39793023346585898</v>
      </c>
      <c r="J2086">
        <v>7.8672074916052701E-2</v>
      </c>
      <c r="K2086">
        <v>0.346849233338067</v>
      </c>
      <c r="L2086">
        <v>15000</v>
      </c>
      <c r="M2086">
        <v>235.5539077876</v>
      </c>
      <c r="N2086">
        <v>63.829891549181397</v>
      </c>
      <c r="O2086">
        <v>63.675101999714997</v>
      </c>
      <c r="P2086">
        <v>-0.72806826347287801</v>
      </c>
      <c r="Q2086">
        <v>0.21275226962303301</v>
      </c>
      <c r="R2086">
        <v>0.187508701737087</v>
      </c>
      <c r="S2086" t="s">
        <v>7912</v>
      </c>
      <c r="T2086" t="s">
        <v>11650</v>
      </c>
      <c r="U2086" t="s">
        <v>11650</v>
      </c>
      <c r="V2086" t="s">
        <v>11650</v>
      </c>
      <c r="W2086" t="s">
        <v>13695</v>
      </c>
      <c r="X2086">
        <v>14</v>
      </c>
      <c r="Y2086" t="s">
        <v>19422</v>
      </c>
      <c r="Z2086" t="s">
        <v>25148</v>
      </c>
      <c r="AA2086">
        <v>0.83424413463016511</v>
      </c>
      <c r="AB2086" t="str">
        <f>HYPERLINK("Melting_Curves/meltCurve_P23142_4_FBLN1.pdf", "Melting_Curves/meltCurve_P23142_4_FBLN1.pdf")</f>
        <v>Melting_Curves/meltCurve_P23142_4_FBLN1.pdf</v>
      </c>
    </row>
    <row r="2087" spans="1:28" x14ac:dyDescent="0.25">
      <c r="A2087" t="s">
        <v>2091</v>
      </c>
      <c r="B2087">
        <v>0.99996721820229495</v>
      </c>
      <c r="C2087">
        <v>1.02730225806436</v>
      </c>
      <c r="D2087">
        <v>0.94755960498949798</v>
      </c>
      <c r="E2087">
        <v>0.95694764444124103</v>
      </c>
      <c r="F2087">
        <v>0.77812713352237395</v>
      </c>
      <c r="G2087">
        <v>0.559761624987547</v>
      </c>
      <c r="H2087">
        <v>0.302731468921488</v>
      </c>
      <c r="I2087">
        <v>0.25342080057120198</v>
      </c>
      <c r="J2087">
        <v>0.18866550010251701</v>
      </c>
      <c r="K2087">
        <v>0.13935696036696199</v>
      </c>
      <c r="L2087">
        <v>977.01654084782001</v>
      </c>
      <c r="M2087">
        <v>17.206190976970401</v>
      </c>
      <c r="N2087">
        <v>57.710808878566397</v>
      </c>
      <c r="O2087">
        <v>56.032490467796997</v>
      </c>
      <c r="P2087">
        <v>-6.7495562319091207E-2</v>
      </c>
      <c r="Q2087">
        <v>0.120846309138151</v>
      </c>
      <c r="R2087">
        <v>0.99543687357216804</v>
      </c>
      <c r="S2087" t="s">
        <v>7913</v>
      </c>
      <c r="T2087" t="s">
        <v>11650</v>
      </c>
      <c r="U2087" t="s">
        <v>11650</v>
      </c>
      <c r="V2087" t="s">
        <v>11650</v>
      </c>
      <c r="W2087" t="s">
        <v>13696</v>
      </c>
      <c r="X2087">
        <v>21</v>
      </c>
      <c r="Y2087" t="s">
        <v>19423</v>
      </c>
      <c r="Z2087" t="s">
        <v>25149</v>
      </c>
      <c r="AA2087">
        <v>0.62550636905213919</v>
      </c>
      <c r="AB2087" t="str">
        <f>HYPERLINK("Melting_Curves/meltCurve_P23193_TCEA1.pdf", "Melting_Curves/meltCurve_P23193_TCEA1.pdf")</f>
        <v>Melting_Curves/meltCurve_P23193_TCEA1.pdf</v>
      </c>
    </row>
    <row r="2088" spans="1:28" x14ac:dyDescent="0.25">
      <c r="A2088" t="s">
        <v>2092</v>
      </c>
      <c r="B2088">
        <v>0.99996721820229495</v>
      </c>
      <c r="C2088">
        <v>0.96690822397916099</v>
      </c>
      <c r="D2088">
        <v>1.07364074052957</v>
      </c>
      <c r="E2088">
        <v>1.2767012891084699</v>
      </c>
      <c r="F2088">
        <v>1.60281515091602</v>
      </c>
      <c r="G2088">
        <v>1.5613901219609101</v>
      </c>
      <c r="H2088">
        <v>0.668378656338949</v>
      </c>
      <c r="I2088">
        <v>0.25068272479206299</v>
      </c>
      <c r="J2088">
        <v>0.159359485552621</v>
      </c>
      <c r="K2088">
        <v>0.130880738459936</v>
      </c>
      <c r="L2088">
        <v>4962.8419918496102</v>
      </c>
      <c r="M2088">
        <v>80.885918862089895</v>
      </c>
      <c r="N2088">
        <v>61.669938535466301</v>
      </c>
      <c r="O2088">
        <v>61.3185884854799</v>
      </c>
      <c r="P2088">
        <v>-0.27413529680785798</v>
      </c>
      <c r="Q2088">
        <v>0.16872606214314601</v>
      </c>
      <c r="R2088">
        <v>0.71798727611109603</v>
      </c>
      <c r="S2088" t="s">
        <v>7914</v>
      </c>
      <c r="T2088" t="s">
        <v>11650</v>
      </c>
      <c r="U2088" t="s">
        <v>11650</v>
      </c>
      <c r="V2088" t="s">
        <v>11650</v>
      </c>
      <c r="W2088" t="s">
        <v>13697</v>
      </c>
      <c r="X2088">
        <v>18</v>
      </c>
      <c r="Y2088" t="s">
        <v>19424</v>
      </c>
      <c r="Z2088" t="s">
        <v>25150</v>
      </c>
      <c r="AA2088">
        <v>0.76133958798022516</v>
      </c>
      <c r="AB2088" t="str">
        <f>HYPERLINK("Melting_Curves/meltCurve_P23219_3_PTGS1.pdf", "Melting_Curves/meltCurve_P23219_3_PTGS1.pdf")</f>
        <v>Melting_Curves/meltCurve_P23219_3_PTGS1.pdf</v>
      </c>
    </row>
    <row r="2089" spans="1:28" x14ac:dyDescent="0.25">
      <c r="A2089" t="s">
        <v>2093</v>
      </c>
      <c r="B2089">
        <v>0.99996721820229495</v>
      </c>
      <c r="C2089">
        <v>1.1094609832092699</v>
      </c>
      <c r="D2089">
        <v>1.3797477958307001</v>
      </c>
      <c r="E2089">
        <v>1.58302770250763</v>
      </c>
      <c r="F2089">
        <v>1.29909404255495</v>
      </c>
      <c r="G2089">
        <v>1.1705164755364701</v>
      </c>
      <c r="H2089">
        <v>0.82551013044696997</v>
      </c>
      <c r="I2089">
        <v>1.08741924994489</v>
      </c>
      <c r="J2089">
        <v>0.636607608871678</v>
      </c>
      <c r="K2089">
        <v>0.55660539534026399</v>
      </c>
      <c r="L2089">
        <v>15000</v>
      </c>
      <c r="M2089">
        <v>225.39219058675101</v>
      </c>
      <c r="O2089">
        <v>66.5454249086103</v>
      </c>
      <c r="P2089">
        <v>-0.37549690020375598</v>
      </c>
      <c r="Q2089">
        <v>0.55654895310566899</v>
      </c>
      <c r="R2089">
        <v>0.30514995089946301</v>
      </c>
      <c r="S2089" t="s">
        <v>7915</v>
      </c>
      <c r="T2089" t="s">
        <v>11650</v>
      </c>
      <c r="U2089" t="s">
        <v>11650</v>
      </c>
      <c r="V2089" t="s">
        <v>11650</v>
      </c>
      <c r="W2089" t="s">
        <v>13698</v>
      </c>
      <c r="X2089">
        <v>19</v>
      </c>
      <c r="Y2089" t="s">
        <v>19425</v>
      </c>
      <c r="Z2089" t="s">
        <v>25151</v>
      </c>
      <c r="AA2089">
        <v>0.94907659807884992</v>
      </c>
      <c r="AB2089" t="str">
        <f>HYPERLINK("Melting_Curves/meltCurve_P23246_SFPQ.pdf", "Melting_Curves/meltCurve_P23246_SFPQ.pdf")</f>
        <v>Melting_Curves/meltCurve_P23246_SFPQ.pdf</v>
      </c>
    </row>
    <row r="2090" spans="1:28" x14ac:dyDescent="0.25">
      <c r="A2090" t="s">
        <v>2094</v>
      </c>
      <c r="B2090">
        <v>0.99996721820229495</v>
      </c>
      <c r="C2090">
        <v>0.95867222714130595</v>
      </c>
      <c r="D2090">
        <v>0.94471372648972296</v>
      </c>
      <c r="E2090">
        <v>1.2372906388899101</v>
      </c>
      <c r="F2090">
        <v>1.73454253406473</v>
      </c>
      <c r="G2090">
        <v>1.3807772813791099</v>
      </c>
      <c r="H2090">
        <v>0.71402406027576504</v>
      </c>
      <c r="I2090">
        <v>0.18082363495385401</v>
      </c>
      <c r="J2090">
        <v>8.0239771379449806E-2</v>
      </c>
      <c r="K2090">
        <v>5.5984183876442002E-2</v>
      </c>
      <c r="L2090">
        <v>4189.26463352256</v>
      </c>
      <c r="M2090">
        <v>67.7922459365127</v>
      </c>
      <c r="N2090">
        <v>61.944069498518601</v>
      </c>
      <c r="O2090">
        <v>61.741925401773997</v>
      </c>
      <c r="P2090">
        <v>-0.25391890739629203</v>
      </c>
      <c r="Q2090">
        <v>7.4971606721367698E-2</v>
      </c>
      <c r="R2090">
        <v>0.74536101124134102</v>
      </c>
      <c r="S2090" t="s">
        <v>7916</v>
      </c>
      <c r="T2090" t="s">
        <v>11650</v>
      </c>
      <c r="U2090" t="s">
        <v>11650</v>
      </c>
      <c r="V2090" t="s">
        <v>11650</v>
      </c>
      <c r="W2090" t="s">
        <v>13699</v>
      </c>
      <c r="X2090">
        <v>4</v>
      </c>
      <c r="Y2090" t="s">
        <v>19426</v>
      </c>
      <c r="Z2090" t="s">
        <v>25152</v>
      </c>
      <c r="AA2090">
        <v>0.74837909244662015</v>
      </c>
      <c r="AB2090" t="str">
        <f>HYPERLINK("Melting_Curves/meltCurve_P23258_TUBG1.pdf", "Melting_Curves/meltCurve_P23258_TUBG1.pdf")</f>
        <v>Melting_Curves/meltCurve_P23258_TUBG1.pdf</v>
      </c>
    </row>
    <row r="2091" spans="1:28" x14ac:dyDescent="0.25">
      <c r="A2091" t="s">
        <v>2095</v>
      </c>
      <c r="B2091">
        <v>0.99996721820229495</v>
      </c>
      <c r="C2091">
        <v>1.1166169914264801</v>
      </c>
      <c r="D2091">
        <v>1.0468666135862601</v>
      </c>
      <c r="E2091">
        <v>0.93165922027766401</v>
      </c>
      <c r="F2091">
        <v>0.46493202618584001</v>
      </c>
      <c r="G2091">
        <v>0.42258483163524302</v>
      </c>
      <c r="H2091">
        <v>0.23819355408104501</v>
      </c>
      <c r="I2091">
        <v>0.13448731496560301</v>
      </c>
      <c r="J2091">
        <v>9.1772770310830906E-2</v>
      </c>
      <c r="K2091">
        <v>9.4063700224324698E-2</v>
      </c>
      <c r="L2091">
        <v>1058.3814408348701</v>
      </c>
      <c r="M2091">
        <v>19.6794371820111</v>
      </c>
      <c r="N2091">
        <v>54.464213896446999</v>
      </c>
      <c r="O2091">
        <v>53.234984732048297</v>
      </c>
      <c r="P2091">
        <v>-8.2313446218384101E-2</v>
      </c>
      <c r="Q2091">
        <v>0.10936416373257001</v>
      </c>
      <c r="R2091">
        <v>0.958832656696881</v>
      </c>
      <c r="S2091" t="s">
        <v>7917</v>
      </c>
      <c r="T2091" t="s">
        <v>11650</v>
      </c>
      <c r="U2091" t="s">
        <v>11650</v>
      </c>
      <c r="V2091" t="s">
        <v>11650</v>
      </c>
      <c r="W2091" t="s">
        <v>13700</v>
      </c>
      <c r="X2091">
        <v>23</v>
      </c>
      <c r="Y2091" t="s">
        <v>19427</v>
      </c>
      <c r="Z2091" t="s">
        <v>25153</v>
      </c>
      <c r="AA2091">
        <v>0.53096204369678301</v>
      </c>
      <c r="AB2091" t="str">
        <f>HYPERLINK("Melting_Curves/meltCurve_P23284_PPIB.pdf", "Melting_Curves/meltCurve_P23284_PPIB.pdf")</f>
        <v>Melting_Curves/meltCurve_P23284_PPIB.pdf</v>
      </c>
    </row>
    <row r="2092" spans="1:28" x14ac:dyDescent="0.25">
      <c r="A2092" t="s">
        <v>2096</v>
      </c>
      <c r="B2092">
        <v>0.99996721820229495</v>
      </c>
      <c r="C2092">
        <v>0.94714075200988201</v>
      </c>
      <c r="D2092">
        <v>1.0207430813888301</v>
      </c>
      <c r="E2092">
        <v>1.0674556464934599</v>
      </c>
      <c r="F2092">
        <v>1.0445285935983699</v>
      </c>
      <c r="G2092">
        <v>0.79587558933205305</v>
      </c>
      <c r="H2092">
        <v>0.350455417096738</v>
      </c>
      <c r="I2092">
        <v>0.202935771393875</v>
      </c>
      <c r="J2092">
        <v>0.16246241950012399</v>
      </c>
      <c r="K2092">
        <v>0.13559908649383701</v>
      </c>
      <c r="L2092">
        <v>2106.8657782116702</v>
      </c>
      <c r="M2092">
        <v>35.718869321908102</v>
      </c>
      <c r="N2092">
        <v>59.5601996580044</v>
      </c>
      <c r="O2092">
        <v>58.800683547608401</v>
      </c>
      <c r="P2092">
        <v>-0.129701078049484</v>
      </c>
      <c r="Q2092">
        <v>0.14594274623717499</v>
      </c>
      <c r="R2092">
        <v>0.99196357880591801</v>
      </c>
      <c r="S2092" t="s">
        <v>7918</v>
      </c>
      <c r="T2092" t="s">
        <v>11650</v>
      </c>
      <c r="U2092" t="s">
        <v>11650</v>
      </c>
      <c r="V2092" t="s">
        <v>11650</v>
      </c>
      <c r="W2092" t="s">
        <v>13701</v>
      </c>
      <c r="X2092">
        <v>19</v>
      </c>
      <c r="Y2092" t="s">
        <v>19428</v>
      </c>
      <c r="Z2092" t="s">
        <v>25154</v>
      </c>
      <c r="AA2092">
        <v>0.69053026624316449</v>
      </c>
      <c r="AB2092" t="str">
        <f>HYPERLINK("Melting_Curves/meltCurve_P23368_ME2.pdf", "Melting_Curves/meltCurve_P23368_ME2.pdf")</f>
        <v>Melting_Curves/meltCurve_P23368_ME2.pdf</v>
      </c>
    </row>
    <row r="2093" spans="1:28" x14ac:dyDescent="0.25">
      <c r="A2093" t="s">
        <v>2097</v>
      </c>
      <c r="B2093">
        <v>0.99996721820229495</v>
      </c>
      <c r="C2093">
        <v>1.0857915536613401</v>
      </c>
      <c r="D2093">
        <v>1.1202782535766</v>
      </c>
      <c r="E2093">
        <v>1.26365577135428</v>
      </c>
      <c r="F2093">
        <v>1.5184784719133499</v>
      </c>
      <c r="G2093">
        <v>1.76821869527953</v>
      </c>
      <c r="H2093">
        <v>1.09740702920116</v>
      </c>
      <c r="I2093">
        <v>0.64213473933810805</v>
      </c>
      <c r="J2093">
        <v>0.36457663279130698</v>
      </c>
      <c r="K2093">
        <v>0.39802205907569499</v>
      </c>
      <c r="L2093">
        <v>15000</v>
      </c>
      <c r="M2093">
        <v>234.69121516759901</v>
      </c>
      <c r="N2093">
        <v>64.307780305876193</v>
      </c>
      <c r="O2093">
        <v>63.909149320561099</v>
      </c>
      <c r="P2093">
        <v>-0.56801413259920797</v>
      </c>
      <c r="Q2093">
        <v>0.38129277446613502</v>
      </c>
      <c r="R2093">
        <v>0.48013133898493299</v>
      </c>
      <c r="S2093" t="s">
        <v>7919</v>
      </c>
      <c r="T2093" t="s">
        <v>11650</v>
      </c>
      <c r="U2093" t="s">
        <v>11650</v>
      </c>
      <c r="V2093" t="s">
        <v>11650</v>
      </c>
      <c r="W2093" t="s">
        <v>13702</v>
      </c>
      <c r="X2093">
        <v>28</v>
      </c>
      <c r="Y2093" t="s">
        <v>19429</v>
      </c>
      <c r="Z2093" t="s">
        <v>25155</v>
      </c>
      <c r="AA2093">
        <v>0.87455890386084212</v>
      </c>
      <c r="AB2093" t="str">
        <f>HYPERLINK("Melting_Curves/meltCurve_P23381_WARS.pdf", "Melting_Curves/meltCurve_P23381_WARS.pdf")</f>
        <v>Melting_Curves/meltCurve_P23381_WARS.pdf</v>
      </c>
    </row>
    <row r="2094" spans="1:28" x14ac:dyDescent="0.25">
      <c r="A2094" t="s">
        <v>2098</v>
      </c>
      <c r="B2094">
        <v>0.99996721820229495</v>
      </c>
      <c r="C2094">
        <v>0.93027059538346801</v>
      </c>
      <c r="D2094">
        <v>0.70769283229034496</v>
      </c>
      <c r="E2094">
        <v>0.63939007654565405</v>
      </c>
      <c r="F2094">
        <v>0.56777559242536002</v>
      </c>
      <c r="G2094">
        <v>0.466577299534635</v>
      </c>
      <c r="H2094">
        <v>0.26484371109607802</v>
      </c>
      <c r="I2094">
        <v>0.15834969369865001</v>
      </c>
      <c r="J2094">
        <v>9.5142714821303501E-2</v>
      </c>
      <c r="K2094">
        <v>7.0230823453520996E-2</v>
      </c>
      <c r="L2094">
        <v>477.64585840719599</v>
      </c>
      <c r="M2094">
        <v>8.8925340778214697</v>
      </c>
      <c r="N2094">
        <v>53.713131867899499</v>
      </c>
      <c r="O2094">
        <v>51.205039295032698</v>
      </c>
      <c r="P2094">
        <v>-4.3449305771437803E-2</v>
      </c>
      <c r="Q2094">
        <v>0</v>
      </c>
      <c r="R2094">
        <v>0.97019865424500396</v>
      </c>
      <c r="S2094" t="s">
        <v>7920</v>
      </c>
      <c r="T2094" t="s">
        <v>11650</v>
      </c>
      <c r="U2094" t="s">
        <v>11650</v>
      </c>
      <c r="V2094" t="s">
        <v>11650</v>
      </c>
      <c r="W2094" t="s">
        <v>13703</v>
      </c>
      <c r="X2094">
        <v>18</v>
      </c>
      <c r="Y2094" t="s">
        <v>19430</v>
      </c>
      <c r="Z2094" t="s">
        <v>25156</v>
      </c>
      <c r="AA2094">
        <v>0.49108840752356148</v>
      </c>
      <c r="AB2094" t="str">
        <f>HYPERLINK("Melting_Curves/meltCurve_P23396_RPS3.pdf", "Melting_Curves/meltCurve_P23396_RPS3.pdf")</f>
        <v>Melting_Curves/meltCurve_P23396_RPS3.pdf</v>
      </c>
    </row>
    <row r="2095" spans="1:28" x14ac:dyDescent="0.25">
      <c r="A2095" t="s">
        <v>2099</v>
      </c>
      <c r="B2095">
        <v>0.99996721820229495</v>
      </c>
      <c r="C2095">
        <v>1.043029962851</v>
      </c>
      <c r="D2095">
        <v>1.0039102465552401</v>
      </c>
      <c r="E2095">
        <v>0.965999846048744</v>
      </c>
      <c r="F2095">
        <v>1.32970640891012</v>
      </c>
      <c r="G2095">
        <v>1.56635186328503</v>
      </c>
      <c r="H2095">
        <v>1.1222809982431401</v>
      </c>
      <c r="I2095">
        <v>0.97025959166673104</v>
      </c>
      <c r="J2095">
        <v>0.78894338769259797</v>
      </c>
      <c r="K2095">
        <v>0.43685880151567802</v>
      </c>
      <c r="L2095">
        <v>4128.9768287782399</v>
      </c>
      <c r="M2095">
        <v>60.911785973790003</v>
      </c>
      <c r="N2095">
        <v>69.191941480910302</v>
      </c>
      <c r="O2095">
        <v>67.713224232112694</v>
      </c>
      <c r="P2095">
        <v>-0.14506361447534299</v>
      </c>
      <c r="Q2095">
        <v>0.35495431642589698</v>
      </c>
      <c r="R2095">
        <v>0.44362642652147199</v>
      </c>
      <c r="S2095" t="s">
        <v>7921</v>
      </c>
      <c r="T2095" t="s">
        <v>11650</v>
      </c>
      <c r="U2095" t="s">
        <v>11650</v>
      </c>
      <c r="V2095" t="s">
        <v>11650</v>
      </c>
      <c r="W2095" t="s">
        <v>13704</v>
      </c>
      <c r="X2095">
        <v>4</v>
      </c>
      <c r="Y2095" t="s">
        <v>19431</v>
      </c>
      <c r="Z2095" t="s">
        <v>25157</v>
      </c>
      <c r="AA2095">
        <v>0.95009804973356915</v>
      </c>
      <c r="AB2095" t="str">
        <f>HYPERLINK("Melting_Curves/meltCurve_P23434_GCSH.pdf", "Melting_Curves/meltCurve_P23434_GCSH.pdf")</f>
        <v>Melting_Curves/meltCurve_P23434_GCSH.pdf</v>
      </c>
    </row>
    <row r="2096" spans="1:28" x14ac:dyDescent="0.25">
      <c r="A2096" t="s">
        <v>2100</v>
      </c>
      <c r="B2096">
        <v>0.99996721820229495</v>
      </c>
      <c r="C2096">
        <v>0.75198686695239403</v>
      </c>
      <c r="D2096">
        <v>0.75109681190706201</v>
      </c>
      <c r="E2096">
        <v>0.65875447753659899</v>
      </c>
      <c r="F2096">
        <v>0.43477792605650201</v>
      </c>
      <c r="G2096">
        <v>0.40193794144392098</v>
      </c>
      <c r="H2096">
        <v>0.295041810738428</v>
      </c>
      <c r="I2096">
        <v>0.177485720117878</v>
      </c>
      <c r="J2096">
        <v>0.14741354707122301</v>
      </c>
      <c r="K2096">
        <v>0.113840947147255</v>
      </c>
      <c r="L2096">
        <v>402.80532626889197</v>
      </c>
      <c r="M2096">
        <v>7.6414534835475001</v>
      </c>
      <c r="N2096">
        <v>52.713181013825697</v>
      </c>
      <c r="O2096">
        <v>49.4668864745665</v>
      </c>
      <c r="P2096">
        <v>-3.8670843581578802E-2</v>
      </c>
      <c r="Q2096">
        <v>0</v>
      </c>
      <c r="R2096">
        <v>0.967389397085895</v>
      </c>
      <c r="S2096" t="s">
        <v>7922</v>
      </c>
      <c r="T2096" t="s">
        <v>11650</v>
      </c>
      <c r="U2096" t="s">
        <v>11650</v>
      </c>
      <c r="V2096" t="s">
        <v>11650</v>
      </c>
      <c r="W2096" t="s">
        <v>13705</v>
      </c>
      <c r="X2096">
        <v>5</v>
      </c>
      <c r="Y2096" t="s">
        <v>19432</v>
      </c>
      <c r="Z2096" t="s">
        <v>25158</v>
      </c>
      <c r="AA2096">
        <v>0.46774839273775581</v>
      </c>
      <c r="AB2096" t="str">
        <f>HYPERLINK("Melting_Curves/meltCurve_P23470_2_PTPRG.pdf", "Melting_Curves/meltCurve_P23470_2_PTPRG.pdf")</f>
        <v>Melting_Curves/meltCurve_P23470_2_PTPRG.pdf</v>
      </c>
    </row>
    <row r="2097" spans="1:28" x14ac:dyDescent="0.25">
      <c r="A2097" t="s">
        <v>2101</v>
      </c>
      <c r="B2097">
        <v>0.99996721820229495</v>
      </c>
      <c r="C2097">
        <v>1.03033112613591</v>
      </c>
      <c r="D2097">
        <v>1.0098588561975199</v>
      </c>
      <c r="E2097">
        <v>0.95104113296702497</v>
      </c>
      <c r="F2097">
        <v>1.1318524505418599</v>
      </c>
      <c r="G2097">
        <v>1.3148729244877799</v>
      </c>
      <c r="H2097">
        <v>0.90531776282394505</v>
      </c>
      <c r="I2097">
        <v>0.72444780264775199</v>
      </c>
      <c r="J2097">
        <v>0.64201217474576</v>
      </c>
      <c r="K2097">
        <v>0.49401034647963199</v>
      </c>
      <c r="L2097">
        <v>2503.3178625174901</v>
      </c>
      <c r="M2097">
        <v>39.230885358467098</v>
      </c>
      <c r="O2097">
        <v>63.644748377578502</v>
      </c>
      <c r="P2097">
        <v>-7.4082272699012894E-2</v>
      </c>
      <c r="Q2097">
        <v>0.51926274449829601</v>
      </c>
      <c r="R2097">
        <v>0.75468821971290001</v>
      </c>
      <c r="S2097" t="s">
        <v>7923</v>
      </c>
      <c r="T2097" t="s">
        <v>11650</v>
      </c>
      <c r="U2097" t="s">
        <v>11650</v>
      </c>
      <c r="V2097" t="s">
        <v>11650</v>
      </c>
      <c r="W2097" t="s">
        <v>13706</v>
      </c>
      <c r="X2097">
        <v>20</v>
      </c>
      <c r="Y2097" t="s">
        <v>19433</v>
      </c>
      <c r="Z2097" t="s">
        <v>25159</v>
      </c>
      <c r="AA2097">
        <v>0.90199034792184674</v>
      </c>
      <c r="AB2097" t="str">
        <f>HYPERLINK("Melting_Curves/meltCurve_P23497_SP100.pdf", "Melting_Curves/meltCurve_P23497_SP100.pdf")</f>
        <v>Melting_Curves/meltCurve_P23497_SP100.pdf</v>
      </c>
    </row>
    <row r="2098" spans="1:28" x14ac:dyDescent="0.25">
      <c r="A2098" t="s">
        <v>2102</v>
      </c>
      <c r="B2098">
        <v>0.99996721820229495</v>
      </c>
      <c r="C2098">
        <v>0.91685720103631096</v>
      </c>
      <c r="D2098">
        <v>0.98855580432547596</v>
      </c>
      <c r="E2098">
        <v>1.14251108258634</v>
      </c>
      <c r="F2098">
        <v>0.72006249014374402</v>
      </c>
      <c r="G2098">
        <v>0.52010042799949197</v>
      </c>
      <c r="H2098">
        <v>0.37563440912044199</v>
      </c>
      <c r="I2098">
        <v>0.23369932548042299</v>
      </c>
      <c r="J2098">
        <v>0.222704021093657</v>
      </c>
      <c r="K2098">
        <v>0.106073333089006</v>
      </c>
      <c r="L2098">
        <v>1095.94785941494</v>
      </c>
      <c r="M2098">
        <v>19.362168701433902</v>
      </c>
      <c r="N2098">
        <v>57.652435319884702</v>
      </c>
      <c r="O2098">
        <v>56.009128960646301</v>
      </c>
      <c r="P2098">
        <v>-7.35869768261391E-2</v>
      </c>
      <c r="Q2098">
        <v>0.148568519718146</v>
      </c>
      <c r="R2098">
        <v>0.94793483740414597</v>
      </c>
      <c r="S2098" t="s">
        <v>7924</v>
      </c>
      <c r="T2098" t="s">
        <v>11650</v>
      </c>
      <c r="U2098" t="s">
        <v>11650</v>
      </c>
      <c r="V2098" t="s">
        <v>11650</v>
      </c>
      <c r="W2098" t="s">
        <v>13707</v>
      </c>
      <c r="X2098">
        <v>1</v>
      </c>
      <c r="Y2098" t="s">
        <v>19434</v>
      </c>
      <c r="Z2098" t="s">
        <v>25160</v>
      </c>
      <c r="AA2098">
        <v>0.63086351320816558</v>
      </c>
      <c r="AB2098" t="str">
        <f>HYPERLINK("Melting_Curves/meltCurve_P23508_2_MCC.pdf", "Melting_Curves/meltCurve_P23508_2_MCC.pdf")</f>
        <v>Melting_Curves/meltCurve_P23508_2_MCC.pdf</v>
      </c>
    </row>
    <row r="2099" spans="1:28" x14ac:dyDescent="0.25">
      <c r="A2099" t="s">
        <v>2103</v>
      </c>
      <c r="B2099">
        <v>0.99996721820229495</v>
      </c>
      <c r="C2099">
        <v>1.0191093202300301</v>
      </c>
      <c r="D2099">
        <v>1.2277059830816801</v>
      </c>
      <c r="E2099">
        <v>1.61701884216449</v>
      </c>
      <c r="F2099">
        <v>2.2405294513701199</v>
      </c>
      <c r="G2099">
        <v>2.68393198758229</v>
      </c>
      <c r="H2099">
        <v>1.5645761207576701</v>
      </c>
      <c r="I2099">
        <v>0.55316284003874405</v>
      </c>
      <c r="J2099">
        <v>0.159956452659853</v>
      </c>
      <c r="K2099">
        <v>0.119704117140051</v>
      </c>
      <c r="L2099">
        <v>15000</v>
      </c>
      <c r="M2099">
        <v>234.45278334041899</v>
      </c>
      <c r="N2099">
        <v>64.068412629239603</v>
      </c>
      <c r="O2099">
        <v>63.974108013384502</v>
      </c>
      <c r="P2099">
        <v>-0.78810285246495904</v>
      </c>
      <c r="Q2099">
        <v>0.13981520293951599</v>
      </c>
      <c r="R2099">
        <v>0.18988332542505901</v>
      </c>
      <c r="S2099" t="s">
        <v>7925</v>
      </c>
      <c r="T2099" t="s">
        <v>11650</v>
      </c>
      <c r="U2099" t="s">
        <v>11650</v>
      </c>
      <c r="V2099" t="s">
        <v>11650</v>
      </c>
      <c r="W2099" t="s">
        <v>13708</v>
      </c>
      <c r="X2099">
        <v>27</v>
      </c>
      <c r="Y2099" t="s">
        <v>19435</v>
      </c>
      <c r="Z2099" t="s">
        <v>25161</v>
      </c>
      <c r="AA2099">
        <v>0.82746405117893018</v>
      </c>
      <c r="AB2099" t="str">
        <f>HYPERLINK("Melting_Curves/meltCurve_P23526_AHCY.pdf", "Melting_Curves/meltCurve_P23526_AHCY.pdf")</f>
        <v>Melting_Curves/meltCurve_P23526_AHCY.pdf</v>
      </c>
    </row>
    <row r="2100" spans="1:28" x14ac:dyDescent="0.25">
      <c r="A2100" t="s">
        <v>2104</v>
      </c>
      <c r="B2100">
        <v>0.99996721820229495</v>
      </c>
      <c r="C2100">
        <v>0.98108880722750502</v>
      </c>
      <c r="D2100">
        <v>0.96710524100650896</v>
      </c>
      <c r="E2100">
        <v>1.0617984617449201</v>
      </c>
      <c r="F2100">
        <v>1.2934547020418099</v>
      </c>
      <c r="G2100">
        <v>0.89389742485170698</v>
      </c>
      <c r="H2100">
        <v>0.311189217363468</v>
      </c>
      <c r="I2100">
        <v>0.19957554036024999</v>
      </c>
      <c r="J2100">
        <v>0.15896310929736099</v>
      </c>
      <c r="K2100">
        <v>0.1180110600628</v>
      </c>
      <c r="L2100">
        <v>3043.8827317915402</v>
      </c>
      <c r="M2100">
        <v>51.341290375045403</v>
      </c>
      <c r="N2100">
        <v>59.704454493994</v>
      </c>
      <c r="O2100">
        <v>59.1974872941718</v>
      </c>
      <c r="P2100">
        <v>-0.18413876655761099</v>
      </c>
      <c r="Q2100">
        <v>0.15073862634715099</v>
      </c>
      <c r="R2100">
        <v>0.94724729364654403</v>
      </c>
      <c r="S2100" t="s">
        <v>7926</v>
      </c>
      <c r="T2100" t="s">
        <v>11650</v>
      </c>
      <c r="U2100" t="s">
        <v>11650</v>
      </c>
      <c r="V2100" t="s">
        <v>11650</v>
      </c>
      <c r="W2100" t="s">
        <v>13709</v>
      </c>
      <c r="X2100">
        <v>27</v>
      </c>
      <c r="Y2100" t="s">
        <v>19436</v>
      </c>
      <c r="Z2100" t="s">
        <v>25162</v>
      </c>
      <c r="AA2100">
        <v>0.69882251875019419</v>
      </c>
      <c r="AB2100" t="str">
        <f>HYPERLINK("Melting_Curves/meltCurve_P23528_CFL1.pdf", "Melting_Curves/meltCurve_P23528_CFL1.pdf")</f>
        <v>Melting_Curves/meltCurve_P23528_CFL1.pdf</v>
      </c>
    </row>
    <row r="2101" spans="1:28" x14ac:dyDescent="0.25">
      <c r="A2101" t="s">
        <v>2105</v>
      </c>
      <c r="B2101">
        <v>0.99996721820229495</v>
      </c>
      <c r="C2101">
        <v>0.97235835631964296</v>
      </c>
      <c r="D2101">
        <v>1.27736564762909</v>
      </c>
      <c r="E2101">
        <v>1.6871759920061</v>
      </c>
      <c r="F2101">
        <v>1.7178967751849501</v>
      </c>
      <c r="G2101">
        <v>1.1198178173844999</v>
      </c>
      <c r="H2101">
        <v>0.42499485299169898</v>
      </c>
      <c r="I2101">
        <v>0.31326259063398898</v>
      </c>
      <c r="J2101">
        <v>0.28387528700950199</v>
      </c>
      <c r="K2101">
        <v>0.16508934671364101</v>
      </c>
      <c r="L2101">
        <v>9227.6468675748692</v>
      </c>
      <c r="M2101">
        <v>152.48448083278299</v>
      </c>
      <c r="N2101">
        <v>60.7980938076835</v>
      </c>
      <c r="O2101">
        <v>60.504910607198802</v>
      </c>
      <c r="P2101">
        <v>-0.470031520053525</v>
      </c>
      <c r="Q2101">
        <v>0.25397746331475501</v>
      </c>
      <c r="R2101">
        <v>0.634068336155586</v>
      </c>
      <c r="S2101" t="s">
        <v>7927</v>
      </c>
      <c r="T2101" t="s">
        <v>11650</v>
      </c>
      <c r="U2101" t="s">
        <v>11650</v>
      </c>
      <c r="V2101" t="s">
        <v>11650</v>
      </c>
      <c r="W2101" t="s">
        <v>13710</v>
      </c>
      <c r="X2101">
        <v>39</v>
      </c>
      <c r="Y2101" t="s">
        <v>19437</v>
      </c>
      <c r="Z2101" t="s">
        <v>25163</v>
      </c>
      <c r="AA2101">
        <v>0.76435350240444999</v>
      </c>
      <c r="AB2101" t="str">
        <f>HYPERLINK("Melting_Curves/meltCurve_P23634_8_ATP2B4.pdf", "Melting_Curves/meltCurve_P23634_8_ATP2B4.pdf")</f>
        <v>Melting_Curves/meltCurve_P23634_8_ATP2B4.pdf</v>
      </c>
    </row>
    <row r="2102" spans="1:28" x14ac:dyDescent="0.25">
      <c r="A2102" t="s">
        <v>2106</v>
      </c>
      <c r="B2102">
        <v>0.99996721820229495</v>
      </c>
      <c r="C2102">
        <v>0.86864696092560401</v>
      </c>
      <c r="D2102">
        <v>0.66262766640505899</v>
      </c>
      <c r="E2102">
        <v>0.27434345539912303</v>
      </c>
      <c r="F2102">
        <v>0.23913946762722799</v>
      </c>
      <c r="G2102">
        <v>0.18619521962558899</v>
      </c>
      <c r="H2102">
        <v>0.128243053223941</v>
      </c>
      <c r="I2102">
        <v>9.9179178362771694E-2</v>
      </c>
      <c r="J2102">
        <v>9.1990693942221605E-2</v>
      </c>
      <c r="K2102">
        <v>8.1395802665121503E-2</v>
      </c>
      <c r="L2102">
        <v>907.01794643045605</v>
      </c>
      <c r="M2102">
        <v>19.2957957508677</v>
      </c>
      <c r="N2102">
        <v>47.608901704749201</v>
      </c>
      <c r="O2102">
        <v>46.509851953577702</v>
      </c>
      <c r="P2102">
        <v>-9.2479509693729298E-2</v>
      </c>
      <c r="Q2102">
        <v>0.108397071428618</v>
      </c>
      <c r="R2102">
        <v>0.99174749000227802</v>
      </c>
      <c r="S2102" t="s">
        <v>7928</v>
      </c>
      <c r="T2102" t="s">
        <v>11650</v>
      </c>
      <c r="U2102" t="s">
        <v>11650</v>
      </c>
      <c r="V2102" t="s">
        <v>11650</v>
      </c>
      <c r="W2102" t="s">
        <v>13711</v>
      </c>
      <c r="X2102">
        <v>18</v>
      </c>
      <c r="Y2102" t="s">
        <v>19438</v>
      </c>
      <c r="Z2102" t="s">
        <v>25164</v>
      </c>
      <c r="AA2102">
        <v>0.33073881223417362</v>
      </c>
      <c r="AB2102" t="str">
        <f>HYPERLINK("Melting_Curves/meltCurve_P23743_DGKA.pdf", "Melting_Curves/meltCurve_P23743_DGKA.pdf")</f>
        <v>Melting_Curves/meltCurve_P23743_DGKA.pdf</v>
      </c>
    </row>
    <row r="2103" spans="1:28" x14ac:dyDescent="0.25">
      <c r="A2103" t="s">
        <v>2107</v>
      </c>
      <c r="B2103">
        <v>0.99996721820229495</v>
      </c>
      <c r="C2103">
        <v>0.93640035141980305</v>
      </c>
      <c r="D2103">
        <v>0.86230902646457497</v>
      </c>
      <c r="E2103">
        <v>0.47816344462108501</v>
      </c>
      <c r="F2103">
        <v>0.26480215726796902</v>
      </c>
      <c r="G2103">
        <v>0.212059175292416</v>
      </c>
      <c r="H2103">
        <v>0.129235341786512</v>
      </c>
      <c r="I2103">
        <v>8.5094130806790805E-2</v>
      </c>
      <c r="J2103">
        <v>6.9762797350962497E-2</v>
      </c>
      <c r="K2103">
        <v>5.2859882906649801E-2</v>
      </c>
      <c r="L2103">
        <v>945.01953054872104</v>
      </c>
      <c r="M2103">
        <v>19.077331887768899</v>
      </c>
      <c r="N2103">
        <v>49.999152977139403</v>
      </c>
      <c r="O2103">
        <v>49.001573867632501</v>
      </c>
      <c r="P2103">
        <v>-8.9454695914271298E-2</v>
      </c>
      <c r="Q2103">
        <v>8.0951209565905097E-2</v>
      </c>
      <c r="R2103">
        <v>0.99379039683801895</v>
      </c>
      <c r="S2103" t="s">
        <v>7929</v>
      </c>
      <c r="T2103" t="s">
        <v>11650</v>
      </c>
      <c r="U2103" t="s">
        <v>11650</v>
      </c>
      <c r="V2103" t="s">
        <v>11650</v>
      </c>
      <c r="W2103" t="s">
        <v>13712</v>
      </c>
      <c r="X2103">
        <v>21</v>
      </c>
      <c r="Y2103" t="s">
        <v>19439</v>
      </c>
      <c r="Z2103" t="s">
        <v>25165</v>
      </c>
      <c r="AA2103">
        <v>0.3871730332978327</v>
      </c>
      <c r="AB2103" t="str">
        <f>HYPERLINK("Melting_Curves/meltCurve_P23786_CPT2.pdf", "Melting_Curves/meltCurve_P23786_CPT2.pdf")</f>
        <v>Melting_Curves/meltCurve_P23786_CPT2.pdf</v>
      </c>
    </row>
    <row r="2104" spans="1:28" x14ac:dyDescent="0.25">
      <c r="A2104" t="s">
        <v>2108</v>
      </c>
      <c r="B2104">
        <v>0.99996721820229495</v>
      </c>
      <c r="C2104">
        <v>1.0537816092835299</v>
      </c>
      <c r="D2104">
        <v>0.94829063808207503</v>
      </c>
      <c r="E2104">
        <v>0.76139072548838005</v>
      </c>
      <c r="F2104">
        <v>0.55964567082262195</v>
      </c>
      <c r="G2104">
        <v>0.33254444866585903</v>
      </c>
      <c r="H2104">
        <v>0.19169803796332399</v>
      </c>
      <c r="I2104">
        <v>0.116413823246517</v>
      </c>
      <c r="J2104">
        <v>7.6710247027063194E-2</v>
      </c>
      <c r="K2104">
        <v>6.5992560413986406E-2</v>
      </c>
      <c r="L2104">
        <v>843.64739169708696</v>
      </c>
      <c r="M2104">
        <v>15.705314035902701</v>
      </c>
      <c r="N2104">
        <v>54.056463712005403</v>
      </c>
      <c r="O2104">
        <v>52.869031611308301</v>
      </c>
      <c r="P2104">
        <v>-7.0786970431624394E-2</v>
      </c>
      <c r="Q2104">
        <v>4.6915528933673699E-2</v>
      </c>
      <c r="R2104">
        <v>0.99574326147483305</v>
      </c>
      <c r="S2104" t="s">
        <v>7930</v>
      </c>
      <c r="T2104" t="s">
        <v>11650</v>
      </c>
      <c r="U2104" t="s">
        <v>11650</v>
      </c>
      <c r="V2104" t="s">
        <v>11650</v>
      </c>
      <c r="W2104" t="s">
        <v>13713</v>
      </c>
      <c r="X2104">
        <v>16</v>
      </c>
      <c r="Y2104" t="s">
        <v>19440</v>
      </c>
      <c r="Z2104" t="s">
        <v>25166</v>
      </c>
      <c r="AA2104">
        <v>0.50138821647715059</v>
      </c>
      <c r="AB2104" t="str">
        <f>HYPERLINK("Melting_Curves/meltCurve_P23919_DTYMK.pdf", "Melting_Curves/meltCurve_P23919_DTYMK.pdf")</f>
        <v>Melting_Curves/meltCurve_P23919_DTYMK.pdf</v>
      </c>
    </row>
    <row r="2105" spans="1:28" x14ac:dyDescent="0.25">
      <c r="A2105" t="s">
        <v>2109</v>
      </c>
      <c r="B2105">
        <v>0.99996721820229495</v>
      </c>
      <c r="C2105">
        <v>0.93390860474491599</v>
      </c>
      <c r="D2105">
        <v>0.81167175261707503</v>
      </c>
      <c r="E2105">
        <v>0.66103224571584995</v>
      </c>
      <c r="F2105">
        <v>0.41680758768745202</v>
      </c>
      <c r="G2105">
        <v>0.32783783089917401</v>
      </c>
      <c r="H2105">
        <v>0.219158864896741</v>
      </c>
      <c r="I2105">
        <v>0.122676111799132</v>
      </c>
      <c r="J2105">
        <v>7.6302016230071407E-2</v>
      </c>
      <c r="K2105">
        <v>6.8383633188584605E-2</v>
      </c>
      <c r="L2105">
        <v>581.51747911700897</v>
      </c>
      <c r="M2105">
        <v>11.1048605317007</v>
      </c>
      <c r="N2105">
        <v>52.511505300394198</v>
      </c>
      <c r="O2105">
        <v>50.753924498610999</v>
      </c>
      <c r="P2105">
        <v>-5.38884052018535E-2</v>
      </c>
      <c r="Q2105">
        <v>1.5148823258532101E-2</v>
      </c>
      <c r="R2105">
        <v>0.99330720733274702</v>
      </c>
      <c r="S2105" t="s">
        <v>7931</v>
      </c>
      <c r="T2105" t="s">
        <v>11650</v>
      </c>
      <c r="U2105" t="s">
        <v>11650</v>
      </c>
      <c r="V2105" t="s">
        <v>11650</v>
      </c>
      <c r="W2105" t="s">
        <v>13714</v>
      </c>
      <c r="X2105">
        <v>11</v>
      </c>
      <c r="Y2105" t="s">
        <v>19441</v>
      </c>
      <c r="Z2105" t="s">
        <v>25167</v>
      </c>
      <c r="AA2105">
        <v>0.45331276902781908</v>
      </c>
      <c r="AB2105" t="str">
        <f>HYPERLINK("Melting_Curves/meltCurve_P23921_RRM1.pdf", "Melting_Curves/meltCurve_P23921_RRM1.pdf")</f>
        <v>Melting_Curves/meltCurve_P23921_RRM1.pdf</v>
      </c>
    </row>
    <row r="2106" spans="1:28" x14ac:dyDescent="0.25">
      <c r="A2106" t="s">
        <v>2110</v>
      </c>
      <c r="B2106">
        <v>0.99996721820229495</v>
      </c>
      <c r="C2106">
        <v>0.968192987879678</v>
      </c>
      <c r="D2106">
        <v>1.06135957182776</v>
      </c>
      <c r="E2106">
        <v>1.1004314425753701</v>
      </c>
      <c r="F2106">
        <v>1.22432265461649</v>
      </c>
      <c r="G2106">
        <v>1.5778969626761601</v>
      </c>
      <c r="H2106">
        <v>0.75060056152045695</v>
      </c>
      <c r="I2106">
        <v>0.38422940937045902</v>
      </c>
      <c r="J2106">
        <v>0.23849939672048101</v>
      </c>
      <c r="K2106">
        <v>0.343067289190436</v>
      </c>
      <c r="L2106">
        <v>4890.2728157267102</v>
      </c>
      <c r="M2106">
        <v>79.520359245126897</v>
      </c>
      <c r="N2106">
        <v>62.255022092319201</v>
      </c>
      <c r="O2106">
        <v>61.458256950724497</v>
      </c>
      <c r="P2106">
        <v>-0.22316492296764301</v>
      </c>
      <c r="Q2106">
        <v>0.310097415048259</v>
      </c>
      <c r="R2106">
        <v>0.75489702446055096</v>
      </c>
      <c r="S2106" t="s">
        <v>7932</v>
      </c>
      <c r="T2106" t="s">
        <v>11650</v>
      </c>
      <c r="U2106" t="s">
        <v>11650</v>
      </c>
      <c r="V2106" t="s">
        <v>11650</v>
      </c>
      <c r="W2106" t="s">
        <v>13715</v>
      </c>
      <c r="X2106">
        <v>1</v>
      </c>
      <c r="Y2106" t="s">
        <v>19442</v>
      </c>
      <c r="Z2106" t="s">
        <v>25168</v>
      </c>
      <c r="AA2106">
        <v>0.80519716805779085</v>
      </c>
      <c r="AB2106" t="str">
        <f>HYPERLINK("Melting_Curves/meltCurve_P24043_LAMA2.pdf", "Melting_Curves/meltCurve_P24043_LAMA2.pdf")</f>
        <v>Melting_Curves/meltCurve_P24043_LAMA2.pdf</v>
      </c>
    </row>
    <row r="2107" spans="1:28" x14ac:dyDescent="0.25">
      <c r="A2107" t="s">
        <v>2111</v>
      </c>
      <c r="B2107">
        <v>0.99996721820229495</v>
      </c>
      <c r="C2107">
        <v>1.25798037502536</v>
      </c>
      <c r="D2107">
        <v>1.5551424910256999</v>
      </c>
      <c r="E2107">
        <v>1.4376694500315901</v>
      </c>
      <c r="F2107">
        <v>3.0136915926221901</v>
      </c>
      <c r="G2107">
        <v>5.5006878928084602</v>
      </c>
      <c r="H2107">
        <v>2.3464304293492</v>
      </c>
      <c r="I2107">
        <v>0.83559324672732405</v>
      </c>
      <c r="J2107">
        <v>0.427243998458465</v>
      </c>
      <c r="K2107">
        <v>0.25838417968699201</v>
      </c>
      <c r="L2107">
        <v>5113.6401343880398</v>
      </c>
      <c r="M2107">
        <v>77.944257296352902</v>
      </c>
      <c r="N2107">
        <v>66.285219641356903</v>
      </c>
      <c r="O2107">
        <v>65.5632263093825</v>
      </c>
      <c r="P2107">
        <v>-0.21549594324739399</v>
      </c>
      <c r="Q2107">
        <v>0.27493787124572999</v>
      </c>
      <c r="R2107">
        <v>-0.22662296624481501</v>
      </c>
      <c r="S2107" t="s">
        <v>7933</v>
      </c>
      <c r="T2107" t="s">
        <v>11650</v>
      </c>
      <c r="U2107" t="s">
        <v>11650</v>
      </c>
      <c r="V2107" t="s">
        <v>11650</v>
      </c>
      <c r="W2107" t="s">
        <v>13716</v>
      </c>
      <c r="X2107">
        <v>1</v>
      </c>
      <c r="Y2107" t="s">
        <v>19443</v>
      </c>
      <c r="Z2107" t="s">
        <v>25169</v>
      </c>
      <c r="AA2107">
        <v>0.89449411604101914</v>
      </c>
      <c r="AB2107" t="str">
        <f>HYPERLINK("Melting_Curves/meltCurve_P24310_COX7A1.pdf", "Melting_Curves/meltCurve_P24310_COX7A1.pdf")</f>
        <v>Melting_Curves/meltCurve_P24310_COX7A1.pdf</v>
      </c>
    </row>
    <row r="2108" spans="1:28" x14ac:dyDescent="0.25">
      <c r="A2108" t="s">
        <v>2112</v>
      </c>
      <c r="B2108">
        <v>0.99996721820229495</v>
      </c>
      <c r="C2108">
        <v>0.72861057878871105</v>
      </c>
      <c r="D2108">
        <v>0.47145871156033298</v>
      </c>
      <c r="E2108">
        <v>0.40438517150139403</v>
      </c>
      <c r="F2108">
        <v>0.41640632839352798</v>
      </c>
      <c r="G2108">
        <v>0.239768878208203</v>
      </c>
      <c r="H2108">
        <v>0.16287104895370499</v>
      </c>
      <c r="I2108">
        <v>0.11259019550204</v>
      </c>
      <c r="J2108">
        <v>9.25224547093699E-2</v>
      </c>
      <c r="K2108">
        <v>8.8329472455660696E-2</v>
      </c>
      <c r="L2108">
        <v>455.439863707825</v>
      </c>
      <c r="M2108">
        <v>9.6093006032375001</v>
      </c>
      <c r="N2108">
        <v>48.0503217014505</v>
      </c>
      <c r="O2108">
        <v>45.479538522261898</v>
      </c>
      <c r="P2108">
        <v>-4.9609620274295101E-2</v>
      </c>
      <c r="Q2108">
        <v>6.1349152179958601E-2</v>
      </c>
      <c r="R2108">
        <v>0.94166576159299797</v>
      </c>
      <c r="S2108" t="s">
        <v>7934</v>
      </c>
      <c r="T2108" t="s">
        <v>11650</v>
      </c>
      <c r="U2108" t="s">
        <v>11650</v>
      </c>
      <c r="V2108" t="s">
        <v>11650</v>
      </c>
      <c r="W2108" t="s">
        <v>13717</v>
      </c>
      <c r="X2108">
        <v>7</v>
      </c>
      <c r="Y2108" t="s">
        <v>19444</v>
      </c>
      <c r="Z2108" t="s">
        <v>25170</v>
      </c>
      <c r="AA2108">
        <v>0.34830103337211937</v>
      </c>
      <c r="AB2108" t="str">
        <f>HYPERLINK("Melting_Curves/meltCurve_P24385_CCND1.pdf", "Melting_Curves/meltCurve_P24385_CCND1.pdf")</f>
        <v>Melting_Curves/meltCurve_P24385_CCND1.pdf</v>
      </c>
    </row>
    <row r="2109" spans="1:28" x14ac:dyDescent="0.25">
      <c r="A2109" t="s">
        <v>2113</v>
      </c>
      <c r="B2109">
        <v>0.99996721820229495</v>
      </c>
      <c r="C2109">
        <v>0.96158885502257097</v>
      </c>
      <c r="D2109">
        <v>1.0002294061852199</v>
      </c>
      <c r="E2109">
        <v>1.2007115337998699</v>
      </c>
      <c r="F2109">
        <v>1.0219454694808501</v>
      </c>
      <c r="G2109">
        <v>1.19468390723436</v>
      </c>
      <c r="H2109">
        <v>1.3281655769751599</v>
      </c>
      <c r="I2109">
        <v>3.0128717151055899</v>
      </c>
      <c r="J2109">
        <v>4.2141141398191397</v>
      </c>
      <c r="K2109">
        <v>3.07184007342078</v>
      </c>
      <c r="L2109">
        <v>3799.4609287562698</v>
      </c>
      <c r="M2109">
        <v>66.163658298018305</v>
      </c>
      <c r="O2109">
        <v>57.372789672815301</v>
      </c>
      <c r="P2109">
        <v>0.14415296486512599</v>
      </c>
      <c r="Q2109">
        <v>1.5</v>
      </c>
      <c r="R2109">
        <v>2.0609069097156801E-2</v>
      </c>
      <c r="S2109" t="s">
        <v>7935</v>
      </c>
      <c r="T2109" t="s">
        <v>11650</v>
      </c>
      <c r="U2109" t="s">
        <v>11650</v>
      </c>
      <c r="V2109" t="s">
        <v>11650</v>
      </c>
      <c r="W2109" t="s">
        <v>13718</v>
      </c>
      <c r="X2109">
        <v>12</v>
      </c>
      <c r="Y2109" t="s">
        <v>19445</v>
      </c>
      <c r="Z2109" t="s">
        <v>25171</v>
      </c>
      <c r="AA2109">
        <v>1.2088586953982119</v>
      </c>
      <c r="AB2109" t="str">
        <f>HYPERLINK("Melting_Curves/meltCurve_P24534_EEF1B2.pdf", "Melting_Curves/meltCurve_P24534_EEF1B2.pdf")</f>
        <v>Melting_Curves/meltCurve_P24534_EEF1B2.pdf</v>
      </c>
    </row>
    <row r="2110" spans="1:28" x14ac:dyDescent="0.25">
      <c r="A2110" t="s">
        <v>2114</v>
      </c>
      <c r="B2110">
        <v>0.99996721820229495</v>
      </c>
      <c r="C2110">
        <v>1.0065990308461199</v>
      </c>
      <c r="D2110">
        <v>1.00164127848081</v>
      </c>
      <c r="E2110">
        <v>0.99559852404409699</v>
      </c>
      <c r="F2110">
        <v>1.22889147431791</v>
      </c>
      <c r="G2110">
        <v>1.4480296129059</v>
      </c>
      <c r="H2110">
        <v>0.94555904483983799</v>
      </c>
      <c r="I2110">
        <v>0.67917824304227303</v>
      </c>
      <c r="J2110">
        <v>0.62425326813905602</v>
      </c>
      <c r="K2110">
        <v>0.43584267558774098</v>
      </c>
      <c r="L2110">
        <v>3063.2538389476699</v>
      </c>
      <c r="M2110">
        <v>48.160624647186999</v>
      </c>
      <c r="O2110">
        <v>63.495569737130502</v>
      </c>
      <c r="P2110">
        <v>-9.5638657078699604E-2</v>
      </c>
      <c r="Q2110">
        <v>0.49563570276647501</v>
      </c>
      <c r="R2110">
        <v>0.65562544104178599</v>
      </c>
      <c r="S2110" t="s">
        <v>7936</v>
      </c>
      <c r="T2110" t="s">
        <v>11650</v>
      </c>
      <c r="U2110" t="s">
        <v>11650</v>
      </c>
      <c r="V2110" t="s">
        <v>11650</v>
      </c>
      <c r="W2110" t="s">
        <v>13719</v>
      </c>
      <c r="X2110">
        <v>5</v>
      </c>
      <c r="Y2110" t="s">
        <v>19446</v>
      </c>
      <c r="Z2110" t="s">
        <v>25172</v>
      </c>
      <c r="AA2110">
        <v>0.89366689934654142</v>
      </c>
      <c r="AB2110" t="str">
        <f>HYPERLINK("Melting_Curves/meltCurve_P24592_IGFBP6.pdf", "Melting_Curves/meltCurve_P24592_IGFBP6.pdf")</f>
        <v>Melting_Curves/meltCurve_P24592_IGFBP6.pdf</v>
      </c>
    </row>
    <row r="2111" spans="1:28" x14ac:dyDescent="0.25">
      <c r="A2111" t="s">
        <v>2115</v>
      </c>
      <c r="B2111">
        <v>0.99996721820229495</v>
      </c>
      <c r="C2111">
        <v>0.90181003258733305</v>
      </c>
      <c r="D2111">
        <v>0.83807532840355004</v>
      </c>
      <c r="E2111">
        <v>0.98020318218005797</v>
      </c>
      <c r="F2111">
        <v>1.1355052860502901</v>
      </c>
      <c r="G2111">
        <v>1.01065661182388</v>
      </c>
      <c r="H2111">
        <v>0.75811122427177402</v>
      </c>
      <c r="I2111">
        <v>0.57776113014860098</v>
      </c>
      <c r="J2111">
        <v>0.50409219283492102</v>
      </c>
      <c r="K2111">
        <v>0.447669212069294</v>
      </c>
      <c r="L2111">
        <v>2398.6248538729801</v>
      </c>
      <c r="M2111">
        <v>38.9962032027099</v>
      </c>
      <c r="N2111">
        <v>66.077915701793501</v>
      </c>
      <c r="O2111">
        <v>61.348103916863998</v>
      </c>
      <c r="P2111">
        <v>-8.4816983950525601E-2</v>
      </c>
      <c r="Q2111">
        <v>0.46627119664945099</v>
      </c>
      <c r="R2111">
        <v>0.885513608033902</v>
      </c>
      <c r="S2111" t="s">
        <v>7937</v>
      </c>
      <c r="T2111" t="s">
        <v>11650</v>
      </c>
      <c r="U2111" t="s">
        <v>11650</v>
      </c>
      <c r="V2111" t="s">
        <v>11650</v>
      </c>
      <c r="W2111" t="s">
        <v>13720</v>
      </c>
      <c r="X2111">
        <v>18</v>
      </c>
      <c r="Y2111" t="s">
        <v>19447</v>
      </c>
      <c r="Z2111" t="s">
        <v>25173</v>
      </c>
      <c r="AA2111">
        <v>0.85098982633324349</v>
      </c>
      <c r="AB2111" t="str">
        <f>HYPERLINK("Melting_Curves/meltCurve_P24593_IGFBP5.pdf", "Melting_Curves/meltCurve_P24593_IGFBP5.pdf")</f>
        <v>Melting_Curves/meltCurve_P24593_IGFBP5.pdf</v>
      </c>
    </row>
    <row r="2112" spans="1:28" x14ac:dyDescent="0.25">
      <c r="A2112" t="s">
        <v>2116</v>
      </c>
      <c r="B2112">
        <v>0.99996721820229495</v>
      </c>
      <c r="C2112">
        <v>1.0713936925657701</v>
      </c>
      <c r="D2112">
        <v>0.98042857073913903</v>
      </c>
      <c r="E2112">
        <v>0.52432655294900399</v>
      </c>
      <c r="F2112">
        <v>0.24410386573503101</v>
      </c>
      <c r="G2112">
        <v>0.20495189448561299</v>
      </c>
      <c r="H2112">
        <v>0.12334795935045</v>
      </c>
      <c r="I2112">
        <v>9.8381479526332694E-2</v>
      </c>
      <c r="J2112">
        <v>6.0487382538488801E-2</v>
      </c>
      <c r="K2112">
        <v>5.3463822695209398E-2</v>
      </c>
      <c r="L2112">
        <v>1536.3049473164499</v>
      </c>
      <c r="M2112">
        <v>30.741767180922299</v>
      </c>
      <c r="N2112">
        <v>50.350667845372001</v>
      </c>
      <c r="O2112">
        <v>49.764476653537201</v>
      </c>
      <c r="P2112">
        <v>-0.13859221856235701</v>
      </c>
      <c r="Q2112">
        <v>0.10259830908786501</v>
      </c>
      <c r="R2112">
        <v>0.98794335506636499</v>
      </c>
      <c r="S2112" t="s">
        <v>7938</v>
      </c>
      <c r="T2112" t="s">
        <v>11650</v>
      </c>
      <c r="U2112" t="s">
        <v>11650</v>
      </c>
      <c r="V2112" t="s">
        <v>11650</v>
      </c>
      <c r="W2112" t="s">
        <v>13721</v>
      </c>
      <c r="X2112">
        <v>12</v>
      </c>
      <c r="Y2112" t="s">
        <v>19448</v>
      </c>
      <c r="Z2112" t="s">
        <v>25174</v>
      </c>
      <c r="AA2112">
        <v>0.40625053266720779</v>
      </c>
      <c r="AB2112" t="str">
        <f>HYPERLINK("Melting_Curves/meltCurve_P24666_ACP1.pdf", "Melting_Curves/meltCurve_P24666_ACP1.pdf")</f>
        <v>Melting_Curves/meltCurve_P24666_ACP1.pdf</v>
      </c>
    </row>
    <row r="2113" spans="1:28" x14ac:dyDescent="0.25">
      <c r="A2113" t="s">
        <v>2117</v>
      </c>
      <c r="B2113">
        <v>0.99996721820229495</v>
      </c>
      <c r="C2113">
        <v>0.90907519590779895</v>
      </c>
      <c r="D2113">
        <v>0.94428870557358202</v>
      </c>
      <c r="E2113">
        <v>0.782883369575748</v>
      </c>
      <c r="F2113">
        <v>1.0157955920580899</v>
      </c>
      <c r="G2113">
        <v>0.87410052026387397</v>
      </c>
      <c r="H2113">
        <v>0.53693194700382096</v>
      </c>
      <c r="I2113">
        <v>0.369305944214884</v>
      </c>
      <c r="J2113">
        <v>0.52480952611546405</v>
      </c>
      <c r="K2113">
        <v>0.204967918393792</v>
      </c>
      <c r="L2113">
        <v>1601.66970359167</v>
      </c>
      <c r="M2113">
        <v>26.838248586575698</v>
      </c>
      <c r="N2113">
        <v>61.975401212449597</v>
      </c>
      <c r="O2113">
        <v>59.350243854500299</v>
      </c>
      <c r="P2113">
        <v>-7.7432698322970103E-2</v>
      </c>
      <c r="Q2113">
        <v>0.31506664627049502</v>
      </c>
      <c r="R2113">
        <v>0.85518940145786604</v>
      </c>
      <c r="S2113" t="s">
        <v>7939</v>
      </c>
      <c r="T2113" t="s">
        <v>11650</v>
      </c>
      <c r="U2113" t="s">
        <v>11650</v>
      </c>
      <c r="V2113" t="s">
        <v>11650</v>
      </c>
      <c r="W2113" t="s">
        <v>13722</v>
      </c>
      <c r="X2113">
        <v>7</v>
      </c>
      <c r="Y2113" t="s">
        <v>19448</v>
      </c>
      <c r="Z2113" t="s">
        <v>25175</v>
      </c>
      <c r="AA2113">
        <v>0.7692422991284531</v>
      </c>
      <c r="AB2113" t="str">
        <f>HYPERLINK("Melting_Curves/meltCurve_P24666_2_ACP1.pdf", "Melting_Curves/meltCurve_P24666_2_ACP1.pdf")</f>
        <v>Melting_Curves/meltCurve_P24666_2_ACP1.pdf</v>
      </c>
    </row>
    <row r="2114" spans="1:28" x14ac:dyDescent="0.25">
      <c r="A2114" t="s">
        <v>2118</v>
      </c>
      <c r="B2114">
        <v>0.99996721820229495</v>
      </c>
      <c r="C2114">
        <v>1.0228798615207699</v>
      </c>
      <c r="D2114">
        <v>1.1393048702411599</v>
      </c>
      <c r="E2114">
        <v>1.51838600179101</v>
      </c>
      <c r="F2114">
        <v>1.5945534983476399</v>
      </c>
      <c r="G2114">
        <v>0.70805310403579402</v>
      </c>
      <c r="H2114">
        <v>0.27390145279230599</v>
      </c>
      <c r="I2114">
        <v>0.154766757106921</v>
      </c>
      <c r="J2114">
        <v>0.11211152456470599</v>
      </c>
      <c r="K2114">
        <v>8.9635030540396204E-2</v>
      </c>
      <c r="L2114">
        <v>3059.44846829784</v>
      </c>
      <c r="M2114">
        <v>52.760218815546303</v>
      </c>
      <c r="N2114">
        <v>58.343589510151297</v>
      </c>
      <c r="O2114">
        <v>57.904662702802803</v>
      </c>
      <c r="P2114">
        <v>-0.19645480686807101</v>
      </c>
      <c r="Q2114">
        <v>0.13755919459376301</v>
      </c>
      <c r="R2114">
        <v>0.78102250828168396</v>
      </c>
      <c r="S2114" t="s">
        <v>7940</v>
      </c>
      <c r="T2114" t="s">
        <v>11650</v>
      </c>
      <c r="U2114" t="s">
        <v>11650</v>
      </c>
      <c r="V2114" t="s">
        <v>11650</v>
      </c>
      <c r="W2114" t="s">
        <v>13723</v>
      </c>
      <c r="X2114">
        <v>21</v>
      </c>
      <c r="Y2114" t="s">
        <v>19449</v>
      </c>
      <c r="Z2114" t="s">
        <v>25176</v>
      </c>
      <c r="AA2114">
        <v>0.65664709379751296</v>
      </c>
      <c r="AB2114" t="str">
        <f>HYPERLINK("Melting_Curves/meltCurve_P24752_ACAT1.pdf", "Melting_Curves/meltCurve_P24752_ACAT1.pdf")</f>
        <v>Melting_Curves/meltCurve_P24752_ACAT1.pdf</v>
      </c>
    </row>
    <row r="2115" spans="1:28" x14ac:dyDescent="0.25">
      <c r="A2115" t="s">
        <v>2119</v>
      </c>
      <c r="B2115">
        <v>0.99996721820229495</v>
      </c>
      <c r="C2115">
        <v>0.95646981676367904</v>
      </c>
      <c r="D2115">
        <v>0.92359554658405696</v>
      </c>
      <c r="E2115">
        <v>0.69492345629553698</v>
      </c>
      <c r="F2115">
        <v>0.57470000873543803</v>
      </c>
      <c r="G2115">
        <v>0.55998064966988803</v>
      </c>
      <c r="H2115">
        <v>0.392131265018273</v>
      </c>
      <c r="I2115">
        <v>0.281158494927984</v>
      </c>
      <c r="J2115">
        <v>0.20118318378504199</v>
      </c>
      <c r="K2115">
        <v>0.198420532029493</v>
      </c>
      <c r="L2115">
        <v>474.991130928046</v>
      </c>
      <c r="M2115">
        <v>8.44920308325616</v>
      </c>
      <c r="N2115">
        <v>56.729697370388799</v>
      </c>
      <c r="O2115">
        <v>53.333120480774902</v>
      </c>
      <c r="P2115">
        <v>-3.8185836013319298E-2</v>
      </c>
      <c r="Q2115">
        <v>3.6740102619739597E-2</v>
      </c>
      <c r="R2115">
        <v>0.97905216844506904</v>
      </c>
      <c r="S2115" t="s">
        <v>7941</v>
      </c>
      <c r="T2115" t="s">
        <v>11650</v>
      </c>
      <c r="U2115" t="s">
        <v>11650</v>
      </c>
      <c r="V2115" t="s">
        <v>11650</v>
      </c>
      <c r="W2115" t="s">
        <v>13724</v>
      </c>
      <c r="X2115">
        <v>25</v>
      </c>
      <c r="Y2115" t="s">
        <v>19450</v>
      </c>
      <c r="Z2115" t="s">
        <v>25177</v>
      </c>
      <c r="AA2115">
        <v>0.57559933707626521</v>
      </c>
      <c r="AB2115" t="str">
        <f>HYPERLINK("Melting_Curves/meltCurve_P24821_4_TNC.pdf", "Melting_Curves/meltCurve_P24821_4_TNC.pdf")</f>
        <v>Melting_Curves/meltCurve_P24821_4_TNC.pdf</v>
      </c>
    </row>
    <row r="2116" spans="1:28" x14ac:dyDescent="0.25">
      <c r="A2116" t="s">
        <v>2120</v>
      </c>
      <c r="B2116">
        <v>0.99996721820229495</v>
      </c>
      <c r="C2116">
        <v>1.0448332705102901</v>
      </c>
      <c r="D2116">
        <v>1.23974688383422</v>
      </c>
      <c r="E2116">
        <v>1.6422526354665401</v>
      </c>
      <c r="F2116">
        <v>1.67071433156489</v>
      </c>
      <c r="G2116">
        <v>1.66698677622711</v>
      </c>
      <c r="H2116">
        <v>1.16081373553019</v>
      </c>
      <c r="I2116">
        <v>0.93990476297965297</v>
      </c>
      <c r="J2116">
        <v>1.2816823456289399</v>
      </c>
      <c r="K2116">
        <v>1.4395657603093199</v>
      </c>
      <c r="L2116">
        <v>5844.98414350649</v>
      </c>
      <c r="M2116">
        <v>127.46654991962799</v>
      </c>
      <c r="O2116">
        <v>45.843758817142302</v>
      </c>
      <c r="P2116">
        <v>0.278234285202204</v>
      </c>
      <c r="Q2116">
        <v>1.4002714501829101</v>
      </c>
      <c r="R2116">
        <v>0.31613375310860897</v>
      </c>
      <c r="S2116" t="s">
        <v>7942</v>
      </c>
      <c r="T2116" t="s">
        <v>11650</v>
      </c>
      <c r="U2116" t="s">
        <v>11650</v>
      </c>
      <c r="V2116" t="s">
        <v>11650</v>
      </c>
      <c r="W2116" t="s">
        <v>13725</v>
      </c>
      <c r="X2116">
        <v>10</v>
      </c>
      <c r="Y2116" t="s">
        <v>19451</v>
      </c>
      <c r="Z2116" t="s">
        <v>25178</v>
      </c>
      <c r="AA2116">
        <v>1.322027243009682</v>
      </c>
      <c r="AB2116" t="str">
        <f>HYPERLINK("Melting_Curves/meltCurve_P24844_MYL9.pdf", "Melting_Curves/meltCurve_P24844_MYL9.pdf")</f>
        <v>Melting_Curves/meltCurve_P24844_MYL9.pdf</v>
      </c>
    </row>
    <row r="2117" spans="1:28" x14ac:dyDescent="0.25">
      <c r="A2117" t="s">
        <v>2121</v>
      </c>
      <c r="B2117">
        <v>0.99996721820229495</v>
      </c>
      <c r="C2117">
        <v>0.97023536034731095</v>
      </c>
      <c r="D2117">
        <v>1.09649221826343</v>
      </c>
      <c r="E2117">
        <v>1.01253222301527</v>
      </c>
      <c r="F2117">
        <v>0.96340675331662895</v>
      </c>
      <c r="G2117">
        <v>1.08083092254096</v>
      </c>
      <c r="H2117">
        <v>0.79752291536123399</v>
      </c>
      <c r="I2117">
        <v>0.80498133407449302</v>
      </c>
      <c r="J2117">
        <v>0.78201925032755004</v>
      </c>
      <c r="K2117">
        <v>0.46497582176865998</v>
      </c>
      <c r="L2117">
        <v>1085.56874928458</v>
      </c>
      <c r="M2117">
        <v>15.441091108214399</v>
      </c>
      <c r="O2117">
        <v>69.156380125803906</v>
      </c>
      <c r="P2117">
        <v>-5.5824507940483797E-2</v>
      </c>
      <c r="Q2117">
        <v>0</v>
      </c>
      <c r="R2117">
        <v>0.84856718797819097</v>
      </c>
      <c r="S2117" t="s">
        <v>7943</v>
      </c>
      <c r="T2117" t="s">
        <v>11650</v>
      </c>
      <c r="U2117" t="s">
        <v>11650</v>
      </c>
      <c r="V2117" t="s">
        <v>11650</v>
      </c>
      <c r="W2117" t="s">
        <v>13726</v>
      </c>
      <c r="X2117">
        <v>2</v>
      </c>
      <c r="Y2117" t="s">
        <v>19452</v>
      </c>
      <c r="Z2117" t="s">
        <v>25179</v>
      </c>
      <c r="AA2117">
        <v>0.91321836117965671</v>
      </c>
      <c r="AB2117" t="str">
        <f>HYPERLINK("Melting_Curves/meltCurve_P24928_POLR2A.pdf", "Melting_Curves/meltCurve_P24928_POLR2A.pdf")</f>
        <v>Melting_Curves/meltCurve_P24928_POLR2A.pdf</v>
      </c>
    </row>
    <row r="2118" spans="1:28" x14ac:dyDescent="0.25">
      <c r="A2118" t="s">
        <v>2122</v>
      </c>
      <c r="B2118">
        <v>0.99996721820229495</v>
      </c>
      <c r="C2118">
        <v>0.82018500708054598</v>
      </c>
      <c r="D2118">
        <v>0.72888803651796696</v>
      </c>
      <c r="E2118">
        <v>0.91336449495180105</v>
      </c>
      <c r="F2118">
        <v>0.96544629559835504</v>
      </c>
      <c r="G2118">
        <v>0.87763327280433501</v>
      </c>
      <c r="H2118">
        <v>0.63493124981463001</v>
      </c>
      <c r="I2118">
        <v>0.51044802920467003</v>
      </c>
      <c r="J2118">
        <v>0.30960554261124301</v>
      </c>
      <c r="K2118">
        <v>0.27556181409574898</v>
      </c>
      <c r="L2118">
        <v>810.87090728591602</v>
      </c>
      <c r="M2118">
        <v>12.682702293566001</v>
      </c>
      <c r="N2118">
        <v>63.935191794622298</v>
      </c>
      <c r="O2118">
        <v>62.408167333312001</v>
      </c>
      <c r="P2118">
        <v>-5.08153433654129E-2</v>
      </c>
      <c r="Q2118">
        <v>0</v>
      </c>
      <c r="R2118">
        <v>0.82060576765764903</v>
      </c>
      <c r="S2118" t="s">
        <v>7944</v>
      </c>
      <c r="T2118" t="s">
        <v>11650</v>
      </c>
      <c r="U2118" t="s">
        <v>11650</v>
      </c>
      <c r="V2118" t="s">
        <v>11650</v>
      </c>
      <c r="W2118" t="s">
        <v>13727</v>
      </c>
      <c r="X2118">
        <v>3</v>
      </c>
      <c r="Y2118" t="s">
        <v>19453</v>
      </c>
      <c r="Z2118" t="s">
        <v>25180</v>
      </c>
      <c r="AA2118">
        <v>0.77272876286746994</v>
      </c>
      <c r="AB2118" t="str">
        <f>HYPERLINK("Melting_Curves/meltCurve_P25054_2_APC.pdf", "Melting_Curves/meltCurve_P25054_2_APC.pdf")</f>
        <v>Melting_Curves/meltCurve_P25054_2_APC.pdf</v>
      </c>
    </row>
    <row r="2119" spans="1:28" x14ac:dyDescent="0.25">
      <c r="A2119" t="s">
        <v>2123</v>
      </c>
      <c r="B2119">
        <v>0.99996721820229495</v>
      </c>
      <c r="C2119">
        <v>0.97621775105879005</v>
      </c>
      <c r="D2119">
        <v>0.93483435185297903</v>
      </c>
      <c r="E2119">
        <v>0.72583093581582403</v>
      </c>
      <c r="F2119">
        <v>0.31838423741486099</v>
      </c>
      <c r="G2119">
        <v>0.24474493372594899</v>
      </c>
      <c r="H2119">
        <v>0.12315936142142</v>
      </c>
      <c r="I2119">
        <v>6.1415610271551201E-2</v>
      </c>
      <c r="J2119">
        <v>3.4949254199901102E-2</v>
      </c>
      <c r="K2119">
        <v>3.25898486295184E-2</v>
      </c>
      <c r="L2119">
        <v>1073.57020379704</v>
      </c>
      <c r="M2119">
        <v>20.8004431830066</v>
      </c>
      <c r="N2119">
        <v>51.896281235590401</v>
      </c>
      <c r="O2119">
        <v>51.142907566860799</v>
      </c>
      <c r="P2119">
        <v>-9.6221388872250596E-2</v>
      </c>
      <c r="Q2119">
        <v>5.3692389763138199E-2</v>
      </c>
      <c r="R2119">
        <v>0.98896242570901005</v>
      </c>
      <c r="S2119" t="s">
        <v>7945</v>
      </c>
      <c r="T2119" t="s">
        <v>11650</v>
      </c>
      <c r="U2119" t="s">
        <v>11650</v>
      </c>
      <c r="V2119" t="s">
        <v>11650</v>
      </c>
      <c r="W2119" t="s">
        <v>13728</v>
      </c>
      <c r="X2119">
        <v>10</v>
      </c>
      <c r="Y2119" t="s">
        <v>19454</v>
      </c>
      <c r="Z2119" t="s">
        <v>25181</v>
      </c>
      <c r="AA2119">
        <v>0.43220581520880669</v>
      </c>
      <c r="AB2119" t="str">
        <f>HYPERLINK("Melting_Curves/meltCurve_P25098_ADRBK1.pdf", "Melting_Curves/meltCurve_P25098_ADRBK1.pdf")</f>
        <v>Melting_Curves/meltCurve_P25098_ADRBK1.pdf</v>
      </c>
    </row>
    <row r="2120" spans="1:28" x14ac:dyDescent="0.25">
      <c r="A2120" t="s">
        <v>2124</v>
      </c>
      <c r="B2120">
        <v>0.99996721820229495</v>
      </c>
      <c r="C2120">
        <v>0.95594000682135605</v>
      </c>
      <c r="D2120">
        <v>1.15793871246587</v>
      </c>
      <c r="E2120">
        <v>1.5989541833558401</v>
      </c>
      <c r="F2120">
        <v>1.8887245116663001</v>
      </c>
      <c r="G2120">
        <v>2.7205672717853702</v>
      </c>
      <c r="H2120">
        <v>2.05590663984953</v>
      </c>
      <c r="I2120">
        <v>1.2208301925432601</v>
      </c>
      <c r="J2120">
        <v>0.74655857262259895</v>
      </c>
      <c r="K2120">
        <v>0.90411166301777202</v>
      </c>
      <c r="L2120">
        <v>11535.5480115024</v>
      </c>
      <c r="M2120">
        <v>250</v>
      </c>
      <c r="O2120">
        <v>46.1392392803467</v>
      </c>
      <c r="P2120">
        <v>0.67729768724845696</v>
      </c>
      <c r="Q2120">
        <v>1.5</v>
      </c>
      <c r="R2120">
        <v>0.169540986119151</v>
      </c>
      <c r="S2120" t="s">
        <v>7946</v>
      </c>
      <c r="T2120" t="s">
        <v>11650</v>
      </c>
      <c r="U2120" t="s">
        <v>11650</v>
      </c>
      <c r="V2120" t="s">
        <v>11650</v>
      </c>
      <c r="W2120" t="s">
        <v>13729</v>
      </c>
      <c r="X2120">
        <v>4</v>
      </c>
      <c r="Y2120" t="s">
        <v>19455</v>
      </c>
      <c r="Z2120" t="s">
        <v>25182</v>
      </c>
      <c r="AA2120">
        <v>1.397589643152052</v>
      </c>
      <c r="AB2120" t="str">
        <f>HYPERLINK("Melting_Curves/meltCurve_P25116_F2R.pdf", "Melting_Curves/meltCurve_P25116_F2R.pdf")</f>
        <v>Melting_Curves/meltCurve_P25116_F2R.pdf</v>
      </c>
    </row>
    <row r="2121" spans="1:28" x14ac:dyDescent="0.25">
      <c r="A2121" t="s">
        <v>2125</v>
      </c>
      <c r="B2121">
        <v>0.99996721820229495</v>
      </c>
      <c r="C2121">
        <v>1.1819590821608199</v>
      </c>
      <c r="D2121">
        <v>1.1410216339527199</v>
      </c>
      <c r="E2121">
        <v>0.82639211893144904</v>
      </c>
      <c r="F2121">
        <v>0.57747003134068597</v>
      </c>
      <c r="G2121">
        <v>0.50609257870342494</v>
      </c>
      <c r="H2121">
        <v>0.30953363421783803</v>
      </c>
      <c r="I2121">
        <v>0.24256530039568</v>
      </c>
      <c r="J2121">
        <v>0.206164913813567</v>
      </c>
      <c r="K2121">
        <v>0.15893160983903001</v>
      </c>
      <c r="L2121">
        <v>946.07553873533004</v>
      </c>
      <c r="M2121">
        <v>17.434806947980299</v>
      </c>
      <c r="N2121">
        <v>55.7196840921793</v>
      </c>
      <c r="O2121">
        <v>53.564824384248702</v>
      </c>
      <c r="P2121">
        <v>-6.6487564592233497E-2</v>
      </c>
      <c r="Q2121">
        <v>0.182968763011705</v>
      </c>
      <c r="R2121">
        <v>0.93990260203798603</v>
      </c>
      <c r="S2121" t="s">
        <v>7947</v>
      </c>
      <c r="T2121" t="s">
        <v>11650</v>
      </c>
      <c r="U2121" t="s">
        <v>11650</v>
      </c>
      <c r="V2121" t="s">
        <v>11650</v>
      </c>
      <c r="W2121" t="s">
        <v>13730</v>
      </c>
      <c r="X2121">
        <v>13</v>
      </c>
      <c r="Y2121" t="s">
        <v>19456</v>
      </c>
      <c r="Z2121" t="s">
        <v>25183</v>
      </c>
      <c r="AA2121">
        <v>0.58500687273441465</v>
      </c>
      <c r="AB2121" t="str">
        <f>HYPERLINK("Melting_Curves/meltCurve_P25398_RPS12.pdf", "Melting_Curves/meltCurve_P25398_RPS12.pdf")</f>
        <v>Melting_Curves/meltCurve_P25398_RPS12.pdf</v>
      </c>
    </row>
    <row r="2122" spans="1:28" x14ac:dyDescent="0.25">
      <c r="A2122" t="s">
        <v>2126</v>
      </c>
      <c r="B2122">
        <v>0.99996721820229495</v>
      </c>
      <c r="C2122">
        <v>0.82099203030069501</v>
      </c>
      <c r="D2122">
        <v>0.99588476201768805</v>
      </c>
      <c r="E2122">
        <v>1.16761192519538</v>
      </c>
      <c r="F2122">
        <v>1.3431436738587199</v>
      </c>
      <c r="G2122">
        <v>1.2382948491867201</v>
      </c>
      <c r="H2122">
        <v>0.96761667192328504</v>
      </c>
      <c r="I2122">
        <v>0.77863971889799299</v>
      </c>
      <c r="J2122">
        <v>0.56402746343312404</v>
      </c>
      <c r="K2122">
        <v>0.55091326648585903</v>
      </c>
      <c r="L2122">
        <v>4027.0345926379</v>
      </c>
      <c r="M2122">
        <v>62.889861731203901</v>
      </c>
      <c r="O2122">
        <v>63.968477955752597</v>
      </c>
      <c r="P2122">
        <v>-0.11211999713309501</v>
      </c>
      <c r="Q2122">
        <v>0.54382834249126599</v>
      </c>
      <c r="R2122">
        <v>0.63485864998188402</v>
      </c>
      <c r="S2122" t="s">
        <v>7948</v>
      </c>
      <c r="T2122" t="s">
        <v>11650</v>
      </c>
      <c r="U2122" t="s">
        <v>11650</v>
      </c>
      <c r="V2122" t="s">
        <v>11650</v>
      </c>
      <c r="W2122" t="s">
        <v>13731</v>
      </c>
      <c r="X2122">
        <v>12</v>
      </c>
      <c r="Y2122" t="s">
        <v>19457</v>
      </c>
      <c r="Z2122" t="s">
        <v>25184</v>
      </c>
      <c r="AA2122">
        <v>0.90999226705972214</v>
      </c>
      <c r="AB2122" t="str">
        <f>HYPERLINK("Melting_Curves/meltCurve_P25445_6_FAS.pdf", "Melting_Curves/meltCurve_P25445_6_FAS.pdf")</f>
        <v>Melting_Curves/meltCurve_P25445_6_FAS.pdf</v>
      </c>
    </row>
    <row r="2123" spans="1:28" x14ac:dyDescent="0.25">
      <c r="A2123" t="s">
        <v>2127</v>
      </c>
      <c r="B2123">
        <v>0.99996721820229495</v>
      </c>
      <c r="C2123">
        <v>1.0738515155472199</v>
      </c>
      <c r="D2123">
        <v>0.916111717870008</v>
      </c>
      <c r="E2123">
        <v>0.51006112967336203</v>
      </c>
      <c r="F2123">
        <v>0.26998649646811201</v>
      </c>
      <c r="G2123">
        <v>0.221553498814693</v>
      </c>
      <c r="H2123">
        <v>0.14511005082223899</v>
      </c>
      <c r="I2123">
        <v>0.11311069284144901</v>
      </c>
      <c r="J2123">
        <v>6.5594428328999504E-2</v>
      </c>
      <c r="K2123">
        <v>5.8683571839049702E-2</v>
      </c>
      <c r="L2123">
        <v>1243.39146244269</v>
      </c>
      <c r="M2123">
        <v>24.953977340578898</v>
      </c>
      <c r="N2123">
        <v>50.316285623670801</v>
      </c>
      <c r="O2123">
        <v>49.510702937980902</v>
      </c>
      <c r="P2123">
        <v>-0.112440039008098</v>
      </c>
      <c r="Q2123">
        <v>0.107651757518841</v>
      </c>
      <c r="R2123">
        <v>0.98674097892533497</v>
      </c>
      <c r="S2123" t="s">
        <v>7949</v>
      </c>
      <c r="T2123" t="s">
        <v>11650</v>
      </c>
      <c r="U2123" t="s">
        <v>11650</v>
      </c>
      <c r="V2123" t="s">
        <v>11650</v>
      </c>
      <c r="W2123" t="s">
        <v>13732</v>
      </c>
      <c r="X2123">
        <v>11</v>
      </c>
      <c r="Y2123" t="s">
        <v>19458</v>
      </c>
      <c r="Z2123" t="s">
        <v>25185</v>
      </c>
      <c r="AA2123">
        <v>0.40795835910166289</v>
      </c>
      <c r="AB2123" t="str">
        <f>HYPERLINK("Melting_Curves/meltCurve_P25685_DNAJB1.pdf", "Melting_Curves/meltCurve_P25685_DNAJB1.pdf")</f>
        <v>Melting_Curves/meltCurve_P25685_DNAJB1.pdf</v>
      </c>
    </row>
    <row r="2124" spans="1:28" x14ac:dyDescent="0.25">
      <c r="A2124" t="s">
        <v>2128</v>
      </c>
      <c r="B2124">
        <v>0.99996721820229495</v>
      </c>
      <c r="C2124">
        <v>0.696817275927753</v>
      </c>
      <c r="D2124">
        <v>0.67301789960592595</v>
      </c>
      <c r="E2124">
        <v>0.83660468818965295</v>
      </c>
      <c r="F2124">
        <v>0.72358664525556005</v>
      </c>
      <c r="G2124">
        <v>0.55203229271158605</v>
      </c>
      <c r="H2124">
        <v>0.42871611738370302</v>
      </c>
      <c r="I2124">
        <v>0.27175838295127502</v>
      </c>
      <c r="J2124">
        <v>0.21737069134953499</v>
      </c>
      <c r="K2124">
        <v>0.289412998401396</v>
      </c>
      <c r="L2124">
        <v>333.92128428878101</v>
      </c>
      <c r="M2124">
        <v>5.8177534803822502</v>
      </c>
      <c r="N2124">
        <v>57.396946331871199</v>
      </c>
      <c r="O2124">
        <v>51.705408851265297</v>
      </c>
      <c r="P2124">
        <v>-2.82309814016726E-2</v>
      </c>
      <c r="Q2124">
        <v>0</v>
      </c>
      <c r="R2124">
        <v>0.83463403759051502</v>
      </c>
      <c r="S2124" t="s">
        <v>7950</v>
      </c>
      <c r="T2124" t="s">
        <v>11650</v>
      </c>
      <c r="U2124" t="s">
        <v>11650</v>
      </c>
      <c r="V2124" t="s">
        <v>11650</v>
      </c>
      <c r="W2124" t="s">
        <v>13733</v>
      </c>
      <c r="X2124">
        <v>5</v>
      </c>
      <c r="Y2124" t="s">
        <v>19459</v>
      </c>
      <c r="Z2124" t="s">
        <v>25186</v>
      </c>
      <c r="AA2124">
        <v>0.57735396775493231</v>
      </c>
      <c r="AB2124" t="str">
        <f>HYPERLINK("Melting_Curves/meltCurve_P25686_DNAJB2.pdf", "Melting_Curves/meltCurve_P25686_DNAJB2.pdf")</f>
        <v>Melting_Curves/meltCurve_P25686_DNAJB2.pdf</v>
      </c>
    </row>
    <row r="2125" spans="1:28" x14ac:dyDescent="0.25">
      <c r="A2125" t="s">
        <v>2129</v>
      </c>
      <c r="B2125">
        <v>0.99996721820229495</v>
      </c>
      <c r="C2125">
        <v>1.04696286384487</v>
      </c>
      <c r="D2125">
        <v>1.1157232537958599</v>
      </c>
      <c r="E2125">
        <v>1.5274833982990701</v>
      </c>
      <c r="F2125">
        <v>1.8428794934773001</v>
      </c>
      <c r="G2125">
        <v>2.5654651906687</v>
      </c>
      <c r="H2125">
        <v>2.16137333203995</v>
      </c>
      <c r="I2125">
        <v>1.4760663401824801</v>
      </c>
      <c r="J2125">
        <v>0.23182310945489201</v>
      </c>
      <c r="K2125">
        <v>0.12983026725483199</v>
      </c>
      <c r="L2125">
        <v>15000</v>
      </c>
      <c r="M2125">
        <v>225.88234712648699</v>
      </c>
      <c r="N2125">
        <v>66.494183397213504</v>
      </c>
      <c r="O2125">
        <v>66.401055890059297</v>
      </c>
      <c r="P2125">
        <v>-0.74065458330928402</v>
      </c>
      <c r="Q2125">
        <v>0.129099907437081</v>
      </c>
      <c r="R2125">
        <v>7.1541117140287505E-2</v>
      </c>
      <c r="S2125" t="s">
        <v>7951</v>
      </c>
      <c r="T2125" t="s">
        <v>11650</v>
      </c>
      <c r="U2125" t="s">
        <v>11650</v>
      </c>
      <c r="V2125" t="s">
        <v>11650</v>
      </c>
      <c r="W2125" t="s">
        <v>13734</v>
      </c>
      <c r="X2125">
        <v>42</v>
      </c>
      <c r="Y2125" t="s">
        <v>19460</v>
      </c>
      <c r="Z2125" t="s">
        <v>25187</v>
      </c>
      <c r="AA2125">
        <v>0.89579772134161006</v>
      </c>
      <c r="AB2125" t="str">
        <f>HYPERLINK("Melting_Curves/meltCurve_P25705_ATP5A1.pdf", "Melting_Curves/meltCurve_P25705_ATP5A1.pdf")</f>
        <v>Melting_Curves/meltCurve_P25705_ATP5A1.pdf</v>
      </c>
    </row>
    <row r="2126" spans="1:28" x14ac:dyDescent="0.25">
      <c r="A2126" t="s">
        <v>2130</v>
      </c>
      <c r="B2126">
        <v>0.99996721820229495</v>
      </c>
      <c r="C2126">
        <v>0.87032064955364696</v>
      </c>
      <c r="D2126">
        <v>0.87166783516531698</v>
      </c>
      <c r="E2126">
        <v>0.81006621061091599</v>
      </c>
      <c r="F2126">
        <v>0.93400534815929903</v>
      </c>
      <c r="G2126">
        <v>0.85138147764026195</v>
      </c>
      <c r="H2126">
        <v>0.63952097148420095</v>
      </c>
      <c r="I2126">
        <v>0.405596130164534</v>
      </c>
      <c r="J2126">
        <v>0.34640360473790999</v>
      </c>
      <c r="K2126">
        <v>0.25127613318291703</v>
      </c>
      <c r="L2126">
        <v>714.77792933097703</v>
      </c>
      <c r="M2126">
        <v>11.296380393863201</v>
      </c>
      <c r="N2126">
        <v>63.274952200460802</v>
      </c>
      <c r="O2126">
        <v>61.389288679586898</v>
      </c>
      <c r="P2126">
        <v>-4.6017060524721702E-2</v>
      </c>
      <c r="Q2126">
        <v>0</v>
      </c>
      <c r="R2126">
        <v>0.90685972261232495</v>
      </c>
      <c r="S2126" t="s">
        <v>7952</v>
      </c>
      <c r="T2126" t="s">
        <v>11650</v>
      </c>
      <c r="U2126" t="s">
        <v>11650</v>
      </c>
      <c r="V2126" t="s">
        <v>11650</v>
      </c>
      <c r="W2126" t="s">
        <v>13735</v>
      </c>
      <c r="X2126">
        <v>1</v>
      </c>
      <c r="Y2126" t="s">
        <v>19461</v>
      </c>
      <c r="Z2126" t="s">
        <v>25188</v>
      </c>
      <c r="AA2126">
        <v>0.74995850963768651</v>
      </c>
      <c r="AB2126" t="str">
        <f>HYPERLINK("Melting_Curves/meltCurve_P25774_2_CTSS.pdf", "Melting_Curves/meltCurve_P25774_2_CTSS.pdf")</f>
        <v>Melting_Curves/meltCurve_P25774_2_CTSS.pdf</v>
      </c>
    </row>
    <row r="2127" spans="1:28" x14ac:dyDescent="0.25">
      <c r="A2127" t="s">
        <v>2131</v>
      </c>
      <c r="B2127">
        <v>0.99996721820229495</v>
      </c>
      <c r="C2127">
        <v>0.93763402925546402</v>
      </c>
      <c r="D2127">
        <v>0.884782210145038</v>
      </c>
      <c r="E2127">
        <v>0.84438727794475099</v>
      </c>
      <c r="F2127">
        <v>1.34721569613377</v>
      </c>
      <c r="G2127">
        <v>1.9971149128819701</v>
      </c>
      <c r="H2127">
        <v>2.3023115371485101</v>
      </c>
      <c r="I2127">
        <v>1.2898425711166499</v>
      </c>
      <c r="J2127">
        <v>0.23236436851787701</v>
      </c>
      <c r="K2127">
        <v>1.33302694458594</v>
      </c>
      <c r="L2127">
        <v>13174.608128645999</v>
      </c>
      <c r="M2127">
        <v>250</v>
      </c>
      <c r="O2127">
        <v>52.695060329765298</v>
      </c>
      <c r="P2127">
        <v>0.51111557401182095</v>
      </c>
      <c r="Q2127">
        <v>1.4309322542715399</v>
      </c>
      <c r="R2127">
        <v>0.182803287299661</v>
      </c>
      <c r="S2127" t="s">
        <v>7953</v>
      </c>
      <c r="T2127" t="s">
        <v>11650</v>
      </c>
      <c r="U2127" t="s">
        <v>11650</v>
      </c>
      <c r="V2127" t="s">
        <v>11650</v>
      </c>
      <c r="W2127" t="s">
        <v>13736</v>
      </c>
      <c r="X2127">
        <v>13</v>
      </c>
      <c r="Y2127" t="s">
        <v>19462</v>
      </c>
      <c r="Z2127" t="s">
        <v>25189</v>
      </c>
      <c r="AA2127">
        <v>1.2484869278918169</v>
      </c>
      <c r="AB2127" t="str">
        <f>HYPERLINK("Melting_Curves/meltCurve_P25786_PSMA1.pdf", "Melting_Curves/meltCurve_P25786_PSMA1.pdf")</f>
        <v>Melting_Curves/meltCurve_P25786_PSMA1.pdf</v>
      </c>
    </row>
    <row r="2128" spans="1:28" x14ac:dyDescent="0.25">
      <c r="A2128" t="s">
        <v>2132</v>
      </c>
      <c r="B2128">
        <v>0.99996721820229495</v>
      </c>
      <c r="C2128">
        <v>1.02835704733176</v>
      </c>
      <c r="D2128">
        <v>1.1142397201238401</v>
      </c>
      <c r="E2128">
        <v>1.3515504120701201</v>
      </c>
      <c r="F2128">
        <v>1.91427650057606</v>
      </c>
      <c r="G2128">
        <v>2.76837934222233</v>
      </c>
      <c r="H2128">
        <v>2.7636055859536701</v>
      </c>
      <c r="I2128">
        <v>1.7040678456909</v>
      </c>
      <c r="J2128">
        <v>0.37058373914165099</v>
      </c>
      <c r="K2128">
        <v>1.6048092836863499</v>
      </c>
      <c r="L2128">
        <v>2123.8798067289899</v>
      </c>
      <c r="M2128">
        <v>44.645129232703603</v>
      </c>
      <c r="O2128">
        <v>47.4773348081469</v>
      </c>
      <c r="P2128">
        <v>0.117543427394089</v>
      </c>
      <c r="Q2128">
        <v>1.5</v>
      </c>
      <c r="R2128">
        <v>0.110943592520781</v>
      </c>
      <c r="S2128" t="s">
        <v>7954</v>
      </c>
      <c r="T2128" t="s">
        <v>11650</v>
      </c>
      <c r="U2128" t="s">
        <v>11650</v>
      </c>
      <c r="V2128" t="s">
        <v>11650</v>
      </c>
      <c r="W2128" t="s">
        <v>13737</v>
      </c>
      <c r="X2128">
        <v>7</v>
      </c>
      <c r="Y2128" t="s">
        <v>19463</v>
      </c>
      <c r="Z2128" t="s">
        <v>25190</v>
      </c>
      <c r="AA2128">
        <v>1.372471429685197</v>
      </c>
      <c r="AB2128" t="str">
        <f>HYPERLINK("Melting_Curves/meltCurve_P25787_PSMA2.pdf", "Melting_Curves/meltCurve_P25787_PSMA2.pdf")</f>
        <v>Melting_Curves/meltCurve_P25787_PSMA2.pdf</v>
      </c>
    </row>
    <row r="2129" spans="1:28" x14ac:dyDescent="0.25">
      <c r="A2129" t="s">
        <v>2133</v>
      </c>
      <c r="B2129">
        <v>0.99996721820229495</v>
      </c>
      <c r="C2129">
        <v>1.0252569786894501</v>
      </c>
      <c r="D2129">
        <v>1.11876175924983</v>
      </c>
      <c r="E2129">
        <v>1.0790728527310001</v>
      </c>
      <c r="F2129">
        <v>1.6001492824549099</v>
      </c>
      <c r="G2129">
        <v>2.3746461255121201</v>
      </c>
      <c r="H2129">
        <v>2.7676952173615801</v>
      </c>
      <c r="I2129">
        <v>1.61626449242538</v>
      </c>
      <c r="J2129">
        <v>0.30326821018613598</v>
      </c>
      <c r="K2129">
        <v>1.4901738555295101</v>
      </c>
      <c r="L2129">
        <v>12583.6026622757</v>
      </c>
      <c r="M2129">
        <v>250</v>
      </c>
      <c r="O2129">
        <v>50.331182436492199</v>
      </c>
      <c r="P2129">
        <v>0.62088737196781396</v>
      </c>
      <c r="Q2129">
        <v>1.5</v>
      </c>
      <c r="R2129">
        <v>0.16224103543253601</v>
      </c>
      <c r="S2129" t="s">
        <v>7955</v>
      </c>
      <c r="T2129" t="s">
        <v>11650</v>
      </c>
      <c r="U2129" t="s">
        <v>11650</v>
      </c>
      <c r="V2129" t="s">
        <v>11650</v>
      </c>
      <c r="W2129" t="s">
        <v>13738</v>
      </c>
      <c r="X2129">
        <v>14</v>
      </c>
      <c r="Y2129" t="s">
        <v>19464</v>
      </c>
      <c r="Z2129" t="s">
        <v>25191</v>
      </c>
      <c r="AA2129">
        <v>1.3277156544612969</v>
      </c>
      <c r="AB2129" t="str">
        <f>HYPERLINK("Melting_Curves/meltCurve_P25788_2_PSMA3.pdf", "Melting_Curves/meltCurve_P25788_2_PSMA3.pdf")</f>
        <v>Melting_Curves/meltCurve_P25788_2_PSMA3.pdf</v>
      </c>
    </row>
    <row r="2130" spans="1:28" x14ac:dyDescent="0.25">
      <c r="A2130" t="s">
        <v>2134</v>
      </c>
      <c r="B2130">
        <v>0.99996721820229495</v>
      </c>
      <c r="C2130">
        <v>0.96933917904270905</v>
      </c>
      <c r="D2130">
        <v>0.75787674480325995</v>
      </c>
      <c r="E2130">
        <v>0.71115832429048997</v>
      </c>
      <c r="F2130">
        <v>1.3044177102077199</v>
      </c>
      <c r="G2130">
        <v>1.86845786510934</v>
      </c>
      <c r="H2130">
        <v>2.12910398707852</v>
      </c>
      <c r="I2130">
        <v>1.2070794760752901</v>
      </c>
      <c r="J2130">
        <v>0.36029287657506798</v>
      </c>
      <c r="K2130">
        <v>1.0103471468373499</v>
      </c>
      <c r="L2130">
        <v>13072.8374485063</v>
      </c>
      <c r="M2130">
        <v>250</v>
      </c>
      <c r="O2130">
        <v>52.288010158212003</v>
      </c>
      <c r="P2130">
        <v>0.376609618701645</v>
      </c>
      <c r="Q2130">
        <v>1.31507464065003</v>
      </c>
      <c r="R2130">
        <v>0.163274349685985</v>
      </c>
      <c r="S2130" t="s">
        <v>7956</v>
      </c>
      <c r="T2130" t="s">
        <v>11650</v>
      </c>
      <c r="U2130" t="s">
        <v>11650</v>
      </c>
      <c r="V2130" t="s">
        <v>11650</v>
      </c>
      <c r="W2130" t="s">
        <v>13739</v>
      </c>
      <c r="X2130">
        <v>7</v>
      </c>
      <c r="Y2130" t="s">
        <v>19465</v>
      </c>
      <c r="Z2130" t="s">
        <v>25192</v>
      </c>
      <c r="AA2130">
        <v>1.185955972109251</v>
      </c>
      <c r="AB2130" t="str">
        <f>HYPERLINK("Melting_Curves/meltCurve_P25789_PSMA4.pdf", "Melting_Curves/meltCurve_P25789_PSMA4.pdf")</f>
        <v>Melting_Curves/meltCurve_P25789_PSMA4.pdf</v>
      </c>
    </row>
    <row r="2131" spans="1:28" x14ac:dyDescent="0.25">
      <c r="A2131" t="s">
        <v>2135</v>
      </c>
      <c r="B2131">
        <v>0.99996721820229495</v>
      </c>
      <c r="C2131">
        <v>0.85270499964336399</v>
      </c>
      <c r="D2131">
        <v>1.0871495266375399</v>
      </c>
      <c r="E2131">
        <v>1.61503823828994</v>
      </c>
      <c r="F2131">
        <v>2.00490473089982</v>
      </c>
      <c r="G2131">
        <v>2.0849991364770699</v>
      </c>
      <c r="H2131">
        <v>1.6828032819596399</v>
      </c>
      <c r="I2131">
        <v>1.1410648223800799</v>
      </c>
      <c r="J2131">
        <v>0.51197868751535902</v>
      </c>
      <c r="K2131">
        <v>0.95369576334022998</v>
      </c>
      <c r="L2131">
        <v>2109.7678717559702</v>
      </c>
      <c r="M2131">
        <v>31.6747956399131</v>
      </c>
      <c r="O2131">
        <v>66.343347153267004</v>
      </c>
      <c r="P2131">
        <v>-2.7105912798366501E-2</v>
      </c>
      <c r="Q2131">
        <v>0.77290618497972896</v>
      </c>
      <c r="R2131">
        <v>-0.32836416350421199</v>
      </c>
      <c r="S2131" t="s">
        <v>7957</v>
      </c>
      <c r="T2131" t="s">
        <v>11650</v>
      </c>
      <c r="U2131" t="s">
        <v>11650</v>
      </c>
      <c r="V2131" t="s">
        <v>11650</v>
      </c>
      <c r="W2131" t="s">
        <v>13740</v>
      </c>
      <c r="X2131">
        <v>18</v>
      </c>
      <c r="Y2131" t="s">
        <v>19466</v>
      </c>
      <c r="Z2131" t="s">
        <v>25193</v>
      </c>
      <c r="AA2131">
        <v>0.97229678589648239</v>
      </c>
      <c r="AB2131" t="str">
        <f>HYPERLINK("Melting_Curves/meltCurve_P26006_ITGA3.pdf", "Melting_Curves/meltCurve_P26006_ITGA3.pdf")</f>
        <v>Melting_Curves/meltCurve_P26006_ITGA3.pdf</v>
      </c>
    </row>
    <row r="2132" spans="1:28" x14ac:dyDescent="0.25">
      <c r="A2132" t="s">
        <v>2136</v>
      </c>
      <c r="B2132">
        <v>0.99996721820229495</v>
      </c>
      <c r="C2132">
        <v>0.86441627911679098</v>
      </c>
      <c r="D2132">
        <v>0.85448421488707704</v>
      </c>
      <c r="E2132">
        <v>0.84040899652441503</v>
      </c>
      <c r="F2132">
        <v>0.82635024511837596</v>
      </c>
      <c r="G2132">
        <v>0.75241380384359202</v>
      </c>
      <c r="H2132">
        <v>0.48089251063848099</v>
      </c>
      <c r="I2132">
        <v>0.28666410461606201</v>
      </c>
      <c r="J2132">
        <v>0.22256248891532299</v>
      </c>
      <c r="K2132">
        <v>0.25745664693162001</v>
      </c>
      <c r="L2132">
        <v>591.37550049918195</v>
      </c>
      <c r="M2132">
        <v>9.7917048335675094</v>
      </c>
      <c r="N2132">
        <v>60.395542542586703</v>
      </c>
      <c r="O2132">
        <v>58.038137598678901</v>
      </c>
      <c r="P2132">
        <v>-4.2200124165745298E-2</v>
      </c>
      <c r="Q2132">
        <v>0</v>
      </c>
      <c r="R2132">
        <v>0.93533202698726903</v>
      </c>
      <c r="S2132" t="s">
        <v>7958</v>
      </c>
      <c r="T2132" t="s">
        <v>11650</v>
      </c>
      <c r="U2132" t="s">
        <v>11650</v>
      </c>
      <c r="V2132" t="s">
        <v>11650</v>
      </c>
      <c r="W2132" t="s">
        <v>13741</v>
      </c>
      <c r="X2132">
        <v>5</v>
      </c>
      <c r="Y2132" t="s">
        <v>19467</v>
      </c>
      <c r="Z2132" t="s">
        <v>25194</v>
      </c>
      <c r="AA2132">
        <v>0.67175583674026951</v>
      </c>
      <c r="AB2132" t="str">
        <f>HYPERLINK("Melting_Curves/meltCurve_P26022_PTX3.pdf", "Melting_Curves/meltCurve_P26022_PTX3.pdf")</f>
        <v>Melting_Curves/meltCurve_P26022_PTX3.pdf</v>
      </c>
    </row>
    <row r="2133" spans="1:28" x14ac:dyDescent="0.25">
      <c r="A2133" t="s">
        <v>2137</v>
      </c>
      <c r="B2133">
        <v>0.99996721820229495</v>
      </c>
      <c r="C2133">
        <v>0.96124470054526001</v>
      </c>
      <c r="D2133">
        <v>0.90697746924470202</v>
      </c>
      <c r="E2133">
        <v>1.04082450543895</v>
      </c>
      <c r="F2133">
        <v>0.33987009787767197</v>
      </c>
      <c r="G2133">
        <v>0.20375896313544201</v>
      </c>
      <c r="H2133">
        <v>0.112026315483088</v>
      </c>
      <c r="I2133">
        <v>7.9499559028601105E-2</v>
      </c>
      <c r="J2133">
        <v>6.4123730379182703E-2</v>
      </c>
      <c r="K2133">
        <v>5.09533207886671E-2</v>
      </c>
      <c r="L2133">
        <v>13195.8862070165</v>
      </c>
      <c r="M2133">
        <v>250</v>
      </c>
      <c r="N2133">
        <v>52.831800188828502</v>
      </c>
      <c r="O2133">
        <v>52.7801902129588</v>
      </c>
      <c r="P2133">
        <v>-1.06328723453772</v>
      </c>
      <c r="Q2133">
        <v>0.102072352889579</v>
      </c>
      <c r="R2133">
        <v>0.98464938072614805</v>
      </c>
      <c r="S2133" t="s">
        <v>7959</v>
      </c>
      <c r="T2133" t="s">
        <v>11650</v>
      </c>
      <c r="U2133" t="s">
        <v>11650</v>
      </c>
      <c r="V2133" t="s">
        <v>11650</v>
      </c>
      <c r="W2133" t="s">
        <v>13742</v>
      </c>
      <c r="X2133">
        <v>86</v>
      </c>
      <c r="Y2133" t="s">
        <v>19468</v>
      </c>
      <c r="Z2133" t="s">
        <v>25195</v>
      </c>
      <c r="AA2133">
        <v>0.48477880942819529</v>
      </c>
      <c r="AB2133" t="str">
        <f>HYPERLINK("Melting_Curves/meltCurve_P26038_MSN.pdf", "Melting_Curves/meltCurve_P26038_MSN.pdf")</f>
        <v>Melting_Curves/meltCurve_P26038_MSN.pdf</v>
      </c>
    </row>
    <row r="2134" spans="1:28" x14ac:dyDescent="0.25">
      <c r="A2134" t="s">
        <v>2138</v>
      </c>
      <c r="B2134">
        <v>0.99996721820229495</v>
      </c>
      <c r="C2134">
        <v>1.15429153448718</v>
      </c>
      <c r="D2134">
        <v>1.11253558547755</v>
      </c>
      <c r="E2134">
        <v>1.0199972896371601</v>
      </c>
      <c r="F2134">
        <v>0.55508159507880706</v>
      </c>
      <c r="G2134">
        <v>0.48002018980801298</v>
      </c>
      <c r="H2134">
        <v>0.35586806379802999</v>
      </c>
      <c r="I2134">
        <v>0.24264366732538001</v>
      </c>
      <c r="J2134">
        <v>0.179554612876555</v>
      </c>
      <c r="K2134">
        <v>0.12153254220835701</v>
      </c>
      <c r="L2134">
        <v>1056.86933815711</v>
      </c>
      <c r="M2134">
        <v>19.289524089015099</v>
      </c>
      <c r="N2134">
        <v>56.036480803475897</v>
      </c>
      <c r="O2134">
        <v>54.211131953970202</v>
      </c>
      <c r="P2134">
        <v>-7.3438494287233202E-2</v>
      </c>
      <c r="Q2134">
        <v>0.17446682659165599</v>
      </c>
      <c r="R2134">
        <v>0.93419538905577004</v>
      </c>
      <c r="S2134" t="s">
        <v>7960</v>
      </c>
      <c r="T2134" t="s">
        <v>11650</v>
      </c>
      <c r="U2134" t="s">
        <v>11650</v>
      </c>
      <c r="V2134" t="s">
        <v>11650</v>
      </c>
      <c r="W2134" t="s">
        <v>13743</v>
      </c>
      <c r="X2134">
        <v>11</v>
      </c>
      <c r="Y2134" t="s">
        <v>19469</v>
      </c>
      <c r="Z2134" t="s">
        <v>25196</v>
      </c>
      <c r="AA2134">
        <v>0.59311415435155268</v>
      </c>
      <c r="AB2134" t="str">
        <f>HYPERLINK("Melting_Curves/meltCurve_P26196_DDX6.pdf", "Melting_Curves/meltCurve_P26196_DDX6.pdf")</f>
        <v>Melting_Curves/meltCurve_P26196_DDX6.pdf</v>
      </c>
    </row>
    <row r="2135" spans="1:28" x14ac:dyDescent="0.25">
      <c r="A2135" t="s">
        <v>2139</v>
      </c>
      <c r="B2135">
        <v>0.99996721820229495</v>
      </c>
      <c r="C2135">
        <v>0.81341361362106201</v>
      </c>
      <c r="D2135">
        <v>0.77307287073678099</v>
      </c>
      <c r="E2135">
        <v>1.1624765293594801</v>
      </c>
      <c r="F2135">
        <v>1.00994039329884</v>
      </c>
      <c r="G2135">
        <v>0.80597647095541802</v>
      </c>
      <c r="H2135">
        <v>0.68215459485117202</v>
      </c>
      <c r="I2135">
        <v>0.60605642558662298</v>
      </c>
      <c r="J2135">
        <v>0.54360451985005098</v>
      </c>
      <c r="K2135">
        <v>0.46712787580672999</v>
      </c>
      <c r="L2135">
        <v>1258.399205614</v>
      </c>
      <c r="M2135">
        <v>21.099200789830299</v>
      </c>
      <c r="O2135">
        <v>59.114023814741003</v>
      </c>
      <c r="P2135">
        <v>-4.6535558250321803E-2</v>
      </c>
      <c r="Q2135">
        <v>0.47849556395849502</v>
      </c>
      <c r="R2135">
        <v>0.724394691958687</v>
      </c>
      <c r="S2135" t="s">
        <v>7961</v>
      </c>
      <c r="T2135" t="s">
        <v>11650</v>
      </c>
      <c r="U2135" t="s">
        <v>11650</v>
      </c>
      <c r="V2135" t="s">
        <v>11650</v>
      </c>
      <c r="W2135" t="s">
        <v>13744</v>
      </c>
      <c r="X2135">
        <v>12</v>
      </c>
      <c r="Y2135" t="s">
        <v>19470</v>
      </c>
      <c r="Z2135" t="s">
        <v>25197</v>
      </c>
      <c r="AA2135">
        <v>0.82454228548636999</v>
      </c>
      <c r="AB2135" t="str">
        <f>HYPERLINK("Melting_Curves/meltCurve_P26373_RPL13.pdf", "Melting_Curves/meltCurve_P26373_RPL13.pdf")</f>
        <v>Melting_Curves/meltCurve_P26373_RPL13.pdf</v>
      </c>
    </row>
    <row r="2136" spans="1:28" x14ac:dyDescent="0.25">
      <c r="A2136" t="s">
        <v>2140</v>
      </c>
      <c r="B2136">
        <v>0.99996721820229495</v>
      </c>
      <c r="C2136">
        <v>0.984910624048003</v>
      </c>
      <c r="D2136">
        <v>1.13533252305251</v>
      </c>
      <c r="E2136">
        <v>1.07589283847884</v>
      </c>
      <c r="F2136">
        <v>1.1714329446173799</v>
      </c>
      <c r="G2136">
        <v>0.71302105053528597</v>
      </c>
      <c r="H2136">
        <v>0.35894164905603998</v>
      </c>
      <c r="I2136">
        <v>0.22468317142040001</v>
      </c>
      <c r="J2136">
        <v>0.20025618605891701</v>
      </c>
      <c r="K2136">
        <v>0.13640297864548701</v>
      </c>
      <c r="L2136">
        <v>2100.7400860418602</v>
      </c>
      <c r="M2136">
        <v>35.954124043619601</v>
      </c>
      <c r="N2136">
        <v>59.151780843272803</v>
      </c>
      <c r="O2136">
        <v>58.2484836625272</v>
      </c>
      <c r="P2136">
        <v>-0.126862751072334</v>
      </c>
      <c r="Q2136">
        <v>0.177892466724899</v>
      </c>
      <c r="R2136">
        <v>0.95892163494041305</v>
      </c>
      <c r="S2136" t="s">
        <v>7962</v>
      </c>
      <c r="T2136" t="s">
        <v>11650</v>
      </c>
      <c r="U2136" t="s">
        <v>11650</v>
      </c>
      <c r="V2136" t="s">
        <v>11650</v>
      </c>
      <c r="W2136" t="s">
        <v>13745</v>
      </c>
      <c r="X2136">
        <v>7</v>
      </c>
      <c r="Y2136" t="s">
        <v>19471</v>
      </c>
      <c r="Z2136" t="s">
        <v>25198</v>
      </c>
      <c r="AA2136">
        <v>0.68683489778845574</v>
      </c>
      <c r="AB2136" t="str">
        <f>HYPERLINK("Melting_Curves/meltCurve_P26374_CHML.pdf", "Melting_Curves/meltCurve_P26374_CHML.pdf")</f>
        <v>Melting_Curves/meltCurve_P26374_CHML.pdf</v>
      </c>
    </row>
    <row r="2137" spans="1:28" x14ac:dyDescent="0.25">
      <c r="A2137" t="s">
        <v>2141</v>
      </c>
      <c r="B2137">
        <v>0.99996721820229495</v>
      </c>
      <c r="C2137">
        <v>0.99501501849198604</v>
      </c>
      <c r="D2137">
        <v>1.1748959978924101</v>
      </c>
      <c r="E2137">
        <v>1.5150872170454699</v>
      </c>
      <c r="F2137">
        <v>1.3456005721294899</v>
      </c>
      <c r="G2137">
        <v>1.0882282532348699</v>
      </c>
      <c r="H2137">
        <v>0.57894648670459004</v>
      </c>
      <c r="I2137">
        <v>0.223734145874428</v>
      </c>
      <c r="J2137">
        <v>0.13629709750427799</v>
      </c>
      <c r="K2137">
        <v>0.10804882941782901</v>
      </c>
      <c r="L2137">
        <v>3659.2659246111398</v>
      </c>
      <c r="M2137">
        <v>59.869236923228897</v>
      </c>
      <c r="N2137">
        <v>61.440176147084202</v>
      </c>
      <c r="O2137">
        <v>61.052892178796398</v>
      </c>
      <c r="P2137">
        <v>-0.212386402459638</v>
      </c>
      <c r="Q2137">
        <v>0.13365870430086901</v>
      </c>
      <c r="R2137">
        <v>0.82250558305652499</v>
      </c>
      <c r="S2137" t="s">
        <v>7963</v>
      </c>
      <c r="T2137" t="s">
        <v>11650</v>
      </c>
      <c r="U2137" t="s">
        <v>11650</v>
      </c>
      <c r="V2137" t="s">
        <v>11650</v>
      </c>
      <c r="W2137" t="s">
        <v>13746</v>
      </c>
      <c r="X2137">
        <v>15</v>
      </c>
      <c r="Y2137" t="s">
        <v>19472</v>
      </c>
      <c r="Z2137" t="s">
        <v>25199</v>
      </c>
      <c r="AA2137">
        <v>0.74519713005703847</v>
      </c>
      <c r="AB2137" t="str">
        <f>HYPERLINK("Melting_Curves/meltCurve_P26440_IVD.pdf", "Melting_Curves/meltCurve_P26440_IVD.pdf")</f>
        <v>Melting_Curves/meltCurve_P26440_IVD.pdf</v>
      </c>
    </row>
    <row r="2138" spans="1:28" x14ac:dyDescent="0.25">
      <c r="A2138" t="s">
        <v>2142</v>
      </c>
      <c r="B2138">
        <v>0.99996721820229495</v>
      </c>
      <c r="C2138">
        <v>0.85477392178395095</v>
      </c>
      <c r="D2138">
        <v>0.78021918620303399</v>
      </c>
      <c r="E2138">
        <v>0.86108931891538298</v>
      </c>
      <c r="F2138">
        <v>1.01570509576974</v>
      </c>
      <c r="G2138">
        <v>0.80578264022193502</v>
      </c>
      <c r="H2138">
        <v>0.57308626280161001</v>
      </c>
      <c r="I2138">
        <v>0.36429499513504598</v>
      </c>
      <c r="J2138">
        <v>0.23553225467015099</v>
      </c>
      <c r="K2138">
        <v>0.15314338315863901</v>
      </c>
      <c r="L2138">
        <v>971.66253922269505</v>
      </c>
      <c r="M2138">
        <v>15.6611893450193</v>
      </c>
      <c r="N2138">
        <v>62.042704362785898</v>
      </c>
      <c r="O2138">
        <v>61.057557499675099</v>
      </c>
      <c r="P2138">
        <v>-6.4130166725757498E-2</v>
      </c>
      <c r="Q2138">
        <v>0</v>
      </c>
      <c r="R2138">
        <v>0.90113747478359996</v>
      </c>
      <c r="S2138" t="s">
        <v>7964</v>
      </c>
      <c r="T2138" t="s">
        <v>11650</v>
      </c>
      <c r="U2138" t="s">
        <v>11650</v>
      </c>
      <c r="V2138" t="s">
        <v>11650</v>
      </c>
      <c r="W2138" t="s">
        <v>13747</v>
      </c>
      <c r="X2138">
        <v>12</v>
      </c>
      <c r="Y2138" t="s">
        <v>19473</v>
      </c>
      <c r="Z2138" t="s">
        <v>25200</v>
      </c>
      <c r="AA2138">
        <v>0.73293214794827988</v>
      </c>
      <c r="AB2138" t="str">
        <f>HYPERLINK("Melting_Curves/meltCurve_P26447_S100A4.pdf", "Melting_Curves/meltCurve_P26447_S100A4.pdf")</f>
        <v>Melting_Curves/meltCurve_P26447_S100A4.pdf</v>
      </c>
    </row>
    <row r="2139" spans="1:28" x14ac:dyDescent="0.25">
      <c r="A2139" t="s">
        <v>2143</v>
      </c>
      <c r="B2139">
        <v>0.99996721820229495</v>
      </c>
      <c r="C2139">
        <v>0.90501947892613199</v>
      </c>
      <c r="D2139">
        <v>0.94102556815917504</v>
      </c>
      <c r="E2139">
        <v>0.98317339950367599</v>
      </c>
      <c r="F2139">
        <v>0.42989365034849297</v>
      </c>
      <c r="G2139">
        <v>0.21950656936038099</v>
      </c>
      <c r="H2139">
        <v>0.129182564255161</v>
      </c>
      <c r="I2139">
        <v>7.6954332048814994E-2</v>
      </c>
      <c r="J2139">
        <v>6.57393474838881E-2</v>
      </c>
      <c r="K2139">
        <v>4.2359768806874899E-2</v>
      </c>
      <c r="L2139">
        <v>3037.6418696871201</v>
      </c>
      <c r="M2139">
        <v>57.821006895509001</v>
      </c>
      <c r="N2139">
        <v>52.746850152556</v>
      </c>
      <c r="O2139">
        <v>52.472534254773798</v>
      </c>
      <c r="P2139">
        <v>-0.246969075640386</v>
      </c>
      <c r="Q2139">
        <v>0.103503186723348</v>
      </c>
      <c r="R2139">
        <v>0.98090137591134796</v>
      </c>
      <c r="S2139" t="s">
        <v>7965</v>
      </c>
      <c r="T2139" t="s">
        <v>11650</v>
      </c>
      <c r="U2139" t="s">
        <v>11650</v>
      </c>
      <c r="V2139" t="s">
        <v>11650</v>
      </c>
      <c r="W2139" t="s">
        <v>13748</v>
      </c>
      <c r="X2139">
        <v>10</v>
      </c>
      <c r="Y2139" t="s">
        <v>19474</v>
      </c>
      <c r="Z2139" t="s">
        <v>25201</v>
      </c>
      <c r="AA2139">
        <v>0.4796485972669885</v>
      </c>
      <c r="AB2139" t="str">
        <f>HYPERLINK("Melting_Curves/meltCurve_P26572_MGAT1.pdf", "Melting_Curves/meltCurve_P26572_MGAT1.pdf")</f>
        <v>Melting_Curves/meltCurve_P26572_MGAT1.pdf</v>
      </c>
    </row>
    <row r="2140" spans="1:28" x14ac:dyDescent="0.25">
      <c r="A2140" t="s">
        <v>2144</v>
      </c>
      <c r="B2140">
        <v>0.99996721820229495</v>
      </c>
      <c r="C2140">
        <v>0.87711839098598599</v>
      </c>
      <c r="D2140">
        <v>0.78010624905319403</v>
      </c>
      <c r="E2140">
        <v>0.883490301451481</v>
      </c>
      <c r="F2140">
        <v>0.89903440340349805</v>
      </c>
      <c r="G2140">
        <v>0.88792478118096196</v>
      </c>
      <c r="H2140">
        <v>0.75679692745202898</v>
      </c>
      <c r="I2140">
        <v>0.88101406383227598</v>
      </c>
      <c r="J2140">
        <v>0.49131319308854399</v>
      </c>
      <c r="K2140">
        <v>0.39268570635236</v>
      </c>
      <c r="L2140">
        <v>739.22677967635195</v>
      </c>
      <c r="M2140">
        <v>10.7806619487575</v>
      </c>
      <c r="N2140">
        <v>68.569702302261405</v>
      </c>
      <c r="O2140">
        <v>66.336780593409301</v>
      </c>
      <c r="P2140">
        <v>-4.0643341356531901E-2</v>
      </c>
      <c r="Q2140">
        <v>0</v>
      </c>
      <c r="R2140">
        <v>0.63767757919380996</v>
      </c>
      <c r="S2140" t="s">
        <v>7966</v>
      </c>
      <c r="T2140" t="s">
        <v>11650</v>
      </c>
      <c r="U2140" t="s">
        <v>11650</v>
      </c>
      <c r="V2140" t="s">
        <v>11650</v>
      </c>
      <c r="W2140" t="s">
        <v>13749</v>
      </c>
      <c r="X2140">
        <v>13</v>
      </c>
      <c r="Y2140" t="s">
        <v>19475</v>
      </c>
      <c r="Z2140" t="s">
        <v>25202</v>
      </c>
      <c r="AA2140">
        <v>0.85304943533365396</v>
      </c>
      <c r="AB2140" t="str">
        <f>HYPERLINK("Melting_Curves/meltCurve_P26583_HMGB2.pdf", "Melting_Curves/meltCurve_P26583_HMGB2.pdf")</f>
        <v>Melting_Curves/meltCurve_P26583_HMGB2.pdf</v>
      </c>
    </row>
    <row r="2141" spans="1:28" x14ac:dyDescent="0.25">
      <c r="A2141" t="s">
        <v>2145</v>
      </c>
      <c r="B2141">
        <v>0.99996721820229495</v>
      </c>
      <c r="C2141">
        <v>1.0599689659062199</v>
      </c>
      <c r="D2141">
        <v>0.88261836923050396</v>
      </c>
      <c r="E2141">
        <v>0.87061033232679397</v>
      </c>
      <c r="F2141">
        <v>0.47899186304939401</v>
      </c>
      <c r="G2141">
        <v>0.36571131026259601</v>
      </c>
      <c r="H2141">
        <v>0.227466059363577</v>
      </c>
      <c r="I2141">
        <v>0.209425119634433</v>
      </c>
      <c r="J2141">
        <v>0.16072089810048901</v>
      </c>
      <c r="K2141">
        <v>0.129802592834798</v>
      </c>
      <c r="L2141">
        <v>1008.15751082587</v>
      </c>
      <c r="M2141">
        <v>19.088174653897202</v>
      </c>
      <c r="N2141">
        <v>53.870560013040397</v>
      </c>
      <c r="O2141">
        <v>52.246384317019597</v>
      </c>
      <c r="P2141">
        <v>-7.7098946517073899E-2</v>
      </c>
      <c r="Q2141">
        <v>0.15592066476187899</v>
      </c>
      <c r="R2141">
        <v>0.97767007450908705</v>
      </c>
      <c r="S2141" t="s">
        <v>7967</v>
      </c>
      <c r="T2141" t="s">
        <v>11650</v>
      </c>
      <c r="U2141" t="s">
        <v>11650</v>
      </c>
      <c r="V2141" t="s">
        <v>11650</v>
      </c>
      <c r="W2141" t="s">
        <v>13750</v>
      </c>
      <c r="X2141">
        <v>9</v>
      </c>
      <c r="Y2141" t="s">
        <v>19476</v>
      </c>
      <c r="Z2141" t="s">
        <v>25203</v>
      </c>
      <c r="AA2141">
        <v>0.52909352818061894</v>
      </c>
      <c r="AB2141" t="str">
        <f>HYPERLINK("Melting_Curves/meltCurve_P26599_PTBP1.pdf", "Melting_Curves/meltCurve_P26599_PTBP1.pdf")</f>
        <v>Melting_Curves/meltCurve_P26599_PTBP1.pdf</v>
      </c>
    </row>
    <row r="2142" spans="1:28" x14ac:dyDescent="0.25">
      <c r="A2142" t="s">
        <v>2146</v>
      </c>
      <c r="B2142">
        <v>0.99996721820229495</v>
      </c>
      <c r="C2142">
        <v>1.0070889208609799</v>
      </c>
      <c r="D2142">
        <v>1.2626073897447001</v>
      </c>
      <c r="E2142">
        <v>1.5461884817104099</v>
      </c>
      <c r="F2142">
        <v>0.90826310716886505</v>
      </c>
      <c r="G2142">
        <v>0.48635801401301598</v>
      </c>
      <c r="H2142">
        <v>0.30735031795097001</v>
      </c>
      <c r="I2142">
        <v>0.218444314374236</v>
      </c>
      <c r="J2142">
        <v>0.17738537575143901</v>
      </c>
      <c r="K2142">
        <v>0.127833565383148</v>
      </c>
      <c r="L2142">
        <v>2360.9303754255502</v>
      </c>
      <c r="M2142">
        <v>41.909797008627898</v>
      </c>
      <c r="N2142">
        <v>57.007157598500399</v>
      </c>
      <c r="O2142">
        <v>56.205818317815599</v>
      </c>
      <c r="P2142">
        <v>-0.15001264729677399</v>
      </c>
      <c r="Q2142">
        <v>0.19526523273883201</v>
      </c>
      <c r="R2142">
        <v>0.831981765618236</v>
      </c>
      <c r="S2142" t="s">
        <v>7968</v>
      </c>
      <c r="T2142" t="s">
        <v>11650</v>
      </c>
      <c r="U2142" t="s">
        <v>11650</v>
      </c>
      <c r="V2142" t="s">
        <v>11650</v>
      </c>
      <c r="W2142" t="s">
        <v>13751</v>
      </c>
      <c r="X2142">
        <v>22</v>
      </c>
      <c r="Y2142" t="s">
        <v>19477</v>
      </c>
      <c r="Z2142" t="s">
        <v>25204</v>
      </c>
      <c r="AA2142">
        <v>0.63624265343174902</v>
      </c>
      <c r="AB2142" t="str">
        <f>HYPERLINK("Melting_Curves/meltCurve_P26639_TARS.pdf", "Melting_Curves/meltCurve_P26639_TARS.pdf")</f>
        <v>Melting_Curves/meltCurve_P26639_TARS.pdf</v>
      </c>
    </row>
    <row r="2143" spans="1:28" x14ac:dyDescent="0.25">
      <c r="A2143" t="s">
        <v>2147</v>
      </c>
      <c r="B2143">
        <v>0.99996721820229495</v>
      </c>
      <c r="C2143">
        <v>0.88853309524921498</v>
      </c>
      <c r="D2143">
        <v>0.91339454044849999</v>
      </c>
      <c r="E2143">
        <v>1.3385299844091501</v>
      </c>
      <c r="F2143">
        <v>0.39601340240477301</v>
      </c>
      <c r="G2143">
        <v>0.32988962163386298</v>
      </c>
      <c r="H2143">
        <v>0.18397973603430401</v>
      </c>
      <c r="I2143">
        <v>0.122640695219865</v>
      </c>
      <c r="J2143">
        <v>0.104596560107118</v>
      </c>
      <c r="K2143">
        <v>7.6823100372650804E-2</v>
      </c>
      <c r="L2143">
        <v>13199.3869022134</v>
      </c>
      <c r="M2143">
        <v>250</v>
      </c>
      <c r="N2143">
        <v>52.8813697570342</v>
      </c>
      <c r="O2143">
        <v>52.794168928614901</v>
      </c>
      <c r="P2143">
        <v>-0.99018300754427302</v>
      </c>
      <c r="Q2143">
        <v>0.16358577765158899</v>
      </c>
      <c r="R2143">
        <v>0.90675508145283501</v>
      </c>
      <c r="S2143" t="s">
        <v>7969</v>
      </c>
      <c r="T2143" t="s">
        <v>11650</v>
      </c>
      <c r="U2143" t="s">
        <v>11650</v>
      </c>
      <c r="V2143" t="s">
        <v>11650</v>
      </c>
      <c r="W2143" t="s">
        <v>13752</v>
      </c>
      <c r="X2143">
        <v>14</v>
      </c>
      <c r="Y2143" t="s">
        <v>19478</v>
      </c>
      <c r="Z2143" t="s">
        <v>25205</v>
      </c>
      <c r="AA2143">
        <v>0.52046497322611729</v>
      </c>
      <c r="AB2143" t="str">
        <f>HYPERLINK("Melting_Curves/meltCurve_P26641_EEF1G.pdf", "Melting_Curves/meltCurve_P26641_EEF1G.pdf")</f>
        <v>Melting_Curves/meltCurve_P26641_EEF1G.pdf</v>
      </c>
    </row>
    <row r="2144" spans="1:28" x14ac:dyDescent="0.25">
      <c r="A2144" t="s">
        <v>2148</v>
      </c>
      <c r="B2144">
        <v>0.99996721820229495</v>
      </c>
      <c r="C2144">
        <v>0.96892568807560797</v>
      </c>
      <c r="D2144">
        <v>0.88227438367011601</v>
      </c>
      <c r="E2144">
        <v>0.92782655555632898</v>
      </c>
      <c r="F2144">
        <v>0.976335031276784</v>
      </c>
      <c r="G2144">
        <v>0.81040210712038496</v>
      </c>
      <c r="H2144">
        <v>0.45605278815442002</v>
      </c>
      <c r="I2144">
        <v>0.25042930092739002</v>
      </c>
      <c r="J2144">
        <v>0.15992450282516399</v>
      </c>
      <c r="K2144">
        <v>0.12432830784820501</v>
      </c>
      <c r="L2144">
        <v>1483.3197979945401</v>
      </c>
      <c r="M2144">
        <v>24.727937706258501</v>
      </c>
      <c r="N2144">
        <v>60.509414190174098</v>
      </c>
      <c r="O2144">
        <v>59.5974024738316</v>
      </c>
      <c r="P2144">
        <v>-9.3735697440840204E-2</v>
      </c>
      <c r="Q2144">
        <v>9.6353896285775995E-2</v>
      </c>
      <c r="R2144">
        <v>0.98403965927816095</v>
      </c>
      <c r="S2144" t="s">
        <v>7970</v>
      </c>
      <c r="T2144" t="s">
        <v>11650</v>
      </c>
      <c r="U2144" t="s">
        <v>11650</v>
      </c>
      <c r="V2144" t="s">
        <v>11650</v>
      </c>
      <c r="W2144" t="s">
        <v>13753</v>
      </c>
      <c r="X2144">
        <v>10</v>
      </c>
      <c r="Y2144" t="s">
        <v>19479</v>
      </c>
      <c r="Z2144" t="s">
        <v>25206</v>
      </c>
      <c r="AA2144">
        <v>0.70513215369294424</v>
      </c>
      <c r="AB2144" t="str">
        <f>HYPERLINK("Melting_Curves/meltCurve_P26885_FKBP2.pdf", "Melting_Curves/meltCurve_P26885_FKBP2.pdf")</f>
        <v>Melting_Curves/meltCurve_P26885_FKBP2.pdf</v>
      </c>
    </row>
    <row r="2145" spans="1:28" x14ac:dyDescent="0.25">
      <c r="A2145" t="s">
        <v>2149</v>
      </c>
      <c r="B2145">
        <v>0.99996721820229495</v>
      </c>
      <c r="C2145">
        <v>0.85105111239679998</v>
      </c>
      <c r="D2145">
        <v>0.84087646160053997</v>
      </c>
      <c r="E2145">
        <v>0.84411536224830097</v>
      </c>
      <c r="F2145">
        <v>0.53734856186264701</v>
      </c>
      <c r="G2145">
        <v>0.27760789514193301</v>
      </c>
      <c r="H2145">
        <v>0.150460320942713</v>
      </c>
      <c r="I2145">
        <v>0.116326809352066</v>
      </c>
      <c r="J2145">
        <v>8.4450053969218397E-2</v>
      </c>
      <c r="K2145">
        <v>8.0942799738945304E-2</v>
      </c>
      <c r="L2145">
        <v>797.96691510475705</v>
      </c>
      <c r="M2145">
        <v>14.9291088577334</v>
      </c>
      <c r="N2145">
        <v>53.716556827233099</v>
      </c>
      <c r="O2145">
        <v>52.518889899419797</v>
      </c>
      <c r="P2145">
        <v>-6.85391274770175E-2</v>
      </c>
      <c r="Q2145">
        <v>3.5648516177140398E-2</v>
      </c>
      <c r="R2145">
        <v>0.97375418113201795</v>
      </c>
      <c r="S2145" t="s">
        <v>7971</v>
      </c>
      <c r="T2145" t="s">
        <v>11650</v>
      </c>
      <c r="U2145" t="s">
        <v>11650</v>
      </c>
      <c r="V2145" t="s">
        <v>11650</v>
      </c>
      <c r="W2145" t="s">
        <v>13754</v>
      </c>
      <c r="X2145">
        <v>8</v>
      </c>
      <c r="Y2145" t="s">
        <v>19480</v>
      </c>
      <c r="Z2145" t="s">
        <v>25207</v>
      </c>
      <c r="AA2145">
        <v>0.48848062380236412</v>
      </c>
      <c r="AB2145" t="str">
        <f>HYPERLINK("Melting_Curves/meltCurve_P27144_AK4.pdf", "Melting_Curves/meltCurve_P27144_AK4.pdf")</f>
        <v>Melting_Curves/meltCurve_P27144_AK4.pdf</v>
      </c>
    </row>
    <row r="2146" spans="1:28" x14ac:dyDescent="0.25">
      <c r="A2146" t="s">
        <v>2150</v>
      </c>
      <c r="B2146">
        <v>0.99996721820229495</v>
      </c>
      <c r="C2146">
        <v>0.78492706424830905</v>
      </c>
      <c r="D2146">
        <v>0.95192945687119701</v>
      </c>
      <c r="E2146">
        <v>1.18521758166927</v>
      </c>
      <c r="F2146">
        <v>1.54497926760839</v>
      </c>
      <c r="G2146">
        <v>1.6224860387387501</v>
      </c>
      <c r="H2146">
        <v>1.2438034601041199</v>
      </c>
      <c r="I2146">
        <v>0.66612721348474302</v>
      </c>
      <c r="J2146">
        <v>0.314520574037708</v>
      </c>
      <c r="K2146">
        <v>0.30993555077549501</v>
      </c>
      <c r="L2146">
        <v>15000</v>
      </c>
      <c r="M2146">
        <v>234.31666180081601</v>
      </c>
      <c r="N2146">
        <v>64.284610041514497</v>
      </c>
      <c r="O2146">
        <v>64.011270943257401</v>
      </c>
      <c r="P2146">
        <v>-0.62941674832127004</v>
      </c>
      <c r="Q2146">
        <v>0.312216798855878</v>
      </c>
      <c r="R2146">
        <v>0.55789893483029496</v>
      </c>
      <c r="S2146" t="s">
        <v>7972</v>
      </c>
      <c r="T2146" t="s">
        <v>11650</v>
      </c>
      <c r="U2146" t="s">
        <v>11650</v>
      </c>
      <c r="V2146" t="s">
        <v>11650</v>
      </c>
      <c r="W2146" t="s">
        <v>13755</v>
      </c>
      <c r="X2146">
        <v>18</v>
      </c>
      <c r="Y2146" t="s">
        <v>19481</v>
      </c>
      <c r="Z2146" t="s">
        <v>25208</v>
      </c>
      <c r="AA2146">
        <v>0.86289663152424034</v>
      </c>
      <c r="AB2146" t="str">
        <f>HYPERLINK("Melting_Curves/meltCurve_P27338_MAOB.pdf", "Melting_Curves/meltCurve_P27338_MAOB.pdf")</f>
        <v>Melting_Curves/meltCurve_P27338_MAOB.pdf</v>
      </c>
    </row>
    <row r="2147" spans="1:28" x14ac:dyDescent="0.25">
      <c r="A2147" t="s">
        <v>2151</v>
      </c>
      <c r="B2147">
        <v>0.99996721820229495</v>
      </c>
      <c r="C2147">
        <v>1.08601765118377</v>
      </c>
      <c r="D2147">
        <v>1.10334827610196</v>
      </c>
      <c r="E2147">
        <v>1.0695300693316201</v>
      </c>
      <c r="F2147">
        <v>0.61334256006597898</v>
      </c>
      <c r="G2147">
        <v>0.283832805731422</v>
      </c>
      <c r="H2147">
        <v>0.13861542493506701</v>
      </c>
      <c r="I2147">
        <v>9.06689486778188E-2</v>
      </c>
      <c r="J2147">
        <v>7.0359057904728795E-2</v>
      </c>
      <c r="K2147">
        <v>5.6622893441924303E-2</v>
      </c>
      <c r="L2147">
        <v>1753.61864784464</v>
      </c>
      <c r="M2147">
        <v>32.449526669346803</v>
      </c>
      <c r="N2147">
        <v>54.3683135110386</v>
      </c>
      <c r="O2147">
        <v>53.8374235487993</v>
      </c>
      <c r="P2147">
        <v>-0.137329227246206</v>
      </c>
      <c r="Q2147">
        <v>8.8625649573158202E-2</v>
      </c>
      <c r="R2147">
        <v>0.97687429202573794</v>
      </c>
      <c r="S2147" t="s">
        <v>7973</v>
      </c>
      <c r="T2147" t="s">
        <v>11650</v>
      </c>
      <c r="U2147" t="s">
        <v>11650</v>
      </c>
      <c r="V2147" t="s">
        <v>11650</v>
      </c>
      <c r="W2147" t="s">
        <v>13756</v>
      </c>
      <c r="X2147">
        <v>25</v>
      </c>
      <c r="Y2147" t="s">
        <v>19482</v>
      </c>
      <c r="Z2147" t="s">
        <v>25209</v>
      </c>
      <c r="AA2147">
        <v>0.52033448422354778</v>
      </c>
      <c r="AB2147" t="str">
        <f>HYPERLINK("Melting_Curves/meltCurve_P27348_YWHAQ.pdf", "Melting_Curves/meltCurve_P27348_YWHAQ.pdf")</f>
        <v>Melting_Curves/meltCurve_P27348_YWHAQ.pdf</v>
      </c>
    </row>
    <row r="2148" spans="1:28" x14ac:dyDescent="0.25">
      <c r="A2148" t="s">
        <v>2152</v>
      </c>
      <c r="B2148">
        <v>0.99996721820229495</v>
      </c>
      <c r="C2148">
        <v>1.10397418792559</v>
      </c>
      <c r="D2148">
        <v>0.96005190141642904</v>
      </c>
      <c r="E2148">
        <v>0.75160585717069395</v>
      </c>
      <c r="F2148">
        <v>0.51305590489219299</v>
      </c>
      <c r="G2148">
        <v>0.37909485192141801</v>
      </c>
      <c r="H2148">
        <v>0.26436928700840501</v>
      </c>
      <c r="I2148">
        <v>0.15115781665212799</v>
      </c>
      <c r="J2148">
        <v>0.10895632962782401</v>
      </c>
      <c r="K2148">
        <v>9.5329590132622696E-2</v>
      </c>
      <c r="L2148">
        <v>816.20809809789</v>
      </c>
      <c r="M2148">
        <v>15.288122602685901</v>
      </c>
      <c r="N2148">
        <v>54.112971007973798</v>
      </c>
      <c r="O2148">
        <v>52.499948114293304</v>
      </c>
      <c r="P2148">
        <v>-6.6068488625936894E-2</v>
      </c>
      <c r="Q2148">
        <v>9.2559479418948903E-2</v>
      </c>
      <c r="R2148">
        <v>0.981576711939663</v>
      </c>
      <c r="S2148" t="s">
        <v>7974</v>
      </c>
      <c r="T2148" t="s">
        <v>11650</v>
      </c>
      <c r="U2148" t="s">
        <v>11650</v>
      </c>
      <c r="V2148" t="s">
        <v>11650</v>
      </c>
      <c r="W2148" t="s">
        <v>13757</v>
      </c>
      <c r="X2148">
        <v>22</v>
      </c>
      <c r="Y2148" t="s">
        <v>19483</v>
      </c>
      <c r="Z2148" t="s">
        <v>25210</v>
      </c>
      <c r="AA2148">
        <v>0.5162409401744068</v>
      </c>
      <c r="AB2148" t="str">
        <f>HYPERLINK("Melting_Curves/meltCurve_P27361_MAPK3.pdf", "Melting_Curves/meltCurve_P27361_MAPK3.pdf")</f>
        <v>Melting_Curves/meltCurve_P27361_MAPK3.pdf</v>
      </c>
    </row>
    <row r="2149" spans="1:28" x14ac:dyDescent="0.25">
      <c r="A2149" t="s">
        <v>2153</v>
      </c>
      <c r="B2149">
        <v>0.99996721820229495</v>
      </c>
      <c r="C2149">
        <v>0.97778751211845905</v>
      </c>
      <c r="D2149">
        <v>1.1294291519692701</v>
      </c>
      <c r="E2149">
        <v>1.1027033926323599</v>
      </c>
      <c r="F2149">
        <v>1.2448553395847499</v>
      </c>
      <c r="G2149">
        <v>1.2574494655117801</v>
      </c>
      <c r="H2149">
        <v>0.82790400763118899</v>
      </c>
      <c r="I2149">
        <v>0.51955362606561895</v>
      </c>
      <c r="J2149">
        <v>0.30454242170093099</v>
      </c>
      <c r="K2149">
        <v>0.63289668647118602</v>
      </c>
      <c r="L2149">
        <v>5211.1054024494497</v>
      </c>
      <c r="M2149">
        <v>84.683345823998394</v>
      </c>
      <c r="N2149">
        <v>63.911026404788103</v>
      </c>
      <c r="O2149">
        <v>61.502079804596498</v>
      </c>
      <c r="P2149">
        <v>-0.179516401829072</v>
      </c>
      <c r="Q2149">
        <v>0.478498168922672</v>
      </c>
      <c r="R2149">
        <v>0.77570619023475695</v>
      </c>
      <c r="S2149" t="s">
        <v>7975</v>
      </c>
      <c r="T2149" t="s">
        <v>11650</v>
      </c>
      <c r="U2149" t="s">
        <v>11650</v>
      </c>
      <c r="V2149" t="s">
        <v>11650</v>
      </c>
      <c r="W2149" t="s">
        <v>13758</v>
      </c>
      <c r="X2149">
        <v>3</v>
      </c>
      <c r="Y2149" t="s">
        <v>19484</v>
      </c>
      <c r="Z2149" t="s">
        <v>25211</v>
      </c>
      <c r="AA2149">
        <v>0.85336440664121838</v>
      </c>
      <c r="AB2149" t="str">
        <f>HYPERLINK("Melting_Curves/meltCurve_P27487_DPP4.pdf", "Melting_Curves/meltCurve_P27487_DPP4.pdf")</f>
        <v>Melting_Curves/meltCurve_P27487_DPP4.pdf</v>
      </c>
    </row>
    <row r="2150" spans="1:28" x14ac:dyDescent="0.25">
      <c r="A2150" t="s">
        <v>2154</v>
      </c>
      <c r="B2150">
        <v>0.99996721820229495</v>
      </c>
      <c r="C2150">
        <v>0.99216994978224204</v>
      </c>
      <c r="D2150">
        <v>0.88904797992470497</v>
      </c>
      <c r="E2150">
        <v>0.83212370547956105</v>
      </c>
      <c r="F2150">
        <v>0.79102317608505202</v>
      </c>
      <c r="G2150">
        <v>0.88704863257795996</v>
      </c>
      <c r="H2150">
        <v>0.64889637283956603</v>
      </c>
      <c r="I2150">
        <v>0.50692052664535903</v>
      </c>
      <c r="J2150">
        <v>0.38964428479334701</v>
      </c>
      <c r="K2150">
        <v>0.29502684649336502</v>
      </c>
      <c r="L2150">
        <v>554.23773685321703</v>
      </c>
      <c r="M2150">
        <v>8.6141479236254099</v>
      </c>
      <c r="N2150">
        <v>64.340397648558394</v>
      </c>
      <c r="O2150">
        <v>61.154654283074599</v>
      </c>
      <c r="P2150">
        <v>-3.5244791061115797E-2</v>
      </c>
      <c r="Q2150">
        <v>0</v>
      </c>
      <c r="R2150">
        <v>0.92737510208357998</v>
      </c>
      <c r="S2150" t="s">
        <v>7976</v>
      </c>
      <c r="T2150" t="s">
        <v>11650</v>
      </c>
      <c r="U2150" t="s">
        <v>11650</v>
      </c>
      <c r="V2150" t="s">
        <v>11650</v>
      </c>
      <c r="W2150" t="s">
        <v>13759</v>
      </c>
      <c r="X2150">
        <v>3</v>
      </c>
      <c r="Y2150" t="s">
        <v>19485</v>
      </c>
      <c r="Z2150" t="s">
        <v>25212</v>
      </c>
      <c r="AA2150">
        <v>0.75207405225089763</v>
      </c>
      <c r="AB2150" t="str">
        <f>HYPERLINK("Melting_Curves/meltCurve_P27540_2_ARNT.pdf", "Melting_Curves/meltCurve_P27540_2_ARNT.pdf")</f>
        <v>Melting_Curves/meltCurve_P27540_2_ARNT.pdf</v>
      </c>
    </row>
    <row r="2151" spans="1:28" x14ac:dyDescent="0.25">
      <c r="A2151" t="s">
        <v>2155</v>
      </c>
      <c r="B2151">
        <v>0.99996721820229495</v>
      </c>
      <c r="C2151">
        <v>0.91286541867501503</v>
      </c>
      <c r="D2151">
        <v>0.88703331377490302</v>
      </c>
      <c r="E2151">
        <v>0.90987145533864899</v>
      </c>
      <c r="F2151">
        <v>1.0190964770323401</v>
      </c>
      <c r="G2151">
        <v>0.79398769973914696</v>
      </c>
      <c r="H2151">
        <v>0.375749800494043</v>
      </c>
      <c r="I2151">
        <v>0.216105835893837</v>
      </c>
      <c r="J2151">
        <v>0.16109371194397101</v>
      </c>
      <c r="K2151">
        <v>0.144064284964012</v>
      </c>
      <c r="L2151">
        <v>1885.0566534628299</v>
      </c>
      <c r="M2151">
        <v>31.882551324350299</v>
      </c>
      <c r="N2151">
        <v>59.749143307867001</v>
      </c>
      <c r="O2151">
        <v>58.893877987236799</v>
      </c>
      <c r="P2151">
        <v>-0.11617214944766401</v>
      </c>
      <c r="Q2151">
        <v>0.141625357209579</v>
      </c>
      <c r="R2151">
        <v>0.97587130308104897</v>
      </c>
      <c r="S2151" t="s">
        <v>7977</v>
      </c>
      <c r="T2151" t="s">
        <v>11650</v>
      </c>
      <c r="U2151" t="s">
        <v>11650</v>
      </c>
      <c r="V2151" t="s">
        <v>11650</v>
      </c>
      <c r="W2151" t="s">
        <v>13760</v>
      </c>
      <c r="X2151">
        <v>9</v>
      </c>
      <c r="Y2151" t="s">
        <v>19486</v>
      </c>
      <c r="Z2151" t="s">
        <v>25213</v>
      </c>
      <c r="AA2151">
        <v>0.69382457152250199</v>
      </c>
      <c r="AB2151" t="str">
        <f>HYPERLINK("Melting_Curves/meltCurve_P27635_RPL10.pdf", "Melting_Curves/meltCurve_P27635_RPL10.pdf")</f>
        <v>Melting_Curves/meltCurve_P27635_RPL10.pdf</v>
      </c>
    </row>
    <row r="2152" spans="1:28" x14ac:dyDescent="0.25">
      <c r="A2152" t="s">
        <v>2156</v>
      </c>
      <c r="B2152">
        <v>0.99996721820229495</v>
      </c>
      <c r="C2152">
        <v>0.97114041101210202</v>
      </c>
      <c r="D2152">
        <v>0.94161348710639503</v>
      </c>
      <c r="E2152">
        <v>0.98105619432856805</v>
      </c>
      <c r="F2152">
        <v>1.12243652651222</v>
      </c>
      <c r="G2152">
        <v>1.112009532886</v>
      </c>
      <c r="H2152">
        <v>0.91072770390032498</v>
      </c>
      <c r="I2152">
        <v>0.76127702197873603</v>
      </c>
      <c r="J2152">
        <v>0.70415524942530905</v>
      </c>
      <c r="K2152">
        <v>0.53948165576011997</v>
      </c>
      <c r="L2152">
        <v>1799.33865579403</v>
      </c>
      <c r="M2152">
        <v>27.749983920056501</v>
      </c>
      <c r="O2152">
        <v>64.507148748529204</v>
      </c>
      <c r="P2152">
        <v>-5.2832356413903603E-2</v>
      </c>
      <c r="Q2152">
        <v>0.50875152281784597</v>
      </c>
      <c r="R2152">
        <v>0.86908686675611302</v>
      </c>
      <c r="S2152" t="s">
        <v>7978</v>
      </c>
      <c r="T2152" t="s">
        <v>11650</v>
      </c>
      <c r="U2152" t="s">
        <v>11650</v>
      </c>
      <c r="V2152" t="s">
        <v>11650</v>
      </c>
      <c r="W2152" t="s">
        <v>13761</v>
      </c>
      <c r="X2152">
        <v>8</v>
      </c>
      <c r="Y2152" t="s">
        <v>19487</v>
      </c>
      <c r="Z2152" t="s">
        <v>25214</v>
      </c>
      <c r="AA2152">
        <v>0.91422222098218597</v>
      </c>
      <c r="AB2152" t="str">
        <f>HYPERLINK("Melting_Curves/meltCurve_P27658_COL8A1.pdf", "Melting_Curves/meltCurve_P27658_COL8A1.pdf")</f>
        <v>Melting_Curves/meltCurve_P27658_COL8A1.pdf</v>
      </c>
    </row>
    <row r="2153" spans="1:28" x14ac:dyDescent="0.25">
      <c r="A2153" t="s">
        <v>2157</v>
      </c>
      <c r="B2153">
        <v>0.99996721820229495</v>
      </c>
      <c r="C2153">
        <v>1.08363849990387</v>
      </c>
      <c r="D2153">
        <v>0.91725678361723595</v>
      </c>
      <c r="E2153">
        <v>0.57004274808386701</v>
      </c>
      <c r="F2153">
        <v>0.34855612922449503</v>
      </c>
      <c r="G2153">
        <v>0.305518766618118</v>
      </c>
      <c r="H2153">
        <v>0.19149447986492499</v>
      </c>
      <c r="I2153">
        <v>0.15821135560027</v>
      </c>
      <c r="J2153">
        <v>7.1751425324644805E-2</v>
      </c>
      <c r="K2153">
        <v>9.0617512700241001E-2</v>
      </c>
      <c r="L2153">
        <v>1001.41164646279</v>
      </c>
      <c r="M2153">
        <v>19.828076756309201</v>
      </c>
      <c r="N2153">
        <v>51.276809467512102</v>
      </c>
      <c r="O2153">
        <v>49.999444228673497</v>
      </c>
      <c r="P2153">
        <v>-8.6349887687549698E-2</v>
      </c>
      <c r="Q2153">
        <v>0.129053211912491</v>
      </c>
      <c r="R2153">
        <v>0.97775386552494103</v>
      </c>
      <c r="S2153" t="s">
        <v>7979</v>
      </c>
      <c r="T2153" t="s">
        <v>11650</v>
      </c>
      <c r="U2153" t="s">
        <v>11650</v>
      </c>
      <c r="V2153" t="s">
        <v>11650</v>
      </c>
      <c r="W2153" t="s">
        <v>13762</v>
      </c>
      <c r="X2153">
        <v>8</v>
      </c>
      <c r="Y2153" t="s">
        <v>19488</v>
      </c>
      <c r="Z2153" t="s">
        <v>25215</v>
      </c>
      <c r="AA2153">
        <v>0.44632818014135739</v>
      </c>
      <c r="AB2153" t="str">
        <f>HYPERLINK("Melting_Curves/meltCurve_P27694_RPA1.pdf", "Melting_Curves/meltCurve_P27694_RPA1.pdf")</f>
        <v>Melting_Curves/meltCurve_P27694_RPA1.pdf</v>
      </c>
    </row>
    <row r="2154" spans="1:28" x14ac:dyDescent="0.25">
      <c r="A2154" t="s">
        <v>2158</v>
      </c>
      <c r="B2154">
        <v>0.99996721820229495</v>
      </c>
      <c r="C2154">
        <v>1.02755668140186</v>
      </c>
      <c r="D2154">
        <v>0.96360455639053899</v>
      </c>
      <c r="E2154">
        <v>0.63619362045255001</v>
      </c>
      <c r="F2154">
        <v>0.64181936756677804</v>
      </c>
      <c r="G2154">
        <v>0.62640432817397396</v>
      </c>
      <c r="H2154">
        <v>0.457929665650186</v>
      </c>
      <c r="I2154">
        <v>0.35979791100872699</v>
      </c>
      <c r="J2154">
        <v>0.259054600977836</v>
      </c>
      <c r="K2154">
        <v>0.20884004889414501</v>
      </c>
      <c r="L2154">
        <v>440.00715697875501</v>
      </c>
      <c r="M2154">
        <v>7.5094875290924801</v>
      </c>
      <c r="N2154">
        <v>58.593501720945397</v>
      </c>
      <c r="O2154">
        <v>54.870244785431801</v>
      </c>
      <c r="P2154">
        <v>-3.4263708756672499E-2</v>
      </c>
      <c r="Q2154">
        <v>0</v>
      </c>
      <c r="R2154">
        <v>0.94399493110190102</v>
      </c>
      <c r="S2154" t="s">
        <v>7980</v>
      </c>
      <c r="T2154" t="s">
        <v>11650</v>
      </c>
      <c r="U2154" t="s">
        <v>11650</v>
      </c>
      <c r="V2154" t="s">
        <v>11650</v>
      </c>
      <c r="W2154" t="s">
        <v>13763</v>
      </c>
      <c r="X2154">
        <v>14</v>
      </c>
      <c r="Y2154" t="s">
        <v>19489</v>
      </c>
      <c r="Z2154" t="s">
        <v>25216</v>
      </c>
      <c r="AA2154">
        <v>0.61533105507920394</v>
      </c>
      <c r="AB2154" t="str">
        <f>HYPERLINK("Melting_Curves/meltCurve_P27695_APEX1.pdf", "Melting_Curves/meltCurve_P27695_APEX1.pdf")</f>
        <v>Melting_Curves/meltCurve_P27695_APEX1.pdf</v>
      </c>
    </row>
    <row r="2155" spans="1:28" x14ac:dyDescent="0.25">
      <c r="A2155" t="s">
        <v>2159</v>
      </c>
      <c r="B2155">
        <v>0.99996721820229495</v>
      </c>
      <c r="C2155">
        <v>1.0580088891968</v>
      </c>
      <c r="D2155">
        <v>0.85464589990677498</v>
      </c>
      <c r="E2155">
        <v>0.48461660429416598</v>
      </c>
      <c r="F2155">
        <v>0.341188781275367</v>
      </c>
      <c r="G2155">
        <v>0.32956778549478399</v>
      </c>
      <c r="H2155">
        <v>0.21290558890206099</v>
      </c>
      <c r="I2155">
        <v>0.14084940997526799</v>
      </c>
      <c r="J2155">
        <v>9.2187211732594296E-2</v>
      </c>
      <c r="K2155">
        <v>0.104734956978738</v>
      </c>
      <c r="L2155">
        <v>921.15462951291499</v>
      </c>
      <c r="M2155">
        <v>18.5466862999968</v>
      </c>
      <c r="N2155">
        <v>50.5911769852029</v>
      </c>
      <c r="O2155">
        <v>49.100197927294701</v>
      </c>
      <c r="P2155">
        <v>-8.0865163145289395E-2</v>
      </c>
      <c r="Q2155">
        <v>0.143713035378989</v>
      </c>
      <c r="R2155">
        <v>0.97254996539340999</v>
      </c>
      <c r="S2155" t="s">
        <v>7981</v>
      </c>
      <c r="T2155" t="s">
        <v>11650</v>
      </c>
      <c r="U2155" t="s">
        <v>11650</v>
      </c>
      <c r="V2155" t="s">
        <v>11650</v>
      </c>
      <c r="W2155" t="s">
        <v>13764</v>
      </c>
      <c r="X2155">
        <v>32</v>
      </c>
      <c r="Y2155" t="s">
        <v>19490</v>
      </c>
      <c r="Z2155" t="s">
        <v>25217</v>
      </c>
      <c r="AA2155">
        <v>0.43347481659814968</v>
      </c>
      <c r="AB2155" t="str">
        <f>HYPERLINK("Melting_Curves/meltCurve_P27797_CALR.pdf", "Melting_Curves/meltCurve_P27797_CALR.pdf")</f>
        <v>Melting_Curves/meltCurve_P27797_CALR.pdf</v>
      </c>
    </row>
    <row r="2156" spans="1:28" x14ac:dyDescent="0.25">
      <c r="A2156" t="s">
        <v>2160</v>
      </c>
      <c r="B2156">
        <v>0.99996721820229495</v>
      </c>
      <c r="C2156">
        <v>1.42823719687254</v>
      </c>
      <c r="D2156">
        <v>1.1952574211184399</v>
      </c>
      <c r="E2156">
        <v>1.3067461927103401</v>
      </c>
      <c r="F2156">
        <v>1.84902117858242</v>
      </c>
      <c r="G2156">
        <v>2.78097691323334</v>
      </c>
      <c r="H2156">
        <v>1.90536490299137</v>
      </c>
      <c r="I2156">
        <v>1.44465690501493</v>
      </c>
      <c r="J2156">
        <v>1.1321661609471101</v>
      </c>
      <c r="K2156">
        <v>0.96542053415961104</v>
      </c>
      <c r="L2156">
        <v>965.25898491391501</v>
      </c>
      <c r="M2156">
        <v>22.6129822423067</v>
      </c>
      <c r="O2156">
        <v>42.356430748849</v>
      </c>
      <c r="P2156">
        <v>6.6735539469381003E-2</v>
      </c>
      <c r="Q2156">
        <v>1.5</v>
      </c>
      <c r="R2156">
        <v>9.5384041100873507E-2</v>
      </c>
      <c r="S2156" t="s">
        <v>7982</v>
      </c>
      <c r="T2156" t="s">
        <v>11650</v>
      </c>
      <c r="U2156" t="s">
        <v>11650</v>
      </c>
      <c r="V2156" t="s">
        <v>11650</v>
      </c>
      <c r="W2156" t="s">
        <v>13765</v>
      </c>
      <c r="X2156">
        <v>49</v>
      </c>
      <c r="Y2156" t="s">
        <v>17869</v>
      </c>
      <c r="Z2156" t="s">
        <v>25218</v>
      </c>
      <c r="AA2156">
        <v>1.4454901819979391</v>
      </c>
      <c r="AB2156" t="str">
        <f>HYPERLINK("Melting_Curves/meltCurve_P27816_5_MAP4.pdf", "Melting_Curves/meltCurve_P27816_5_MAP4.pdf")</f>
        <v>Melting_Curves/meltCurve_P27816_5_MAP4.pdf</v>
      </c>
    </row>
    <row r="2157" spans="1:28" x14ac:dyDescent="0.25">
      <c r="A2157" t="s">
        <v>2161</v>
      </c>
      <c r="B2157">
        <v>0.99996721820229495</v>
      </c>
      <c r="C2157">
        <v>0.72212362300581201</v>
      </c>
      <c r="D2157">
        <v>0.47248075046274501</v>
      </c>
      <c r="E2157">
        <v>0.32003954290465503</v>
      </c>
      <c r="F2157">
        <v>0.23982102919686099</v>
      </c>
      <c r="G2157">
        <v>0.19980597209651499</v>
      </c>
      <c r="H2157">
        <v>0.13440402227077999</v>
      </c>
      <c r="I2157">
        <v>7.5064708354911094E-2</v>
      </c>
      <c r="J2157">
        <v>4.4416057398080501E-2</v>
      </c>
      <c r="K2157">
        <v>5.7001215655712298E-2</v>
      </c>
      <c r="L2157">
        <v>629.78482405194904</v>
      </c>
      <c r="M2157">
        <v>13.706810647386799</v>
      </c>
      <c r="N2157">
        <v>46.522613555350098</v>
      </c>
      <c r="O2157">
        <v>45.001992505691199</v>
      </c>
      <c r="P2157">
        <v>-7.0215331098557501E-2</v>
      </c>
      <c r="Q2157">
        <v>7.8013311457678106E-2</v>
      </c>
      <c r="R2157">
        <v>0.972353294852351</v>
      </c>
      <c r="S2157" t="s">
        <v>7983</v>
      </c>
      <c r="T2157" t="s">
        <v>11650</v>
      </c>
      <c r="U2157" t="s">
        <v>11650</v>
      </c>
      <c r="V2157" t="s">
        <v>11650</v>
      </c>
      <c r="W2157" t="s">
        <v>13766</v>
      </c>
      <c r="X2157">
        <v>31</v>
      </c>
      <c r="Y2157" t="s">
        <v>18216</v>
      </c>
      <c r="Z2157" t="s">
        <v>25219</v>
      </c>
      <c r="AA2157">
        <v>0.29334462761854069</v>
      </c>
      <c r="AB2157" t="str">
        <f>HYPERLINK("Melting_Curves/meltCurve_P27824_CANX.pdf", "Melting_Curves/meltCurve_P27824_CANX.pdf")</f>
        <v>Melting_Curves/meltCurve_P27824_CANX.pdf</v>
      </c>
    </row>
    <row r="2158" spans="1:28" x14ac:dyDescent="0.25">
      <c r="A2158" t="s">
        <v>2162</v>
      </c>
      <c r="B2158">
        <v>0.99996721820229495</v>
      </c>
      <c r="C2158">
        <v>0.92032315258021602</v>
      </c>
      <c r="D2158">
        <v>0.92483326819727496</v>
      </c>
      <c r="E2158">
        <v>0.92538898214031395</v>
      </c>
      <c r="F2158">
        <v>0.49747499599199302</v>
      </c>
      <c r="G2158">
        <v>0.54068434480141103</v>
      </c>
      <c r="H2158">
        <v>0.42788806780498501</v>
      </c>
      <c r="I2158">
        <v>0.287601256811788</v>
      </c>
      <c r="J2158">
        <v>0.21491794504092299</v>
      </c>
      <c r="K2158">
        <v>0.28073559262407999</v>
      </c>
      <c r="L2158">
        <v>674.470887362903</v>
      </c>
      <c r="M2158">
        <v>12.432494196641001</v>
      </c>
      <c r="N2158">
        <v>56.670645693762999</v>
      </c>
      <c r="O2158">
        <v>52.904407324083998</v>
      </c>
      <c r="P2158">
        <v>-4.66593405007696E-2</v>
      </c>
      <c r="Q2158">
        <v>0.205962676212089</v>
      </c>
      <c r="R2158">
        <v>0.93317841660277001</v>
      </c>
      <c r="S2158" t="s">
        <v>7984</v>
      </c>
      <c r="T2158" t="s">
        <v>11650</v>
      </c>
      <c r="U2158" t="s">
        <v>11650</v>
      </c>
      <c r="V2158" t="s">
        <v>11650</v>
      </c>
      <c r="W2158" t="s">
        <v>13767</v>
      </c>
      <c r="X2158">
        <v>4</v>
      </c>
      <c r="Y2158" t="s">
        <v>19491</v>
      </c>
      <c r="Z2158" t="s">
        <v>25220</v>
      </c>
      <c r="AA2158">
        <v>0.60275000276237278</v>
      </c>
      <c r="AB2158" t="str">
        <f>HYPERLINK("Melting_Curves/meltCurve_P27986_3_PIK3R1.pdf", "Melting_Curves/meltCurve_P27986_3_PIK3R1.pdf")</f>
        <v>Melting_Curves/meltCurve_P27986_3_PIK3R1.pdf</v>
      </c>
    </row>
    <row r="2159" spans="1:28" x14ac:dyDescent="0.25">
      <c r="A2159" t="s">
        <v>2163</v>
      </c>
      <c r="B2159">
        <v>0.99996721820229495</v>
      </c>
      <c r="C2159">
        <v>1.09463044615061</v>
      </c>
      <c r="D2159">
        <v>1.02885117133158</v>
      </c>
      <c r="E2159">
        <v>1.23211357064709</v>
      </c>
      <c r="F2159">
        <v>2.0949326667419599</v>
      </c>
      <c r="G2159">
        <v>2.3722407205036302</v>
      </c>
      <c r="H2159">
        <v>2.0523334706699301</v>
      </c>
      <c r="I2159">
        <v>1.524769591191</v>
      </c>
      <c r="J2159">
        <v>0.58347895816013295</v>
      </c>
      <c r="K2159">
        <v>0.93688015385407597</v>
      </c>
      <c r="L2159">
        <v>12507.166074234499</v>
      </c>
      <c r="M2159">
        <v>250</v>
      </c>
      <c r="O2159">
        <v>50.0254628061072</v>
      </c>
      <c r="P2159">
        <v>0.62468187780998397</v>
      </c>
      <c r="Q2159">
        <v>1.5</v>
      </c>
      <c r="R2159">
        <v>0.183561601698112</v>
      </c>
      <c r="S2159" t="s">
        <v>7985</v>
      </c>
      <c r="T2159" t="s">
        <v>11650</v>
      </c>
      <c r="U2159" t="s">
        <v>11650</v>
      </c>
      <c r="V2159" t="s">
        <v>11650</v>
      </c>
      <c r="W2159" t="s">
        <v>13768</v>
      </c>
      <c r="X2159">
        <v>2</v>
      </c>
      <c r="Y2159" t="s">
        <v>19492</v>
      </c>
      <c r="Z2159" t="s">
        <v>25221</v>
      </c>
      <c r="AA2159">
        <v>1.332811695287422</v>
      </c>
      <c r="AB2159" t="str">
        <f>HYPERLINK("Melting_Curves/meltCurve_P28062_2_PSMB8.pdf", "Melting_Curves/meltCurve_P28062_2_PSMB8.pdf")</f>
        <v>Melting_Curves/meltCurve_P28062_2_PSMB8.pdf</v>
      </c>
    </row>
    <row r="2160" spans="1:28" x14ac:dyDescent="0.25">
      <c r="A2160" t="s">
        <v>2164</v>
      </c>
      <c r="B2160">
        <v>0.99996721820229495</v>
      </c>
      <c r="C2160">
        <v>0.90041184594051704</v>
      </c>
      <c r="D2160">
        <v>0.67660197879975803</v>
      </c>
      <c r="E2160">
        <v>0.47890997112449402</v>
      </c>
      <c r="F2160">
        <v>0.47880946169769201</v>
      </c>
      <c r="G2160">
        <v>0.61205191190806796</v>
      </c>
      <c r="H2160">
        <v>0.55968555067537495</v>
      </c>
      <c r="I2160">
        <v>0.30976467979857703</v>
      </c>
      <c r="J2160">
        <v>9.6656556056784707E-2</v>
      </c>
      <c r="K2160">
        <v>0.27736258801186198</v>
      </c>
      <c r="L2160">
        <v>300.02916340957</v>
      </c>
      <c r="M2160">
        <v>5.4290128713225503</v>
      </c>
      <c r="N2160">
        <v>55.264036108973698</v>
      </c>
      <c r="O2160">
        <v>49.114013991435101</v>
      </c>
      <c r="P2160">
        <v>-2.7762120996392099E-2</v>
      </c>
      <c r="Q2160">
        <v>0</v>
      </c>
      <c r="R2160">
        <v>0.78721652474000403</v>
      </c>
      <c r="S2160" t="s">
        <v>7986</v>
      </c>
      <c r="T2160" t="s">
        <v>11650</v>
      </c>
      <c r="U2160" t="s">
        <v>11650</v>
      </c>
      <c r="V2160" t="s">
        <v>11650</v>
      </c>
      <c r="W2160" t="s">
        <v>13769</v>
      </c>
      <c r="X2160">
        <v>8</v>
      </c>
      <c r="Y2160" t="s">
        <v>19493</v>
      </c>
      <c r="Z2160" t="s">
        <v>25222</v>
      </c>
      <c r="AA2160">
        <v>0.53074208125767386</v>
      </c>
      <c r="AB2160" t="str">
        <f>HYPERLINK("Melting_Curves/meltCurve_P28066_PSMA5.pdf", "Melting_Curves/meltCurve_P28066_PSMA5.pdf")</f>
        <v>Melting_Curves/meltCurve_P28066_PSMA5.pdf</v>
      </c>
    </row>
    <row r="2161" spans="1:28" x14ac:dyDescent="0.25">
      <c r="A2161" t="s">
        <v>2165</v>
      </c>
      <c r="B2161">
        <v>0.99996721820229495</v>
      </c>
      <c r="C2161">
        <v>0.95530703438096098</v>
      </c>
      <c r="D2161">
        <v>0.94686439429333902</v>
      </c>
      <c r="E2161">
        <v>1.0210155253414399</v>
      </c>
      <c r="F2161">
        <v>1.6053905121769401</v>
      </c>
      <c r="G2161">
        <v>2.03784732789221</v>
      </c>
      <c r="H2161">
        <v>2.0774950674138601</v>
      </c>
      <c r="I2161">
        <v>1.32912041602542</v>
      </c>
      <c r="J2161">
        <v>0.38246832619460103</v>
      </c>
      <c r="K2161">
        <v>1.2950195511537099</v>
      </c>
      <c r="L2161">
        <v>12651.2367377137</v>
      </c>
      <c r="M2161">
        <v>250</v>
      </c>
      <c r="O2161">
        <v>50.601708473174099</v>
      </c>
      <c r="P2161">
        <v>0.56144001803362797</v>
      </c>
      <c r="Q2161">
        <v>1.4545571862195501</v>
      </c>
      <c r="R2161">
        <v>0.21644257888926499</v>
      </c>
      <c r="S2161" t="s">
        <v>7987</v>
      </c>
      <c r="T2161" t="s">
        <v>11650</v>
      </c>
      <c r="U2161" t="s">
        <v>11650</v>
      </c>
      <c r="V2161" t="s">
        <v>11650</v>
      </c>
      <c r="W2161" t="s">
        <v>13770</v>
      </c>
      <c r="X2161">
        <v>4</v>
      </c>
      <c r="Y2161" t="s">
        <v>19494</v>
      </c>
      <c r="Z2161" t="s">
        <v>25223</v>
      </c>
      <c r="AA2161">
        <v>1.293831655056388</v>
      </c>
      <c r="AB2161" t="str">
        <f>HYPERLINK("Melting_Curves/meltCurve_P28070_PSMB4.pdf", "Melting_Curves/meltCurve_P28070_PSMB4.pdf")</f>
        <v>Melting_Curves/meltCurve_P28070_PSMB4.pdf</v>
      </c>
    </row>
    <row r="2162" spans="1:28" x14ac:dyDescent="0.25">
      <c r="A2162" t="s">
        <v>2166</v>
      </c>
      <c r="B2162">
        <v>0.99996721820229495</v>
      </c>
      <c r="C2162">
        <v>0.846813151434617</v>
      </c>
      <c r="D2162">
        <v>0.84829345269904999</v>
      </c>
      <c r="E2162">
        <v>0.90913465182265696</v>
      </c>
      <c r="F2162">
        <v>1.64061319432662</v>
      </c>
      <c r="G2162">
        <v>1.9378751795978699</v>
      </c>
      <c r="H2162">
        <v>2.1077698638206499</v>
      </c>
      <c r="I2162">
        <v>1.40378875438368</v>
      </c>
      <c r="J2162">
        <v>0.47025902115733698</v>
      </c>
      <c r="K2162">
        <v>1.6617246936694201</v>
      </c>
      <c r="L2162">
        <v>12854.3871067331</v>
      </c>
      <c r="M2162">
        <v>250</v>
      </c>
      <c r="O2162">
        <v>51.414279479220298</v>
      </c>
      <c r="P2162">
        <v>0.60780805053251696</v>
      </c>
      <c r="Q2162">
        <v>1.5</v>
      </c>
      <c r="R2162">
        <v>0.34773050541714401</v>
      </c>
      <c r="S2162" t="s">
        <v>7988</v>
      </c>
      <c r="T2162" t="s">
        <v>11650</v>
      </c>
      <c r="U2162" t="s">
        <v>11650</v>
      </c>
      <c r="V2162" t="s">
        <v>11650</v>
      </c>
      <c r="W2162" t="s">
        <v>13771</v>
      </c>
      <c r="X2162">
        <v>5</v>
      </c>
      <c r="Y2162" t="s">
        <v>19495</v>
      </c>
      <c r="Z2162" t="s">
        <v>25224</v>
      </c>
      <c r="AA2162">
        <v>1.3096624077191661</v>
      </c>
      <c r="AB2162" t="str">
        <f>HYPERLINK("Melting_Curves/meltCurve_P28072_PSMB6.pdf", "Melting_Curves/meltCurve_P28072_PSMB6.pdf")</f>
        <v>Melting_Curves/meltCurve_P28072_PSMB6.pdf</v>
      </c>
    </row>
    <row r="2163" spans="1:28" x14ac:dyDescent="0.25">
      <c r="A2163" t="s">
        <v>2167</v>
      </c>
      <c r="B2163">
        <v>0.99996721820229495</v>
      </c>
      <c r="C2163">
        <v>1.01645270686003</v>
      </c>
      <c r="D2163">
        <v>0.95203838425547704</v>
      </c>
      <c r="E2163">
        <v>0.89972282840640505</v>
      </c>
      <c r="F2163">
        <v>1.4471580598614799</v>
      </c>
      <c r="G2163">
        <v>1.9901777180456</v>
      </c>
      <c r="H2163">
        <v>2.2745996340508299</v>
      </c>
      <c r="I2163">
        <v>1.48152662335414</v>
      </c>
      <c r="J2163">
        <v>0.30685158533225398</v>
      </c>
      <c r="K2163">
        <v>1.67450773596471</v>
      </c>
      <c r="L2163">
        <v>13136.818035249</v>
      </c>
      <c r="M2163">
        <v>250</v>
      </c>
      <c r="O2163">
        <v>52.543928810520399</v>
      </c>
      <c r="P2163">
        <v>0.59474067097797401</v>
      </c>
      <c r="Q2163">
        <v>1.5</v>
      </c>
      <c r="R2163">
        <v>0.245715640356818</v>
      </c>
      <c r="S2163" t="s">
        <v>7989</v>
      </c>
      <c r="T2163" t="s">
        <v>11650</v>
      </c>
      <c r="U2163" t="s">
        <v>11650</v>
      </c>
      <c r="V2163" t="s">
        <v>11650</v>
      </c>
      <c r="W2163" t="s">
        <v>13772</v>
      </c>
      <c r="X2163">
        <v>6</v>
      </c>
      <c r="Y2163" t="s">
        <v>19496</v>
      </c>
      <c r="Z2163" t="s">
        <v>25225</v>
      </c>
      <c r="AA2163">
        <v>1.290832687827671</v>
      </c>
      <c r="AB2163" t="str">
        <f>HYPERLINK("Melting_Curves/meltCurve_P28074_PSMB5.pdf", "Melting_Curves/meltCurve_P28074_PSMB5.pdf")</f>
        <v>Melting_Curves/meltCurve_P28074_PSMB5.pdf</v>
      </c>
    </row>
    <row r="2164" spans="1:28" x14ac:dyDescent="0.25">
      <c r="A2164" t="s">
        <v>2168</v>
      </c>
      <c r="B2164">
        <v>0.99996721820229495</v>
      </c>
      <c r="C2164">
        <v>1.0751350528854899</v>
      </c>
      <c r="D2164">
        <v>0.95743814457672005</v>
      </c>
      <c r="E2164">
        <v>0.453666187878771</v>
      </c>
      <c r="F2164">
        <v>0.26103270235362802</v>
      </c>
      <c r="G2164">
        <v>0.18215790347604999</v>
      </c>
      <c r="H2164">
        <v>9.5216852554849005E-2</v>
      </c>
      <c r="I2164">
        <v>6.0861014345867402E-2</v>
      </c>
      <c r="J2164">
        <v>4.3701890337232298E-2</v>
      </c>
      <c r="K2164">
        <v>2.97850646274447E-2</v>
      </c>
      <c r="L2164">
        <v>1351.64966836505</v>
      </c>
      <c r="M2164">
        <v>27.175274223292</v>
      </c>
      <c r="N2164">
        <v>50.044037906285098</v>
      </c>
      <c r="O2164">
        <v>49.471219531494299</v>
      </c>
      <c r="P2164">
        <v>-0.12682359267665899</v>
      </c>
      <c r="Q2164">
        <v>7.6505019321992995E-2</v>
      </c>
      <c r="R2164">
        <v>0.985598366537356</v>
      </c>
      <c r="S2164" t="s">
        <v>7990</v>
      </c>
      <c r="T2164" t="s">
        <v>11650</v>
      </c>
      <c r="U2164" t="s">
        <v>11650</v>
      </c>
      <c r="V2164" t="s">
        <v>11650</v>
      </c>
      <c r="W2164" t="s">
        <v>13773</v>
      </c>
      <c r="X2164">
        <v>18</v>
      </c>
      <c r="Y2164" t="s">
        <v>19497</v>
      </c>
      <c r="Z2164" t="s">
        <v>25226</v>
      </c>
      <c r="AA2164">
        <v>0.38323040038608319</v>
      </c>
      <c r="AB2164" t="str">
        <f>HYPERLINK("Melting_Curves/meltCurve_P28161_GSTM2.pdf", "Melting_Curves/meltCurve_P28161_GSTM2.pdf")</f>
        <v>Melting_Curves/meltCurve_P28161_GSTM2.pdf</v>
      </c>
    </row>
    <row r="2165" spans="1:28" x14ac:dyDescent="0.25">
      <c r="A2165" t="s">
        <v>2169</v>
      </c>
      <c r="B2165">
        <v>0.99996721820229495</v>
      </c>
      <c r="C2165">
        <v>0.99370406522641497</v>
      </c>
      <c r="D2165">
        <v>1.0472677155427299</v>
      </c>
      <c r="E2165">
        <v>1.5451599582153499</v>
      </c>
      <c r="F2165">
        <v>1.1508679405656499</v>
      </c>
      <c r="G2165">
        <v>1.33766169224417</v>
      </c>
      <c r="H2165">
        <v>0.90851695659485399</v>
      </c>
      <c r="I2165">
        <v>0.4408941463214</v>
      </c>
      <c r="J2165">
        <v>0.200800231833687</v>
      </c>
      <c r="K2165">
        <v>0.30477522712793997</v>
      </c>
      <c r="L2165">
        <v>4336.5624430218604</v>
      </c>
      <c r="M2165">
        <v>68.915136841011702</v>
      </c>
      <c r="N2165">
        <v>63.568276712929098</v>
      </c>
      <c r="O2165">
        <v>62.873176526132397</v>
      </c>
      <c r="P2165">
        <v>-0.205311774943812</v>
      </c>
      <c r="Q2165">
        <v>0.25075356002410198</v>
      </c>
      <c r="R2165">
        <v>0.74864534127475602</v>
      </c>
      <c r="S2165" t="s">
        <v>7991</v>
      </c>
      <c r="T2165" t="s">
        <v>11650</v>
      </c>
      <c r="U2165" t="s">
        <v>11650</v>
      </c>
      <c r="V2165" t="s">
        <v>11650</v>
      </c>
      <c r="W2165" t="s">
        <v>13774</v>
      </c>
      <c r="X2165">
        <v>7</v>
      </c>
      <c r="Y2165" t="s">
        <v>19498</v>
      </c>
      <c r="Z2165" t="s">
        <v>25227</v>
      </c>
      <c r="AA2165">
        <v>0.82439504919700146</v>
      </c>
      <c r="AB2165" t="str">
        <f>HYPERLINK("Melting_Curves/meltCurve_P28300_LOX.pdf", "Melting_Curves/meltCurve_P28300_LOX.pdf")</f>
        <v>Melting_Curves/meltCurve_P28300_LOX.pdf</v>
      </c>
    </row>
    <row r="2166" spans="1:28" x14ac:dyDescent="0.25">
      <c r="A2166" t="s">
        <v>2170</v>
      </c>
      <c r="B2166">
        <v>0.99996721820229495</v>
      </c>
      <c r="C2166">
        <v>0.98781199692630695</v>
      </c>
      <c r="D2166">
        <v>0.97672857277038805</v>
      </c>
      <c r="E2166">
        <v>1.1138118469935601</v>
      </c>
      <c r="F2166">
        <v>0.84164235559689304</v>
      </c>
      <c r="G2166">
        <v>0.35081673672059299</v>
      </c>
      <c r="H2166">
        <v>0.17659892952699199</v>
      </c>
      <c r="I2166">
        <v>0.105223925731201</v>
      </c>
      <c r="J2166">
        <v>8.0166503945055395E-2</v>
      </c>
      <c r="K2166">
        <v>6.7088851991320197E-2</v>
      </c>
      <c r="L2166">
        <v>1982.8534301746099</v>
      </c>
      <c r="M2166">
        <v>35.6795080972867</v>
      </c>
      <c r="N2166">
        <v>55.8989814040035</v>
      </c>
      <c r="O2166">
        <v>55.400315157925398</v>
      </c>
      <c r="P2166">
        <v>-0.14592794352667299</v>
      </c>
      <c r="Q2166">
        <v>9.3661757942240007E-2</v>
      </c>
      <c r="R2166">
        <v>0.98816429935572003</v>
      </c>
      <c r="S2166" t="s">
        <v>7992</v>
      </c>
      <c r="T2166" t="s">
        <v>11650</v>
      </c>
      <c r="U2166" t="s">
        <v>11650</v>
      </c>
      <c r="V2166" t="s">
        <v>11650</v>
      </c>
      <c r="W2166" t="s">
        <v>13775</v>
      </c>
      <c r="X2166">
        <v>17</v>
      </c>
      <c r="Y2166" t="s">
        <v>19499</v>
      </c>
      <c r="Z2166" t="s">
        <v>25228</v>
      </c>
      <c r="AA2166">
        <v>0.56850816543857641</v>
      </c>
      <c r="AB2166" t="str">
        <f>HYPERLINK("Melting_Curves/meltCurve_P28331_NDUFS1.pdf", "Melting_Curves/meltCurve_P28331_NDUFS1.pdf")</f>
        <v>Melting_Curves/meltCurve_P28331_NDUFS1.pdf</v>
      </c>
    </row>
    <row r="2167" spans="1:28" x14ac:dyDescent="0.25">
      <c r="A2167" t="s">
        <v>2171</v>
      </c>
      <c r="B2167">
        <v>0.99996721820229495</v>
      </c>
      <c r="C2167">
        <v>1.0042298255789801</v>
      </c>
      <c r="D2167">
        <v>0.99642359178402695</v>
      </c>
      <c r="E2167">
        <v>0.98399294000206805</v>
      </c>
      <c r="F2167">
        <v>1.0787964555329901</v>
      </c>
      <c r="G2167">
        <v>0.67327137610657095</v>
      </c>
      <c r="H2167">
        <v>0.187350976209986</v>
      </c>
      <c r="I2167">
        <v>0.117226393407178</v>
      </c>
      <c r="J2167">
        <v>8.4037141248233693E-2</v>
      </c>
      <c r="K2167">
        <v>5.9436371161510099E-2</v>
      </c>
      <c r="L2167">
        <v>2557.2530403816299</v>
      </c>
      <c r="M2167">
        <v>44.207461108892602</v>
      </c>
      <c r="N2167">
        <v>58.093878727005297</v>
      </c>
      <c r="O2167">
        <v>57.728655621087</v>
      </c>
      <c r="P2167">
        <v>-0.17502871311048299</v>
      </c>
      <c r="Q2167">
        <v>8.5751073129410799E-2</v>
      </c>
      <c r="R2167">
        <v>0.99407761915511295</v>
      </c>
      <c r="S2167" t="s">
        <v>7993</v>
      </c>
      <c r="T2167" t="s">
        <v>11650</v>
      </c>
      <c r="U2167" t="s">
        <v>11650</v>
      </c>
      <c r="V2167" t="s">
        <v>11650</v>
      </c>
      <c r="W2167" t="s">
        <v>13776</v>
      </c>
      <c r="X2167">
        <v>21</v>
      </c>
      <c r="Y2167" t="s">
        <v>19500</v>
      </c>
      <c r="Z2167" t="s">
        <v>25229</v>
      </c>
      <c r="AA2167">
        <v>0.63258698692091753</v>
      </c>
      <c r="AB2167" t="str">
        <f>HYPERLINK("Melting_Curves/meltCurve_P28482_MAPK1.pdf", "Melting_Curves/meltCurve_P28482_MAPK1.pdf")</f>
        <v>Melting_Curves/meltCurve_P28482_MAPK1.pdf</v>
      </c>
    </row>
    <row r="2168" spans="1:28" x14ac:dyDescent="0.25">
      <c r="A2168" t="s">
        <v>2172</v>
      </c>
      <c r="B2168">
        <v>0.99996721820229495</v>
      </c>
      <c r="C2168">
        <v>1.0640769218364099</v>
      </c>
      <c r="D2168">
        <v>0.91895379844873604</v>
      </c>
      <c r="E2168">
        <v>0.83817828320685095</v>
      </c>
      <c r="F2168">
        <v>0.55254504894858403</v>
      </c>
      <c r="G2168">
        <v>0.46435646800187902</v>
      </c>
      <c r="H2168">
        <v>0.35189638027508302</v>
      </c>
      <c r="I2168">
        <v>0.27572120163969799</v>
      </c>
      <c r="J2168">
        <v>0.265115751266783</v>
      </c>
      <c r="K2168">
        <v>0.22615542680137801</v>
      </c>
      <c r="L2168">
        <v>853.86317890282896</v>
      </c>
      <c r="M2168">
        <v>16.082886209528901</v>
      </c>
      <c r="N2168">
        <v>55.303934328273598</v>
      </c>
      <c r="O2168">
        <v>52.290963445887499</v>
      </c>
      <c r="P2168">
        <v>-5.8653072962682899E-2</v>
      </c>
      <c r="Q2168">
        <v>0.23725414037202699</v>
      </c>
      <c r="R2168">
        <v>0.98245632899926005</v>
      </c>
      <c r="S2168" t="s">
        <v>7994</v>
      </c>
      <c r="T2168" t="s">
        <v>11650</v>
      </c>
      <c r="U2168" t="s">
        <v>11650</v>
      </c>
      <c r="V2168" t="s">
        <v>11650</v>
      </c>
      <c r="W2168" t="s">
        <v>13777</v>
      </c>
      <c r="X2168">
        <v>3</v>
      </c>
      <c r="Y2168" t="s">
        <v>19501</v>
      </c>
      <c r="Z2168" t="s">
        <v>25230</v>
      </c>
      <c r="AA2168">
        <v>0.58490923095360259</v>
      </c>
      <c r="AB2168" t="str">
        <f>HYPERLINK("Melting_Curves/meltCurve_P28715_ERCC5.pdf", "Melting_Curves/meltCurve_P28715_ERCC5.pdf")</f>
        <v>Melting_Curves/meltCurve_P28715_ERCC5.pdf</v>
      </c>
    </row>
    <row r="2169" spans="1:28" x14ac:dyDescent="0.25">
      <c r="A2169" t="s">
        <v>2173</v>
      </c>
      <c r="B2169">
        <v>0.99996721820229495</v>
      </c>
      <c r="C2169">
        <v>0.96060566415739301</v>
      </c>
      <c r="D2169">
        <v>0.96749327185478695</v>
      </c>
      <c r="E2169">
        <v>1.04689184699152</v>
      </c>
      <c r="F2169">
        <v>1.3549925145814801</v>
      </c>
      <c r="G2169">
        <v>1.7281982655212</v>
      </c>
      <c r="H2169">
        <v>1.4548482936492999</v>
      </c>
      <c r="I2169">
        <v>1.30086098443144</v>
      </c>
      <c r="J2169">
        <v>1.21841092673231</v>
      </c>
      <c r="K2169">
        <v>1.1029923333965399</v>
      </c>
      <c r="L2169">
        <v>5404.49237822139</v>
      </c>
      <c r="M2169">
        <v>106.18688424141</v>
      </c>
      <c r="O2169">
        <v>50.877999907405702</v>
      </c>
      <c r="P2169">
        <v>0.188322526137748</v>
      </c>
      <c r="Q2169">
        <v>1.36092868277338</v>
      </c>
      <c r="R2169">
        <v>0.57785887388722301</v>
      </c>
      <c r="S2169" t="s">
        <v>7995</v>
      </c>
      <c r="T2169" t="s">
        <v>11650</v>
      </c>
      <c r="U2169" t="s">
        <v>11650</v>
      </c>
      <c r="V2169" t="s">
        <v>11650</v>
      </c>
      <c r="W2169" t="s">
        <v>13778</v>
      </c>
      <c r="X2169">
        <v>14</v>
      </c>
      <c r="Y2169" t="s">
        <v>19502</v>
      </c>
      <c r="Z2169" t="s">
        <v>25231</v>
      </c>
      <c r="AA2169">
        <v>1.229659973757901</v>
      </c>
      <c r="AB2169" t="str">
        <f>HYPERLINK("Melting_Curves/meltCurve_P28799_GRN.pdf", "Melting_Curves/meltCurve_P28799_GRN.pdf")</f>
        <v>Melting_Curves/meltCurve_P28799_GRN.pdf</v>
      </c>
    </row>
    <row r="2170" spans="1:28" x14ac:dyDescent="0.25">
      <c r="A2170" t="s">
        <v>2174</v>
      </c>
      <c r="B2170">
        <v>0.99996721820229495</v>
      </c>
      <c r="C2170">
        <v>0.93280146271387698</v>
      </c>
      <c r="D2170">
        <v>0.59528475053876695</v>
      </c>
      <c r="E2170">
        <v>0.34882040881453902</v>
      </c>
      <c r="F2170">
        <v>0.34299363102934299</v>
      </c>
      <c r="G2170">
        <v>0.35120095978142002</v>
      </c>
      <c r="H2170">
        <v>0.220949810196575</v>
      </c>
      <c r="I2170">
        <v>0.120490299735168</v>
      </c>
      <c r="J2170">
        <v>6.0239467158117503E-2</v>
      </c>
      <c r="K2170">
        <v>5.6065059790324299E-2</v>
      </c>
      <c r="L2170">
        <v>611.00962655501598</v>
      </c>
      <c r="M2170">
        <v>12.7320548040395</v>
      </c>
      <c r="N2170">
        <v>48.880435752699199</v>
      </c>
      <c r="O2170">
        <v>46.852205181629103</v>
      </c>
      <c r="P2170">
        <v>-6.0916309637394798E-2</v>
      </c>
      <c r="Q2170">
        <v>0.103517280472903</v>
      </c>
      <c r="R2170">
        <v>0.940721357986534</v>
      </c>
      <c r="S2170" t="s">
        <v>7996</v>
      </c>
      <c r="T2170" t="s">
        <v>11650</v>
      </c>
      <c r="U2170" t="s">
        <v>11650</v>
      </c>
      <c r="V2170" t="s">
        <v>11650</v>
      </c>
      <c r="W2170" t="s">
        <v>13779</v>
      </c>
      <c r="X2170">
        <v>32</v>
      </c>
      <c r="Y2170" t="s">
        <v>19503</v>
      </c>
      <c r="Z2170" t="s">
        <v>25232</v>
      </c>
      <c r="AA2170">
        <v>0.37383514888019459</v>
      </c>
      <c r="AB2170" t="str">
        <f>HYPERLINK("Melting_Curves/meltCurve_P28838_2_LAP3.pdf", "Melting_Curves/meltCurve_P28838_2_LAP3.pdf")</f>
        <v>Melting_Curves/meltCurve_P28838_2_LAP3.pdf</v>
      </c>
    </row>
    <row r="2171" spans="1:28" x14ac:dyDescent="0.25">
      <c r="A2171" t="s">
        <v>2175</v>
      </c>
      <c r="B2171">
        <v>0.99996721820229495</v>
      </c>
      <c r="C2171">
        <v>0.95382142727993102</v>
      </c>
      <c r="D2171">
        <v>0.88453437127519896</v>
      </c>
      <c r="E2171">
        <v>0.93972532437156497</v>
      </c>
      <c r="F2171">
        <v>0.79405817017659197</v>
      </c>
      <c r="G2171">
        <v>0.54459371448304905</v>
      </c>
      <c r="H2171">
        <v>0.33477289840365698</v>
      </c>
      <c r="I2171">
        <v>0.25835944159632002</v>
      </c>
      <c r="J2171">
        <v>0.18206200086652899</v>
      </c>
      <c r="K2171">
        <v>0.115372100418713</v>
      </c>
      <c r="L2171">
        <v>793.83214275666205</v>
      </c>
      <c r="M2171">
        <v>13.7849160910105</v>
      </c>
      <c r="N2171">
        <v>58.041343671114902</v>
      </c>
      <c r="O2171">
        <v>56.415687863996297</v>
      </c>
      <c r="P2171">
        <v>-5.7970431616461801E-2</v>
      </c>
      <c r="Q2171">
        <v>5.1141967976450098E-2</v>
      </c>
      <c r="R2171">
        <v>0.98912861257026996</v>
      </c>
      <c r="S2171" t="s">
        <v>7997</v>
      </c>
      <c r="T2171" t="s">
        <v>11650</v>
      </c>
      <c r="U2171" t="s">
        <v>11650</v>
      </c>
      <c r="V2171" t="s">
        <v>11650</v>
      </c>
      <c r="W2171" t="s">
        <v>13780</v>
      </c>
      <c r="X2171">
        <v>2</v>
      </c>
      <c r="Y2171" t="s">
        <v>19504</v>
      </c>
      <c r="Z2171" t="s">
        <v>25233</v>
      </c>
      <c r="AA2171">
        <v>0.62140648522273478</v>
      </c>
      <c r="AB2171" t="str">
        <f>HYPERLINK("Melting_Curves/meltCurve_P28845_HSD11B1.pdf", "Melting_Curves/meltCurve_P28845_HSD11B1.pdf")</f>
        <v>Melting_Curves/meltCurve_P28845_HSD11B1.pdf</v>
      </c>
    </row>
    <row r="2172" spans="1:28" x14ac:dyDescent="0.25">
      <c r="A2172" t="s">
        <v>2176</v>
      </c>
      <c r="B2172">
        <v>0.99996721820229495</v>
      </c>
      <c r="C2172">
        <v>1.11483159072267</v>
      </c>
      <c r="D2172">
        <v>1.03184999596697</v>
      </c>
      <c r="E2172">
        <v>0.96032512295906303</v>
      </c>
      <c r="F2172">
        <v>0.97791562084825201</v>
      </c>
      <c r="G2172">
        <v>0.90167963268315099</v>
      </c>
      <c r="H2172">
        <v>0.53387639296907397</v>
      </c>
      <c r="I2172">
        <v>0.34132179651344202</v>
      </c>
      <c r="J2172">
        <v>0.284938938929025</v>
      </c>
      <c r="K2172">
        <v>0.18467277638309601</v>
      </c>
      <c r="L2172">
        <v>1746.18717696558</v>
      </c>
      <c r="M2172">
        <v>28.878981911526498</v>
      </c>
      <c r="N2172">
        <v>61.570812568015697</v>
      </c>
      <c r="O2172">
        <v>60.177944913119802</v>
      </c>
      <c r="P2172">
        <v>-9.5709617060396504E-2</v>
      </c>
      <c r="Q2172">
        <v>0.20224795987355401</v>
      </c>
      <c r="R2172">
        <v>0.983442912813421</v>
      </c>
      <c r="S2172" t="s">
        <v>7998</v>
      </c>
      <c r="T2172" t="s">
        <v>11650</v>
      </c>
      <c r="U2172" t="s">
        <v>11650</v>
      </c>
      <c r="V2172" t="s">
        <v>11650</v>
      </c>
      <c r="W2172" t="s">
        <v>13781</v>
      </c>
      <c r="X2172">
        <v>3</v>
      </c>
      <c r="Y2172" t="s">
        <v>19505</v>
      </c>
      <c r="Z2172" t="s">
        <v>25234</v>
      </c>
      <c r="AA2172">
        <v>0.75133767307910915</v>
      </c>
      <c r="AB2172" t="str">
        <f>HYPERLINK("Melting_Curves/meltCurve_P29034_S100A2.pdf", "Melting_Curves/meltCurve_P29034_S100A2.pdf")</f>
        <v>Melting_Curves/meltCurve_P29034_S100A2.pdf</v>
      </c>
    </row>
    <row r="2173" spans="1:28" x14ac:dyDescent="0.25">
      <c r="A2173" t="s">
        <v>2177</v>
      </c>
      <c r="B2173">
        <v>0.99996721820229495</v>
      </c>
      <c r="C2173">
        <v>0.72692812817554198</v>
      </c>
      <c r="D2173">
        <v>0.60596719530098098</v>
      </c>
      <c r="E2173">
        <v>0.92584711470808301</v>
      </c>
      <c r="F2173">
        <v>0.63156506316127303</v>
      </c>
      <c r="G2173">
        <v>0.50558104020403505</v>
      </c>
      <c r="H2173">
        <v>0.27861445411747299</v>
      </c>
      <c r="I2173">
        <v>2.2460777230134501</v>
      </c>
      <c r="J2173">
        <v>0.16664003434666699</v>
      </c>
      <c r="K2173">
        <v>0.19731563716186001</v>
      </c>
      <c r="L2173">
        <v>116.50325374875899</v>
      </c>
      <c r="M2173">
        <v>1.15916813198947</v>
      </c>
      <c r="O2173">
        <v>40.509635102306497</v>
      </c>
      <c r="P2173">
        <v>-9.1650382070957593E-3</v>
      </c>
      <c r="Q2173">
        <v>0</v>
      </c>
      <c r="R2173">
        <v>1.7724636796624199E-2</v>
      </c>
      <c r="S2173" t="s">
        <v>7999</v>
      </c>
      <c r="T2173" t="s">
        <v>11650</v>
      </c>
      <c r="U2173" t="s">
        <v>11650</v>
      </c>
      <c r="V2173" t="s">
        <v>11650</v>
      </c>
      <c r="W2173" t="s">
        <v>13782</v>
      </c>
      <c r="X2173">
        <v>1</v>
      </c>
      <c r="Y2173" t="s">
        <v>19506</v>
      </c>
      <c r="Z2173" t="s">
        <v>25235</v>
      </c>
      <c r="AA2173">
        <v>0.72818085571399005</v>
      </c>
      <c r="AB2173" t="str">
        <f>HYPERLINK("Melting_Curves/meltCurve_P29083_GTF2E1.pdf", "Melting_Curves/meltCurve_P29083_GTF2E1.pdf")</f>
        <v>Melting_Curves/meltCurve_P29083_GTF2E1.pdf</v>
      </c>
    </row>
    <row r="2174" spans="1:28" x14ac:dyDescent="0.25">
      <c r="A2174" t="s">
        <v>2178</v>
      </c>
      <c r="B2174">
        <v>0.99996721820229495</v>
      </c>
      <c r="C2174">
        <v>1.00244035304456</v>
      </c>
      <c r="D2174">
        <v>0.99478901060273195</v>
      </c>
      <c r="E2174">
        <v>0.98823792272271904</v>
      </c>
      <c r="F2174">
        <v>1.39663718092033</v>
      </c>
      <c r="G2174">
        <v>1.4929215478640501</v>
      </c>
      <c r="H2174">
        <v>1.03257820317682</v>
      </c>
      <c r="I2174">
        <v>0.86338453620303501</v>
      </c>
      <c r="J2174">
        <v>0.68624528711435095</v>
      </c>
      <c r="K2174">
        <v>0.48024470356387799</v>
      </c>
      <c r="L2174">
        <v>2660.0706822832199</v>
      </c>
      <c r="M2174">
        <v>39.9593281394664</v>
      </c>
      <c r="N2174">
        <v>69.624141273488505</v>
      </c>
      <c r="O2174">
        <v>66.403395609840402</v>
      </c>
      <c r="P2174">
        <v>-8.8251002146155499E-2</v>
      </c>
      <c r="Q2174">
        <v>0.41338822664177299</v>
      </c>
      <c r="R2174">
        <v>0.48599155589188497</v>
      </c>
      <c r="S2174" t="s">
        <v>8000</v>
      </c>
      <c r="T2174" t="s">
        <v>11650</v>
      </c>
      <c r="U2174" t="s">
        <v>11650</v>
      </c>
      <c r="V2174" t="s">
        <v>11650</v>
      </c>
      <c r="W2174" t="s">
        <v>13783</v>
      </c>
      <c r="X2174">
        <v>18</v>
      </c>
      <c r="Y2174" t="s">
        <v>17796</v>
      </c>
      <c r="Z2174" t="s">
        <v>25236</v>
      </c>
      <c r="AA2174">
        <v>0.93058965270364979</v>
      </c>
      <c r="AB2174" t="str">
        <f>HYPERLINK("Melting_Curves/meltCurve_P29218_IMPA1.pdf", "Melting_Curves/meltCurve_P29218_IMPA1.pdf")</f>
        <v>Melting_Curves/meltCurve_P29218_IMPA1.pdf</v>
      </c>
    </row>
    <row r="2175" spans="1:28" x14ac:dyDescent="0.25">
      <c r="A2175" t="s">
        <v>2179</v>
      </c>
      <c r="B2175">
        <v>0.99996721820229495</v>
      </c>
      <c r="C2175">
        <v>1.08125377374759</v>
      </c>
      <c r="D2175">
        <v>1.0246169758261801</v>
      </c>
      <c r="E2175">
        <v>1.09584418086625</v>
      </c>
      <c r="F2175">
        <v>1.3220495461186099</v>
      </c>
      <c r="G2175">
        <v>1.4017519918064301</v>
      </c>
      <c r="H2175">
        <v>1.01301370213233</v>
      </c>
      <c r="I2175">
        <v>0.64617884679417903</v>
      </c>
      <c r="J2175">
        <v>0.49355331867862801</v>
      </c>
      <c r="K2175">
        <v>0.32224683281600502</v>
      </c>
      <c r="L2175">
        <v>3814.1291217094499</v>
      </c>
      <c r="M2175">
        <v>59.705328635032501</v>
      </c>
      <c r="N2175">
        <v>65.450411205151696</v>
      </c>
      <c r="O2175">
        <v>63.811008971290299</v>
      </c>
      <c r="P2175">
        <v>-0.144939879964608</v>
      </c>
      <c r="Q2175">
        <v>0.38037315602699101</v>
      </c>
      <c r="R2175">
        <v>0.72892251981039202</v>
      </c>
      <c r="S2175" t="s">
        <v>8001</v>
      </c>
      <c r="T2175" t="s">
        <v>11650</v>
      </c>
      <c r="U2175" t="s">
        <v>11650</v>
      </c>
      <c r="V2175" t="s">
        <v>11650</v>
      </c>
      <c r="W2175" t="s">
        <v>13784</v>
      </c>
      <c r="X2175">
        <v>22</v>
      </c>
      <c r="Y2175" t="s">
        <v>19507</v>
      </c>
      <c r="Z2175" t="s">
        <v>25237</v>
      </c>
      <c r="AA2175">
        <v>0.87472243176310871</v>
      </c>
      <c r="AB2175" t="str">
        <f>HYPERLINK("Melting_Curves/meltCurve_P29279_CTGF.pdf", "Melting_Curves/meltCurve_P29279_CTGF.pdf")</f>
        <v>Melting_Curves/meltCurve_P29279_CTGF.pdf</v>
      </c>
    </row>
    <row r="2176" spans="1:28" x14ac:dyDescent="0.25">
      <c r="A2176" t="s">
        <v>2180</v>
      </c>
      <c r="B2176">
        <v>0.99996721820229495</v>
      </c>
      <c r="C2176">
        <v>0.84535796320327605</v>
      </c>
      <c r="D2176">
        <v>0.90143282510558698</v>
      </c>
      <c r="E2176">
        <v>0.61693241536748</v>
      </c>
      <c r="F2176">
        <v>0.47399783497754999</v>
      </c>
      <c r="G2176">
        <v>0.45898511087736699</v>
      </c>
      <c r="H2176">
        <v>0.34405798795517401</v>
      </c>
      <c r="I2176">
        <v>0.248129535204973</v>
      </c>
      <c r="J2176">
        <v>0.19855080682769599</v>
      </c>
      <c r="K2176">
        <v>0.19065749321693401</v>
      </c>
      <c r="L2176">
        <v>500.08573906809602</v>
      </c>
      <c r="M2176">
        <v>9.5562359113227409</v>
      </c>
      <c r="N2176">
        <v>53.977030396601201</v>
      </c>
      <c r="O2176">
        <v>50.1930971526535</v>
      </c>
      <c r="P2176">
        <v>-4.1604655150817897E-2</v>
      </c>
      <c r="Q2176">
        <v>0.12640952143765599</v>
      </c>
      <c r="R2176">
        <v>0.97019393393018905</v>
      </c>
      <c r="S2176" t="s">
        <v>8002</v>
      </c>
      <c r="T2176" t="s">
        <v>11650</v>
      </c>
      <c r="U2176" t="s">
        <v>11650</v>
      </c>
      <c r="V2176" t="s">
        <v>11650</v>
      </c>
      <c r="W2176" t="s">
        <v>13785</v>
      </c>
      <c r="X2176">
        <v>5</v>
      </c>
      <c r="Y2176" t="s">
        <v>19508</v>
      </c>
      <c r="Z2176" t="s">
        <v>25238</v>
      </c>
      <c r="AA2176">
        <v>0.51907138248176043</v>
      </c>
      <c r="AB2176" t="str">
        <f>HYPERLINK("Melting_Curves/meltCurve_P29317_EPHA2.pdf", "Melting_Curves/meltCurve_P29317_EPHA2.pdf")</f>
        <v>Melting_Curves/meltCurve_P29317_EPHA2.pdf</v>
      </c>
    </row>
    <row r="2177" spans="1:28" x14ac:dyDescent="0.25">
      <c r="A2177" t="s">
        <v>2181</v>
      </c>
      <c r="B2177">
        <v>0.99996721820229495</v>
      </c>
      <c r="C2177">
        <v>0.93247868950968604</v>
      </c>
      <c r="D2177">
        <v>1.0454503434839799</v>
      </c>
      <c r="E2177">
        <v>1.1324591736919001</v>
      </c>
      <c r="F2177">
        <v>0.70267244326298295</v>
      </c>
      <c r="G2177">
        <v>0.447800375303395</v>
      </c>
      <c r="H2177">
        <v>0.23325081984593099</v>
      </c>
      <c r="I2177">
        <v>0.146784354986501</v>
      </c>
      <c r="J2177">
        <v>0.108328840273672</v>
      </c>
      <c r="K2177">
        <v>9.06527774238884E-2</v>
      </c>
      <c r="L2177">
        <v>1366.3524107712999</v>
      </c>
      <c r="M2177">
        <v>24.531378613899498</v>
      </c>
      <c r="N2177">
        <v>56.245896665719002</v>
      </c>
      <c r="O2177">
        <v>55.332001365990301</v>
      </c>
      <c r="P2177">
        <v>-9.9062014820281402E-2</v>
      </c>
      <c r="Q2177">
        <v>0.106251907163931</v>
      </c>
      <c r="R2177">
        <v>0.96773297865705799</v>
      </c>
      <c r="S2177" t="s">
        <v>8003</v>
      </c>
      <c r="T2177" t="s">
        <v>11650</v>
      </c>
      <c r="U2177" t="s">
        <v>11650</v>
      </c>
      <c r="V2177" t="s">
        <v>11650</v>
      </c>
      <c r="W2177" t="s">
        <v>13786</v>
      </c>
      <c r="X2177">
        <v>18</v>
      </c>
      <c r="Y2177" t="s">
        <v>19509</v>
      </c>
      <c r="Z2177" t="s">
        <v>25239</v>
      </c>
      <c r="AA2177">
        <v>0.5824227283498834</v>
      </c>
      <c r="AB2177" t="str">
        <f>HYPERLINK("Melting_Curves/meltCurve_P29323_2_EPHB2.pdf", "Melting_Curves/meltCurve_P29323_2_EPHB2.pdf")</f>
        <v>Melting_Curves/meltCurve_P29323_2_EPHB2.pdf</v>
      </c>
    </row>
    <row r="2178" spans="1:28" x14ac:dyDescent="0.25">
      <c r="A2178" t="s">
        <v>2182</v>
      </c>
      <c r="B2178">
        <v>0.99996721820229495</v>
      </c>
      <c r="C2178">
        <v>0.95711418096513101</v>
      </c>
      <c r="D2178">
        <v>0.86396847251608699</v>
      </c>
      <c r="E2178">
        <v>0.91266856337882296</v>
      </c>
      <c r="F2178">
        <v>1.1444990783037801</v>
      </c>
      <c r="G2178">
        <v>0.83362192414983904</v>
      </c>
      <c r="H2178">
        <v>0.43858811431497902</v>
      </c>
      <c r="I2178">
        <v>0.40325820981189803</v>
      </c>
      <c r="J2178">
        <v>0.36939479864189001</v>
      </c>
      <c r="K2178">
        <v>0.304088103595274</v>
      </c>
      <c r="L2178">
        <v>2693.93135983001</v>
      </c>
      <c r="M2178">
        <v>46.101076196097601</v>
      </c>
      <c r="N2178">
        <v>60.042513446212297</v>
      </c>
      <c r="O2178">
        <v>58.325694350686199</v>
      </c>
      <c r="P2178">
        <v>-0.12756400083453101</v>
      </c>
      <c r="Q2178">
        <v>0.35444028128098598</v>
      </c>
      <c r="R2178">
        <v>0.93638667064562198</v>
      </c>
      <c r="S2178" t="s">
        <v>8004</v>
      </c>
      <c r="T2178" t="s">
        <v>11650</v>
      </c>
      <c r="U2178" t="s">
        <v>11650</v>
      </c>
      <c r="V2178" t="s">
        <v>11650</v>
      </c>
      <c r="W2178" t="s">
        <v>13787</v>
      </c>
      <c r="X2178">
        <v>25</v>
      </c>
      <c r="Y2178" t="s">
        <v>19510</v>
      </c>
      <c r="Z2178" t="s">
        <v>25240</v>
      </c>
      <c r="AA2178">
        <v>0.75308267529777595</v>
      </c>
      <c r="AB2178" t="str">
        <f>HYPERLINK("Melting_Curves/meltCurve_P29353_6_SHC1.pdf", "Melting_Curves/meltCurve_P29353_6_SHC1.pdf")</f>
        <v>Melting_Curves/meltCurve_P29353_6_SHC1.pdf</v>
      </c>
    </row>
    <row r="2179" spans="1:28" x14ac:dyDescent="0.25">
      <c r="A2179" t="s">
        <v>2183</v>
      </c>
      <c r="B2179">
        <v>0.99996721820229495</v>
      </c>
      <c r="C2179">
        <v>1.08358506033323</v>
      </c>
      <c r="D2179">
        <v>1.04624242655896</v>
      </c>
      <c r="E2179">
        <v>0.85938023916214901</v>
      </c>
      <c r="F2179">
        <v>0.41911948375954799</v>
      </c>
      <c r="G2179">
        <v>0.27349976226754502</v>
      </c>
      <c r="H2179">
        <v>0.11489914604540299</v>
      </c>
      <c r="I2179">
        <v>7.4295241983405702E-2</v>
      </c>
      <c r="J2179">
        <v>5.9857476491064203E-2</v>
      </c>
      <c r="K2179">
        <v>4.2851778870252898E-2</v>
      </c>
      <c r="L2179">
        <v>1419.9654464251701</v>
      </c>
      <c r="M2179">
        <v>27.0044764494113</v>
      </c>
      <c r="N2179">
        <v>52.916229996976398</v>
      </c>
      <c r="O2179">
        <v>52.296766413302898</v>
      </c>
      <c r="P2179">
        <v>-0.11898849586582901</v>
      </c>
      <c r="Q2179">
        <v>7.8278195135771805E-2</v>
      </c>
      <c r="R2179">
        <v>0.98372098400327501</v>
      </c>
      <c r="S2179" t="s">
        <v>8005</v>
      </c>
      <c r="T2179" t="s">
        <v>11650</v>
      </c>
      <c r="U2179" t="s">
        <v>11650</v>
      </c>
      <c r="V2179" t="s">
        <v>11650</v>
      </c>
      <c r="W2179" t="s">
        <v>13788</v>
      </c>
      <c r="X2179">
        <v>16</v>
      </c>
      <c r="Y2179" t="s">
        <v>19511</v>
      </c>
      <c r="Z2179" t="s">
        <v>25241</v>
      </c>
      <c r="AA2179">
        <v>0.47216324892354028</v>
      </c>
      <c r="AB2179" t="str">
        <f>HYPERLINK("Melting_Curves/meltCurve_P29373_CRABP2.pdf", "Melting_Curves/meltCurve_P29373_CRABP2.pdf")</f>
        <v>Melting_Curves/meltCurve_P29373_CRABP2.pdf</v>
      </c>
    </row>
    <row r="2180" spans="1:28" x14ac:dyDescent="0.25">
      <c r="A2180" t="s">
        <v>2184</v>
      </c>
      <c r="B2180">
        <v>0.99996721820229495</v>
      </c>
      <c r="C2180">
        <v>0.91088114590367397</v>
      </c>
      <c r="D2180">
        <v>1.0241574687808199</v>
      </c>
      <c r="E2180">
        <v>1.4319037672527399</v>
      </c>
      <c r="F2180">
        <v>1.8270649309956799</v>
      </c>
      <c r="G2180">
        <v>2.2202569817187401</v>
      </c>
      <c r="H2180">
        <v>1.9005971488754101</v>
      </c>
      <c r="I2180">
        <v>1.38178478622847</v>
      </c>
      <c r="J2180">
        <v>0.46404047091811401</v>
      </c>
      <c r="K2180">
        <v>0.19259308366485101</v>
      </c>
      <c r="L2180">
        <v>15000</v>
      </c>
      <c r="M2180">
        <v>224.56011462650301</v>
      </c>
      <c r="N2180">
        <v>66.942197661806205</v>
      </c>
      <c r="O2180">
        <v>66.791960595717399</v>
      </c>
      <c r="P2180">
        <v>-0.67870028242305003</v>
      </c>
      <c r="Q2180">
        <v>0.19252405992920801</v>
      </c>
      <c r="R2180">
        <v>0.10385760952121401</v>
      </c>
      <c r="S2180" t="s">
        <v>8006</v>
      </c>
      <c r="T2180" t="s">
        <v>11650</v>
      </c>
      <c r="U2180" t="s">
        <v>11650</v>
      </c>
      <c r="V2180" t="s">
        <v>11650</v>
      </c>
      <c r="W2180" t="s">
        <v>13789</v>
      </c>
      <c r="X2180">
        <v>40</v>
      </c>
      <c r="Y2180" t="s">
        <v>19512</v>
      </c>
      <c r="Z2180" t="s">
        <v>25242</v>
      </c>
      <c r="AA2180">
        <v>0.91391246126056846</v>
      </c>
      <c r="AB2180" t="str">
        <f>HYPERLINK("Melting_Curves/meltCurve_P29401_TKT.pdf", "Melting_Curves/meltCurve_P29401_TKT.pdf")</f>
        <v>Melting_Curves/meltCurve_P29401_TKT.pdf</v>
      </c>
    </row>
    <row r="2181" spans="1:28" x14ac:dyDescent="0.25">
      <c r="A2181" t="s">
        <v>2185</v>
      </c>
      <c r="B2181">
        <v>0.99996721820229495</v>
      </c>
      <c r="C2181">
        <v>1.03353070389593</v>
      </c>
      <c r="D2181">
        <v>0.75783842931265599</v>
      </c>
      <c r="E2181">
        <v>0.47396013637219803</v>
      </c>
      <c r="F2181">
        <v>0.474533559664712</v>
      </c>
      <c r="G2181">
        <v>0.38986307141089899</v>
      </c>
      <c r="H2181">
        <v>0.27999760089600301</v>
      </c>
      <c r="I2181">
        <v>0.24528528096162899</v>
      </c>
      <c r="J2181">
        <v>0.20045710732046501</v>
      </c>
      <c r="K2181">
        <v>0.15446157863104301</v>
      </c>
      <c r="L2181">
        <v>683.61657796670397</v>
      </c>
      <c r="M2181">
        <v>13.8164186274947</v>
      </c>
      <c r="N2181">
        <v>51.403121287266998</v>
      </c>
      <c r="O2181">
        <v>48.476597711250001</v>
      </c>
      <c r="P2181">
        <v>-5.6872603246360398E-2</v>
      </c>
      <c r="Q2181">
        <v>0.20193319927400299</v>
      </c>
      <c r="R2181">
        <v>0.95867439243217401</v>
      </c>
      <c r="S2181" t="s">
        <v>8007</v>
      </c>
      <c r="T2181" t="s">
        <v>11650</v>
      </c>
      <c r="U2181" t="s">
        <v>11650</v>
      </c>
      <c r="V2181" t="s">
        <v>11650</v>
      </c>
      <c r="W2181" t="s">
        <v>13790</v>
      </c>
      <c r="X2181">
        <v>14</v>
      </c>
      <c r="Y2181" t="s">
        <v>19513</v>
      </c>
      <c r="Z2181" t="s">
        <v>25243</v>
      </c>
      <c r="AA2181">
        <v>0.47652636687253069</v>
      </c>
      <c r="AB2181" t="str">
        <f>HYPERLINK("Melting_Curves/meltCurve_P29536_2_LMOD1.pdf", "Melting_Curves/meltCurve_P29536_2_LMOD1.pdf")</f>
        <v>Melting_Curves/meltCurve_P29536_2_LMOD1.pdf</v>
      </c>
    </row>
    <row r="2182" spans="1:28" x14ac:dyDescent="0.25">
      <c r="A2182" t="s">
        <v>2186</v>
      </c>
      <c r="B2182">
        <v>0.99996721820229495</v>
      </c>
      <c r="C2182">
        <v>1.06975187928899</v>
      </c>
      <c r="D2182">
        <v>1.00989808008715</v>
      </c>
      <c r="E2182">
        <v>1.0443304687044499</v>
      </c>
      <c r="F2182">
        <v>0.64604078643767504</v>
      </c>
      <c r="G2182">
        <v>0.51608708359000699</v>
      </c>
      <c r="H2182">
        <v>0.29563380970976599</v>
      </c>
      <c r="I2182">
        <v>0.20286072678459699</v>
      </c>
      <c r="J2182">
        <v>0.13046108439427501</v>
      </c>
      <c r="K2182">
        <v>0.128259859511966</v>
      </c>
      <c r="L2182">
        <v>1024.9515839528999</v>
      </c>
      <c r="M2182">
        <v>18.3053120672574</v>
      </c>
      <c r="N2182">
        <v>56.776336995805998</v>
      </c>
      <c r="O2182">
        <v>55.336637952540897</v>
      </c>
      <c r="P2182">
        <v>-7.3464350336686704E-2</v>
      </c>
      <c r="Q2182">
        <v>0.111715242611671</v>
      </c>
      <c r="R2182">
        <v>0.97198241400405805</v>
      </c>
      <c r="S2182" t="s">
        <v>8008</v>
      </c>
      <c r="T2182" t="s">
        <v>11650</v>
      </c>
      <c r="U2182" t="s">
        <v>11650</v>
      </c>
      <c r="V2182" t="s">
        <v>11650</v>
      </c>
      <c r="W2182" t="s">
        <v>13791</v>
      </c>
      <c r="X2182">
        <v>27</v>
      </c>
      <c r="Y2182" t="s">
        <v>19514</v>
      </c>
      <c r="Z2182" t="s">
        <v>25244</v>
      </c>
      <c r="AA2182">
        <v>0.59806097040712447</v>
      </c>
      <c r="AB2182" t="str">
        <f>HYPERLINK("Melting_Curves/meltCurve_P29590_PML.pdf", "Melting_Curves/meltCurve_P29590_PML.pdf")</f>
        <v>Melting_Curves/meltCurve_P29590_PML.pdf</v>
      </c>
    </row>
    <row r="2183" spans="1:28" x14ac:dyDescent="0.25">
      <c r="A2183" t="s">
        <v>2187</v>
      </c>
      <c r="B2183">
        <v>0.99996721820229495</v>
      </c>
      <c r="C2183">
        <v>1.0462383224984699</v>
      </c>
      <c r="D2183">
        <v>0.98131951276410101</v>
      </c>
      <c r="E2183">
        <v>1.1304229137522299</v>
      </c>
      <c r="F2183">
        <v>1.4565494579112801</v>
      </c>
      <c r="G2183">
        <v>1.6442403423865399</v>
      </c>
      <c r="H2183">
        <v>1.5373294767802701</v>
      </c>
      <c r="I2183">
        <v>1.3894161932024101</v>
      </c>
      <c r="J2183">
        <v>1.2401341836741999</v>
      </c>
      <c r="K2183">
        <v>1.161406423783</v>
      </c>
      <c r="L2183">
        <v>12537.194266087001</v>
      </c>
      <c r="M2183">
        <v>250</v>
      </c>
      <c r="O2183">
        <v>50.1455678881686</v>
      </c>
      <c r="P2183">
        <v>0.50458856358379001</v>
      </c>
      <c r="Q2183">
        <v>1.40484608055368</v>
      </c>
      <c r="R2183">
        <v>0.66521839580940101</v>
      </c>
      <c r="S2183" t="s">
        <v>8009</v>
      </c>
      <c r="T2183" t="s">
        <v>11650</v>
      </c>
      <c r="U2183" t="s">
        <v>11650</v>
      </c>
      <c r="V2183" t="s">
        <v>11650</v>
      </c>
      <c r="W2183" t="s">
        <v>13792</v>
      </c>
      <c r="X2183">
        <v>14</v>
      </c>
      <c r="Y2183" t="s">
        <v>19515</v>
      </c>
      <c r="Z2183" t="s">
        <v>25245</v>
      </c>
      <c r="AA2183">
        <v>1.267854029355393</v>
      </c>
      <c r="AB2183" t="str">
        <f>HYPERLINK("Melting_Curves/meltCurve_P29966_MARCKS.pdf", "Melting_Curves/meltCurve_P29966_MARCKS.pdf")</f>
        <v>Melting_Curves/meltCurve_P29966_MARCKS.pdf</v>
      </c>
    </row>
    <row r="2184" spans="1:28" x14ac:dyDescent="0.25">
      <c r="A2184" t="s">
        <v>2188</v>
      </c>
      <c r="B2184">
        <v>0.99996721820229495</v>
      </c>
      <c r="C2184">
        <v>0.77068924347303203</v>
      </c>
      <c r="D2184">
        <v>0.87304196715578797</v>
      </c>
      <c r="E2184">
        <v>1.0243282035030701</v>
      </c>
      <c r="F2184">
        <v>0.34389697268904701</v>
      </c>
      <c r="G2184">
        <v>0.25313859302139802</v>
      </c>
      <c r="H2184">
        <v>0.14719457098031999</v>
      </c>
      <c r="I2184">
        <v>9.8804096011903195E-2</v>
      </c>
      <c r="J2184">
        <v>7.6371961076675196E-2</v>
      </c>
      <c r="K2184">
        <v>5.1306685505072398E-2</v>
      </c>
      <c r="L2184">
        <v>13191.733059448699</v>
      </c>
      <c r="M2184">
        <v>250</v>
      </c>
      <c r="N2184">
        <v>52.827927610768199</v>
      </c>
      <c r="O2184">
        <v>52.763555494459602</v>
      </c>
      <c r="P2184">
        <v>-1.0360333347039301</v>
      </c>
      <c r="Q2184">
        <v>0.12536316326876801</v>
      </c>
      <c r="R2184">
        <v>0.93584016204999398</v>
      </c>
      <c r="S2184" t="s">
        <v>8010</v>
      </c>
      <c r="T2184" t="s">
        <v>11650</v>
      </c>
      <c r="U2184" t="s">
        <v>11650</v>
      </c>
      <c r="V2184" t="s">
        <v>11650</v>
      </c>
      <c r="W2184" t="s">
        <v>13793</v>
      </c>
      <c r="X2184">
        <v>15</v>
      </c>
      <c r="Y2184" t="s">
        <v>19516</v>
      </c>
      <c r="Z2184" t="s">
        <v>25246</v>
      </c>
      <c r="AA2184">
        <v>0.49765846671394581</v>
      </c>
      <c r="AB2184" t="str">
        <f>HYPERLINK("Melting_Curves/meltCurve_P29992_GNA11.pdf", "Melting_Curves/meltCurve_P29992_GNA11.pdf")</f>
        <v>Melting_Curves/meltCurve_P29992_GNA11.pdf</v>
      </c>
    </row>
    <row r="2185" spans="1:28" x14ac:dyDescent="0.25">
      <c r="A2185" t="s">
        <v>2189</v>
      </c>
      <c r="B2185">
        <v>0.99996721820229495</v>
      </c>
      <c r="C2185">
        <v>0.80648985423113495</v>
      </c>
      <c r="D2185">
        <v>0.72781815926575399</v>
      </c>
      <c r="E2185">
        <v>0.63190462592215801</v>
      </c>
      <c r="F2185">
        <v>0.18718096696931899</v>
      </c>
      <c r="G2185">
        <v>0.17204246726476399</v>
      </c>
      <c r="H2185">
        <v>0.10301803837024</v>
      </c>
      <c r="I2185">
        <v>7.3149817099492698E-2</v>
      </c>
      <c r="J2185">
        <v>5.1537094181059701E-2</v>
      </c>
      <c r="K2185">
        <v>4.5243501604124499E-2</v>
      </c>
      <c r="L2185">
        <v>650.80849581098698</v>
      </c>
      <c r="M2185">
        <v>13.0992033552842</v>
      </c>
      <c r="N2185">
        <v>49.805043296749297</v>
      </c>
      <c r="O2185">
        <v>48.567959930500002</v>
      </c>
      <c r="P2185">
        <v>-6.6374116384513598E-2</v>
      </c>
      <c r="Q2185">
        <v>1.5786903709236001E-2</v>
      </c>
      <c r="R2185">
        <v>0.96182842831053195</v>
      </c>
      <c r="S2185" t="s">
        <v>8011</v>
      </c>
      <c r="T2185" t="s">
        <v>11650</v>
      </c>
      <c r="U2185" t="s">
        <v>11650</v>
      </c>
      <c r="V2185" t="s">
        <v>11650</v>
      </c>
      <c r="W2185" t="s">
        <v>13794</v>
      </c>
      <c r="X2185">
        <v>13</v>
      </c>
      <c r="Y2185" t="s">
        <v>19517</v>
      </c>
      <c r="Z2185" t="s">
        <v>25247</v>
      </c>
      <c r="AA2185">
        <v>0.36351571064482158</v>
      </c>
      <c r="AB2185" t="str">
        <f>HYPERLINK("Melting_Curves/meltCurve_P30038_ALDH4A1.pdf", "Melting_Curves/meltCurve_P30038_ALDH4A1.pdf")</f>
        <v>Melting_Curves/meltCurve_P30038_ALDH4A1.pdf</v>
      </c>
    </row>
    <row r="2186" spans="1:28" x14ac:dyDescent="0.25">
      <c r="A2186" t="s">
        <v>2190</v>
      </c>
      <c r="B2186">
        <v>0.99996721820229495</v>
      </c>
      <c r="C2186">
        <v>1.0271172507519499</v>
      </c>
      <c r="D2186">
        <v>1.0256888736955601</v>
      </c>
      <c r="E2186">
        <v>1.04536997467475</v>
      </c>
      <c r="F2186">
        <v>1.3815647358683001</v>
      </c>
      <c r="G2186">
        <v>1.2018344269172401</v>
      </c>
      <c r="H2186">
        <v>0.37779526957670101</v>
      </c>
      <c r="I2186">
        <v>0.16046626302991601</v>
      </c>
      <c r="J2186">
        <v>9.1925876321893696E-2</v>
      </c>
      <c r="K2186">
        <v>7.4152519503232997E-2</v>
      </c>
      <c r="L2186">
        <v>9025.9706666729908</v>
      </c>
      <c r="M2186">
        <v>148.803955320488</v>
      </c>
      <c r="N2186">
        <v>60.756854962785901</v>
      </c>
      <c r="O2186">
        <v>60.645835782741003</v>
      </c>
      <c r="P2186">
        <v>-0.54674739623573299</v>
      </c>
      <c r="Q2186">
        <v>0.108680844989303</v>
      </c>
      <c r="R2186">
        <v>0.91495183113628598</v>
      </c>
      <c r="S2186" t="s">
        <v>8012</v>
      </c>
      <c r="T2186" t="s">
        <v>11650</v>
      </c>
      <c r="U2186" t="s">
        <v>11650</v>
      </c>
      <c r="V2186" t="s">
        <v>11650</v>
      </c>
      <c r="W2186" t="s">
        <v>13795</v>
      </c>
      <c r="X2186">
        <v>13</v>
      </c>
      <c r="Y2186" t="s">
        <v>19518</v>
      </c>
      <c r="Z2186" t="s">
        <v>25248</v>
      </c>
      <c r="AA2186">
        <v>0.722675269015012</v>
      </c>
      <c r="AB2186" t="str">
        <f>HYPERLINK("Melting_Curves/meltCurve_P30039_PBLD.pdf", "Melting_Curves/meltCurve_P30039_PBLD.pdf")</f>
        <v>Melting_Curves/meltCurve_P30039_PBLD.pdf</v>
      </c>
    </row>
    <row r="2187" spans="1:28" x14ac:dyDescent="0.25">
      <c r="A2187" t="s">
        <v>2191</v>
      </c>
      <c r="B2187">
        <v>0.99996721820229495</v>
      </c>
      <c r="C2187">
        <v>0.98094720614597697</v>
      </c>
      <c r="D2187">
        <v>0.93882266454020502</v>
      </c>
      <c r="E2187">
        <v>0.89541501267088497</v>
      </c>
      <c r="F2187">
        <v>0.75392137086476996</v>
      </c>
      <c r="G2187">
        <v>0.58035609109027497</v>
      </c>
      <c r="H2187">
        <v>0.36140615376798202</v>
      </c>
      <c r="I2187">
        <v>0.32862839236508001</v>
      </c>
      <c r="J2187">
        <v>0.272382515691377</v>
      </c>
      <c r="K2187">
        <v>0.21836397181421599</v>
      </c>
      <c r="L2187">
        <v>764.90700019213102</v>
      </c>
      <c r="M2187">
        <v>13.526302995364601</v>
      </c>
      <c r="N2187">
        <v>58.341030725733198</v>
      </c>
      <c r="O2187">
        <v>55.356512164826398</v>
      </c>
      <c r="P2187">
        <v>-5.0713572081339003E-2</v>
      </c>
      <c r="Q2187">
        <v>0.16994264859293101</v>
      </c>
      <c r="R2187">
        <v>0.99668585273555499</v>
      </c>
      <c r="S2187" t="s">
        <v>8013</v>
      </c>
      <c r="T2187" t="s">
        <v>11650</v>
      </c>
      <c r="U2187" t="s">
        <v>11650</v>
      </c>
      <c r="V2187" t="s">
        <v>11650</v>
      </c>
      <c r="W2187" t="s">
        <v>13796</v>
      </c>
      <c r="X2187">
        <v>16</v>
      </c>
      <c r="Y2187" t="s">
        <v>19519</v>
      </c>
      <c r="Z2187" t="s">
        <v>25249</v>
      </c>
      <c r="AA2187">
        <v>0.64261325014930082</v>
      </c>
      <c r="AB2187" t="str">
        <f>HYPERLINK("Melting_Curves/meltCurve_P30040_ERP29.pdf", "Melting_Curves/meltCurve_P30040_ERP29.pdf")</f>
        <v>Melting_Curves/meltCurve_P30040_ERP29.pdf</v>
      </c>
    </row>
    <row r="2188" spans="1:28" x14ac:dyDescent="0.25">
      <c r="A2188" t="s">
        <v>2192</v>
      </c>
      <c r="B2188">
        <v>0.99996721820229495</v>
      </c>
      <c r="C2188">
        <v>1.11254563776286</v>
      </c>
      <c r="D2188">
        <v>1.08261164258373</v>
      </c>
      <c r="E2188">
        <v>0.98007286776695701</v>
      </c>
      <c r="F2188">
        <v>0.93365491643771303</v>
      </c>
      <c r="G2188">
        <v>0.35774074201438599</v>
      </c>
      <c r="H2188">
        <v>0.15613917185488299</v>
      </c>
      <c r="I2188">
        <v>8.5178754545044699E-2</v>
      </c>
      <c r="J2188">
        <v>5.8448476523365399E-2</v>
      </c>
      <c r="K2188">
        <v>4.7469907016373901E-2</v>
      </c>
      <c r="L2188">
        <v>2303.5184235790998</v>
      </c>
      <c r="M2188">
        <v>41.164947801764697</v>
      </c>
      <c r="N2188">
        <v>56.181249992256397</v>
      </c>
      <c r="O2188">
        <v>55.826690562341803</v>
      </c>
      <c r="P2188">
        <v>-0.170448549768419</v>
      </c>
      <c r="Q2188">
        <v>7.5372703936257807E-2</v>
      </c>
      <c r="R2188">
        <v>0.98819226383298697</v>
      </c>
      <c r="S2188" t="s">
        <v>8014</v>
      </c>
      <c r="T2188" t="s">
        <v>11650</v>
      </c>
      <c r="U2188" t="s">
        <v>11650</v>
      </c>
      <c r="V2188" t="s">
        <v>11650</v>
      </c>
      <c r="W2188" t="s">
        <v>13797</v>
      </c>
      <c r="X2188">
        <v>22</v>
      </c>
      <c r="Y2188" t="s">
        <v>19520</v>
      </c>
      <c r="Z2188" t="s">
        <v>25250</v>
      </c>
      <c r="AA2188">
        <v>0.57057852882170512</v>
      </c>
      <c r="AB2188" t="str">
        <f>HYPERLINK("Melting_Curves/meltCurve_P30041_PRDX6.pdf", "Melting_Curves/meltCurve_P30041_PRDX6.pdf")</f>
        <v>Melting_Curves/meltCurve_P30041_PRDX6.pdf</v>
      </c>
    </row>
    <row r="2189" spans="1:28" x14ac:dyDescent="0.25">
      <c r="A2189" t="s">
        <v>2193</v>
      </c>
      <c r="B2189">
        <v>0.99996721820229495</v>
      </c>
      <c r="C2189">
        <v>0.97519098363953205</v>
      </c>
      <c r="D2189">
        <v>0.98026615898762604</v>
      </c>
      <c r="E2189">
        <v>1.07522403925794</v>
      </c>
      <c r="F2189">
        <v>1.3908660059372699</v>
      </c>
      <c r="G2189">
        <v>1.6443568756315301</v>
      </c>
      <c r="H2189">
        <v>1.28989610616367</v>
      </c>
      <c r="I2189">
        <v>0.978796629245414</v>
      </c>
      <c r="J2189">
        <v>0.74985108265926004</v>
      </c>
      <c r="K2189">
        <v>0.592911767712477</v>
      </c>
      <c r="L2189">
        <v>5597.4400167627</v>
      </c>
      <c r="M2189">
        <v>83.971265064444793</v>
      </c>
      <c r="O2189">
        <v>66.621214870775503</v>
      </c>
      <c r="P2189">
        <v>-0.13053878628184701</v>
      </c>
      <c r="Q2189">
        <v>0.58573201965035404</v>
      </c>
      <c r="R2189">
        <v>0.217086820143154</v>
      </c>
      <c r="S2189" t="s">
        <v>8015</v>
      </c>
      <c r="T2189" t="s">
        <v>11650</v>
      </c>
      <c r="U2189" t="s">
        <v>11650</v>
      </c>
      <c r="V2189" t="s">
        <v>11650</v>
      </c>
      <c r="W2189" t="s">
        <v>13798</v>
      </c>
      <c r="X2189">
        <v>16</v>
      </c>
      <c r="Y2189" t="s">
        <v>19521</v>
      </c>
      <c r="Z2189" t="s">
        <v>25251</v>
      </c>
      <c r="AA2189">
        <v>0.95407119372693805</v>
      </c>
      <c r="AB2189" t="str">
        <f>HYPERLINK("Melting_Curves/meltCurve_P30042_C21orf33.pdf", "Melting_Curves/meltCurve_P30042_C21orf33.pdf")</f>
        <v>Melting_Curves/meltCurve_P30042_C21orf33.pdf</v>
      </c>
    </row>
    <row r="2190" spans="1:28" x14ac:dyDescent="0.25">
      <c r="A2190" t="s">
        <v>2194</v>
      </c>
      <c r="B2190">
        <v>0.99996721820229495</v>
      </c>
      <c r="C2190">
        <v>0.95672031501105503</v>
      </c>
      <c r="D2190">
        <v>0.86955818837019105</v>
      </c>
      <c r="E2190">
        <v>0.46493432124264999</v>
      </c>
      <c r="F2190">
        <v>0.27110606697314898</v>
      </c>
      <c r="G2190">
        <v>0.23099829797278801</v>
      </c>
      <c r="H2190">
        <v>0.151392528958992</v>
      </c>
      <c r="I2190">
        <v>8.7973079237064003E-2</v>
      </c>
      <c r="J2190">
        <v>5.6234761267966102E-2</v>
      </c>
      <c r="K2190">
        <v>4.7879508532689297E-2</v>
      </c>
      <c r="L2190">
        <v>953.66786121093003</v>
      </c>
      <c r="M2190">
        <v>19.2550194272998</v>
      </c>
      <c r="N2190">
        <v>50.018784345648903</v>
      </c>
      <c r="O2190">
        <v>49.003337372732503</v>
      </c>
      <c r="P2190">
        <v>-8.9785187364030905E-2</v>
      </c>
      <c r="Q2190">
        <v>8.6034172428335304E-2</v>
      </c>
      <c r="R2190">
        <v>0.98951945761572002</v>
      </c>
      <c r="S2190" t="s">
        <v>8016</v>
      </c>
      <c r="T2190" t="s">
        <v>11650</v>
      </c>
      <c r="U2190" t="s">
        <v>11650</v>
      </c>
      <c r="V2190" t="s">
        <v>11650</v>
      </c>
      <c r="W2190" t="s">
        <v>13799</v>
      </c>
      <c r="X2190">
        <v>9</v>
      </c>
      <c r="Y2190" t="s">
        <v>19522</v>
      </c>
      <c r="Z2190" t="s">
        <v>25252</v>
      </c>
      <c r="AA2190">
        <v>0.39006662884850118</v>
      </c>
      <c r="AB2190" t="str">
        <f>HYPERLINK("Melting_Curves/meltCurve_P30043_BLVRB.pdf", "Melting_Curves/meltCurve_P30043_BLVRB.pdf")</f>
        <v>Melting_Curves/meltCurve_P30043_BLVRB.pdf</v>
      </c>
    </row>
    <row r="2191" spans="1:28" x14ac:dyDescent="0.25">
      <c r="A2191" t="s">
        <v>2195</v>
      </c>
      <c r="B2191">
        <v>0.99996721820229495</v>
      </c>
      <c r="C2191">
        <v>1.09010500706747</v>
      </c>
      <c r="D2191">
        <v>1.0116923253968999</v>
      </c>
      <c r="E2191">
        <v>0.91002643163020502</v>
      </c>
      <c r="F2191">
        <v>1.1130616873163299</v>
      </c>
      <c r="G2191">
        <v>0.94706935099199197</v>
      </c>
      <c r="H2191">
        <v>0.31974066769105097</v>
      </c>
      <c r="I2191">
        <v>0.15301778097274801</v>
      </c>
      <c r="J2191">
        <v>0.10276733078328899</v>
      </c>
      <c r="K2191">
        <v>7.0929722944393994E-2</v>
      </c>
      <c r="L2191">
        <v>3269.2696641540301</v>
      </c>
      <c r="M2191">
        <v>54.678836353316399</v>
      </c>
      <c r="N2191">
        <v>60.030551504319703</v>
      </c>
      <c r="O2191">
        <v>59.710609058826797</v>
      </c>
      <c r="P2191">
        <v>-0.20644486758107899</v>
      </c>
      <c r="Q2191">
        <v>9.8229744316981199E-2</v>
      </c>
      <c r="R2191">
        <v>0.98275857445463799</v>
      </c>
      <c r="S2191" t="s">
        <v>8017</v>
      </c>
      <c r="T2191" t="s">
        <v>11650</v>
      </c>
      <c r="U2191" t="s">
        <v>11650</v>
      </c>
      <c r="V2191" t="s">
        <v>11650</v>
      </c>
      <c r="W2191" t="s">
        <v>13800</v>
      </c>
      <c r="X2191">
        <v>10</v>
      </c>
      <c r="Y2191" t="s">
        <v>19523</v>
      </c>
      <c r="Z2191" t="s">
        <v>25253</v>
      </c>
      <c r="AA2191">
        <v>0.69508030638321749</v>
      </c>
      <c r="AB2191" t="str">
        <f>HYPERLINK("Melting_Curves/meltCurve_P30044_2_PRDX5.pdf", "Melting_Curves/meltCurve_P30044_2_PRDX5.pdf")</f>
        <v>Melting_Curves/meltCurve_P30044_2_PRDX5.pdf</v>
      </c>
    </row>
    <row r="2192" spans="1:28" x14ac:dyDescent="0.25">
      <c r="A2192" t="s">
        <v>2196</v>
      </c>
      <c r="B2192">
        <v>0.99996721820229495</v>
      </c>
      <c r="C2192">
        <v>0.87549434052931097</v>
      </c>
      <c r="D2192">
        <v>0.85554921320143895</v>
      </c>
      <c r="E2192">
        <v>0.70607948466600701</v>
      </c>
      <c r="F2192">
        <v>0.85651819617596403</v>
      </c>
      <c r="G2192">
        <v>0.825532104169034</v>
      </c>
      <c r="H2192">
        <v>0.50356566273969094</v>
      </c>
      <c r="I2192">
        <v>0.63508210543613397</v>
      </c>
      <c r="J2192">
        <v>0.46959437530235398</v>
      </c>
      <c r="K2192">
        <v>0.26383410936862201</v>
      </c>
      <c r="L2192">
        <v>366.44440378207202</v>
      </c>
      <c r="M2192">
        <v>5.6555348460427997</v>
      </c>
      <c r="N2192">
        <v>64.793943235491199</v>
      </c>
      <c r="O2192">
        <v>58.0565766198376</v>
      </c>
      <c r="P2192">
        <v>-2.44508103640316E-2</v>
      </c>
      <c r="Q2192">
        <v>0</v>
      </c>
      <c r="R2192">
        <v>0.80478755630666299</v>
      </c>
      <c r="S2192" t="s">
        <v>8018</v>
      </c>
      <c r="T2192" t="s">
        <v>11650</v>
      </c>
      <c r="U2192" t="s">
        <v>11650</v>
      </c>
      <c r="V2192" t="s">
        <v>11650</v>
      </c>
      <c r="W2192" t="s">
        <v>13801</v>
      </c>
      <c r="X2192">
        <v>5</v>
      </c>
      <c r="Y2192" t="s">
        <v>19524</v>
      </c>
      <c r="Z2192" t="s">
        <v>25254</v>
      </c>
      <c r="AA2192">
        <v>0.71545451421150941</v>
      </c>
      <c r="AB2192" t="str">
        <f>HYPERLINK("Melting_Curves/meltCurve_P30046_DDT.pdf", "Melting_Curves/meltCurve_P30046_DDT.pdf")</f>
        <v>Melting_Curves/meltCurve_P30046_DDT.pdf</v>
      </c>
    </row>
    <row r="2193" spans="1:28" x14ac:dyDescent="0.25">
      <c r="A2193" t="s">
        <v>2197</v>
      </c>
      <c r="B2193">
        <v>0.99996721820229495</v>
      </c>
      <c r="C2193">
        <v>1.06172517413754</v>
      </c>
      <c r="D2193">
        <v>1.0268972415392501</v>
      </c>
      <c r="E2193">
        <v>1.1706651688760299</v>
      </c>
      <c r="F2193">
        <v>1.5665521969976901</v>
      </c>
      <c r="G2193">
        <v>2.0810969945538602</v>
      </c>
      <c r="H2193">
        <v>2.0465332928745901</v>
      </c>
      <c r="I2193">
        <v>2.7130175128912102</v>
      </c>
      <c r="J2193">
        <v>1.8909217666267</v>
      </c>
      <c r="K2193">
        <v>1.03531519518432</v>
      </c>
      <c r="L2193">
        <v>12532.868404704201</v>
      </c>
      <c r="M2193">
        <v>250</v>
      </c>
      <c r="O2193">
        <v>50.128266963735001</v>
      </c>
      <c r="P2193">
        <v>0.62340078399802001</v>
      </c>
      <c r="Q2193">
        <v>1.5</v>
      </c>
      <c r="R2193">
        <v>0.22816403729896501</v>
      </c>
      <c r="S2193" t="s">
        <v>8019</v>
      </c>
      <c r="T2193" t="s">
        <v>11650</v>
      </c>
      <c r="U2193" t="s">
        <v>11650</v>
      </c>
      <c r="V2193" t="s">
        <v>11650</v>
      </c>
      <c r="W2193" t="s">
        <v>13802</v>
      </c>
      <c r="X2193">
        <v>4</v>
      </c>
      <c r="Y2193" t="s">
        <v>19525</v>
      </c>
      <c r="Z2193" t="s">
        <v>25255</v>
      </c>
      <c r="AA2193">
        <v>1.3310981163750619</v>
      </c>
      <c r="AB2193" t="str">
        <f>HYPERLINK("Melting_Curves/meltCurve_P30049_ATP5D.pdf", "Melting_Curves/meltCurve_P30049_ATP5D.pdf")</f>
        <v>Melting_Curves/meltCurve_P30049_ATP5D.pdf</v>
      </c>
    </row>
    <row r="2194" spans="1:28" x14ac:dyDescent="0.25">
      <c r="A2194" t="s">
        <v>2198</v>
      </c>
      <c r="B2194">
        <v>0.99996721820229495</v>
      </c>
      <c r="C2194">
        <v>0.874323823350312</v>
      </c>
      <c r="D2194">
        <v>0.772297766669932</v>
      </c>
      <c r="E2194">
        <v>1.25737218763934</v>
      </c>
      <c r="F2194">
        <v>1.2620521169412999</v>
      </c>
      <c r="G2194">
        <v>0.84895139389733099</v>
      </c>
      <c r="H2194">
        <v>0.72844083313296804</v>
      </c>
      <c r="I2194">
        <v>0.56788219830278597</v>
      </c>
      <c r="J2194">
        <v>0.266645736634819</v>
      </c>
      <c r="K2194">
        <v>0.30715568425032003</v>
      </c>
      <c r="L2194">
        <v>1602.4895377215801</v>
      </c>
      <c r="M2194">
        <v>25.581920130584699</v>
      </c>
      <c r="N2194">
        <v>64.099128641700602</v>
      </c>
      <c r="O2194">
        <v>62.262451968960498</v>
      </c>
      <c r="P2194">
        <v>-8.0065608079279205E-2</v>
      </c>
      <c r="Q2194">
        <v>0.22053993835842101</v>
      </c>
      <c r="R2194">
        <v>0.78502237704742295</v>
      </c>
      <c r="S2194" t="s">
        <v>8020</v>
      </c>
      <c r="T2194" t="s">
        <v>11650</v>
      </c>
      <c r="U2194" t="s">
        <v>11650</v>
      </c>
      <c r="V2194" t="s">
        <v>11650</v>
      </c>
      <c r="W2194" t="s">
        <v>13803</v>
      </c>
      <c r="X2194">
        <v>7</v>
      </c>
      <c r="Y2194" t="s">
        <v>19526</v>
      </c>
      <c r="Z2194" t="s">
        <v>25256</v>
      </c>
      <c r="AA2194">
        <v>0.81141396869859572</v>
      </c>
      <c r="AB2194" t="str">
        <f>HYPERLINK("Melting_Curves/meltCurve_P30050_RPL12.pdf", "Melting_Curves/meltCurve_P30050_RPL12.pdf")</f>
        <v>Melting_Curves/meltCurve_P30050_RPL12.pdf</v>
      </c>
    </row>
    <row r="2195" spans="1:28" x14ac:dyDescent="0.25">
      <c r="A2195" t="s">
        <v>2199</v>
      </c>
      <c r="B2195">
        <v>0.99996721820229495</v>
      </c>
      <c r="C2195">
        <v>1.0747981757424701</v>
      </c>
      <c r="D2195">
        <v>1.2796421390199</v>
      </c>
      <c r="E2195">
        <v>1.8128371111329</v>
      </c>
      <c r="F2195">
        <v>0.85405714975232205</v>
      </c>
      <c r="G2195">
        <v>0.32748545820620301</v>
      </c>
      <c r="H2195">
        <v>0.168717632201869</v>
      </c>
      <c r="I2195">
        <v>0.114153784042797</v>
      </c>
      <c r="J2195">
        <v>8.4055245400942002E-2</v>
      </c>
      <c r="K2195">
        <v>6.4576221808763504E-2</v>
      </c>
      <c r="L2195">
        <v>2716.73076901273</v>
      </c>
      <c r="M2195">
        <v>48.818789813862203</v>
      </c>
      <c r="N2195">
        <v>55.919611181497501</v>
      </c>
      <c r="O2195">
        <v>55.556146158351503</v>
      </c>
      <c r="P2195">
        <v>-0.19659167993908699</v>
      </c>
      <c r="Q2195">
        <v>0.105109657254418</v>
      </c>
      <c r="R2195">
        <v>0.77433973846108295</v>
      </c>
      <c r="S2195" t="s">
        <v>8021</v>
      </c>
      <c r="T2195" t="s">
        <v>11650</v>
      </c>
      <c r="U2195" t="s">
        <v>11650</v>
      </c>
      <c r="V2195" t="s">
        <v>11650</v>
      </c>
      <c r="W2195" t="s">
        <v>13804</v>
      </c>
      <c r="X2195">
        <v>15</v>
      </c>
      <c r="Y2195" t="s">
        <v>19527</v>
      </c>
      <c r="Z2195" t="s">
        <v>25257</v>
      </c>
      <c r="AA2195">
        <v>0.57422517173877918</v>
      </c>
      <c r="AB2195" t="str">
        <f>HYPERLINK("Melting_Curves/meltCurve_P30084_ECHS1.pdf", "Melting_Curves/meltCurve_P30084_ECHS1.pdf")</f>
        <v>Melting_Curves/meltCurve_P30084_ECHS1.pdf</v>
      </c>
    </row>
    <row r="2196" spans="1:28" x14ac:dyDescent="0.25">
      <c r="A2196" t="s">
        <v>2200</v>
      </c>
      <c r="B2196">
        <v>0.99996721820229495</v>
      </c>
      <c r="C2196">
        <v>1.0014241950006499</v>
      </c>
      <c r="D2196">
        <v>0.88343555417837305</v>
      </c>
      <c r="E2196">
        <v>0.710058696246327</v>
      </c>
      <c r="F2196">
        <v>0.32713745174865799</v>
      </c>
      <c r="G2196">
        <v>0.227082138919346</v>
      </c>
      <c r="H2196">
        <v>0.129592918210098</v>
      </c>
      <c r="I2196">
        <v>9.8043855620477099E-2</v>
      </c>
      <c r="J2196">
        <v>7.8786763928409206E-2</v>
      </c>
      <c r="K2196">
        <v>6.5784958952197298E-2</v>
      </c>
      <c r="L2196">
        <v>1064.3431408112499</v>
      </c>
      <c r="M2196">
        <v>20.763965937930902</v>
      </c>
      <c r="N2196">
        <v>51.705609879047003</v>
      </c>
      <c r="O2196">
        <v>50.790799230823403</v>
      </c>
      <c r="P2196">
        <v>-9.3818695039062094E-2</v>
      </c>
      <c r="Q2196">
        <v>8.2064911669556498E-2</v>
      </c>
      <c r="R2196">
        <v>0.992272314138957</v>
      </c>
      <c r="S2196" t="s">
        <v>8022</v>
      </c>
      <c r="T2196" t="s">
        <v>11650</v>
      </c>
      <c r="U2196" t="s">
        <v>11650</v>
      </c>
      <c r="V2196" t="s">
        <v>11650</v>
      </c>
      <c r="W2196" t="s">
        <v>13805</v>
      </c>
      <c r="X2196">
        <v>17</v>
      </c>
      <c r="Y2196" t="s">
        <v>19528</v>
      </c>
      <c r="Z2196" t="s">
        <v>25258</v>
      </c>
      <c r="AA2196">
        <v>0.4384455263665345</v>
      </c>
      <c r="AB2196" t="str">
        <f>HYPERLINK("Melting_Curves/meltCurve_P30085_CMPK1.pdf", "Melting_Curves/meltCurve_P30085_CMPK1.pdf")</f>
        <v>Melting_Curves/meltCurve_P30085_CMPK1.pdf</v>
      </c>
    </row>
    <row r="2197" spans="1:28" x14ac:dyDescent="0.25">
      <c r="A2197" t="s">
        <v>2201</v>
      </c>
      <c r="B2197">
        <v>0.99996721820229495</v>
      </c>
      <c r="C2197">
        <v>1.0591696029234501</v>
      </c>
      <c r="D2197">
        <v>0.99574323176435497</v>
      </c>
      <c r="E2197">
        <v>0.863547672642061</v>
      </c>
      <c r="F2197">
        <v>1.0051312579102301</v>
      </c>
      <c r="G2197">
        <v>1.0119051324762101</v>
      </c>
      <c r="H2197">
        <v>0.59766527004895498</v>
      </c>
      <c r="I2197">
        <v>0.33614879835264599</v>
      </c>
      <c r="J2197">
        <v>0.191447133900017</v>
      </c>
      <c r="K2197">
        <v>0.1129294261875</v>
      </c>
      <c r="L2197">
        <v>2142.60307261855</v>
      </c>
      <c r="M2197">
        <v>34.8068436792068</v>
      </c>
      <c r="N2197">
        <v>62.076205713738602</v>
      </c>
      <c r="O2197">
        <v>61.354820213124</v>
      </c>
      <c r="P2197">
        <v>-0.123913969598409</v>
      </c>
      <c r="Q2197">
        <v>0.126299186124331</v>
      </c>
      <c r="R2197">
        <v>0.97715515615735304</v>
      </c>
      <c r="S2197" t="s">
        <v>8023</v>
      </c>
      <c r="T2197" t="s">
        <v>11650</v>
      </c>
      <c r="U2197" t="s">
        <v>11650</v>
      </c>
      <c r="V2197" t="s">
        <v>11650</v>
      </c>
      <c r="W2197" t="s">
        <v>13806</v>
      </c>
      <c r="X2197">
        <v>19</v>
      </c>
      <c r="Y2197" t="s">
        <v>19529</v>
      </c>
      <c r="Z2197" t="s">
        <v>25259</v>
      </c>
      <c r="AA2197">
        <v>0.75796955556904855</v>
      </c>
      <c r="AB2197" t="str">
        <f>HYPERLINK("Melting_Curves/meltCurve_P30086_PEBP1.pdf", "Melting_Curves/meltCurve_P30086_PEBP1.pdf")</f>
        <v>Melting_Curves/meltCurve_P30086_PEBP1.pdf</v>
      </c>
    </row>
    <row r="2198" spans="1:28" x14ac:dyDescent="0.25">
      <c r="A2198" t="s">
        <v>2202</v>
      </c>
      <c r="B2198">
        <v>0.99996721820229495</v>
      </c>
      <c r="C2198">
        <v>1.05513729126679</v>
      </c>
      <c r="D2198">
        <v>1.1370073345874301</v>
      </c>
      <c r="E2198">
        <v>1.31575796658764</v>
      </c>
      <c r="F2198">
        <v>1.0321880349652</v>
      </c>
      <c r="G2198">
        <v>0.46086809681753999</v>
      </c>
      <c r="H2198">
        <v>0.237615102567105</v>
      </c>
      <c r="I2198">
        <v>0.13566483445830099</v>
      </c>
      <c r="J2198">
        <v>0.100515124371942</v>
      </c>
      <c r="K2198">
        <v>8.3881125551513405E-2</v>
      </c>
      <c r="L2198">
        <v>3473.8121535133</v>
      </c>
      <c r="M2198">
        <v>61.410855083325302</v>
      </c>
      <c r="N2198">
        <v>56.859431346846698</v>
      </c>
      <c r="O2198">
        <v>56.506853412626803</v>
      </c>
      <c r="P2198">
        <v>-0.234878334900992</v>
      </c>
      <c r="Q2198">
        <v>0.13551240314900001</v>
      </c>
      <c r="R2198">
        <v>0.93822215302357703</v>
      </c>
      <c r="S2198" t="s">
        <v>8024</v>
      </c>
      <c r="T2198" t="s">
        <v>11650</v>
      </c>
      <c r="U2198" t="s">
        <v>11650</v>
      </c>
      <c r="V2198" t="s">
        <v>11650</v>
      </c>
      <c r="W2198" t="s">
        <v>13807</v>
      </c>
      <c r="X2198">
        <v>33</v>
      </c>
      <c r="Y2198" t="s">
        <v>19530</v>
      </c>
      <c r="Z2198" t="s">
        <v>25260</v>
      </c>
      <c r="AA2198">
        <v>0.61433079903830268</v>
      </c>
      <c r="AB2198" t="str">
        <f>HYPERLINK("Melting_Curves/meltCurve_P30153_PPP2R1A.pdf", "Melting_Curves/meltCurve_P30153_PPP2R1A.pdf")</f>
        <v>Melting_Curves/meltCurve_P30153_PPP2R1A.pdf</v>
      </c>
    </row>
    <row r="2199" spans="1:28" x14ac:dyDescent="0.25">
      <c r="A2199" t="s">
        <v>2203</v>
      </c>
      <c r="B2199">
        <v>0.99996721820229495</v>
      </c>
      <c r="C2199">
        <v>0.75080715724964497</v>
      </c>
      <c r="D2199">
        <v>0.47687927269824898</v>
      </c>
      <c r="E2199">
        <v>0.21941432103512801</v>
      </c>
      <c r="F2199">
        <v>0.12394951497065999</v>
      </c>
      <c r="G2199">
        <v>9.0519039142229293E-2</v>
      </c>
      <c r="H2199">
        <v>2.80840354775195E-2</v>
      </c>
      <c r="I2199">
        <v>0</v>
      </c>
      <c r="J2199">
        <v>0</v>
      </c>
      <c r="K2199">
        <v>1.0656071933384701E-2</v>
      </c>
      <c r="L2199">
        <v>785.53669546700803</v>
      </c>
      <c r="M2199">
        <v>17.115218493728602</v>
      </c>
      <c r="N2199">
        <v>45.983297342757602</v>
      </c>
      <c r="O2199">
        <v>45.284143124798703</v>
      </c>
      <c r="P2199">
        <v>-9.2999654588126604E-2</v>
      </c>
      <c r="Q2199">
        <v>1.5810111248892401E-2</v>
      </c>
      <c r="R2199">
        <v>0.99177007869599099</v>
      </c>
      <c r="S2199" t="s">
        <v>8025</v>
      </c>
      <c r="T2199" t="s">
        <v>11650</v>
      </c>
      <c r="U2199" t="s">
        <v>11650</v>
      </c>
      <c r="V2199" t="s">
        <v>11650</v>
      </c>
      <c r="W2199" t="s">
        <v>13808</v>
      </c>
      <c r="X2199">
        <v>10</v>
      </c>
      <c r="Y2199" t="s">
        <v>19531</v>
      </c>
      <c r="Z2199" t="s">
        <v>25261</v>
      </c>
      <c r="AA2199">
        <v>0.23106503559364711</v>
      </c>
      <c r="AB2199" t="str">
        <f>HYPERLINK("Melting_Curves/meltCurve_P30154_4_PPP2R1B.pdf", "Melting_Curves/meltCurve_P30154_4_PPP2R1B.pdf")</f>
        <v>Melting_Curves/meltCurve_P30154_4_PPP2R1B.pdf</v>
      </c>
    </row>
    <row r="2200" spans="1:28" x14ac:dyDescent="0.25">
      <c r="A2200" t="s">
        <v>2204</v>
      </c>
      <c r="B2200">
        <v>0.99996721820229495</v>
      </c>
      <c r="C2200">
        <v>0.84465753332157001</v>
      </c>
      <c r="D2200">
        <v>0.77127698093048103</v>
      </c>
      <c r="E2200">
        <v>0.88087058583465505</v>
      </c>
      <c r="F2200">
        <v>0.44512362039405101</v>
      </c>
      <c r="G2200">
        <v>0.23136783332289901</v>
      </c>
      <c r="H2200">
        <v>0.138962651370619</v>
      </c>
      <c r="I2200">
        <v>0.108031409350863</v>
      </c>
      <c r="J2200">
        <v>6.9867307763337494E-2</v>
      </c>
      <c r="K2200">
        <v>6.44340301508219E-2</v>
      </c>
      <c r="L2200">
        <v>752.51443258373399</v>
      </c>
      <c r="M2200">
        <v>14.2284466888275</v>
      </c>
      <c r="N2200">
        <v>53.029545475680102</v>
      </c>
      <c r="O2200">
        <v>51.876214208504699</v>
      </c>
      <c r="P2200">
        <v>-6.73003134300902E-2</v>
      </c>
      <c r="Q2200">
        <v>1.8627428880216099E-2</v>
      </c>
      <c r="R2200">
        <v>0.94721757890264502</v>
      </c>
      <c r="S2200" t="s">
        <v>8026</v>
      </c>
      <c r="T2200" t="s">
        <v>11650</v>
      </c>
      <c r="U2200" t="s">
        <v>11650</v>
      </c>
      <c r="V2200" t="s">
        <v>11650</v>
      </c>
      <c r="W2200" t="s">
        <v>13809</v>
      </c>
      <c r="X2200">
        <v>15</v>
      </c>
      <c r="Y2200" t="s">
        <v>19532</v>
      </c>
      <c r="Z2200" t="s">
        <v>25262</v>
      </c>
      <c r="AA2200">
        <v>0.46304173247691238</v>
      </c>
      <c r="AB2200" t="str">
        <f>HYPERLINK("Melting_Curves/meltCurve_P30405_PPIF.pdf", "Melting_Curves/meltCurve_P30405_PPIF.pdf")</f>
        <v>Melting_Curves/meltCurve_P30405_PPIF.pdf</v>
      </c>
    </row>
    <row r="2201" spans="1:28" x14ac:dyDescent="0.25">
      <c r="A2201" t="s">
        <v>2205</v>
      </c>
      <c r="B2201">
        <v>0.99996721820229495</v>
      </c>
      <c r="C2201">
        <v>0.71731867164662799</v>
      </c>
      <c r="D2201">
        <v>0.78161772946121</v>
      </c>
      <c r="E2201">
        <v>1.1977914461592101</v>
      </c>
      <c r="F2201">
        <v>1.6053504387738999</v>
      </c>
      <c r="G2201">
        <v>1.30218275564178</v>
      </c>
      <c r="H2201">
        <v>1.3114271064665499</v>
      </c>
      <c r="I2201">
        <v>0.95776595840831202</v>
      </c>
      <c r="J2201">
        <v>0.62852787283726896</v>
      </c>
      <c r="K2201">
        <v>0.76238055221340095</v>
      </c>
      <c r="L2201">
        <v>15000</v>
      </c>
      <c r="M2201">
        <v>232.55116253757899</v>
      </c>
      <c r="O2201">
        <v>64.497164005411705</v>
      </c>
      <c r="P2201">
        <v>-0.274530186115922</v>
      </c>
      <c r="Q2201">
        <v>0.69544046222925604</v>
      </c>
      <c r="R2201">
        <v>0.19795890686921</v>
      </c>
      <c r="S2201" t="s">
        <v>8027</v>
      </c>
      <c r="T2201" t="s">
        <v>11650</v>
      </c>
      <c r="U2201" t="s">
        <v>11650</v>
      </c>
      <c r="V2201" t="s">
        <v>11650</v>
      </c>
      <c r="W2201" t="s">
        <v>13810</v>
      </c>
      <c r="X2201">
        <v>4</v>
      </c>
      <c r="Y2201" t="s">
        <v>19533</v>
      </c>
      <c r="Z2201" t="s">
        <v>25263</v>
      </c>
      <c r="AA2201">
        <v>0.94422357530950696</v>
      </c>
      <c r="AB2201" t="str">
        <f>HYPERLINK("Melting_Curves/meltCurve_P30411_2_BDKRB2.pdf", "Melting_Curves/meltCurve_P30411_2_BDKRB2.pdf")</f>
        <v>Melting_Curves/meltCurve_P30411_2_BDKRB2.pdf</v>
      </c>
    </row>
    <row r="2202" spans="1:28" x14ac:dyDescent="0.25">
      <c r="A2202" t="s">
        <v>2206</v>
      </c>
      <c r="B2202">
        <v>0.99996721820229495</v>
      </c>
      <c r="C2202">
        <v>1.0217179373016301</v>
      </c>
      <c r="D2202">
        <v>0.95086387270419304</v>
      </c>
      <c r="E2202">
        <v>0.97658558993267297</v>
      </c>
      <c r="F2202">
        <v>0.65946864936259397</v>
      </c>
      <c r="G2202">
        <v>0.29745354411649499</v>
      </c>
      <c r="H2202">
        <v>0.17775764340870101</v>
      </c>
      <c r="I2202">
        <v>0.140850767684434</v>
      </c>
      <c r="J2202">
        <v>0.107753336370744</v>
      </c>
      <c r="K2202">
        <v>8.3711843247622902E-2</v>
      </c>
      <c r="L2202">
        <v>1509.1575758266099</v>
      </c>
      <c r="M2202">
        <v>27.8630615122294</v>
      </c>
      <c r="N2202">
        <v>54.6679800491154</v>
      </c>
      <c r="O2202">
        <v>53.886685919315099</v>
      </c>
      <c r="P2202">
        <v>-0.11461072361331701</v>
      </c>
      <c r="Q2202">
        <v>0.11338701073173101</v>
      </c>
      <c r="R2202">
        <v>0.99463817626687001</v>
      </c>
      <c r="S2202" t="s">
        <v>8028</v>
      </c>
      <c r="T2202" t="s">
        <v>11650</v>
      </c>
      <c r="U2202" t="s">
        <v>11650</v>
      </c>
      <c r="V2202" t="s">
        <v>11650</v>
      </c>
      <c r="W2202" t="s">
        <v>13811</v>
      </c>
      <c r="X2202">
        <v>14</v>
      </c>
      <c r="Y2202" t="s">
        <v>19534</v>
      </c>
      <c r="Z2202" t="s">
        <v>25264</v>
      </c>
      <c r="AA2202">
        <v>0.5386845250153981</v>
      </c>
      <c r="AB2202" t="str">
        <f>HYPERLINK("Melting_Curves/meltCurve_P30419_NMT1.pdf", "Melting_Curves/meltCurve_P30419_NMT1.pdf")</f>
        <v>Melting_Curves/meltCurve_P30419_NMT1.pdf</v>
      </c>
    </row>
    <row r="2203" spans="1:28" x14ac:dyDescent="0.25">
      <c r="A2203" t="s">
        <v>2207</v>
      </c>
      <c r="B2203">
        <v>0.99996721820229495</v>
      </c>
      <c r="C2203">
        <v>0.922916349082891</v>
      </c>
      <c r="D2203">
        <v>1.02298221658975</v>
      </c>
      <c r="E2203">
        <v>0.96062877614931597</v>
      </c>
      <c r="F2203">
        <v>1.11496545977085</v>
      </c>
      <c r="G2203">
        <v>1.1654503699576499</v>
      </c>
      <c r="H2203">
        <v>0.75107680775143804</v>
      </c>
      <c r="I2203">
        <v>0.37566364380397899</v>
      </c>
      <c r="J2203">
        <v>0.27790385251608601</v>
      </c>
      <c r="K2203">
        <v>0.29924355623462801</v>
      </c>
      <c r="L2203">
        <v>3943.9964126396699</v>
      </c>
      <c r="M2203">
        <v>63.981235510297203</v>
      </c>
      <c r="N2203">
        <v>62.510678882512302</v>
      </c>
      <c r="O2203">
        <v>61.582881836317597</v>
      </c>
      <c r="P2203">
        <v>-0.18330212635391999</v>
      </c>
      <c r="Q2203">
        <v>0.29427623636920103</v>
      </c>
      <c r="R2203">
        <v>0.952368781590202</v>
      </c>
      <c r="S2203" t="s">
        <v>8029</v>
      </c>
      <c r="T2203" t="s">
        <v>11650</v>
      </c>
      <c r="U2203" t="s">
        <v>11650</v>
      </c>
      <c r="V2203" t="s">
        <v>11650</v>
      </c>
      <c r="W2203" t="s">
        <v>13812</v>
      </c>
      <c r="X2203">
        <v>13</v>
      </c>
      <c r="Y2203" t="s">
        <v>19535</v>
      </c>
      <c r="Z2203" t="s">
        <v>25265</v>
      </c>
      <c r="AA2203">
        <v>0.80456404498190348</v>
      </c>
      <c r="AB2203" t="str">
        <f>HYPERLINK("Melting_Curves/meltCurve_P30504_HLA_C.pdf", "Melting_Curves/meltCurve_P30504_HLA_C.pdf")</f>
        <v>Melting_Curves/meltCurve_P30504_HLA_C.pdf</v>
      </c>
    </row>
    <row r="2204" spans="1:28" x14ac:dyDescent="0.25">
      <c r="A2204" t="s">
        <v>2208</v>
      </c>
      <c r="B2204">
        <v>0.99996721820229495</v>
      </c>
      <c r="C2204">
        <v>0.77167906434842004</v>
      </c>
      <c r="D2204">
        <v>0.78461636713423299</v>
      </c>
      <c r="E2204">
        <v>0.59909401091592096</v>
      </c>
      <c r="F2204">
        <v>0.223616310515554</v>
      </c>
      <c r="G2204">
        <v>0.182886841433028</v>
      </c>
      <c r="H2204">
        <v>0.14036537969560101</v>
      </c>
      <c r="I2204">
        <v>9.8204291365230595E-2</v>
      </c>
      <c r="J2204">
        <v>6.0592496450698301E-2</v>
      </c>
      <c r="K2204">
        <v>5.26269060915215E-2</v>
      </c>
      <c r="L2204">
        <v>640.62555005090303</v>
      </c>
      <c r="M2204">
        <v>12.882270126134101</v>
      </c>
      <c r="N2204">
        <v>49.985615304481101</v>
      </c>
      <c r="O2204">
        <v>48.576650176178198</v>
      </c>
      <c r="P2204">
        <v>-6.4190986620904403E-2</v>
      </c>
      <c r="Q2204">
        <v>3.1968256081217901E-2</v>
      </c>
      <c r="R2204">
        <v>0.96557319454912105</v>
      </c>
      <c r="S2204" t="s">
        <v>8030</v>
      </c>
      <c r="T2204" t="s">
        <v>11650</v>
      </c>
      <c r="U2204" t="s">
        <v>11650</v>
      </c>
      <c r="V2204" t="s">
        <v>11650</v>
      </c>
      <c r="W2204" t="s">
        <v>13813</v>
      </c>
      <c r="X2204">
        <v>25</v>
      </c>
      <c r="Y2204" t="s">
        <v>19536</v>
      </c>
      <c r="Z2204" t="s">
        <v>25266</v>
      </c>
      <c r="AA2204">
        <v>0.37623965862810221</v>
      </c>
      <c r="AB2204" t="str">
        <f>HYPERLINK("Melting_Curves/meltCurve_P30519_HMOX2.pdf", "Melting_Curves/meltCurve_P30519_HMOX2.pdf")</f>
        <v>Melting_Curves/meltCurve_P30519_HMOX2.pdf</v>
      </c>
    </row>
    <row r="2205" spans="1:28" x14ac:dyDescent="0.25">
      <c r="A2205" t="s">
        <v>2209</v>
      </c>
      <c r="B2205">
        <v>0.99996721820229495</v>
      </c>
      <c r="C2205">
        <v>0.88230724715516595</v>
      </c>
      <c r="D2205">
        <v>0.90014741478941795</v>
      </c>
      <c r="E2205">
        <v>1.0631339230191601</v>
      </c>
      <c r="F2205">
        <v>1.1281309229641601</v>
      </c>
      <c r="G2205">
        <v>0.84215520300943503</v>
      </c>
      <c r="H2205">
        <v>0.28259163123991199</v>
      </c>
      <c r="I2205">
        <v>0.14218542802220999</v>
      </c>
      <c r="J2205">
        <v>7.8233080532629895E-2</v>
      </c>
      <c r="K2205">
        <v>7.1000872454050401E-2</v>
      </c>
      <c r="L2205">
        <v>2538.2012607779102</v>
      </c>
      <c r="M2205">
        <v>42.872668408200802</v>
      </c>
      <c r="N2205">
        <v>59.451042859518097</v>
      </c>
      <c r="O2205">
        <v>59.074881623664602</v>
      </c>
      <c r="P2205">
        <v>-0.166589067836415</v>
      </c>
      <c r="Q2205">
        <v>8.1819400582818294E-2</v>
      </c>
      <c r="R2205">
        <v>0.97291531103843398</v>
      </c>
      <c r="S2205" t="s">
        <v>8031</v>
      </c>
      <c r="T2205" t="s">
        <v>11650</v>
      </c>
      <c r="U2205" t="s">
        <v>11650</v>
      </c>
      <c r="V2205" t="s">
        <v>11650</v>
      </c>
      <c r="W2205" t="s">
        <v>13814</v>
      </c>
      <c r="X2205">
        <v>25</v>
      </c>
      <c r="Y2205" t="s">
        <v>19537</v>
      </c>
      <c r="Z2205" t="s">
        <v>25267</v>
      </c>
      <c r="AA2205">
        <v>0.67273830180301719</v>
      </c>
      <c r="AB2205" t="str">
        <f>HYPERLINK("Melting_Curves/meltCurve_P30520_ADSS.pdf", "Melting_Curves/meltCurve_P30520_ADSS.pdf")</f>
        <v>Melting_Curves/meltCurve_P30520_ADSS.pdf</v>
      </c>
    </row>
    <row r="2206" spans="1:28" x14ac:dyDescent="0.25">
      <c r="A2206" t="s">
        <v>2210</v>
      </c>
      <c r="B2206">
        <v>0.99996721820229495</v>
      </c>
      <c r="C2206">
        <v>0.77211057182136</v>
      </c>
      <c r="D2206">
        <v>0.68859567823033396</v>
      </c>
      <c r="E2206">
        <v>0.39878003126648698</v>
      </c>
      <c r="F2206">
        <v>0.751418086491351</v>
      </c>
      <c r="G2206">
        <v>0.43957772445209498</v>
      </c>
      <c r="H2206">
        <v>0.29088140905710003</v>
      </c>
      <c r="I2206">
        <v>6.25391481693858E-2</v>
      </c>
      <c r="J2206">
        <v>0.14215109219560601</v>
      </c>
      <c r="K2206">
        <v>3.4187439366208397E-2</v>
      </c>
      <c r="L2206">
        <v>400.80660506884198</v>
      </c>
      <c r="M2206">
        <v>7.6455131461913099</v>
      </c>
      <c r="N2206">
        <v>52.423766655479497</v>
      </c>
      <c r="O2206">
        <v>49.198382963410303</v>
      </c>
      <c r="P2206">
        <v>-3.8902446577174198E-2</v>
      </c>
      <c r="Q2206">
        <v>0</v>
      </c>
      <c r="R2206">
        <v>0.83567465404587904</v>
      </c>
      <c r="S2206" t="s">
        <v>8032</v>
      </c>
      <c r="T2206" t="s">
        <v>11650</v>
      </c>
      <c r="U2206" t="s">
        <v>11650</v>
      </c>
      <c r="V2206" t="s">
        <v>11650</v>
      </c>
      <c r="W2206" t="s">
        <v>13815</v>
      </c>
      <c r="X2206">
        <v>5</v>
      </c>
      <c r="Y2206" t="s">
        <v>19538</v>
      </c>
      <c r="Z2206" t="s">
        <v>25268</v>
      </c>
      <c r="AA2206">
        <v>0.46011269068372618</v>
      </c>
      <c r="AB2206" t="str">
        <f>HYPERLINK("Melting_Curves/meltCurve_P30530_2_AXL.pdf", "Melting_Curves/meltCurve_P30530_2_AXL.pdf")</f>
        <v>Melting_Curves/meltCurve_P30530_2_AXL.pdf</v>
      </c>
    </row>
    <row r="2207" spans="1:28" x14ac:dyDescent="0.25">
      <c r="A2207" t="s">
        <v>2211</v>
      </c>
      <c r="B2207">
        <v>0.99996721820229495</v>
      </c>
      <c r="C2207">
        <v>0.97908817485567301</v>
      </c>
      <c r="D2207">
        <v>0.91282898930519896</v>
      </c>
      <c r="E2207">
        <v>1.08988136278681</v>
      </c>
      <c r="F2207">
        <v>1.2870698396082001</v>
      </c>
      <c r="G2207">
        <v>1.2226418414791</v>
      </c>
      <c r="H2207">
        <v>0.95032069071005398</v>
      </c>
      <c r="I2207">
        <v>0.808395026795236</v>
      </c>
      <c r="J2207">
        <v>0.71940452709630098</v>
      </c>
      <c r="K2207">
        <v>0.65046817708313398</v>
      </c>
      <c r="L2207">
        <v>2931.59414015225</v>
      </c>
      <c r="M2207">
        <v>46.003586697726298</v>
      </c>
      <c r="O2207">
        <v>63.605274102603502</v>
      </c>
      <c r="P2207">
        <v>-6.0898707748821203E-2</v>
      </c>
      <c r="Q2207">
        <v>0.66320241205701502</v>
      </c>
      <c r="R2207">
        <v>0.59905903565520402</v>
      </c>
      <c r="S2207" t="s">
        <v>8033</v>
      </c>
      <c r="T2207" t="s">
        <v>11650</v>
      </c>
      <c r="U2207" t="s">
        <v>11650</v>
      </c>
      <c r="V2207" t="s">
        <v>11650</v>
      </c>
      <c r="W2207" t="s">
        <v>13816</v>
      </c>
      <c r="X2207">
        <v>42</v>
      </c>
      <c r="Y2207" t="s">
        <v>19539</v>
      </c>
      <c r="Z2207" t="s">
        <v>25269</v>
      </c>
      <c r="AA2207">
        <v>0.93035960323042011</v>
      </c>
      <c r="AB2207" t="str">
        <f>HYPERLINK("Melting_Curves/meltCurve_P30533_LRPAP1.pdf", "Melting_Curves/meltCurve_P30533_LRPAP1.pdf")</f>
        <v>Melting_Curves/meltCurve_P30533_LRPAP1.pdf</v>
      </c>
    </row>
    <row r="2208" spans="1:28" x14ac:dyDescent="0.25">
      <c r="A2208" t="s">
        <v>2212</v>
      </c>
      <c r="B2208">
        <v>0.99996721820229495</v>
      </c>
      <c r="C2208">
        <v>0.97557809543483398</v>
      </c>
      <c r="D2208">
        <v>1.2061573045785701</v>
      </c>
      <c r="E2208">
        <v>1.7745219180740399</v>
      </c>
      <c r="F2208">
        <v>2.8064234472571901</v>
      </c>
      <c r="G2208">
        <v>3.9159279438816501</v>
      </c>
      <c r="H2208">
        <v>2.62431323276724</v>
      </c>
      <c r="I2208">
        <v>0.28719961209558797</v>
      </c>
      <c r="J2208">
        <v>0.18389449003675401</v>
      </c>
      <c r="K2208">
        <v>0.116159382357386</v>
      </c>
      <c r="L2208">
        <v>15000</v>
      </c>
      <c r="M2208">
        <v>236.016107657981</v>
      </c>
      <c r="N2208">
        <v>63.651026573082397</v>
      </c>
      <c r="O2208">
        <v>63.550421180404797</v>
      </c>
      <c r="P2208">
        <v>-0.78936672711474298</v>
      </c>
      <c r="Q2208">
        <v>0.149810778156234</v>
      </c>
      <c r="R2208">
        <v>-3.0011226620024801E-2</v>
      </c>
      <c r="S2208" t="s">
        <v>8034</v>
      </c>
      <c r="T2208" t="s">
        <v>11650</v>
      </c>
      <c r="U2208" t="s">
        <v>11650</v>
      </c>
      <c r="V2208" t="s">
        <v>11650</v>
      </c>
      <c r="W2208" t="s">
        <v>13817</v>
      </c>
      <c r="X2208">
        <v>17</v>
      </c>
      <c r="Y2208" t="s">
        <v>19540</v>
      </c>
      <c r="Z2208" t="s">
        <v>25270</v>
      </c>
      <c r="AA2208">
        <v>0.81745696986009742</v>
      </c>
      <c r="AB2208" t="str">
        <f>HYPERLINK("Melting_Curves/meltCurve_P30566_ADSL.pdf", "Melting_Curves/meltCurve_P30566_ADSL.pdf")</f>
        <v>Melting_Curves/meltCurve_P30566_ADSL.pdf</v>
      </c>
    </row>
    <row r="2209" spans="1:28" x14ac:dyDescent="0.25">
      <c r="A2209" t="s">
        <v>2213</v>
      </c>
      <c r="B2209">
        <v>0.99996721820229495</v>
      </c>
      <c r="C2209">
        <v>1.0439236556609699</v>
      </c>
      <c r="D2209">
        <v>1.21078026740158</v>
      </c>
      <c r="E2209">
        <v>1.7583908522730001</v>
      </c>
      <c r="F2209">
        <v>3.3099930678742</v>
      </c>
      <c r="G2209">
        <v>6.1119377251536999</v>
      </c>
      <c r="H2209">
        <v>1.3248376978526</v>
      </c>
      <c r="I2209">
        <v>0.103740364591554</v>
      </c>
      <c r="J2209">
        <v>3.4710780549164703E-2</v>
      </c>
      <c r="K2209">
        <v>3.0578332181817301E-2</v>
      </c>
      <c r="L2209">
        <v>15000</v>
      </c>
      <c r="M2209">
        <v>236.896961117594</v>
      </c>
      <c r="N2209">
        <v>63.336576815794601</v>
      </c>
      <c r="O2209">
        <v>63.3141553321272</v>
      </c>
      <c r="P2209">
        <v>-0.90510030864945101</v>
      </c>
      <c r="Q2209">
        <v>3.2395161831100701E-2</v>
      </c>
      <c r="R2209">
        <v>-2.68023899950494E-2</v>
      </c>
      <c r="S2209" t="s">
        <v>8035</v>
      </c>
      <c r="T2209" t="s">
        <v>11650</v>
      </c>
      <c r="U2209" t="s">
        <v>11650</v>
      </c>
      <c r="V2209" t="s">
        <v>11650</v>
      </c>
      <c r="W2209" t="s">
        <v>13818</v>
      </c>
      <c r="X2209">
        <v>4</v>
      </c>
      <c r="Y2209" t="s">
        <v>19541</v>
      </c>
      <c r="Z2209" t="s">
        <v>25271</v>
      </c>
      <c r="AA2209">
        <v>0.78462343999306017</v>
      </c>
      <c r="AB2209" t="str">
        <f>HYPERLINK("Melting_Curves/meltCurve_P30613_2_PKLR.pdf", "Melting_Curves/meltCurve_P30613_2_PKLR.pdf")</f>
        <v>Melting_Curves/meltCurve_P30613_2_PKLR.pdf</v>
      </c>
    </row>
    <row r="2210" spans="1:28" x14ac:dyDescent="0.25">
      <c r="A2210" t="s">
        <v>2214</v>
      </c>
      <c r="B2210">
        <v>0.99996721820229495</v>
      </c>
      <c r="C2210">
        <v>1.23173271362336</v>
      </c>
      <c r="D2210">
        <v>1.33901714294604</v>
      </c>
      <c r="E2210">
        <v>1.5227242332672399</v>
      </c>
      <c r="F2210">
        <v>1.85866940580829</v>
      </c>
      <c r="G2210">
        <v>2.0917998137196601</v>
      </c>
      <c r="H2210">
        <v>1.0145460637918799</v>
      </c>
      <c r="I2210">
        <v>0.56021109144387704</v>
      </c>
      <c r="J2210">
        <v>0.45298212264038401</v>
      </c>
      <c r="K2210">
        <v>0.37263193765916702</v>
      </c>
      <c r="L2210">
        <v>15000</v>
      </c>
      <c r="M2210">
        <v>235.468049579922</v>
      </c>
      <c r="N2210">
        <v>64.178917144716806</v>
      </c>
      <c r="O2210">
        <v>63.698318851377302</v>
      </c>
      <c r="P2210">
        <v>-0.54266033099703703</v>
      </c>
      <c r="Q2210">
        <v>0.41280273611523699</v>
      </c>
      <c r="R2210">
        <v>0.221186088366815</v>
      </c>
      <c r="S2210" t="s">
        <v>8036</v>
      </c>
      <c r="T2210" t="s">
        <v>11650</v>
      </c>
      <c r="U2210" t="s">
        <v>11650</v>
      </c>
      <c r="V2210" t="s">
        <v>11650</v>
      </c>
      <c r="W2210" t="s">
        <v>13819</v>
      </c>
      <c r="X2210">
        <v>105</v>
      </c>
      <c r="Y2210" t="s">
        <v>19542</v>
      </c>
      <c r="Z2210" t="s">
        <v>25272</v>
      </c>
      <c r="AA2210">
        <v>0.87681953742141439</v>
      </c>
      <c r="AB2210" t="str">
        <f>HYPERLINK("Melting_Curves/meltCurve_P30622_2_CLIP1.pdf", "Melting_Curves/meltCurve_P30622_2_CLIP1.pdf")</f>
        <v>Melting_Curves/meltCurve_P30622_2_CLIP1.pdf</v>
      </c>
    </row>
    <row r="2211" spans="1:28" x14ac:dyDescent="0.25">
      <c r="A2211" t="s">
        <v>2215</v>
      </c>
      <c r="B2211">
        <v>0.99996721820229495</v>
      </c>
      <c r="C2211">
        <v>1.0270169898155801</v>
      </c>
      <c r="D2211">
        <v>1.02871911511401</v>
      </c>
      <c r="E2211">
        <v>0.99877953713046796</v>
      </c>
      <c r="F2211">
        <v>1.22810637423202</v>
      </c>
      <c r="G2211">
        <v>1.33069521741471</v>
      </c>
      <c r="H2211">
        <v>0.92791907474995405</v>
      </c>
      <c r="I2211">
        <v>0.73777689560031301</v>
      </c>
      <c r="J2211">
        <v>0.51763457359393095</v>
      </c>
      <c r="K2211">
        <v>0.24914538157324201</v>
      </c>
      <c r="L2211">
        <v>2081.8425172473599</v>
      </c>
      <c r="M2211">
        <v>31.4493037777832</v>
      </c>
      <c r="N2211">
        <v>66.829060299620394</v>
      </c>
      <c r="O2211">
        <v>65.930850915675094</v>
      </c>
      <c r="P2211">
        <v>-0.103906208152868</v>
      </c>
      <c r="Q2211">
        <v>0.12868180253206199</v>
      </c>
      <c r="R2211">
        <v>0.81954859950372305</v>
      </c>
      <c r="S2211" t="s">
        <v>8037</v>
      </c>
      <c r="T2211" t="s">
        <v>11650</v>
      </c>
      <c r="U2211" t="s">
        <v>11650</v>
      </c>
      <c r="V2211" t="s">
        <v>11650</v>
      </c>
      <c r="W2211" t="s">
        <v>13820</v>
      </c>
      <c r="X2211">
        <v>11</v>
      </c>
      <c r="Y2211" t="s">
        <v>19543</v>
      </c>
      <c r="Z2211" t="s">
        <v>25273</v>
      </c>
      <c r="AA2211">
        <v>0.88375509808452513</v>
      </c>
      <c r="AB2211" t="str">
        <f>HYPERLINK("Melting_Curves/meltCurve_P30711_GSTT1.pdf", "Melting_Curves/meltCurve_P30711_GSTT1.pdf")</f>
        <v>Melting_Curves/meltCurve_P30711_GSTT1.pdf</v>
      </c>
    </row>
    <row r="2212" spans="1:28" x14ac:dyDescent="0.25">
      <c r="A2212" t="s">
        <v>2216</v>
      </c>
      <c r="B2212">
        <v>0.99996721820229495</v>
      </c>
      <c r="C2212">
        <v>1.01526233137726</v>
      </c>
      <c r="D2212">
        <v>0.98478642585876797</v>
      </c>
      <c r="E2212">
        <v>0.89287198699610704</v>
      </c>
      <c r="F2212">
        <v>0.70243907704958097</v>
      </c>
      <c r="G2212">
        <v>0.28796621829083202</v>
      </c>
      <c r="H2212">
        <v>0.17881172580765101</v>
      </c>
      <c r="I2212">
        <v>0.108784776453398</v>
      </c>
      <c r="J2212">
        <v>7.5629667658785593E-2</v>
      </c>
      <c r="K2212">
        <v>6.2754527781729297E-2</v>
      </c>
      <c r="L2212">
        <v>1292.4755752234501</v>
      </c>
      <c r="M2212">
        <v>23.718445816045001</v>
      </c>
      <c r="N2212">
        <v>54.864261877528001</v>
      </c>
      <c r="O2212">
        <v>54.109495096148599</v>
      </c>
      <c r="P2212">
        <v>-0.101450645489901</v>
      </c>
      <c r="Q2212">
        <v>7.4247559127358698E-2</v>
      </c>
      <c r="R2212">
        <v>0.99805533151722603</v>
      </c>
      <c r="S2212" t="s">
        <v>8038</v>
      </c>
      <c r="T2212" t="s">
        <v>11650</v>
      </c>
      <c r="U2212" t="s">
        <v>11650</v>
      </c>
      <c r="V2212" t="s">
        <v>11650</v>
      </c>
      <c r="W2212" t="s">
        <v>13821</v>
      </c>
      <c r="X2212">
        <v>20</v>
      </c>
      <c r="Y2212" t="s">
        <v>19544</v>
      </c>
      <c r="Z2212" t="s">
        <v>25274</v>
      </c>
      <c r="AA2212">
        <v>0.53086794735060028</v>
      </c>
      <c r="AB2212" t="str">
        <f>HYPERLINK("Melting_Curves/meltCurve_P30740_SERPINB1.pdf", "Melting_Curves/meltCurve_P30740_SERPINB1.pdf")</f>
        <v>Melting_Curves/meltCurve_P30740_SERPINB1.pdf</v>
      </c>
    </row>
    <row r="2213" spans="1:28" x14ac:dyDescent="0.25">
      <c r="A2213" t="s">
        <v>2217</v>
      </c>
      <c r="B2213">
        <v>0.99996721820229495</v>
      </c>
      <c r="C2213">
        <v>0.75849126933659805</v>
      </c>
      <c r="D2213">
        <v>0.90680831067078305</v>
      </c>
      <c r="E2213">
        <v>1.16431295670048</v>
      </c>
      <c r="F2213">
        <v>1.7790298161172999</v>
      </c>
      <c r="G2213">
        <v>1.75742219899126</v>
      </c>
      <c r="H2213">
        <v>1.4697896320912101</v>
      </c>
      <c r="I2213">
        <v>1.23953237612851</v>
      </c>
      <c r="J2213">
        <v>0.78316076206943797</v>
      </c>
      <c r="K2213">
        <v>0.73639913225138298</v>
      </c>
      <c r="L2213">
        <v>15000</v>
      </c>
      <c r="M2213">
        <v>225.40623187096901</v>
      </c>
      <c r="O2213">
        <v>66.541282072097005</v>
      </c>
      <c r="P2213">
        <v>-0.223356719640113</v>
      </c>
      <c r="Q2213">
        <v>0.73625499319618704</v>
      </c>
      <c r="R2213">
        <v>-9.7460468949371201E-2</v>
      </c>
      <c r="S2213" t="s">
        <v>8039</v>
      </c>
      <c r="T2213" t="s">
        <v>11650</v>
      </c>
      <c r="U2213" t="s">
        <v>11650</v>
      </c>
      <c r="V2213" t="s">
        <v>11650</v>
      </c>
      <c r="W2213" t="s">
        <v>13822</v>
      </c>
      <c r="X2213">
        <v>4</v>
      </c>
      <c r="Y2213" t="s">
        <v>19545</v>
      </c>
      <c r="Z2213" t="s">
        <v>25275</v>
      </c>
      <c r="AA2213">
        <v>0.96967656698882265</v>
      </c>
      <c r="AB2213" t="str">
        <f>HYPERLINK("Melting_Curves/meltCurve_P30825_SLC7A1.pdf", "Melting_Curves/meltCurve_P30825_SLC7A1.pdf")</f>
        <v>Melting_Curves/meltCurve_P30825_SLC7A1.pdf</v>
      </c>
    </row>
    <row r="2214" spans="1:28" x14ac:dyDescent="0.25">
      <c r="A2214" t="s">
        <v>2218</v>
      </c>
      <c r="B2214">
        <v>0.99996721820229495</v>
      </c>
      <c r="C2214">
        <v>1.06244930756457</v>
      </c>
      <c r="D2214">
        <v>1.2934098369873599</v>
      </c>
      <c r="E2214">
        <v>1.67135714024448</v>
      </c>
      <c r="F2214">
        <v>1.2817948496644</v>
      </c>
      <c r="G2214">
        <v>0.59242590560942399</v>
      </c>
      <c r="H2214">
        <v>0.27644427965414797</v>
      </c>
      <c r="I2214">
        <v>0.17084800313134499</v>
      </c>
      <c r="J2214">
        <v>0.129749555222991</v>
      </c>
      <c r="K2214">
        <v>8.9088742335578494E-2</v>
      </c>
      <c r="L2214">
        <v>5741.2458200623796</v>
      </c>
      <c r="M2214">
        <v>100.673036536818</v>
      </c>
      <c r="N2214">
        <v>57.258255110201603</v>
      </c>
      <c r="O2214">
        <v>57.0061419987912</v>
      </c>
      <c r="P2214">
        <v>-0.368173679571767</v>
      </c>
      <c r="Q2214">
        <v>0.16608614643819</v>
      </c>
      <c r="R2214">
        <v>0.78629981730330401</v>
      </c>
      <c r="S2214" t="s">
        <v>8040</v>
      </c>
      <c r="T2214" t="s">
        <v>11650</v>
      </c>
      <c r="U2214" t="s">
        <v>11650</v>
      </c>
      <c r="V2214" t="s">
        <v>11650</v>
      </c>
      <c r="W2214" t="s">
        <v>13823</v>
      </c>
      <c r="X2214">
        <v>16</v>
      </c>
      <c r="Y2214" t="s">
        <v>19546</v>
      </c>
      <c r="Z2214" t="s">
        <v>25276</v>
      </c>
      <c r="AA2214">
        <v>0.63994856547145296</v>
      </c>
      <c r="AB2214" t="str">
        <f>HYPERLINK("Melting_Curves/meltCurve_P30837_ALDH1B1.pdf", "Melting_Curves/meltCurve_P30837_ALDH1B1.pdf")</f>
        <v>Melting_Curves/meltCurve_P30837_ALDH1B1.pdf</v>
      </c>
    </row>
    <row r="2215" spans="1:28" x14ac:dyDescent="0.25">
      <c r="A2215" t="s">
        <v>2219</v>
      </c>
      <c r="B2215">
        <v>0.99996721820229495</v>
      </c>
      <c r="C2215">
        <v>1.0369433722324</v>
      </c>
      <c r="D2215">
        <v>1.0746895794428899</v>
      </c>
      <c r="E2215">
        <v>1.0509642511699</v>
      </c>
      <c r="F2215">
        <v>0.97336367680277802</v>
      </c>
      <c r="G2215">
        <v>0.36325671600718301</v>
      </c>
      <c r="H2215">
        <v>0.162122189276867</v>
      </c>
      <c r="I2215">
        <v>0.10887024626221101</v>
      </c>
      <c r="J2215">
        <v>8.0873636758259995E-2</v>
      </c>
      <c r="K2215">
        <v>6.3499838752119203E-2</v>
      </c>
      <c r="L2215">
        <v>3008.3317895345599</v>
      </c>
      <c r="M2215">
        <v>53.628935512190097</v>
      </c>
      <c r="N2215">
        <v>56.328367232474001</v>
      </c>
      <c r="O2215">
        <v>56.017451152453397</v>
      </c>
      <c r="P2215">
        <v>-0.21552684364340999</v>
      </c>
      <c r="Q2215">
        <v>9.9496456598056199E-2</v>
      </c>
      <c r="R2215">
        <v>0.99281394529868805</v>
      </c>
      <c r="S2215" t="s">
        <v>8041</v>
      </c>
      <c r="T2215" t="s">
        <v>11650</v>
      </c>
      <c r="U2215" t="s">
        <v>11650</v>
      </c>
      <c r="V2215" t="s">
        <v>11650</v>
      </c>
      <c r="W2215" t="s">
        <v>13824</v>
      </c>
      <c r="X2215">
        <v>30</v>
      </c>
      <c r="Y2215" t="s">
        <v>19547</v>
      </c>
      <c r="Z2215" t="s">
        <v>25277</v>
      </c>
      <c r="AA2215">
        <v>0.58456013501177062</v>
      </c>
      <c r="AB2215" t="str">
        <f>HYPERLINK("Melting_Curves/meltCurve_P31150_GDI1.pdf", "Melting_Curves/meltCurve_P31150_GDI1.pdf")</f>
        <v>Melting_Curves/meltCurve_P31150_GDI1.pdf</v>
      </c>
    </row>
    <row r="2216" spans="1:28" x14ac:dyDescent="0.25">
      <c r="A2216" t="s">
        <v>2220</v>
      </c>
      <c r="B2216">
        <v>0.99996721820229495</v>
      </c>
      <c r="C2216">
        <v>0.89814002103532897</v>
      </c>
      <c r="D2216">
        <v>0.88614669160774895</v>
      </c>
      <c r="E2216">
        <v>1.10930884713125</v>
      </c>
      <c r="F2216">
        <v>1.1601610577528101</v>
      </c>
      <c r="G2216">
        <v>1.1832735316156799</v>
      </c>
      <c r="H2216">
        <v>0.47439242426226103</v>
      </c>
      <c r="I2216">
        <v>0.27211951379951699</v>
      </c>
      <c r="J2216">
        <v>0.15154466063501501</v>
      </c>
      <c r="K2216">
        <v>0.19906265025151901</v>
      </c>
      <c r="L2216">
        <v>7367.97760073681</v>
      </c>
      <c r="M2216">
        <v>121.457294715478</v>
      </c>
      <c r="N2216">
        <v>60.931063949265202</v>
      </c>
      <c r="O2216">
        <v>60.646669928718602</v>
      </c>
      <c r="P2216">
        <v>-0.39708260220178498</v>
      </c>
      <c r="Q2216">
        <v>0.20690683502148399</v>
      </c>
      <c r="R2216">
        <v>0.93434794975824398</v>
      </c>
      <c r="S2216" t="s">
        <v>8042</v>
      </c>
      <c r="T2216" t="s">
        <v>11650</v>
      </c>
      <c r="U2216" t="s">
        <v>11650</v>
      </c>
      <c r="V2216" t="s">
        <v>11650</v>
      </c>
      <c r="W2216" t="s">
        <v>13825</v>
      </c>
      <c r="X2216">
        <v>22</v>
      </c>
      <c r="Y2216" t="s">
        <v>19548</v>
      </c>
      <c r="Z2216" t="s">
        <v>25278</v>
      </c>
      <c r="AA2216">
        <v>0.75352394403695677</v>
      </c>
      <c r="AB2216" t="str">
        <f>HYPERLINK("Melting_Curves/meltCurve_P31153_MAT2A.pdf", "Melting_Curves/meltCurve_P31153_MAT2A.pdf")</f>
        <v>Melting_Curves/meltCurve_P31153_MAT2A.pdf</v>
      </c>
    </row>
    <row r="2217" spans="1:28" x14ac:dyDescent="0.25">
      <c r="A2217" t="s">
        <v>2221</v>
      </c>
      <c r="B2217">
        <v>0.99996721820229495</v>
      </c>
      <c r="C2217">
        <v>0.93272113302283599</v>
      </c>
      <c r="D2217">
        <v>1.01665353933591</v>
      </c>
      <c r="E2217">
        <v>0.97092370112603199</v>
      </c>
      <c r="F2217">
        <v>0.40308913041891298</v>
      </c>
      <c r="G2217">
        <v>0.32493470415425202</v>
      </c>
      <c r="H2217">
        <v>0.16066484140699699</v>
      </c>
      <c r="I2217">
        <v>0.179784924971224</v>
      </c>
      <c r="J2217">
        <v>0.10474852647720501</v>
      </c>
      <c r="K2217">
        <v>5.9966859180050298E-2</v>
      </c>
      <c r="L2217">
        <v>3218.8430085001</v>
      </c>
      <c r="M2217">
        <v>61.591379083408398</v>
      </c>
      <c r="N2217">
        <v>52.5999708088004</v>
      </c>
      <c r="O2217">
        <v>52.206249465974999</v>
      </c>
      <c r="P2217">
        <v>-0.24666000260477799</v>
      </c>
      <c r="Q2217">
        <v>0.163701865642633</v>
      </c>
      <c r="R2217">
        <v>0.971128317551475</v>
      </c>
      <c r="S2217" t="s">
        <v>8043</v>
      </c>
      <c r="T2217" t="s">
        <v>11650</v>
      </c>
      <c r="U2217" t="s">
        <v>11650</v>
      </c>
      <c r="V2217" t="s">
        <v>11650</v>
      </c>
      <c r="W2217" t="s">
        <v>13826</v>
      </c>
      <c r="X2217">
        <v>12</v>
      </c>
      <c r="Y2217" t="s">
        <v>19549</v>
      </c>
      <c r="Z2217" t="s">
        <v>25279</v>
      </c>
      <c r="AA2217">
        <v>0.50677221455653487</v>
      </c>
      <c r="AB2217" t="str">
        <f>HYPERLINK("Melting_Curves/meltCurve_P31321_PRKAR1B.pdf", "Melting_Curves/meltCurve_P31321_PRKAR1B.pdf")</f>
        <v>Melting_Curves/meltCurve_P31321_PRKAR1B.pdf</v>
      </c>
    </row>
    <row r="2218" spans="1:28" x14ac:dyDescent="0.25">
      <c r="A2218" t="s">
        <v>2222</v>
      </c>
      <c r="B2218">
        <v>0.99996721820229495</v>
      </c>
      <c r="C2218">
        <v>1.01786260469013</v>
      </c>
      <c r="D2218">
        <v>1.1373780958025601</v>
      </c>
      <c r="E2218">
        <v>1.1465521501768601</v>
      </c>
      <c r="F2218">
        <v>0.86054197333434201</v>
      </c>
      <c r="G2218">
        <v>0.45690586928924598</v>
      </c>
      <c r="H2218">
        <v>0.27705807092054302</v>
      </c>
      <c r="I2218">
        <v>0.18685406687120301</v>
      </c>
      <c r="J2218">
        <v>0.18515711931985401</v>
      </c>
      <c r="K2218">
        <v>0.122072024539956</v>
      </c>
      <c r="L2218">
        <v>1843.2624997396599</v>
      </c>
      <c r="M2218">
        <v>32.9159489438969</v>
      </c>
      <c r="N2218">
        <v>56.726517931577398</v>
      </c>
      <c r="O2218">
        <v>55.7935908136186</v>
      </c>
      <c r="P2218">
        <v>-0.12209722222574899</v>
      </c>
      <c r="Q2218">
        <v>0.17216887624176699</v>
      </c>
      <c r="R2218">
        <v>0.96879846976793405</v>
      </c>
      <c r="S2218" t="s">
        <v>8044</v>
      </c>
      <c r="T2218" t="s">
        <v>11650</v>
      </c>
      <c r="U2218" t="s">
        <v>11650</v>
      </c>
      <c r="V2218" t="s">
        <v>11650</v>
      </c>
      <c r="W2218" t="s">
        <v>13827</v>
      </c>
      <c r="X2218">
        <v>14</v>
      </c>
      <c r="Y2218" t="s">
        <v>19550</v>
      </c>
      <c r="Z2218" t="s">
        <v>25280</v>
      </c>
      <c r="AA2218">
        <v>0.61829681194748998</v>
      </c>
      <c r="AB2218" t="str">
        <f>HYPERLINK("Melting_Curves/meltCurve_P31327_CPS1.pdf", "Melting_Curves/meltCurve_P31327_CPS1.pdf")</f>
        <v>Melting_Curves/meltCurve_P31327_CPS1.pdf</v>
      </c>
    </row>
    <row r="2219" spans="1:28" x14ac:dyDescent="0.25">
      <c r="A2219" t="s">
        <v>2223</v>
      </c>
      <c r="B2219">
        <v>0.99996721820229495</v>
      </c>
      <c r="C2219">
        <v>0.97318267227023103</v>
      </c>
      <c r="D2219">
        <v>1.1506976301809</v>
      </c>
      <c r="E2219">
        <v>2.0730912532334602</v>
      </c>
      <c r="F2219">
        <v>2.7429916020651</v>
      </c>
      <c r="G2219">
        <v>2.0343285568532599</v>
      </c>
      <c r="H2219">
        <v>0.48074889347632499</v>
      </c>
      <c r="I2219">
        <v>0.50048078933135498</v>
      </c>
      <c r="J2219">
        <v>0.229290098319958</v>
      </c>
      <c r="K2219">
        <v>0.180492036410835</v>
      </c>
      <c r="L2219">
        <v>11017.516976369599</v>
      </c>
      <c r="M2219">
        <v>181.688199862228</v>
      </c>
      <c r="N2219">
        <v>60.952796887670601</v>
      </c>
      <c r="O2219">
        <v>60.632348201280102</v>
      </c>
      <c r="P2219">
        <v>-0.52187131513892404</v>
      </c>
      <c r="Q2219">
        <v>0.30337174956401403</v>
      </c>
      <c r="R2219">
        <v>0.22364007339755099</v>
      </c>
      <c r="S2219" t="s">
        <v>8045</v>
      </c>
      <c r="T2219" t="s">
        <v>11650</v>
      </c>
      <c r="U2219" t="s">
        <v>11650</v>
      </c>
      <c r="V2219" t="s">
        <v>11650</v>
      </c>
      <c r="W2219" t="s">
        <v>13828</v>
      </c>
      <c r="X2219">
        <v>8</v>
      </c>
      <c r="Y2219" t="s">
        <v>19551</v>
      </c>
      <c r="Z2219" t="s">
        <v>25281</v>
      </c>
      <c r="AA2219">
        <v>0.78278528975841644</v>
      </c>
      <c r="AB2219" t="str">
        <f>HYPERLINK("Melting_Curves/meltCurve_P31689_DNAJA1.pdf", "Melting_Curves/meltCurve_P31689_DNAJA1.pdf")</f>
        <v>Melting_Curves/meltCurve_P31689_DNAJA1.pdf</v>
      </c>
    </row>
    <row r="2220" spans="1:28" x14ac:dyDescent="0.25">
      <c r="A2220" t="s">
        <v>2224</v>
      </c>
      <c r="B2220">
        <v>0.99996721820229495</v>
      </c>
      <c r="C2220">
        <v>0.91941036848573898</v>
      </c>
      <c r="D2220">
        <v>0.74461100148896997</v>
      </c>
      <c r="E2220">
        <v>0.54195461598946304</v>
      </c>
      <c r="F2220">
        <v>0.25529741195971101</v>
      </c>
      <c r="G2220">
        <v>0.245804600853888</v>
      </c>
      <c r="H2220">
        <v>0.16216528535564001</v>
      </c>
      <c r="I2220">
        <v>0.111384341032799</v>
      </c>
      <c r="J2220">
        <v>8.9806769768717404E-2</v>
      </c>
      <c r="K2220">
        <v>8.54618855199826E-2</v>
      </c>
      <c r="L2220">
        <v>735.93036774890504</v>
      </c>
      <c r="M2220">
        <v>14.9229468840054</v>
      </c>
      <c r="N2220">
        <v>49.965307706834601</v>
      </c>
      <c r="O2220">
        <v>48.455191057022503</v>
      </c>
      <c r="P2220">
        <v>-7.0208372854768802E-2</v>
      </c>
      <c r="Q2220">
        <v>8.82204237413938E-2</v>
      </c>
      <c r="R2220">
        <v>0.989527864651914</v>
      </c>
      <c r="S2220" t="s">
        <v>8046</v>
      </c>
      <c r="T2220" t="s">
        <v>11650</v>
      </c>
      <c r="U2220" t="s">
        <v>11650</v>
      </c>
      <c r="V2220" t="s">
        <v>11650</v>
      </c>
      <c r="W2220" t="s">
        <v>13829</v>
      </c>
      <c r="X2220">
        <v>16</v>
      </c>
      <c r="Y2220" t="s">
        <v>19552</v>
      </c>
      <c r="Z2220" t="s">
        <v>25282</v>
      </c>
      <c r="AA2220">
        <v>0.39379889317287459</v>
      </c>
      <c r="AB2220" t="str">
        <f>HYPERLINK("Melting_Curves/meltCurve_P31749_AKT1.pdf", "Melting_Curves/meltCurve_P31749_AKT1.pdf")</f>
        <v>Melting_Curves/meltCurve_P31749_AKT1.pdf</v>
      </c>
    </row>
    <row r="2221" spans="1:28" x14ac:dyDescent="0.25">
      <c r="A2221" t="s">
        <v>2225</v>
      </c>
      <c r="B2221">
        <v>0.99996721820229495</v>
      </c>
      <c r="C2221">
        <v>1.0704582208185101</v>
      </c>
      <c r="D2221">
        <v>0.97508347782865301</v>
      </c>
      <c r="E2221">
        <v>0.77699958289382098</v>
      </c>
      <c r="F2221">
        <v>0.47486937420654202</v>
      </c>
      <c r="G2221">
        <v>0.32962249312446001</v>
      </c>
      <c r="H2221">
        <v>0.224424027751983</v>
      </c>
      <c r="I2221">
        <v>0.137124842752325</v>
      </c>
      <c r="J2221">
        <v>0.10347843068611599</v>
      </c>
      <c r="K2221">
        <v>8.8201568984613093E-2</v>
      </c>
      <c r="L2221">
        <v>968.86182495605397</v>
      </c>
      <c r="M2221">
        <v>18.361913395758801</v>
      </c>
      <c r="N2221">
        <v>53.465790874021799</v>
      </c>
      <c r="O2221">
        <v>52.150864597338902</v>
      </c>
      <c r="P2221">
        <v>-7.86095419132605E-2</v>
      </c>
      <c r="Q2221">
        <v>0.106984443357087</v>
      </c>
      <c r="R2221">
        <v>0.98812727720901705</v>
      </c>
      <c r="S2221" t="s">
        <v>8047</v>
      </c>
      <c r="T2221" t="s">
        <v>11650</v>
      </c>
      <c r="U2221" t="s">
        <v>11650</v>
      </c>
      <c r="V2221" t="s">
        <v>11650</v>
      </c>
      <c r="W2221" t="s">
        <v>13830</v>
      </c>
      <c r="X2221">
        <v>14</v>
      </c>
      <c r="Y2221" t="s">
        <v>19553</v>
      </c>
      <c r="Z2221" t="s">
        <v>25283</v>
      </c>
      <c r="AA2221">
        <v>0.50116974292311545</v>
      </c>
      <c r="AB2221" t="str">
        <f>HYPERLINK("Melting_Curves/meltCurve_P31751_AKT2.pdf", "Melting_Curves/meltCurve_P31751_AKT2.pdf")</f>
        <v>Melting_Curves/meltCurve_P31751_AKT2.pdf</v>
      </c>
    </row>
    <row r="2222" spans="1:28" x14ac:dyDescent="0.25">
      <c r="A2222" t="s">
        <v>2226</v>
      </c>
      <c r="B2222">
        <v>0.99996721820229495</v>
      </c>
      <c r="C2222">
        <v>0.887324319356397</v>
      </c>
      <c r="D2222">
        <v>0.85339647758360004</v>
      </c>
      <c r="E2222">
        <v>1.16492844995546</v>
      </c>
      <c r="F2222">
        <v>1.3072612175513001</v>
      </c>
      <c r="G2222">
        <v>1.4072313255634501</v>
      </c>
      <c r="H2222">
        <v>0.76024554601172101</v>
      </c>
      <c r="I2222">
        <v>0.22074592037330601</v>
      </c>
      <c r="J2222">
        <v>0.150051162693111</v>
      </c>
      <c r="K2222">
        <v>0.10733374370431201</v>
      </c>
      <c r="L2222">
        <v>4465.0914574649696</v>
      </c>
      <c r="M2222">
        <v>72.173088590810394</v>
      </c>
      <c r="N2222">
        <v>62.133001022802098</v>
      </c>
      <c r="O2222">
        <v>61.818989064993097</v>
      </c>
      <c r="P2222">
        <v>-0.25301129132210298</v>
      </c>
      <c r="Q2222">
        <v>0.13314514427764801</v>
      </c>
      <c r="R2222">
        <v>0.84154583475006195</v>
      </c>
      <c r="S2222" t="s">
        <v>8048</v>
      </c>
      <c r="T2222" t="s">
        <v>11650</v>
      </c>
      <c r="U2222" t="s">
        <v>11650</v>
      </c>
      <c r="V2222" t="s">
        <v>11650</v>
      </c>
      <c r="W2222" t="s">
        <v>13831</v>
      </c>
      <c r="X2222">
        <v>18</v>
      </c>
      <c r="Y2222" t="s">
        <v>19554</v>
      </c>
      <c r="Z2222" t="s">
        <v>25284</v>
      </c>
      <c r="AA2222">
        <v>0.76610381027217211</v>
      </c>
      <c r="AB2222" t="str">
        <f>HYPERLINK("Melting_Curves/meltCurve_P31930_UQCRC1.pdf", "Melting_Curves/meltCurve_P31930_UQCRC1.pdf")</f>
        <v>Melting_Curves/meltCurve_P31930_UQCRC1.pdf</v>
      </c>
    </row>
    <row r="2223" spans="1:28" x14ac:dyDescent="0.25">
      <c r="A2223" t="s">
        <v>2227</v>
      </c>
      <c r="B2223">
        <v>0.99996721820229495</v>
      </c>
      <c r="C2223">
        <v>0.95821593828880502</v>
      </c>
      <c r="D2223">
        <v>1.0494710377195899</v>
      </c>
      <c r="E2223">
        <v>1.3345578048095199</v>
      </c>
      <c r="F2223">
        <v>1.6870764854993301</v>
      </c>
      <c r="G2223">
        <v>1.7333432654435801</v>
      </c>
      <c r="H2223">
        <v>1.1013264199222701</v>
      </c>
      <c r="I2223">
        <v>0.233950478775727</v>
      </c>
      <c r="J2223">
        <v>0.133327462085091</v>
      </c>
      <c r="K2223">
        <v>8.0913071263797001E-2</v>
      </c>
      <c r="L2223">
        <v>15000</v>
      </c>
      <c r="M2223">
        <v>236.17277014017401</v>
      </c>
      <c r="N2223">
        <v>63.577722702076599</v>
      </c>
      <c r="O2223">
        <v>63.508271596398203</v>
      </c>
      <c r="P2223">
        <v>-0.83012328686479897</v>
      </c>
      <c r="Q2223">
        <v>0.107099518185585</v>
      </c>
      <c r="R2223">
        <v>0.65226970952792296</v>
      </c>
      <c r="S2223" t="s">
        <v>8049</v>
      </c>
      <c r="T2223" t="s">
        <v>11650</v>
      </c>
      <c r="U2223" t="s">
        <v>11650</v>
      </c>
      <c r="V2223" t="s">
        <v>11650</v>
      </c>
      <c r="W2223" t="s">
        <v>13832</v>
      </c>
      <c r="X2223">
        <v>12</v>
      </c>
      <c r="Y2223" t="s">
        <v>19555</v>
      </c>
      <c r="Z2223" t="s">
        <v>25285</v>
      </c>
      <c r="AA2223">
        <v>0.8070314909712667</v>
      </c>
      <c r="AB2223" t="str">
        <f>HYPERLINK("Melting_Curves/meltCurve_P31937_HIBADH.pdf", "Melting_Curves/meltCurve_P31937_HIBADH.pdf")</f>
        <v>Melting_Curves/meltCurve_P31937_HIBADH.pdf</v>
      </c>
    </row>
    <row r="2224" spans="1:28" x14ac:dyDescent="0.25">
      <c r="A2224" t="s">
        <v>2228</v>
      </c>
      <c r="B2224">
        <v>0.99996721820229495</v>
      </c>
      <c r="C2224">
        <v>0.938843859866338</v>
      </c>
      <c r="D2224">
        <v>0.88105107789894699</v>
      </c>
      <c r="E2224">
        <v>0.57367409458477403</v>
      </c>
      <c r="F2224">
        <v>0.35078484360033702</v>
      </c>
      <c r="G2224">
        <v>0.23027942372599</v>
      </c>
      <c r="H2224">
        <v>0.13110518107722999</v>
      </c>
      <c r="I2224">
        <v>8.83844463804042E-2</v>
      </c>
      <c r="J2224">
        <v>6.5483443850591294E-2</v>
      </c>
      <c r="K2224">
        <v>5.6064521125290701E-2</v>
      </c>
      <c r="L2224">
        <v>820.26792990935905</v>
      </c>
      <c r="M2224">
        <v>16.162511053713001</v>
      </c>
      <c r="N2224">
        <v>51.145242911402697</v>
      </c>
      <c r="O2224">
        <v>49.993413449778899</v>
      </c>
      <c r="P2224">
        <v>-7.6098257861349106E-2</v>
      </c>
      <c r="Q2224">
        <v>5.8531218063469503E-2</v>
      </c>
      <c r="R2224">
        <v>0.99722277071354803</v>
      </c>
      <c r="S2224" t="s">
        <v>8050</v>
      </c>
      <c r="T2224" t="s">
        <v>11650</v>
      </c>
      <c r="U2224" t="s">
        <v>11650</v>
      </c>
      <c r="V2224" t="s">
        <v>11650</v>
      </c>
      <c r="W2224" t="s">
        <v>13833</v>
      </c>
      <c r="X2224">
        <v>34</v>
      </c>
      <c r="Y2224" t="s">
        <v>19556</v>
      </c>
      <c r="Z2224" t="s">
        <v>25286</v>
      </c>
      <c r="AA2224">
        <v>0.41521848650979049</v>
      </c>
      <c r="AB2224" t="str">
        <f>HYPERLINK("Melting_Curves/meltCurve_P31939_ATIC.pdf", "Melting_Curves/meltCurve_P31939_ATIC.pdf")</f>
        <v>Melting_Curves/meltCurve_P31939_ATIC.pdf</v>
      </c>
    </row>
    <row r="2225" spans="1:28" x14ac:dyDescent="0.25">
      <c r="A2225" t="s">
        <v>2229</v>
      </c>
      <c r="B2225">
        <v>0.99996721820229495</v>
      </c>
      <c r="C2225">
        <v>1.0016795769539399</v>
      </c>
      <c r="D2225">
        <v>0.69661569004216795</v>
      </c>
      <c r="E2225">
        <v>0.36890861023757099</v>
      </c>
      <c r="F2225">
        <v>0.29249132505812098</v>
      </c>
      <c r="G2225">
        <v>0.23345879677946599</v>
      </c>
      <c r="H2225">
        <v>0.15008458996568899</v>
      </c>
      <c r="I2225">
        <v>0.188468626921316</v>
      </c>
      <c r="J2225">
        <v>9.3738576509084806E-2</v>
      </c>
      <c r="K2225">
        <v>0.11751753560690099</v>
      </c>
      <c r="L2225">
        <v>977.03542777696305</v>
      </c>
      <c r="M2225">
        <v>20.457560744129701</v>
      </c>
      <c r="N2225">
        <v>48.607033913810398</v>
      </c>
      <c r="O2225">
        <v>47.309809929321297</v>
      </c>
      <c r="P2225">
        <v>-9.1884307517163893E-2</v>
      </c>
      <c r="Q2225">
        <v>0.150064895972715</v>
      </c>
      <c r="R2225">
        <v>0.98334943275158204</v>
      </c>
      <c r="S2225" t="s">
        <v>8051</v>
      </c>
      <c r="T2225" t="s">
        <v>11650</v>
      </c>
      <c r="U2225" t="s">
        <v>11650</v>
      </c>
      <c r="V2225" t="s">
        <v>11650</v>
      </c>
      <c r="W2225" t="s">
        <v>13834</v>
      </c>
      <c r="X2225">
        <v>5</v>
      </c>
      <c r="Y2225" t="s">
        <v>19557</v>
      </c>
      <c r="Z2225" t="s">
        <v>25287</v>
      </c>
      <c r="AA2225">
        <v>0.38145989655608947</v>
      </c>
      <c r="AB2225" t="str">
        <f>HYPERLINK("Melting_Curves/meltCurve_P31942_2_HNRNPH3.pdf", "Melting_Curves/meltCurve_P31942_2_HNRNPH3.pdf")</f>
        <v>Melting_Curves/meltCurve_P31942_2_HNRNPH3.pdf</v>
      </c>
    </row>
    <row r="2226" spans="1:28" x14ac:dyDescent="0.25">
      <c r="A2226" t="s">
        <v>2230</v>
      </c>
      <c r="B2226">
        <v>0.99996721820229495</v>
      </c>
      <c r="C2226">
        <v>1.0473528863458501</v>
      </c>
      <c r="D2226">
        <v>1.0103686505529601</v>
      </c>
      <c r="E2226">
        <v>1.0889869806753401</v>
      </c>
      <c r="F2226">
        <v>1.1465877527841899</v>
      </c>
      <c r="G2226">
        <v>0.50982470337885799</v>
      </c>
      <c r="H2226">
        <v>0.18155501380557101</v>
      </c>
      <c r="I2226">
        <v>0.15912516085572601</v>
      </c>
      <c r="J2226">
        <v>0.14334479534137601</v>
      </c>
      <c r="K2226">
        <v>0.122964016426515</v>
      </c>
      <c r="L2226">
        <v>13629.9901752648</v>
      </c>
      <c r="M2226">
        <v>239.436648260966</v>
      </c>
      <c r="N2226">
        <v>57.011364405133101</v>
      </c>
      <c r="O2226">
        <v>56.921276106147303</v>
      </c>
      <c r="P2226">
        <v>-0.89203379511904501</v>
      </c>
      <c r="Q2226">
        <v>0.15174721592104901</v>
      </c>
      <c r="R2226">
        <v>0.98196778221769698</v>
      </c>
      <c r="S2226" t="s">
        <v>8052</v>
      </c>
      <c r="T2226" t="s">
        <v>11650</v>
      </c>
      <c r="U2226" t="s">
        <v>11650</v>
      </c>
      <c r="V2226" t="s">
        <v>11650</v>
      </c>
      <c r="W2226" t="s">
        <v>13835</v>
      </c>
      <c r="X2226">
        <v>20</v>
      </c>
      <c r="Y2226" t="s">
        <v>19558</v>
      </c>
      <c r="Z2226" t="s">
        <v>25288</v>
      </c>
      <c r="AA2226">
        <v>0.63040251274374948</v>
      </c>
      <c r="AB2226" t="str">
        <f>HYPERLINK("Melting_Curves/meltCurve_P31946_YWHAB.pdf", "Melting_Curves/meltCurve_P31946_YWHAB.pdf")</f>
        <v>Melting_Curves/meltCurve_P31946_YWHAB.pdf</v>
      </c>
    </row>
    <row r="2227" spans="1:28" x14ac:dyDescent="0.25">
      <c r="A2227" t="s">
        <v>2231</v>
      </c>
      <c r="B2227">
        <v>0.99996721820229495</v>
      </c>
      <c r="C2227">
        <v>1.2599505463538401</v>
      </c>
      <c r="D2227">
        <v>1.0962448899725199</v>
      </c>
      <c r="E2227">
        <v>1.10789435255529</v>
      </c>
      <c r="F2227">
        <v>1.06735805851919</v>
      </c>
      <c r="G2227">
        <v>0.45368088349833602</v>
      </c>
      <c r="H2227">
        <v>0.18065418380390599</v>
      </c>
      <c r="I2227">
        <v>0.117032501701002</v>
      </c>
      <c r="J2227">
        <v>0.12105467278368599</v>
      </c>
      <c r="K2227">
        <v>8.1085202735312806E-2</v>
      </c>
      <c r="L2227">
        <v>7761.3037400889098</v>
      </c>
      <c r="M2227">
        <v>136.670966273885</v>
      </c>
      <c r="N2227">
        <v>56.907954039775298</v>
      </c>
      <c r="O2227">
        <v>56.776082087326301</v>
      </c>
      <c r="P2227">
        <v>-0.52661337835785405</v>
      </c>
      <c r="Q2227">
        <v>0.124933528304828</v>
      </c>
      <c r="R2227">
        <v>0.95587774667974201</v>
      </c>
      <c r="S2227" t="s">
        <v>8053</v>
      </c>
      <c r="T2227" t="s">
        <v>11650</v>
      </c>
      <c r="U2227" t="s">
        <v>11650</v>
      </c>
      <c r="V2227" t="s">
        <v>11650</v>
      </c>
      <c r="W2227" t="s">
        <v>13836</v>
      </c>
      <c r="X2227">
        <v>20</v>
      </c>
      <c r="Y2227" t="s">
        <v>19558</v>
      </c>
      <c r="Z2227" t="s">
        <v>25289</v>
      </c>
      <c r="AA2227">
        <v>0.61491971075832363</v>
      </c>
      <c r="AB2227" t="str">
        <f>HYPERLINK("Melting_Curves/meltCurve_P31946_2_YWHAB.pdf", "Melting_Curves/meltCurve_P31946_2_YWHAB.pdf")</f>
        <v>Melting_Curves/meltCurve_P31946_2_YWHAB.pdf</v>
      </c>
    </row>
    <row r="2228" spans="1:28" x14ac:dyDescent="0.25">
      <c r="A2228" t="s">
        <v>2232</v>
      </c>
      <c r="B2228">
        <v>0.99996721820229495</v>
      </c>
      <c r="C2228">
        <v>0.89417199162540695</v>
      </c>
      <c r="D2228">
        <v>0.85872030069060701</v>
      </c>
      <c r="E2228">
        <v>1.0389141754657101</v>
      </c>
      <c r="F2228">
        <v>1.01778594403797</v>
      </c>
      <c r="G2228">
        <v>0.523681489849529</v>
      </c>
      <c r="H2228">
        <v>0.24884383788088199</v>
      </c>
      <c r="I2228">
        <v>0.14217641669138101</v>
      </c>
      <c r="J2228">
        <v>9.22074005732718E-2</v>
      </c>
      <c r="K2228">
        <v>6.6342867905076403E-2</v>
      </c>
      <c r="L2228">
        <v>2027.2820511100499</v>
      </c>
      <c r="M2228">
        <v>35.522109317141897</v>
      </c>
      <c r="N2228">
        <v>57.454722584159903</v>
      </c>
      <c r="O2228">
        <v>56.891027910181201</v>
      </c>
      <c r="P2228">
        <v>-0.13961335442837799</v>
      </c>
      <c r="Q2228">
        <v>0.105602587852116</v>
      </c>
      <c r="R2228">
        <v>0.97059155368436301</v>
      </c>
      <c r="S2228" t="s">
        <v>8054</v>
      </c>
      <c r="T2228" t="s">
        <v>11650</v>
      </c>
      <c r="U2228" t="s">
        <v>11650</v>
      </c>
      <c r="V2228" t="s">
        <v>11650</v>
      </c>
      <c r="W2228" t="s">
        <v>13837</v>
      </c>
      <c r="X2228">
        <v>6</v>
      </c>
      <c r="Y2228" t="s">
        <v>19559</v>
      </c>
      <c r="Z2228" t="s">
        <v>25290</v>
      </c>
      <c r="AA2228">
        <v>0.61892055827762615</v>
      </c>
      <c r="AB2228" t="str">
        <f>HYPERLINK("Melting_Curves/meltCurve_P31947_2_SFN.pdf", "Melting_Curves/meltCurve_P31947_2_SFN.pdf")</f>
        <v>Melting_Curves/meltCurve_P31947_2_SFN.pdf</v>
      </c>
    </row>
    <row r="2229" spans="1:28" x14ac:dyDescent="0.25">
      <c r="A2229" t="s">
        <v>2233</v>
      </c>
      <c r="B2229">
        <v>0.99996721820229495</v>
      </c>
      <c r="C2229">
        <v>1.0198901181522</v>
      </c>
      <c r="D2229">
        <v>1.24118847058427</v>
      </c>
      <c r="E2229">
        <v>1.8150432566063599</v>
      </c>
      <c r="F2229">
        <v>2.6233397659024398</v>
      </c>
      <c r="G2229">
        <v>2.6603360038594901</v>
      </c>
      <c r="H2229">
        <v>1.0381155000643401</v>
      </c>
      <c r="I2229">
        <v>0.82834550039522903</v>
      </c>
      <c r="J2229">
        <v>0.63407611814426601</v>
      </c>
      <c r="K2229">
        <v>0.49913266546568202</v>
      </c>
      <c r="L2229">
        <v>3400.4663219362501</v>
      </c>
      <c r="M2229">
        <v>52.1751425364019</v>
      </c>
      <c r="O2229">
        <v>65.078539967242506</v>
      </c>
      <c r="P2229">
        <v>-9.9123110610177798E-2</v>
      </c>
      <c r="Q2229">
        <v>0.50545166777261896</v>
      </c>
      <c r="R2229">
        <v>-0.13312305030246899</v>
      </c>
      <c r="S2229" t="s">
        <v>8055</v>
      </c>
      <c r="T2229" t="s">
        <v>11650</v>
      </c>
      <c r="U2229" t="s">
        <v>11650</v>
      </c>
      <c r="V2229" t="s">
        <v>11650</v>
      </c>
      <c r="W2229" t="s">
        <v>13838</v>
      </c>
      <c r="X2229">
        <v>61</v>
      </c>
      <c r="Y2229" t="s">
        <v>19560</v>
      </c>
      <c r="Z2229" t="s">
        <v>25291</v>
      </c>
      <c r="AA2229">
        <v>0.9210792351743966</v>
      </c>
      <c r="AB2229" t="str">
        <f>HYPERLINK("Melting_Curves/meltCurve_P31948_STIP1.pdf", "Melting_Curves/meltCurve_P31948_STIP1.pdf")</f>
        <v>Melting_Curves/meltCurve_P31948_STIP1.pdf</v>
      </c>
    </row>
    <row r="2230" spans="1:28" x14ac:dyDescent="0.25">
      <c r="A2230" t="s">
        <v>2234</v>
      </c>
      <c r="B2230">
        <v>0.99996721820229495</v>
      </c>
      <c r="C2230">
        <v>0.94232304311676396</v>
      </c>
      <c r="D2230">
        <v>0.90282826455100296</v>
      </c>
      <c r="E2230">
        <v>0.89708393912613904</v>
      </c>
      <c r="F2230">
        <v>1.10178344889309</v>
      </c>
      <c r="G2230">
        <v>1.11929278806683</v>
      </c>
      <c r="H2230">
        <v>0.96887977568042605</v>
      </c>
      <c r="I2230">
        <v>0.72972797550996704</v>
      </c>
      <c r="J2230">
        <v>0.42345820622529901</v>
      </c>
      <c r="K2230">
        <v>0.21497125043941601</v>
      </c>
      <c r="L2230">
        <v>2470.2720832909399</v>
      </c>
      <c r="M2230">
        <v>37.7244456975058</v>
      </c>
      <c r="N2230">
        <v>66.129678656837001</v>
      </c>
      <c r="O2230">
        <v>65.298800117725094</v>
      </c>
      <c r="P2230">
        <v>-0.12212256648614001</v>
      </c>
      <c r="Q2230">
        <v>0.154454177767999</v>
      </c>
      <c r="R2230">
        <v>0.93623139714966996</v>
      </c>
      <c r="S2230" t="s">
        <v>8056</v>
      </c>
      <c r="T2230" t="s">
        <v>11650</v>
      </c>
      <c r="U2230" t="s">
        <v>11650</v>
      </c>
      <c r="V2230" t="s">
        <v>11650</v>
      </c>
      <c r="W2230" t="s">
        <v>13839</v>
      </c>
      <c r="X2230">
        <v>7</v>
      </c>
      <c r="Y2230" t="s">
        <v>19561</v>
      </c>
      <c r="Z2230" t="s">
        <v>25292</v>
      </c>
      <c r="AA2230">
        <v>0.87197610279944038</v>
      </c>
      <c r="AB2230" t="str">
        <f>HYPERLINK("Melting_Curves/meltCurve_P31949_S100A11.pdf", "Melting_Curves/meltCurve_P31949_S100A11.pdf")</f>
        <v>Melting_Curves/meltCurve_P31949_S100A11.pdf</v>
      </c>
    </row>
    <row r="2231" spans="1:28" x14ac:dyDescent="0.25">
      <c r="A2231" t="s">
        <v>2235</v>
      </c>
      <c r="B2231">
        <v>0.99996721820229495</v>
      </c>
      <c r="C2231">
        <v>1.03745599301165</v>
      </c>
      <c r="D2231">
        <v>1.26805734857777</v>
      </c>
      <c r="E2231">
        <v>1.71247206362932</v>
      </c>
      <c r="F2231">
        <v>1.83779107861358</v>
      </c>
      <c r="G2231">
        <v>1.42365399470858</v>
      </c>
      <c r="H2231">
        <v>0.76507438871225397</v>
      </c>
      <c r="I2231">
        <v>0.56311565935876895</v>
      </c>
      <c r="J2231">
        <v>0.34398535735423502</v>
      </c>
      <c r="K2231">
        <v>0.18062874349484201</v>
      </c>
      <c r="L2231">
        <v>2372.6967459187299</v>
      </c>
      <c r="M2231">
        <v>37.315418897308398</v>
      </c>
      <c r="N2231">
        <v>64.431613481912606</v>
      </c>
      <c r="O2231">
        <v>63.403100767244403</v>
      </c>
      <c r="P2231">
        <v>-0.118620655172997</v>
      </c>
      <c r="Q2231">
        <v>0.19380277390579301</v>
      </c>
      <c r="R2231">
        <v>0.47102691490929899</v>
      </c>
      <c r="S2231" t="s">
        <v>8057</v>
      </c>
      <c r="T2231" t="s">
        <v>11650</v>
      </c>
      <c r="U2231" t="s">
        <v>11650</v>
      </c>
      <c r="V2231" t="s">
        <v>11650</v>
      </c>
      <c r="W2231" t="s">
        <v>13840</v>
      </c>
      <c r="X2231">
        <v>15</v>
      </c>
      <c r="Y2231" t="s">
        <v>19562</v>
      </c>
      <c r="Z2231" t="s">
        <v>25293</v>
      </c>
      <c r="AA2231">
        <v>0.82977943501145757</v>
      </c>
      <c r="AB2231" t="str">
        <f>HYPERLINK("Melting_Curves/meltCurve_P32119_PRDX2.pdf", "Melting_Curves/meltCurve_P32119_PRDX2.pdf")</f>
        <v>Melting_Curves/meltCurve_P32119_PRDX2.pdf</v>
      </c>
    </row>
    <row r="2232" spans="1:28" x14ac:dyDescent="0.25">
      <c r="A2232" t="s">
        <v>2236</v>
      </c>
      <c r="B2232">
        <v>0.99996721820229495</v>
      </c>
      <c r="C2232">
        <v>0.89374509565467197</v>
      </c>
      <c r="D2232">
        <v>0.93938638800394303</v>
      </c>
      <c r="E2232">
        <v>1.18819707867119</v>
      </c>
      <c r="F2232">
        <v>1.85967594308592</v>
      </c>
      <c r="G2232">
        <v>2.4875397333787799</v>
      </c>
      <c r="H2232">
        <v>2.3197450216549398</v>
      </c>
      <c r="I2232">
        <v>0.97451538929655901</v>
      </c>
      <c r="J2232">
        <v>0.455389775875639</v>
      </c>
      <c r="K2232">
        <v>0.213995624818625</v>
      </c>
      <c r="L2232">
        <v>7037.9830875339903</v>
      </c>
      <c r="M2232">
        <v>105.84606079959001</v>
      </c>
      <c r="N2232">
        <v>66.837341468129395</v>
      </c>
      <c r="O2232">
        <v>66.468905962657701</v>
      </c>
      <c r="P2232">
        <v>-0.31437060333584499</v>
      </c>
      <c r="Q2232">
        <v>0.210329840425481</v>
      </c>
      <c r="R2232">
        <v>7.2499119696484995E-2</v>
      </c>
      <c r="S2232" t="s">
        <v>8058</v>
      </c>
      <c r="T2232" t="s">
        <v>11650</v>
      </c>
      <c r="U2232" t="s">
        <v>11650</v>
      </c>
      <c r="V2232" t="s">
        <v>11650</v>
      </c>
      <c r="W2232" t="s">
        <v>13841</v>
      </c>
      <c r="X2232">
        <v>9</v>
      </c>
      <c r="Y2232" t="s">
        <v>19563</v>
      </c>
      <c r="Z2232" t="s">
        <v>25294</v>
      </c>
      <c r="AA2232">
        <v>0.90809964055562997</v>
      </c>
      <c r="AB2232" t="str">
        <f>HYPERLINK("Melting_Curves/meltCurve_P32189_1_GK.pdf", "Melting_Curves/meltCurve_P32189_1_GK.pdf")</f>
        <v>Melting_Curves/meltCurve_P32189_1_GK.pdf</v>
      </c>
    </row>
    <row r="2233" spans="1:28" x14ac:dyDescent="0.25">
      <c r="A2233" t="s">
        <v>2237</v>
      </c>
      <c r="B2233">
        <v>0.99996721820229495</v>
      </c>
      <c r="C2233">
        <v>0.99649109424954496</v>
      </c>
      <c r="D2233">
        <v>0.98950487237314899</v>
      </c>
      <c r="E2233">
        <v>0.97963752184132402</v>
      </c>
      <c r="F2233">
        <v>1.24499758159203</v>
      </c>
      <c r="G2233">
        <v>1.2861637225335301</v>
      </c>
      <c r="H2233">
        <v>0.89646567810412703</v>
      </c>
      <c r="I2233">
        <v>0.80753637469669204</v>
      </c>
      <c r="J2233">
        <v>0.66938350950313397</v>
      </c>
      <c r="K2233">
        <v>0.57298094734071803</v>
      </c>
      <c r="L2233">
        <v>2318.0836856064602</v>
      </c>
      <c r="M2233">
        <v>35.989166879165701</v>
      </c>
      <c r="O2233">
        <v>64.212684301294303</v>
      </c>
      <c r="P2233">
        <v>-6.1244559334925397E-2</v>
      </c>
      <c r="Q2233">
        <v>0.56290559680826202</v>
      </c>
      <c r="R2233">
        <v>0.671474560609986</v>
      </c>
      <c r="S2233" t="s">
        <v>8059</v>
      </c>
      <c r="T2233" t="s">
        <v>11650</v>
      </c>
      <c r="U2233" t="s">
        <v>11650</v>
      </c>
      <c r="V2233" t="s">
        <v>11650</v>
      </c>
      <c r="W2233" t="s">
        <v>13842</v>
      </c>
      <c r="X2233">
        <v>4</v>
      </c>
      <c r="Y2233" t="s">
        <v>19564</v>
      </c>
      <c r="Z2233" t="s">
        <v>25295</v>
      </c>
      <c r="AA2233">
        <v>0.91916631038330299</v>
      </c>
      <c r="AB2233" t="str">
        <f>HYPERLINK("Melting_Curves/meltCurve_P32320_CDA.pdf", "Melting_Curves/meltCurve_P32320_CDA.pdf")</f>
        <v>Melting_Curves/meltCurve_P32320_CDA.pdf</v>
      </c>
    </row>
    <row r="2234" spans="1:28" x14ac:dyDescent="0.25">
      <c r="A2234" t="s">
        <v>2238</v>
      </c>
      <c r="B2234">
        <v>0.99996721820229495</v>
      </c>
      <c r="C2234">
        <v>1.0669438683188699</v>
      </c>
      <c r="D2234">
        <v>1.1370522222803501</v>
      </c>
      <c r="E2234">
        <v>1.2002074014286099</v>
      </c>
      <c r="F2234">
        <v>1.4000616198548199</v>
      </c>
      <c r="G2234">
        <v>1.69389444929598</v>
      </c>
      <c r="H2234">
        <v>1.01549595895953</v>
      </c>
      <c r="I2234">
        <v>0.50375403897416404</v>
      </c>
      <c r="J2234">
        <v>0.19417698017816301</v>
      </c>
      <c r="K2234">
        <v>0.108442619066874</v>
      </c>
      <c r="L2234">
        <v>6055.39545003679</v>
      </c>
      <c r="M2234">
        <v>94.927665692742494</v>
      </c>
      <c r="N2234">
        <v>64.022147014977804</v>
      </c>
      <c r="O2234">
        <v>63.761288529711003</v>
      </c>
      <c r="P2234">
        <v>-0.31791963140960999</v>
      </c>
      <c r="Q2234">
        <v>0.14583546124232499</v>
      </c>
      <c r="R2234">
        <v>0.69839767600015701</v>
      </c>
      <c r="S2234" t="s">
        <v>8060</v>
      </c>
      <c r="T2234" t="s">
        <v>11650</v>
      </c>
      <c r="U2234" t="s">
        <v>11650</v>
      </c>
      <c r="V2234" t="s">
        <v>11650</v>
      </c>
      <c r="W2234" t="s">
        <v>13843</v>
      </c>
      <c r="X2234">
        <v>14</v>
      </c>
      <c r="Y2234" t="s">
        <v>19565</v>
      </c>
      <c r="Z2234" t="s">
        <v>25296</v>
      </c>
      <c r="AA2234">
        <v>0.82383474646174126</v>
      </c>
      <c r="AB2234" t="str">
        <f>HYPERLINK("Melting_Curves/meltCurve_P32321_2_DCTD.pdf", "Melting_Curves/meltCurve_P32321_2_DCTD.pdf")</f>
        <v>Melting_Curves/meltCurve_P32321_2_DCTD.pdf</v>
      </c>
    </row>
    <row r="2235" spans="1:28" x14ac:dyDescent="0.25">
      <c r="A2235" t="s">
        <v>2239</v>
      </c>
      <c r="B2235">
        <v>0.99996721820229495</v>
      </c>
      <c r="C2235">
        <v>0.95854968223483505</v>
      </c>
      <c r="D2235">
        <v>1.00698445638289</v>
      </c>
      <c r="E2235">
        <v>0.89243365194580704</v>
      </c>
      <c r="F2235">
        <v>1.0307028311728099</v>
      </c>
      <c r="G2235">
        <v>0.868255029575424</v>
      </c>
      <c r="H2235">
        <v>0.55966379934338295</v>
      </c>
      <c r="I2235">
        <v>0.30067945466073898</v>
      </c>
      <c r="J2235">
        <v>0.14442873501429601</v>
      </c>
      <c r="K2235">
        <v>7.1460804957433899E-2</v>
      </c>
      <c r="L2235">
        <v>1481.42252848455</v>
      </c>
      <c r="M2235">
        <v>24.0812661751626</v>
      </c>
      <c r="N2235">
        <v>61.6399782057604</v>
      </c>
      <c r="O2235">
        <v>61.098124770931101</v>
      </c>
      <c r="P2235">
        <v>-9.6237032375024206E-2</v>
      </c>
      <c r="Q2235">
        <v>2.3338702450814298E-2</v>
      </c>
      <c r="R2235">
        <v>0.988399985553294</v>
      </c>
      <c r="S2235" t="s">
        <v>8061</v>
      </c>
      <c r="T2235" t="s">
        <v>11650</v>
      </c>
      <c r="U2235" t="s">
        <v>11650</v>
      </c>
      <c r="V2235" t="s">
        <v>11650</v>
      </c>
      <c r="W2235" t="s">
        <v>13844</v>
      </c>
      <c r="X2235">
        <v>12</v>
      </c>
      <c r="Y2235" t="s">
        <v>19566</v>
      </c>
      <c r="Z2235" t="s">
        <v>25297</v>
      </c>
      <c r="AA2235">
        <v>0.72919538467554978</v>
      </c>
      <c r="AB2235" t="str">
        <f>HYPERLINK("Melting_Curves/meltCurve_P32322_PYCR1.pdf", "Melting_Curves/meltCurve_P32322_PYCR1.pdf")</f>
        <v>Melting_Curves/meltCurve_P32322_PYCR1.pdf</v>
      </c>
    </row>
    <row r="2236" spans="1:28" x14ac:dyDescent="0.25">
      <c r="A2236" t="s">
        <v>2240</v>
      </c>
      <c r="B2236">
        <v>0.99996721820229495</v>
      </c>
      <c r="C2236">
        <v>0.63984443861358697</v>
      </c>
      <c r="D2236">
        <v>0.81492480837949499</v>
      </c>
      <c r="E2236">
        <v>0.77822614819591296</v>
      </c>
      <c r="F2236">
        <v>0.80105228103201398</v>
      </c>
      <c r="G2236">
        <v>0.54658950108950199</v>
      </c>
      <c r="H2236">
        <v>0.37062595598499998</v>
      </c>
      <c r="I2236">
        <v>0.18630215291542501</v>
      </c>
      <c r="J2236">
        <v>6.7983483238613598E-2</v>
      </c>
      <c r="K2236">
        <v>3.91641761829307E-2</v>
      </c>
      <c r="L2236">
        <v>601.89277411199896</v>
      </c>
      <c r="M2236">
        <v>10.607017898401899</v>
      </c>
      <c r="N2236">
        <v>56.7447685014969</v>
      </c>
      <c r="O2236">
        <v>54.839270857206003</v>
      </c>
      <c r="P2236">
        <v>-4.8373792696534301E-2</v>
      </c>
      <c r="Q2236">
        <v>0</v>
      </c>
      <c r="R2236">
        <v>0.84843559085462195</v>
      </c>
      <c r="S2236" t="s">
        <v>8062</v>
      </c>
      <c r="T2236" t="s">
        <v>11650</v>
      </c>
      <c r="U2236" t="s">
        <v>11650</v>
      </c>
      <c r="V2236" t="s">
        <v>11650</v>
      </c>
      <c r="W2236" t="s">
        <v>13845</v>
      </c>
      <c r="X2236">
        <v>4</v>
      </c>
      <c r="Y2236" t="s">
        <v>19567</v>
      </c>
      <c r="Z2236" t="s">
        <v>25298</v>
      </c>
      <c r="AA2236">
        <v>0.57575235284624138</v>
      </c>
      <c r="AB2236" t="str">
        <f>HYPERLINK("Melting_Curves/meltCurve_P32418_2_SLC8A1.pdf", "Melting_Curves/meltCurve_P32418_2_SLC8A1.pdf")</f>
        <v>Melting_Curves/meltCurve_P32418_2_SLC8A1.pdf</v>
      </c>
    </row>
    <row r="2237" spans="1:28" x14ac:dyDescent="0.25">
      <c r="A2237" t="s">
        <v>2241</v>
      </c>
      <c r="B2237">
        <v>0.99996721820229495</v>
      </c>
      <c r="C2237">
        <v>0.98353760939901003</v>
      </c>
      <c r="D2237">
        <v>0.936338350514203</v>
      </c>
      <c r="E2237">
        <v>0.81409503008929396</v>
      </c>
      <c r="F2237">
        <v>0.25548732434306898</v>
      </c>
      <c r="G2237">
        <v>0.228069784544981</v>
      </c>
      <c r="H2237">
        <v>0.13793918149020001</v>
      </c>
      <c r="I2237">
        <v>9.0903859453027799E-2</v>
      </c>
      <c r="J2237">
        <v>6.1793459284668902E-2</v>
      </c>
      <c r="K2237">
        <v>5.85372422950673E-2</v>
      </c>
      <c r="L2237">
        <v>2453.67171886394</v>
      </c>
      <c r="M2237">
        <v>47.809723100097301</v>
      </c>
      <c r="N2237">
        <v>51.593559429872002</v>
      </c>
      <c r="O2237">
        <v>51.232058160453697</v>
      </c>
      <c r="P2237">
        <v>-0.207312977808362</v>
      </c>
      <c r="Q2237">
        <v>0.111389193442351</v>
      </c>
      <c r="R2237">
        <v>0.98568535620323605</v>
      </c>
      <c r="S2237" t="s">
        <v>8063</v>
      </c>
      <c r="T2237" t="s">
        <v>11650</v>
      </c>
      <c r="U2237" t="s">
        <v>11650</v>
      </c>
      <c r="V2237" t="s">
        <v>11650</v>
      </c>
      <c r="W2237" t="s">
        <v>13846</v>
      </c>
      <c r="X2237">
        <v>40</v>
      </c>
      <c r="Y2237" t="s">
        <v>19568</v>
      </c>
      <c r="Z2237" t="s">
        <v>25299</v>
      </c>
      <c r="AA2237">
        <v>0.44894040970387139</v>
      </c>
      <c r="AB2237" t="str">
        <f>HYPERLINK("Melting_Curves/meltCurve_P32455_GBP1.pdf", "Melting_Curves/meltCurve_P32455_GBP1.pdf")</f>
        <v>Melting_Curves/meltCurve_P32455_GBP1.pdf</v>
      </c>
    </row>
    <row r="2238" spans="1:28" x14ac:dyDescent="0.25">
      <c r="A2238" t="s">
        <v>2242</v>
      </c>
      <c r="B2238">
        <v>0.99996721820229495</v>
      </c>
      <c r="C2238">
        <v>0.939120201816107</v>
      </c>
      <c r="D2238">
        <v>0.89368167383053598</v>
      </c>
      <c r="E2238">
        <v>0.42821851860516502</v>
      </c>
      <c r="F2238">
        <v>0.28474551513397101</v>
      </c>
      <c r="G2238">
        <v>0.230274636817346</v>
      </c>
      <c r="H2238">
        <v>0.15630205251499901</v>
      </c>
      <c r="I2238">
        <v>0.116453693052103</v>
      </c>
      <c r="J2238">
        <v>9.2318341178843702E-2</v>
      </c>
      <c r="K2238">
        <v>7.3888481697095804E-2</v>
      </c>
      <c r="L2238">
        <v>1080.2043571878901</v>
      </c>
      <c r="M2238">
        <v>21.970820403823001</v>
      </c>
      <c r="N2238">
        <v>49.781541092445799</v>
      </c>
      <c r="O2238">
        <v>48.763541592166</v>
      </c>
      <c r="P2238">
        <v>-9.9232702631726705E-2</v>
      </c>
      <c r="Q2238">
        <v>0.11904438620294</v>
      </c>
      <c r="R2238">
        <v>0.98815492190276799</v>
      </c>
      <c r="S2238" t="s">
        <v>8064</v>
      </c>
      <c r="T2238" t="s">
        <v>11650</v>
      </c>
      <c r="U2238" t="s">
        <v>11650</v>
      </c>
      <c r="V2238" t="s">
        <v>11650</v>
      </c>
      <c r="W2238" t="s">
        <v>13847</v>
      </c>
      <c r="X2238">
        <v>17</v>
      </c>
      <c r="Y2238" t="s">
        <v>19569</v>
      </c>
      <c r="Z2238" t="s">
        <v>25300</v>
      </c>
      <c r="AA2238">
        <v>0.39836971020500128</v>
      </c>
      <c r="AB2238" t="str">
        <f>HYPERLINK("Melting_Curves/meltCurve_P32456_GBP2.pdf", "Melting_Curves/meltCurve_P32456_GBP2.pdf")</f>
        <v>Melting_Curves/meltCurve_P32456_GBP2.pdf</v>
      </c>
    </row>
    <row r="2239" spans="1:28" x14ac:dyDescent="0.25">
      <c r="A2239" t="s">
        <v>2243</v>
      </c>
      <c r="B2239">
        <v>0.99996721820229495</v>
      </c>
      <c r="C2239">
        <v>0.901274815133697</v>
      </c>
      <c r="D2239">
        <v>0.973105707815345</v>
      </c>
      <c r="E2239">
        <v>0.950333409312898</v>
      </c>
      <c r="F2239">
        <v>1.02045409912857</v>
      </c>
      <c r="G2239">
        <v>0.86282013209191299</v>
      </c>
      <c r="H2239">
        <v>0.66219153593553104</v>
      </c>
      <c r="I2239">
        <v>0.36364327721724599</v>
      </c>
      <c r="J2239">
        <v>0.28365310682971501</v>
      </c>
      <c r="K2239">
        <v>0.191010971685388</v>
      </c>
      <c r="L2239">
        <v>1462.7838731296999</v>
      </c>
      <c r="M2239">
        <v>23.7222355812324</v>
      </c>
      <c r="N2239">
        <v>62.595246955161997</v>
      </c>
      <c r="O2239">
        <v>61.229810851779703</v>
      </c>
      <c r="P2239">
        <v>-8.2444472329408894E-2</v>
      </c>
      <c r="Q2239">
        <v>0.14881959984561799</v>
      </c>
      <c r="R2239">
        <v>0.98086078477030303</v>
      </c>
      <c r="S2239" t="s">
        <v>8065</v>
      </c>
      <c r="T2239" t="s">
        <v>11650</v>
      </c>
      <c r="U2239" t="s">
        <v>11650</v>
      </c>
      <c r="V2239" t="s">
        <v>11650</v>
      </c>
      <c r="W2239" t="s">
        <v>13848</v>
      </c>
      <c r="X2239">
        <v>6</v>
      </c>
      <c r="Y2239" t="s">
        <v>19570</v>
      </c>
      <c r="Z2239" t="s">
        <v>25301</v>
      </c>
      <c r="AA2239">
        <v>0.76784887486905518</v>
      </c>
      <c r="AB2239" t="str">
        <f>HYPERLINK("Melting_Curves/meltCurve_P32856_3_STX2.pdf", "Melting_Curves/meltCurve_P32856_3_STX2.pdf")</f>
        <v>Melting_Curves/meltCurve_P32856_3_STX2.pdf</v>
      </c>
    </row>
    <row r="2240" spans="1:28" x14ac:dyDescent="0.25">
      <c r="A2240" t="s">
        <v>2244</v>
      </c>
      <c r="B2240">
        <v>0.99996721820229495</v>
      </c>
      <c r="C2240">
        <v>1.0090558526739499</v>
      </c>
      <c r="D2240">
        <v>1.09419768947234</v>
      </c>
      <c r="E2240">
        <v>1.2677430358133901</v>
      </c>
      <c r="F2240">
        <v>1.7626197157541501</v>
      </c>
      <c r="G2240">
        <v>2.1208891574989202</v>
      </c>
      <c r="H2240">
        <v>1.6481802415208</v>
      </c>
      <c r="I2240">
        <v>1.1370144303374301</v>
      </c>
      <c r="J2240">
        <v>0.48950142841180799</v>
      </c>
      <c r="K2240">
        <v>1.09567404020554</v>
      </c>
      <c r="L2240">
        <v>1043.9890220356699</v>
      </c>
      <c r="M2240">
        <v>9.9096648171055008</v>
      </c>
      <c r="Q2240">
        <v>1.7452870679587201E-13</v>
      </c>
      <c r="R2240">
        <v>-0.355373606363035</v>
      </c>
      <c r="S2240" t="s">
        <v>8066</v>
      </c>
      <c r="T2240" t="s">
        <v>11650</v>
      </c>
      <c r="U2240" t="s">
        <v>11650</v>
      </c>
      <c r="V2240" t="s">
        <v>11650</v>
      </c>
      <c r="W2240" t="s">
        <v>13849</v>
      </c>
      <c r="X2240">
        <v>8</v>
      </c>
      <c r="Y2240" t="s">
        <v>19571</v>
      </c>
      <c r="Z2240" t="s">
        <v>25302</v>
      </c>
      <c r="AA2240">
        <v>0.99907200883452163</v>
      </c>
      <c r="AB2240" t="str">
        <f>HYPERLINK("Melting_Curves/meltCurve_P32929_CTH.pdf", "Melting_Curves/meltCurve_P32929_CTH.pdf")</f>
        <v>Melting_Curves/meltCurve_P32929_CTH.pdf</v>
      </c>
    </row>
    <row r="2241" spans="1:28" x14ac:dyDescent="0.25">
      <c r="A2241" t="s">
        <v>2245</v>
      </c>
      <c r="B2241">
        <v>0.99996721820229495</v>
      </c>
      <c r="C2241">
        <v>1.02769282890508</v>
      </c>
      <c r="D2241">
        <v>0.97491623752808598</v>
      </c>
      <c r="E2241">
        <v>0.99826218881266604</v>
      </c>
      <c r="F2241">
        <v>0.97987382714149596</v>
      </c>
      <c r="G2241">
        <v>0.74769531182063698</v>
      </c>
      <c r="H2241">
        <v>0.44105712807900499</v>
      </c>
      <c r="I2241">
        <v>0.34025453619415902</v>
      </c>
      <c r="J2241">
        <v>0.22652374071991399</v>
      </c>
      <c r="K2241">
        <v>0.16516775017302401</v>
      </c>
      <c r="L2241">
        <v>1298.3379025481399</v>
      </c>
      <c r="M2241">
        <v>21.853965441289301</v>
      </c>
      <c r="N2241">
        <v>60.452224541178197</v>
      </c>
      <c r="O2241">
        <v>58.918968664662799</v>
      </c>
      <c r="P2241">
        <v>-7.8172332088844304E-2</v>
      </c>
      <c r="Q2241">
        <v>0.156999038450058</v>
      </c>
      <c r="R2241">
        <v>0.99542063448395401</v>
      </c>
      <c r="S2241" t="s">
        <v>8067</v>
      </c>
      <c r="T2241" t="s">
        <v>11650</v>
      </c>
      <c r="U2241" t="s">
        <v>11650</v>
      </c>
      <c r="V2241" t="s">
        <v>11650</v>
      </c>
      <c r="W2241" t="s">
        <v>13850</v>
      </c>
      <c r="X2241">
        <v>7</v>
      </c>
      <c r="Y2241" t="s">
        <v>19572</v>
      </c>
      <c r="Z2241" t="s">
        <v>25303</v>
      </c>
      <c r="AA2241">
        <v>0.70994980135769792</v>
      </c>
      <c r="AB2241" t="str">
        <f>HYPERLINK("Melting_Curves/meltCurve_P32969_RPL9.pdf", "Melting_Curves/meltCurve_P32969_RPL9.pdf")</f>
        <v>Melting_Curves/meltCurve_P32969_RPL9.pdf</v>
      </c>
    </row>
    <row r="2242" spans="1:28" x14ac:dyDescent="0.25">
      <c r="A2242" t="s">
        <v>2246</v>
      </c>
      <c r="B2242">
        <v>0.99996721820229495</v>
      </c>
      <c r="C2242">
        <v>0.96166735763578604</v>
      </c>
      <c r="D2242">
        <v>0.88788459922269103</v>
      </c>
      <c r="E2242">
        <v>0.70331201356613005</v>
      </c>
      <c r="F2242">
        <v>0.320628738454734</v>
      </c>
      <c r="G2242">
        <v>0.27885996376412697</v>
      </c>
      <c r="H2242">
        <v>0.176994149328842</v>
      </c>
      <c r="I2242">
        <v>0.11458484092709401</v>
      </c>
      <c r="J2242">
        <v>7.8338454353308301E-2</v>
      </c>
      <c r="K2242">
        <v>7.54211083817799E-2</v>
      </c>
      <c r="L2242">
        <v>921.43366677485903</v>
      </c>
      <c r="M2242">
        <v>17.982788523668798</v>
      </c>
      <c r="N2242">
        <v>51.819185835663099</v>
      </c>
      <c r="O2242">
        <v>50.618733638265098</v>
      </c>
      <c r="P2242">
        <v>-8.0730149683970895E-2</v>
      </c>
      <c r="Q2242">
        <v>9.1074401461044896E-2</v>
      </c>
      <c r="R2242">
        <v>0.986048988082734</v>
      </c>
      <c r="S2242" t="s">
        <v>8068</v>
      </c>
      <c r="T2242" t="s">
        <v>11650</v>
      </c>
      <c r="U2242" t="s">
        <v>11650</v>
      </c>
      <c r="V2242" t="s">
        <v>11650</v>
      </c>
      <c r="W2242" t="s">
        <v>13851</v>
      </c>
      <c r="X2242">
        <v>21</v>
      </c>
      <c r="Y2242" t="s">
        <v>19573</v>
      </c>
      <c r="Z2242" t="s">
        <v>25304</v>
      </c>
      <c r="AA2242">
        <v>0.44690884843653728</v>
      </c>
      <c r="AB2242" t="str">
        <f>HYPERLINK("Melting_Curves/meltCurve_P33121_ACSL1.pdf", "Melting_Curves/meltCurve_P33121_ACSL1.pdf")</f>
        <v>Melting_Curves/meltCurve_P33121_ACSL1.pdf</v>
      </c>
    </row>
    <row r="2243" spans="1:28" x14ac:dyDescent="0.25">
      <c r="A2243" t="s">
        <v>2247</v>
      </c>
      <c r="B2243">
        <v>0.99996721820229495</v>
      </c>
      <c r="C2243">
        <v>1.03756226479619</v>
      </c>
      <c r="D2243">
        <v>1.2022025213049701</v>
      </c>
      <c r="E2243">
        <v>2.0006448055528798</v>
      </c>
      <c r="F2243">
        <v>0.71410711103994895</v>
      </c>
      <c r="G2243">
        <v>0.56454417608101204</v>
      </c>
      <c r="H2243">
        <v>0.32977898887833401</v>
      </c>
      <c r="I2243">
        <v>0.21499159861181899</v>
      </c>
      <c r="J2243">
        <v>0.17292957784927299</v>
      </c>
      <c r="K2243">
        <v>0.12809485635357201</v>
      </c>
      <c r="L2243">
        <v>1837.16293006004</v>
      </c>
      <c r="M2243">
        <v>32.333278386659202</v>
      </c>
      <c r="N2243">
        <v>57.614996904545997</v>
      </c>
      <c r="O2243">
        <v>56.603546739562297</v>
      </c>
      <c r="P2243">
        <v>-0.117096971332601</v>
      </c>
      <c r="Q2243">
        <v>0.18003097554212799</v>
      </c>
      <c r="R2243">
        <v>0.64313676993261004</v>
      </c>
      <c r="S2243" t="s">
        <v>8069</v>
      </c>
      <c r="T2243" t="s">
        <v>11650</v>
      </c>
      <c r="U2243" t="s">
        <v>11650</v>
      </c>
      <c r="V2243" t="s">
        <v>11650</v>
      </c>
      <c r="W2243" t="s">
        <v>13852</v>
      </c>
      <c r="X2243">
        <v>52</v>
      </c>
      <c r="Y2243" t="s">
        <v>19574</v>
      </c>
      <c r="Z2243" t="s">
        <v>25305</v>
      </c>
      <c r="AA2243">
        <v>0.64452267843249778</v>
      </c>
      <c r="AB2243" t="str">
        <f>HYPERLINK("Melting_Curves/meltCurve_P33176_KIF5B.pdf", "Melting_Curves/meltCurve_P33176_KIF5B.pdf")</f>
        <v>Melting_Curves/meltCurve_P33176_KIF5B.pdf</v>
      </c>
    </row>
    <row r="2244" spans="1:28" x14ac:dyDescent="0.25">
      <c r="A2244" t="s">
        <v>2248</v>
      </c>
      <c r="B2244">
        <v>0.99996721820229495</v>
      </c>
      <c r="C2244">
        <v>0.90777836110231303</v>
      </c>
      <c r="D2244">
        <v>0.87082825392587904</v>
      </c>
      <c r="E2244">
        <v>1.1474465386038799</v>
      </c>
      <c r="F2244">
        <v>1.76663356329125</v>
      </c>
      <c r="G2244">
        <v>1.3846112648972</v>
      </c>
      <c r="H2244">
        <v>0.89078141558003998</v>
      </c>
      <c r="I2244">
        <v>0.75458689150306002</v>
      </c>
      <c r="J2244">
        <v>0.65860632135365604</v>
      </c>
      <c r="K2244">
        <v>0.46266752486183699</v>
      </c>
      <c r="L2244">
        <v>2130.7447712028902</v>
      </c>
      <c r="M2244">
        <v>32.7699884507999</v>
      </c>
      <c r="N2244">
        <v>69.712378765913101</v>
      </c>
      <c r="O2244">
        <v>64.780525494597001</v>
      </c>
      <c r="P2244">
        <v>-7.0203130240049996E-2</v>
      </c>
      <c r="Q2244">
        <v>0.44488540754213102</v>
      </c>
      <c r="R2244">
        <v>0.36686810195696601</v>
      </c>
      <c r="S2244" t="s">
        <v>8070</v>
      </c>
      <c r="T2244" t="s">
        <v>11650</v>
      </c>
      <c r="U2244" t="s">
        <v>11650</v>
      </c>
      <c r="V2244" t="s">
        <v>11650</v>
      </c>
      <c r="W2244" t="s">
        <v>13853</v>
      </c>
      <c r="X2244">
        <v>13</v>
      </c>
      <c r="Y2244" t="s">
        <v>19575</v>
      </c>
      <c r="Z2244" t="s">
        <v>25306</v>
      </c>
      <c r="AA2244">
        <v>0.9073642040567802</v>
      </c>
      <c r="AB2244" t="str">
        <f>HYPERLINK("Melting_Curves/meltCurve_P33240_2_CSTF2.pdf", "Melting_Curves/meltCurve_P33240_2_CSTF2.pdf")</f>
        <v>Melting_Curves/meltCurve_P33240_2_CSTF2.pdf</v>
      </c>
    </row>
    <row r="2245" spans="1:28" x14ac:dyDescent="0.25">
      <c r="A2245" t="s">
        <v>2249</v>
      </c>
      <c r="B2245">
        <v>0.99996721820229495</v>
      </c>
      <c r="C2245">
        <v>1.07348801411783</v>
      </c>
      <c r="D2245">
        <v>1.0942957008871601</v>
      </c>
      <c r="E2245">
        <v>1.1057434523521099</v>
      </c>
      <c r="F2245">
        <v>1.2890834155217901</v>
      </c>
      <c r="G2245">
        <v>1.55071460807037</v>
      </c>
      <c r="H2245">
        <v>1.18926928014635</v>
      </c>
      <c r="I2245">
        <v>1.2523442126464801</v>
      </c>
      <c r="J2245">
        <v>1.13630979379439</v>
      </c>
      <c r="K2245">
        <v>0.856209552156878</v>
      </c>
      <c r="L2245">
        <v>1094.3040697445299</v>
      </c>
      <c r="M2245">
        <v>23.984407431683401</v>
      </c>
      <c r="O2245">
        <v>45.312010925185703</v>
      </c>
      <c r="P2245">
        <v>2.6667632381527102E-2</v>
      </c>
      <c r="Q2245">
        <v>1.20152176920946</v>
      </c>
      <c r="R2245">
        <v>0.14845118680233499</v>
      </c>
      <c r="S2245" t="s">
        <v>8071</v>
      </c>
      <c r="T2245" t="s">
        <v>11650</v>
      </c>
      <c r="U2245" t="s">
        <v>11650</v>
      </c>
      <c r="V2245" t="s">
        <v>11650</v>
      </c>
      <c r="W2245" t="s">
        <v>13854</v>
      </c>
      <c r="X2245">
        <v>1</v>
      </c>
      <c r="Y2245" t="s">
        <v>19576</v>
      </c>
      <c r="Z2245" t="s">
        <v>25307</v>
      </c>
      <c r="AA2245">
        <v>1.161633912751693</v>
      </c>
      <c r="AB2245" t="str">
        <f>HYPERLINK("Melting_Curves/meltCurve_P33241_2_LSP1.pdf", "Melting_Curves/meltCurve_P33241_2_LSP1.pdf")</f>
        <v>Melting_Curves/meltCurve_P33241_2_LSP1.pdf</v>
      </c>
    </row>
    <row r="2246" spans="1:28" x14ac:dyDescent="0.25">
      <c r="A2246" t="s">
        <v>2250</v>
      </c>
      <c r="B2246">
        <v>0.99996721820229495</v>
      </c>
      <c r="C2246">
        <v>1.04069989851586</v>
      </c>
      <c r="D2246">
        <v>0.93736435372887505</v>
      </c>
      <c r="E2246">
        <v>0.815748081974219</v>
      </c>
      <c r="F2246">
        <v>0.54987617789973298</v>
      </c>
      <c r="G2246">
        <v>0.38878290166977703</v>
      </c>
      <c r="H2246">
        <v>0.23811503651888999</v>
      </c>
      <c r="I2246">
        <v>0.241076911142658</v>
      </c>
      <c r="J2246">
        <v>0.138738412913436</v>
      </c>
      <c r="K2246">
        <v>0.117658069658532</v>
      </c>
      <c r="L2246">
        <v>850.13979456511197</v>
      </c>
      <c r="M2246">
        <v>15.8733296650118</v>
      </c>
      <c r="N2246">
        <v>54.562079118573301</v>
      </c>
      <c r="O2246">
        <v>52.729331090392101</v>
      </c>
      <c r="P2246">
        <v>-6.5729823022614098E-2</v>
      </c>
      <c r="Q2246">
        <v>0.126683744767175</v>
      </c>
      <c r="R2246">
        <v>0.99089157533198302</v>
      </c>
      <c r="S2246" t="s">
        <v>8072</v>
      </c>
      <c r="T2246" t="s">
        <v>11650</v>
      </c>
      <c r="U2246" t="s">
        <v>11650</v>
      </c>
      <c r="V2246" t="s">
        <v>11650</v>
      </c>
      <c r="W2246" t="s">
        <v>13855</v>
      </c>
      <c r="X2246">
        <v>8</v>
      </c>
      <c r="Y2246" t="s">
        <v>19577</v>
      </c>
      <c r="Z2246" t="s">
        <v>25308</v>
      </c>
      <c r="AA2246">
        <v>0.53833935872819194</v>
      </c>
      <c r="AB2246" t="str">
        <f>HYPERLINK("Melting_Curves/meltCurve_P33316_DUT.pdf", "Melting_Curves/meltCurve_P33316_DUT.pdf")</f>
        <v>Melting_Curves/meltCurve_P33316_DUT.pdf</v>
      </c>
    </row>
    <row r="2247" spans="1:28" x14ac:dyDescent="0.25">
      <c r="A2247" t="s">
        <v>2251</v>
      </c>
      <c r="B2247">
        <v>0.99996721820229495</v>
      </c>
      <c r="C2247">
        <v>0.92954263364174305</v>
      </c>
      <c r="D2247">
        <v>1.21759606657793</v>
      </c>
      <c r="E2247">
        <v>1.8881251827963701</v>
      </c>
      <c r="F2247">
        <v>1.97622062019209</v>
      </c>
      <c r="G2247">
        <v>0.88092608601565903</v>
      </c>
      <c r="H2247">
        <v>0.44046586094273499</v>
      </c>
      <c r="I2247">
        <v>0.26591585733877199</v>
      </c>
      <c r="J2247">
        <v>0.20211472302380701</v>
      </c>
      <c r="K2247">
        <v>0.183432999083775</v>
      </c>
      <c r="L2247">
        <v>2841.3306339413898</v>
      </c>
      <c r="M2247">
        <v>47.458484282903903</v>
      </c>
      <c r="N2247">
        <v>60.5344254912957</v>
      </c>
      <c r="O2247">
        <v>59.763805679715801</v>
      </c>
      <c r="P2247">
        <v>-0.15821451450430299</v>
      </c>
      <c r="Q2247">
        <v>0.203051584652957</v>
      </c>
      <c r="R2247">
        <v>0.53335975531197899</v>
      </c>
      <c r="S2247" t="s">
        <v>8073</v>
      </c>
      <c r="T2247" t="s">
        <v>11650</v>
      </c>
      <c r="U2247" t="s">
        <v>11650</v>
      </c>
      <c r="V2247" t="s">
        <v>11650</v>
      </c>
      <c r="W2247" t="s">
        <v>13856</v>
      </c>
      <c r="X2247">
        <v>20</v>
      </c>
      <c r="Y2247" t="s">
        <v>19578</v>
      </c>
      <c r="Z2247" t="s">
        <v>25309</v>
      </c>
      <c r="AA2247">
        <v>0.73317951634486289</v>
      </c>
      <c r="AB2247" t="str">
        <f>HYPERLINK("Melting_Curves/meltCurve_P33527_ABCC1.pdf", "Melting_Curves/meltCurve_P33527_ABCC1.pdf")</f>
        <v>Melting_Curves/meltCurve_P33527_ABCC1.pdf</v>
      </c>
    </row>
    <row r="2248" spans="1:28" x14ac:dyDescent="0.25">
      <c r="A2248" t="s">
        <v>2252</v>
      </c>
      <c r="B2248">
        <v>0.99996721820229495</v>
      </c>
      <c r="C2248">
        <v>0.99319485029855104</v>
      </c>
      <c r="D2248">
        <v>0.86246695799776696</v>
      </c>
      <c r="E2248">
        <v>0.91585021158498603</v>
      </c>
      <c r="F2248">
        <v>1.1091674098267299</v>
      </c>
      <c r="G2248">
        <v>0.95870988073412</v>
      </c>
      <c r="H2248">
        <v>0.621210216316054</v>
      </c>
      <c r="I2248">
        <v>0.35884820993582101</v>
      </c>
      <c r="J2248">
        <v>0.21390419020520299</v>
      </c>
      <c r="K2248">
        <v>0.13203070100397901</v>
      </c>
      <c r="L2248">
        <v>1935.6738622619901</v>
      </c>
      <c r="M2248">
        <v>31.3703395252193</v>
      </c>
      <c r="N2248">
        <v>62.306494129103697</v>
      </c>
      <c r="O2248">
        <v>61.454833028189803</v>
      </c>
      <c r="P2248">
        <v>-0.110919568691107</v>
      </c>
      <c r="Q2248">
        <v>0.130834237265602</v>
      </c>
      <c r="R2248">
        <v>0.96497752382695601</v>
      </c>
      <c r="S2248" t="s">
        <v>8074</v>
      </c>
      <c r="T2248" t="s">
        <v>11650</v>
      </c>
      <c r="U2248" t="s">
        <v>11650</v>
      </c>
      <c r="V2248" t="s">
        <v>11650</v>
      </c>
      <c r="W2248" t="s">
        <v>13857</v>
      </c>
      <c r="X2248">
        <v>6</v>
      </c>
      <c r="Y2248" t="s">
        <v>19579</v>
      </c>
      <c r="Z2248" t="s">
        <v>25310</v>
      </c>
      <c r="AA2248">
        <v>0.7638039745235603</v>
      </c>
      <c r="AB2248" t="str">
        <f>HYPERLINK("Melting_Curves/meltCurve_P33764_S100A3.pdf", "Melting_Curves/meltCurve_P33764_S100A3.pdf")</f>
        <v>Melting_Curves/meltCurve_P33764_S100A3.pdf</v>
      </c>
    </row>
    <row r="2249" spans="1:28" x14ac:dyDescent="0.25">
      <c r="A2249" t="s">
        <v>2253</v>
      </c>
      <c r="B2249">
        <v>0.99996721820229495</v>
      </c>
      <c r="C2249">
        <v>0.53868087152847999</v>
      </c>
      <c r="D2249">
        <v>0.58759705704022702</v>
      </c>
      <c r="E2249">
        <v>0.48829714525992601</v>
      </c>
      <c r="F2249">
        <v>0.59313418667208095</v>
      </c>
      <c r="G2249">
        <v>0.54152802513058196</v>
      </c>
      <c r="H2249">
        <v>0.37496524293738898</v>
      </c>
      <c r="I2249">
        <v>0.288840140473407</v>
      </c>
      <c r="J2249">
        <v>0.249364269106158</v>
      </c>
      <c r="K2249">
        <v>0.166052799229887</v>
      </c>
      <c r="L2249">
        <v>237.01186127774801</v>
      </c>
      <c r="M2249">
        <v>4.5117287249751401</v>
      </c>
      <c r="N2249">
        <v>52.532382932706398</v>
      </c>
      <c r="O2249">
        <v>44.678147106697999</v>
      </c>
      <c r="P2249">
        <v>-2.5464623792820499E-2</v>
      </c>
      <c r="Q2249">
        <v>0</v>
      </c>
      <c r="R2249">
        <v>0.75922994130573995</v>
      </c>
      <c r="S2249" t="s">
        <v>8075</v>
      </c>
      <c r="T2249" t="s">
        <v>11650</v>
      </c>
      <c r="U2249" t="s">
        <v>11650</v>
      </c>
      <c r="V2249" t="s">
        <v>11650</v>
      </c>
      <c r="W2249" t="s">
        <v>13858</v>
      </c>
      <c r="X2249">
        <v>1</v>
      </c>
      <c r="Y2249" t="s">
        <v>19580</v>
      </c>
      <c r="Z2249" t="s">
        <v>25311</v>
      </c>
      <c r="AA2249">
        <v>0.47746100624784388</v>
      </c>
      <c r="AB2249" t="str">
        <f>HYPERLINK("Melting_Curves/meltCurve_P33897_ABCD1.pdf", "Melting_Curves/meltCurve_P33897_ABCD1.pdf")</f>
        <v>Melting_Curves/meltCurve_P33897_ABCD1.pdf</v>
      </c>
    </row>
    <row r="2250" spans="1:28" x14ac:dyDescent="0.25">
      <c r="A2250" t="s">
        <v>2254</v>
      </c>
      <c r="B2250">
        <v>0.99996721820229495</v>
      </c>
      <c r="C2250">
        <v>0.91328662244594006</v>
      </c>
      <c r="D2250">
        <v>0.93860451574053005</v>
      </c>
      <c r="E2250">
        <v>1.0735762453381399</v>
      </c>
      <c r="F2250">
        <v>1.1890409267793001</v>
      </c>
      <c r="G2250">
        <v>0.78862968894024499</v>
      </c>
      <c r="H2250">
        <v>0.57447238704214498</v>
      </c>
      <c r="I2250">
        <v>0.27726966934066199</v>
      </c>
      <c r="J2250">
        <v>0.106573350628269</v>
      </c>
      <c r="K2250">
        <v>9.4371199529662594E-2</v>
      </c>
      <c r="L2250">
        <v>1592.17917096832</v>
      </c>
      <c r="M2250">
        <v>26.007035749218002</v>
      </c>
      <c r="N2250">
        <v>61.427777904627199</v>
      </c>
      <c r="O2250">
        <v>60.862563154218599</v>
      </c>
      <c r="P2250">
        <v>-0.102352786511789</v>
      </c>
      <c r="Q2250">
        <v>4.1892909696538999E-2</v>
      </c>
      <c r="R2250">
        <v>0.95347990196416399</v>
      </c>
      <c r="S2250" t="s">
        <v>8076</v>
      </c>
      <c r="T2250" t="s">
        <v>11650</v>
      </c>
      <c r="U2250" t="s">
        <v>11650</v>
      </c>
      <c r="V2250" t="s">
        <v>11650</v>
      </c>
      <c r="W2250" t="s">
        <v>13859</v>
      </c>
      <c r="X2250">
        <v>9</v>
      </c>
      <c r="Y2250" t="s">
        <v>19581</v>
      </c>
      <c r="Z2250" t="s">
        <v>25312</v>
      </c>
      <c r="AA2250">
        <v>0.725265104223073</v>
      </c>
      <c r="AB2250" t="str">
        <f>HYPERLINK("Melting_Curves/meltCurve_P33908_MAN1A1.pdf", "Melting_Curves/meltCurve_P33908_MAN1A1.pdf")</f>
        <v>Melting_Curves/meltCurve_P33908_MAN1A1.pdf</v>
      </c>
    </row>
    <row r="2251" spans="1:28" x14ac:dyDescent="0.25">
      <c r="A2251" t="s">
        <v>2255</v>
      </c>
      <c r="B2251">
        <v>0.99996721820229495</v>
      </c>
      <c r="C2251">
        <v>0.99203970273440401</v>
      </c>
      <c r="D2251">
        <v>1.04540553225719</v>
      </c>
      <c r="E2251">
        <v>1.1823525137800801</v>
      </c>
      <c r="F2251">
        <v>1.5707335227489501</v>
      </c>
      <c r="G2251">
        <v>1.9704146147300701</v>
      </c>
      <c r="H2251">
        <v>1.3689853999049399</v>
      </c>
      <c r="I2251">
        <v>1.0691371606683</v>
      </c>
      <c r="J2251">
        <v>0.61789304773627196</v>
      </c>
      <c r="K2251">
        <v>0.81215200361316497</v>
      </c>
      <c r="L2251">
        <v>8081.7999358965999</v>
      </c>
      <c r="M2251">
        <v>123.525174013742</v>
      </c>
      <c r="O2251">
        <v>65.409195220963497</v>
      </c>
      <c r="P2251">
        <v>-0.13586194928199999</v>
      </c>
      <c r="Q2251">
        <v>0.71223289080561403</v>
      </c>
      <c r="R2251">
        <v>-7.9965668806280601E-2</v>
      </c>
      <c r="S2251" t="s">
        <v>8077</v>
      </c>
      <c r="T2251" t="s">
        <v>11650</v>
      </c>
      <c r="U2251" t="s">
        <v>11650</v>
      </c>
      <c r="V2251" t="s">
        <v>11650</v>
      </c>
      <c r="W2251" t="s">
        <v>13860</v>
      </c>
      <c r="X2251">
        <v>12</v>
      </c>
      <c r="Y2251" t="s">
        <v>19582</v>
      </c>
      <c r="Z2251" t="s">
        <v>25313</v>
      </c>
      <c r="AA2251">
        <v>0.95626194830698485</v>
      </c>
      <c r="AB2251" t="str">
        <f>HYPERLINK("Melting_Curves/meltCurve_P34059_GALNS.pdf", "Melting_Curves/meltCurve_P34059_GALNS.pdf")</f>
        <v>Melting_Curves/meltCurve_P34059_GALNS.pdf</v>
      </c>
    </row>
    <row r="2252" spans="1:28" x14ac:dyDescent="0.25">
      <c r="A2252" t="s">
        <v>2256</v>
      </c>
      <c r="B2252">
        <v>0.99996721820229495</v>
      </c>
      <c r="C2252">
        <v>1.02726864036193</v>
      </c>
      <c r="D2252">
        <v>1.1912040628238501</v>
      </c>
      <c r="E2252">
        <v>1.4948479449707099</v>
      </c>
      <c r="F2252">
        <v>2.01632981180212</v>
      </c>
      <c r="G2252">
        <v>3.0683879647459098</v>
      </c>
      <c r="H2252">
        <v>2.03538843122795</v>
      </c>
      <c r="I2252">
        <v>0.94752771028620997</v>
      </c>
      <c r="J2252">
        <v>0.280439427363598</v>
      </c>
      <c r="K2252">
        <v>0.172970015969268</v>
      </c>
      <c r="L2252">
        <v>6981.0028956751503</v>
      </c>
      <c r="M2252">
        <v>106.129056999388</v>
      </c>
      <c r="N2252">
        <v>66.043744332662698</v>
      </c>
      <c r="O2252">
        <v>65.7550851289989</v>
      </c>
      <c r="P2252">
        <v>-0.333472045814101</v>
      </c>
      <c r="Q2252">
        <v>0.173554068865542</v>
      </c>
      <c r="R2252">
        <v>2.3132485561668099E-2</v>
      </c>
      <c r="S2252" t="s">
        <v>8078</v>
      </c>
      <c r="T2252" t="s">
        <v>11650</v>
      </c>
      <c r="U2252" t="s">
        <v>11650</v>
      </c>
      <c r="V2252" t="s">
        <v>11650</v>
      </c>
      <c r="W2252" t="s">
        <v>13861</v>
      </c>
      <c r="X2252">
        <v>11</v>
      </c>
      <c r="Y2252" t="s">
        <v>19583</v>
      </c>
      <c r="Z2252" t="s">
        <v>25314</v>
      </c>
      <c r="AA2252">
        <v>0.88420057484219561</v>
      </c>
      <c r="AB2252" t="str">
        <f>HYPERLINK("Melting_Curves/meltCurve_P34896_2_SHMT1.pdf", "Melting_Curves/meltCurve_P34896_2_SHMT1.pdf")</f>
        <v>Melting_Curves/meltCurve_P34896_2_SHMT1.pdf</v>
      </c>
    </row>
    <row r="2253" spans="1:28" x14ac:dyDescent="0.25">
      <c r="A2253" t="s">
        <v>2257</v>
      </c>
      <c r="B2253">
        <v>0.99996721820229495</v>
      </c>
      <c r="C2253">
        <v>0.95311888524439103</v>
      </c>
      <c r="D2253">
        <v>1.09162469527026</v>
      </c>
      <c r="E2253">
        <v>1.61052634983891</v>
      </c>
      <c r="F2253">
        <v>2.2959738771329801</v>
      </c>
      <c r="G2253">
        <v>3.2664164751012401</v>
      </c>
      <c r="H2253">
        <v>2.1929585203314601</v>
      </c>
      <c r="I2253">
        <v>0.77390377370561503</v>
      </c>
      <c r="J2253">
        <v>0.26181812575295899</v>
      </c>
      <c r="K2253">
        <v>0.18062110727054001</v>
      </c>
      <c r="L2253">
        <v>15000</v>
      </c>
      <c r="M2253">
        <v>233.48088998277501</v>
      </c>
      <c r="N2253">
        <v>64.406204431749202</v>
      </c>
      <c r="O2253">
        <v>64.240364957462404</v>
      </c>
      <c r="P2253">
        <v>-0.70764484938780103</v>
      </c>
      <c r="Q2253">
        <v>0.22118903889777899</v>
      </c>
      <c r="R2253">
        <v>-5.9882889418474399E-3</v>
      </c>
      <c r="S2253" t="s">
        <v>8079</v>
      </c>
      <c r="T2253" t="s">
        <v>11650</v>
      </c>
      <c r="U2253" t="s">
        <v>11650</v>
      </c>
      <c r="V2253" t="s">
        <v>11650</v>
      </c>
      <c r="W2253" t="s">
        <v>13862</v>
      </c>
      <c r="X2253">
        <v>25</v>
      </c>
      <c r="Y2253" t="s">
        <v>19584</v>
      </c>
      <c r="Z2253" t="s">
        <v>25315</v>
      </c>
      <c r="AA2253">
        <v>0.85070102430710637</v>
      </c>
      <c r="AB2253" t="str">
        <f>HYPERLINK("Melting_Curves/meltCurve_P34897_3_SHMT2.pdf", "Melting_Curves/meltCurve_P34897_3_SHMT2.pdf")</f>
        <v>Melting_Curves/meltCurve_P34897_3_SHMT2.pdf</v>
      </c>
    </row>
    <row r="2254" spans="1:28" x14ac:dyDescent="0.25">
      <c r="A2254" t="s">
        <v>2258</v>
      </c>
      <c r="B2254">
        <v>0.99996721820229495</v>
      </c>
      <c r="C2254">
        <v>1.0118277070135</v>
      </c>
      <c r="D2254">
        <v>1.0481212171552901</v>
      </c>
      <c r="E2254">
        <v>0.97482388224534799</v>
      </c>
      <c r="F2254">
        <v>1.7756759109429501</v>
      </c>
      <c r="G2254">
        <v>2.1476696285928401</v>
      </c>
      <c r="H2254">
        <v>1.6019653033188801</v>
      </c>
      <c r="I2254">
        <v>0.45692224412181098</v>
      </c>
      <c r="J2254">
        <v>0.397351505272455</v>
      </c>
      <c r="K2254">
        <v>0.29245376220813302</v>
      </c>
      <c r="L2254">
        <v>15000</v>
      </c>
      <c r="M2254">
        <v>235.950737707504</v>
      </c>
      <c r="N2254">
        <v>63.889424925921404</v>
      </c>
      <c r="O2254">
        <v>63.568025061802899</v>
      </c>
      <c r="P2254">
        <v>-0.60796193902483198</v>
      </c>
      <c r="Q2254">
        <v>0.344830364650346</v>
      </c>
      <c r="R2254">
        <v>0.325148591964116</v>
      </c>
      <c r="S2254" t="s">
        <v>8080</v>
      </c>
      <c r="T2254" t="s">
        <v>11650</v>
      </c>
      <c r="U2254" t="s">
        <v>11650</v>
      </c>
      <c r="V2254" t="s">
        <v>11650</v>
      </c>
      <c r="W2254" t="s">
        <v>13863</v>
      </c>
      <c r="X2254">
        <v>2</v>
      </c>
      <c r="Y2254" t="s">
        <v>19585</v>
      </c>
      <c r="Z2254" t="s">
        <v>25316</v>
      </c>
      <c r="AA2254">
        <v>0.85971397937771521</v>
      </c>
      <c r="AB2254" t="str">
        <f>HYPERLINK("Melting_Curves/meltCurve_P34910_EVI2B.pdf", "Melting_Curves/meltCurve_P34910_EVI2B.pdf")</f>
        <v>Melting_Curves/meltCurve_P34910_EVI2B.pdf</v>
      </c>
    </row>
    <row r="2255" spans="1:28" x14ac:dyDescent="0.25">
      <c r="A2255" t="s">
        <v>2259</v>
      </c>
      <c r="B2255">
        <v>0.99996721820229495</v>
      </c>
      <c r="C2255">
        <v>0.99574773804974503</v>
      </c>
      <c r="D2255">
        <v>0.98096452149340796</v>
      </c>
      <c r="E2255">
        <v>1.22089561502207</v>
      </c>
      <c r="F2255">
        <v>0.34075411783645898</v>
      </c>
      <c r="G2255">
        <v>0.31569409982885399</v>
      </c>
      <c r="H2255">
        <v>0.178174161088691</v>
      </c>
      <c r="I2255">
        <v>0.12151727315170401</v>
      </c>
      <c r="J2255">
        <v>9.2596408816764494E-2</v>
      </c>
      <c r="K2255">
        <v>7.5501406208276806E-2</v>
      </c>
      <c r="L2255">
        <v>13182.3806803687</v>
      </c>
      <c r="M2255">
        <v>250</v>
      </c>
      <c r="N2255">
        <v>52.808959830564703</v>
      </c>
      <c r="O2255">
        <v>52.726163285505201</v>
      </c>
      <c r="P2255">
        <v>-0.99962679794445597</v>
      </c>
      <c r="Q2255">
        <v>0.156696465940008</v>
      </c>
      <c r="R2255">
        <v>0.95401312848862896</v>
      </c>
      <c r="S2255" t="s">
        <v>8081</v>
      </c>
      <c r="T2255" t="s">
        <v>11650</v>
      </c>
      <c r="U2255" t="s">
        <v>11650</v>
      </c>
      <c r="V2255" t="s">
        <v>11650</v>
      </c>
      <c r="W2255" t="s">
        <v>13864</v>
      </c>
      <c r="X2255">
        <v>62</v>
      </c>
      <c r="Y2255" t="s">
        <v>19586</v>
      </c>
      <c r="Z2255" t="s">
        <v>25317</v>
      </c>
      <c r="AA2255">
        <v>0.51460288808430754</v>
      </c>
      <c r="AB2255" t="str">
        <f>HYPERLINK("Melting_Curves/meltCurve_P34932_HSPA4.pdf", "Melting_Curves/meltCurve_P34932_HSPA4.pdf")</f>
        <v>Melting_Curves/meltCurve_P34932_HSPA4.pdf</v>
      </c>
    </row>
    <row r="2256" spans="1:28" x14ac:dyDescent="0.25">
      <c r="A2256" t="s">
        <v>2260</v>
      </c>
      <c r="B2256">
        <v>0.99996721820229495</v>
      </c>
      <c r="C2256">
        <v>1.0401552565609899</v>
      </c>
      <c r="D2256">
        <v>0.70400900758484497</v>
      </c>
      <c r="E2256">
        <v>0.47395241160949098</v>
      </c>
      <c r="F2256">
        <v>0.26908523793794697</v>
      </c>
      <c r="G2256">
        <v>0.23766156916599401</v>
      </c>
      <c r="H2256">
        <v>0.151474225123265</v>
      </c>
      <c r="I2256">
        <v>9.8421019477217597E-2</v>
      </c>
      <c r="J2256">
        <v>6.9331906798478005E-2</v>
      </c>
      <c r="K2256">
        <v>5.3853445756232597E-2</v>
      </c>
      <c r="L2256">
        <v>818.31712125203399</v>
      </c>
      <c r="M2256">
        <v>16.689425524327302</v>
      </c>
      <c r="N2256">
        <v>49.599564760351498</v>
      </c>
      <c r="O2256">
        <v>48.344334692226397</v>
      </c>
      <c r="P2256">
        <v>-7.8809118400225503E-2</v>
      </c>
      <c r="Q2256">
        <v>8.6913709579609297E-2</v>
      </c>
      <c r="R2256">
        <v>0.97875090445161705</v>
      </c>
      <c r="S2256" t="s">
        <v>8082</v>
      </c>
      <c r="T2256" t="s">
        <v>11650</v>
      </c>
      <c r="U2256" t="s">
        <v>11650</v>
      </c>
      <c r="V2256" t="s">
        <v>11650</v>
      </c>
      <c r="W2256" t="s">
        <v>13865</v>
      </c>
      <c r="X2256">
        <v>7</v>
      </c>
      <c r="Y2256" t="s">
        <v>19587</v>
      </c>
      <c r="Z2256" t="s">
        <v>25318</v>
      </c>
      <c r="AA2256">
        <v>0.38016219498525933</v>
      </c>
      <c r="AB2256" t="str">
        <f>HYPERLINK("Melting_Curves/meltCurve_P34949_MPI.pdf", "Melting_Curves/meltCurve_P34949_MPI.pdf")</f>
        <v>Melting_Curves/meltCurve_P34949_MPI.pdf</v>
      </c>
    </row>
    <row r="2257" spans="1:28" x14ac:dyDescent="0.25">
      <c r="A2257" t="s">
        <v>2261</v>
      </c>
      <c r="B2257">
        <v>0.99996721820229495</v>
      </c>
      <c r="C2257">
        <v>0.91602254259967297</v>
      </c>
      <c r="D2257">
        <v>0.91290315399462696</v>
      </c>
      <c r="E2257">
        <v>0.95855847483322698</v>
      </c>
      <c r="F2257">
        <v>1.14788348986463</v>
      </c>
      <c r="G2257">
        <v>1.02530023807259</v>
      </c>
      <c r="H2257">
        <v>0.64621895501572002</v>
      </c>
      <c r="I2257">
        <v>0.40931103383812001</v>
      </c>
      <c r="J2257">
        <v>0.23725310810101899</v>
      </c>
      <c r="K2257">
        <v>0.23271993693482701</v>
      </c>
      <c r="L2257">
        <v>2400.7605369256098</v>
      </c>
      <c r="M2257">
        <v>39.0172331187458</v>
      </c>
      <c r="N2257">
        <v>62.506457519558403</v>
      </c>
      <c r="O2257">
        <v>61.369804462512199</v>
      </c>
      <c r="P2257">
        <v>-0.12269393305753599</v>
      </c>
      <c r="Q2257">
        <v>0.22806566830276301</v>
      </c>
      <c r="R2257">
        <v>0.95692566780909505</v>
      </c>
      <c r="S2257" t="s">
        <v>8083</v>
      </c>
      <c r="T2257" t="s">
        <v>11650</v>
      </c>
      <c r="U2257" t="s">
        <v>11650</v>
      </c>
      <c r="V2257" t="s">
        <v>11650</v>
      </c>
      <c r="W2257" t="s">
        <v>13866</v>
      </c>
      <c r="X2257">
        <v>17</v>
      </c>
      <c r="Y2257" t="s">
        <v>19588</v>
      </c>
      <c r="Z2257" t="s">
        <v>25319</v>
      </c>
      <c r="AA2257">
        <v>0.78503456919206827</v>
      </c>
      <c r="AB2257" t="str">
        <f>HYPERLINK("Melting_Curves/meltCurve_P35052_GPC1.pdf", "Melting_Curves/meltCurve_P35052_GPC1.pdf")</f>
        <v>Melting_Curves/meltCurve_P35052_GPC1.pdf</v>
      </c>
    </row>
    <row r="2258" spans="1:28" x14ac:dyDescent="0.25">
      <c r="A2258" t="s">
        <v>2262</v>
      </c>
      <c r="B2258">
        <v>0.99996721820229495</v>
      </c>
      <c r="C2258">
        <v>0.96871592732303202</v>
      </c>
      <c r="D2258">
        <v>1.2072767735299199</v>
      </c>
      <c r="E2258">
        <v>1.8428767079966799</v>
      </c>
      <c r="F2258">
        <v>2.3541008906588701</v>
      </c>
      <c r="G2258">
        <v>1.21460963722852</v>
      </c>
      <c r="H2258">
        <v>0.37606551911343999</v>
      </c>
      <c r="I2258">
        <v>0.209155510761524</v>
      </c>
      <c r="J2258">
        <v>0.137191021921266</v>
      </c>
      <c r="K2258">
        <v>0.11259443381722201</v>
      </c>
      <c r="L2258">
        <v>9951.3427256504401</v>
      </c>
      <c r="M2258">
        <v>164.16444543592999</v>
      </c>
      <c r="N2258">
        <v>60.753223479561797</v>
      </c>
      <c r="O2258">
        <v>60.609141607437003</v>
      </c>
      <c r="P2258">
        <v>-0.57360131433426997</v>
      </c>
      <c r="Q2258">
        <v>0.15291078281676301</v>
      </c>
      <c r="R2258">
        <v>0.487296513345709</v>
      </c>
      <c r="S2258" t="s">
        <v>8084</v>
      </c>
      <c r="T2258" t="s">
        <v>11650</v>
      </c>
      <c r="U2258" t="s">
        <v>11650</v>
      </c>
      <c r="V2258" t="s">
        <v>11650</v>
      </c>
      <c r="W2258" t="s">
        <v>13867</v>
      </c>
      <c r="X2258">
        <v>45</v>
      </c>
      <c r="Y2258" t="s">
        <v>19589</v>
      </c>
      <c r="Z2258" t="s">
        <v>25320</v>
      </c>
      <c r="AA2258">
        <v>0.73529986516368306</v>
      </c>
      <c r="AB2258" t="str">
        <f>HYPERLINK("Melting_Curves/meltCurve_P35221_CTNNA1.pdf", "Melting_Curves/meltCurve_P35221_CTNNA1.pdf")</f>
        <v>Melting_Curves/meltCurve_P35221_CTNNA1.pdf</v>
      </c>
    </row>
    <row r="2259" spans="1:28" x14ac:dyDescent="0.25">
      <c r="A2259" t="s">
        <v>2263</v>
      </c>
      <c r="B2259">
        <v>0.99996721820229495</v>
      </c>
      <c r="C2259">
        <v>0.99936157035905404</v>
      </c>
      <c r="D2259">
        <v>1.0689109598545801</v>
      </c>
      <c r="E2259">
        <v>1.37324075718699</v>
      </c>
      <c r="F2259">
        <v>2.1017606635341499</v>
      </c>
      <c r="G2259">
        <v>2.2879750640057299</v>
      </c>
      <c r="H2259">
        <v>1.9414703465220799</v>
      </c>
      <c r="I2259">
        <v>2.6395983257869302</v>
      </c>
      <c r="J2259">
        <v>2.8905175031655799</v>
      </c>
      <c r="K2259">
        <v>1.4371191799179901</v>
      </c>
      <c r="L2259">
        <v>12446.0028850121</v>
      </c>
      <c r="M2259">
        <v>250</v>
      </c>
      <c r="O2259">
        <v>49.780825651271599</v>
      </c>
      <c r="P2259">
        <v>0.62775174178552695</v>
      </c>
      <c r="Q2259">
        <v>1.5</v>
      </c>
      <c r="R2259">
        <v>-1.2113967964889401E-2</v>
      </c>
      <c r="S2259" t="s">
        <v>8085</v>
      </c>
      <c r="T2259" t="s">
        <v>11650</v>
      </c>
      <c r="U2259" t="s">
        <v>11650</v>
      </c>
      <c r="V2259" t="s">
        <v>11650</v>
      </c>
      <c r="W2259" t="s">
        <v>13868</v>
      </c>
      <c r="X2259">
        <v>8</v>
      </c>
      <c r="Y2259" t="s">
        <v>19590</v>
      </c>
      <c r="Z2259" t="s">
        <v>25321</v>
      </c>
      <c r="AA2259">
        <v>1.3368894559164719</v>
      </c>
      <c r="AB2259" t="str">
        <f>HYPERLINK("Melting_Curves/meltCurve_P35232_PHB.pdf", "Melting_Curves/meltCurve_P35232_PHB.pdf")</f>
        <v>Melting_Curves/meltCurve_P35232_PHB.pdf</v>
      </c>
    </row>
    <row r="2260" spans="1:28" x14ac:dyDescent="0.25">
      <c r="A2260" t="s">
        <v>2264</v>
      </c>
      <c r="B2260">
        <v>0.99996721820229495</v>
      </c>
      <c r="C2260">
        <v>1.0371337962871601</v>
      </c>
      <c r="D2260">
        <v>1.0367167655557299</v>
      </c>
      <c r="E2260">
        <v>1.00502845650702</v>
      </c>
      <c r="F2260">
        <v>1.19149066665444</v>
      </c>
      <c r="G2260">
        <v>1.17617740144491</v>
      </c>
      <c r="H2260">
        <v>0.31747302184669002</v>
      </c>
      <c r="I2260">
        <v>0.120859269841635</v>
      </c>
      <c r="J2260">
        <v>8.8431485458454195E-2</v>
      </c>
      <c r="K2260">
        <v>6.2649318788879194E-2</v>
      </c>
      <c r="L2260">
        <v>11440.4925855359</v>
      </c>
      <c r="M2260">
        <v>188.65051279674299</v>
      </c>
      <c r="N2260">
        <v>60.708201072164798</v>
      </c>
      <c r="O2260">
        <v>60.637027562243503</v>
      </c>
      <c r="P2260">
        <v>-0.70729686543967596</v>
      </c>
      <c r="Q2260">
        <v>9.0627826086198501E-2</v>
      </c>
      <c r="R2260">
        <v>0.96628349830930305</v>
      </c>
      <c r="S2260" t="s">
        <v>8086</v>
      </c>
      <c r="T2260" t="s">
        <v>11650</v>
      </c>
      <c r="U2260" t="s">
        <v>11650</v>
      </c>
      <c r="V2260" t="s">
        <v>11650</v>
      </c>
      <c r="W2260" t="s">
        <v>13869</v>
      </c>
      <c r="X2260">
        <v>31</v>
      </c>
      <c r="Y2260" t="s">
        <v>19591</v>
      </c>
      <c r="Z2260" t="s">
        <v>25322</v>
      </c>
      <c r="AA2260">
        <v>0.71656244943164393</v>
      </c>
      <c r="AB2260" t="str">
        <f>HYPERLINK("Melting_Curves/meltCurve_P35237_SERPINB6.pdf", "Melting_Curves/meltCurve_P35237_SERPINB6.pdf")</f>
        <v>Melting_Curves/meltCurve_P35237_SERPINB6.pdf</v>
      </c>
    </row>
    <row r="2261" spans="1:28" x14ac:dyDescent="0.25">
      <c r="A2261" t="s">
        <v>2265</v>
      </c>
      <c r="B2261">
        <v>0.99996721820229495</v>
      </c>
      <c r="C2261">
        <v>1.06924773282726</v>
      </c>
      <c r="D2261">
        <v>1.02074730890728</v>
      </c>
      <c r="E2261">
        <v>1.0848824415041101</v>
      </c>
      <c r="F2261">
        <v>0.57151543034321695</v>
      </c>
      <c r="G2261">
        <v>0.420599079366064</v>
      </c>
      <c r="H2261">
        <v>0.28743827449652398</v>
      </c>
      <c r="I2261">
        <v>0.215111281480314</v>
      </c>
      <c r="J2261">
        <v>0.18278184754596699</v>
      </c>
      <c r="K2261">
        <v>0.14520200299545699</v>
      </c>
      <c r="L2261">
        <v>1508.87639452594</v>
      </c>
      <c r="M2261">
        <v>28.015727304653101</v>
      </c>
      <c r="N2261">
        <v>54.891482312635198</v>
      </c>
      <c r="O2261">
        <v>53.58602441587</v>
      </c>
      <c r="P2261">
        <v>-0.10392086000677001</v>
      </c>
      <c r="Q2261">
        <v>0.20492403945561899</v>
      </c>
      <c r="R2261">
        <v>0.95812898343006103</v>
      </c>
      <c r="S2261" t="s">
        <v>8087</v>
      </c>
      <c r="T2261" t="s">
        <v>11650</v>
      </c>
      <c r="U2261" t="s">
        <v>11650</v>
      </c>
      <c r="V2261" t="s">
        <v>11650</v>
      </c>
      <c r="W2261" t="s">
        <v>13870</v>
      </c>
      <c r="X2261">
        <v>15</v>
      </c>
      <c r="Y2261" t="s">
        <v>19592</v>
      </c>
      <c r="Z2261" t="s">
        <v>25323</v>
      </c>
      <c r="AA2261">
        <v>0.57814643215206529</v>
      </c>
      <c r="AB2261" t="str">
        <f>HYPERLINK("Melting_Curves/meltCurve_P35240_5_NF2.pdf", "Melting_Curves/meltCurve_P35240_5_NF2.pdf")</f>
        <v>Melting_Curves/meltCurve_P35240_5_NF2.pdf</v>
      </c>
    </row>
    <row r="2262" spans="1:28" x14ac:dyDescent="0.25">
      <c r="A2262" t="s">
        <v>2266</v>
      </c>
      <c r="B2262">
        <v>0.99996721820229495</v>
      </c>
      <c r="C2262">
        <v>0.91048948684953002</v>
      </c>
      <c r="D2262">
        <v>0.87324813581431504</v>
      </c>
      <c r="E2262">
        <v>1.0876425819098601</v>
      </c>
      <c r="F2262">
        <v>1.3739553197157299</v>
      </c>
      <c r="G2262">
        <v>1.38766100673965</v>
      </c>
      <c r="H2262">
        <v>0.36531361333171303</v>
      </c>
      <c r="I2262">
        <v>0.19375320789148501</v>
      </c>
      <c r="J2262">
        <v>0.14251352838258899</v>
      </c>
      <c r="K2262">
        <v>0.116373195690283</v>
      </c>
      <c r="L2262">
        <v>12501.493403259599</v>
      </c>
      <c r="M2262">
        <v>206.02755123940099</v>
      </c>
      <c r="N2262">
        <v>60.784707476266703</v>
      </c>
      <c r="O2262">
        <v>60.673028663911403</v>
      </c>
      <c r="P2262">
        <v>-0.72084710557258902</v>
      </c>
      <c r="Q2262">
        <v>0.15087129480320299</v>
      </c>
      <c r="R2262">
        <v>0.85498644109577904</v>
      </c>
      <c r="S2262" t="s">
        <v>8088</v>
      </c>
      <c r="T2262" t="s">
        <v>11650</v>
      </c>
      <c r="U2262" t="s">
        <v>11650</v>
      </c>
      <c r="V2262" t="s">
        <v>11650</v>
      </c>
      <c r="W2262" t="s">
        <v>13871</v>
      </c>
      <c r="X2262">
        <v>55</v>
      </c>
      <c r="Y2262" t="s">
        <v>17966</v>
      </c>
      <c r="Z2262" t="s">
        <v>25324</v>
      </c>
      <c r="AA2262">
        <v>0.73630167071665253</v>
      </c>
      <c r="AB2262" t="str">
        <f>HYPERLINK("Melting_Curves/meltCurve_P35241_RDX.pdf", "Melting_Curves/meltCurve_P35241_RDX.pdf")</f>
        <v>Melting_Curves/meltCurve_P35241_RDX.pdf</v>
      </c>
    </row>
    <row r="2263" spans="1:28" x14ac:dyDescent="0.25">
      <c r="A2263" t="s">
        <v>2267</v>
      </c>
      <c r="B2263">
        <v>0.99996721820229495</v>
      </c>
      <c r="C2263">
        <v>1.0854640110078499</v>
      </c>
      <c r="D2263">
        <v>1.0313131547768699</v>
      </c>
      <c r="E2263">
        <v>1.05680083644043</v>
      </c>
      <c r="F2263">
        <v>1.3752061996957501</v>
      </c>
      <c r="G2263">
        <v>1.0321371984535099</v>
      </c>
      <c r="H2263">
        <v>0.48194647119614298</v>
      </c>
      <c r="I2263">
        <v>0.52258793509529999</v>
      </c>
      <c r="J2263">
        <v>0.17124837467029899</v>
      </c>
      <c r="K2263">
        <v>0.179684696590864</v>
      </c>
      <c r="L2263">
        <v>2004.6198042143001</v>
      </c>
      <c r="M2263">
        <v>32.772519383080997</v>
      </c>
      <c r="N2263">
        <v>62.097322034886503</v>
      </c>
      <c r="O2263">
        <v>60.941292695881501</v>
      </c>
      <c r="P2263">
        <v>-0.108378277324727</v>
      </c>
      <c r="Q2263">
        <v>0.193875421895294</v>
      </c>
      <c r="R2263">
        <v>0.86117721789593904</v>
      </c>
      <c r="S2263" t="s">
        <v>8089</v>
      </c>
      <c r="T2263" t="s">
        <v>11650</v>
      </c>
      <c r="U2263" t="s">
        <v>11650</v>
      </c>
      <c r="V2263" t="s">
        <v>11650</v>
      </c>
      <c r="W2263" t="s">
        <v>13872</v>
      </c>
      <c r="X2263">
        <v>2</v>
      </c>
      <c r="Y2263" t="s">
        <v>19593</v>
      </c>
      <c r="Z2263" t="s">
        <v>25325</v>
      </c>
      <c r="AA2263">
        <v>0.7666455684935084</v>
      </c>
      <c r="AB2263" t="str">
        <f>HYPERLINK("Melting_Curves/meltCurve_P35244_RPA3.pdf", "Melting_Curves/meltCurve_P35244_RPA3.pdf")</f>
        <v>Melting_Curves/meltCurve_P35244_RPA3.pdf</v>
      </c>
    </row>
    <row r="2264" spans="1:28" x14ac:dyDescent="0.25">
      <c r="A2264" t="s">
        <v>2268</v>
      </c>
      <c r="B2264">
        <v>0.99996721820229495</v>
      </c>
      <c r="C2264">
        <v>0.94948401860301002</v>
      </c>
      <c r="D2264">
        <v>1.1647853515000499</v>
      </c>
      <c r="E2264">
        <v>0.82630448680869095</v>
      </c>
      <c r="F2264">
        <v>0.48265888596599998</v>
      </c>
      <c r="G2264">
        <v>0.36694479873563302</v>
      </c>
      <c r="H2264">
        <v>0.34131547596394501</v>
      </c>
      <c r="I2264">
        <v>0.106799288111268</v>
      </c>
      <c r="J2264">
        <v>5.7952251527705903E-2</v>
      </c>
      <c r="K2264">
        <v>4.8538230739632898E-2</v>
      </c>
      <c r="L2264">
        <v>892.84399194070897</v>
      </c>
      <c r="M2264">
        <v>16.5179282461512</v>
      </c>
      <c r="N2264">
        <v>54.5283406728513</v>
      </c>
      <c r="O2264">
        <v>53.279412375536403</v>
      </c>
      <c r="P2264">
        <v>-7.2314559684088106E-2</v>
      </c>
      <c r="Q2264">
        <v>6.7047461217902907E-2</v>
      </c>
      <c r="R2264">
        <v>0.94244917969066</v>
      </c>
      <c r="S2264" t="s">
        <v>8090</v>
      </c>
      <c r="T2264" t="s">
        <v>11650</v>
      </c>
      <c r="U2264" t="s">
        <v>11650</v>
      </c>
      <c r="V2264" t="s">
        <v>11650</v>
      </c>
      <c r="W2264" t="s">
        <v>13873</v>
      </c>
      <c r="X2264">
        <v>1</v>
      </c>
      <c r="Y2264" t="s">
        <v>19594</v>
      </c>
      <c r="Z2264" t="s">
        <v>25326</v>
      </c>
      <c r="AA2264">
        <v>0.5209159727040068</v>
      </c>
      <c r="AB2264" t="str">
        <f>HYPERLINK("Melting_Curves/meltCurve_P35250_RFC2.pdf", "Melting_Curves/meltCurve_P35250_RFC2.pdf")</f>
        <v>Melting_Curves/meltCurve_P35250_RFC2.pdf</v>
      </c>
    </row>
    <row r="2265" spans="1:28" x14ac:dyDescent="0.25">
      <c r="A2265" t="s">
        <v>2269</v>
      </c>
      <c r="B2265">
        <v>0.99996721820229495</v>
      </c>
      <c r="C2265">
        <v>1.00326470000375</v>
      </c>
      <c r="D2265">
        <v>1.0695910938429301</v>
      </c>
      <c r="E2265">
        <v>1.39344912495512</v>
      </c>
      <c r="F2265">
        <v>1.50010675389379</v>
      </c>
      <c r="G2265">
        <v>1.2491453388190299</v>
      </c>
      <c r="H2265">
        <v>0.65536976514008405</v>
      </c>
      <c r="I2265">
        <v>0.45386972957780503</v>
      </c>
      <c r="J2265">
        <v>0.184232919275856</v>
      </c>
      <c r="K2265">
        <v>0.18031767850979699</v>
      </c>
      <c r="L2265">
        <v>2527.0091465689602</v>
      </c>
      <c r="M2265">
        <v>40.622421993112098</v>
      </c>
      <c r="N2265">
        <v>62.8804459457807</v>
      </c>
      <c r="O2265">
        <v>62.0570677204379</v>
      </c>
      <c r="P2265">
        <v>-0.134792422100148</v>
      </c>
      <c r="Q2265">
        <v>0.17633605414209599</v>
      </c>
      <c r="R2265">
        <v>0.75754021453778897</v>
      </c>
      <c r="S2265" t="s">
        <v>8091</v>
      </c>
      <c r="T2265" t="s">
        <v>11650</v>
      </c>
      <c r="U2265" t="s">
        <v>11650</v>
      </c>
      <c r="V2265" t="s">
        <v>11650</v>
      </c>
      <c r="W2265" t="s">
        <v>13874</v>
      </c>
      <c r="X2265">
        <v>5</v>
      </c>
      <c r="Y2265" t="s">
        <v>19595</v>
      </c>
      <c r="Z2265" t="s">
        <v>25327</v>
      </c>
      <c r="AA2265">
        <v>0.78887026447319419</v>
      </c>
      <c r="AB2265" t="str">
        <f>HYPERLINK("Melting_Curves/meltCurve_P35268_RPL22.pdf", "Melting_Curves/meltCurve_P35268_RPL22.pdf")</f>
        <v>Melting_Curves/meltCurve_P35268_RPL22.pdf</v>
      </c>
    </row>
    <row r="2266" spans="1:28" x14ac:dyDescent="0.25">
      <c r="A2266" t="s">
        <v>2270</v>
      </c>
      <c r="B2266">
        <v>0.99996721820229495</v>
      </c>
      <c r="C2266">
        <v>1.09385591373465</v>
      </c>
      <c r="D2266">
        <v>1.0444715322021201</v>
      </c>
      <c r="E2266">
        <v>0.98937604024666403</v>
      </c>
      <c r="F2266">
        <v>1.19523664359881</v>
      </c>
      <c r="G2266">
        <v>1.0109176296100799</v>
      </c>
      <c r="H2266">
        <v>0.72835423096776697</v>
      </c>
      <c r="I2266">
        <v>0.69117639539678299</v>
      </c>
      <c r="J2266">
        <v>0.71860044773643605</v>
      </c>
      <c r="K2266">
        <v>0.70120612664947402</v>
      </c>
      <c r="L2266">
        <v>15000</v>
      </c>
      <c r="M2266">
        <v>248.29961073245099</v>
      </c>
      <c r="O2266">
        <v>60.406972390815099</v>
      </c>
      <c r="P2266">
        <v>-0.30452146291263099</v>
      </c>
      <c r="Q2266">
        <v>0.70366093575969202</v>
      </c>
      <c r="R2266">
        <v>0.84446724556568797</v>
      </c>
      <c r="S2266" t="s">
        <v>8092</v>
      </c>
      <c r="T2266" t="s">
        <v>11650</v>
      </c>
      <c r="U2266" t="s">
        <v>11650</v>
      </c>
      <c r="V2266" t="s">
        <v>11650</v>
      </c>
      <c r="W2266" t="s">
        <v>13875</v>
      </c>
      <c r="X2266">
        <v>12</v>
      </c>
      <c r="Y2266" t="s">
        <v>19596</v>
      </c>
      <c r="Z2266" t="s">
        <v>25328</v>
      </c>
      <c r="AA2266">
        <v>0.90531090158188143</v>
      </c>
      <c r="AB2266" t="str">
        <f>HYPERLINK("Melting_Curves/meltCurve_P35269_GTF2F1.pdf", "Melting_Curves/meltCurve_P35269_GTF2F1.pdf")</f>
        <v>Melting_Curves/meltCurve_P35269_GTF2F1.pdf</v>
      </c>
    </row>
    <row r="2267" spans="1:28" x14ac:dyDescent="0.25">
      <c r="A2267" t="s">
        <v>2271</v>
      </c>
      <c r="B2267">
        <v>0.99996721820229495</v>
      </c>
      <c r="C2267">
        <v>1.0016485971662401</v>
      </c>
      <c r="D2267">
        <v>0.95264460413948204</v>
      </c>
      <c r="E2267">
        <v>0.827453613255694</v>
      </c>
      <c r="F2267">
        <v>0.55167218272583396</v>
      </c>
      <c r="G2267">
        <v>0.37503119216290698</v>
      </c>
      <c r="H2267">
        <v>0.24009139527624701</v>
      </c>
      <c r="I2267">
        <v>0.14016121753212599</v>
      </c>
      <c r="J2267">
        <v>9.6677173919314005E-2</v>
      </c>
      <c r="K2267">
        <v>8.5249815431428899E-2</v>
      </c>
      <c r="L2267">
        <v>826.69478706458904</v>
      </c>
      <c r="M2267">
        <v>15.2758382671779</v>
      </c>
      <c r="N2267">
        <v>54.608124084517797</v>
      </c>
      <c r="O2267">
        <v>53.215805065660597</v>
      </c>
      <c r="P2267">
        <v>-6.71710706408188E-2</v>
      </c>
      <c r="Q2267">
        <v>6.4083834412535401E-2</v>
      </c>
      <c r="R2267">
        <v>0.99526095824653005</v>
      </c>
      <c r="S2267" t="s">
        <v>8093</v>
      </c>
      <c r="T2267" t="s">
        <v>11650</v>
      </c>
      <c r="U2267" t="s">
        <v>11650</v>
      </c>
      <c r="V2267" t="s">
        <v>11650</v>
      </c>
      <c r="W2267" t="s">
        <v>13876</v>
      </c>
      <c r="X2267">
        <v>12</v>
      </c>
      <c r="Y2267" t="s">
        <v>19597</v>
      </c>
      <c r="Z2267" t="s">
        <v>25329</v>
      </c>
      <c r="AA2267">
        <v>0.52317501910748543</v>
      </c>
      <c r="AB2267" t="str">
        <f>HYPERLINK("Melting_Curves/meltCurve_P35270_SPR.pdf", "Melting_Curves/meltCurve_P35270_SPR.pdf")</f>
        <v>Melting_Curves/meltCurve_P35270_SPR.pdf</v>
      </c>
    </row>
    <row r="2268" spans="1:28" x14ac:dyDescent="0.25">
      <c r="A2268" t="s">
        <v>2272</v>
      </c>
      <c r="B2268">
        <v>0.99996721820229495</v>
      </c>
      <c r="C2268">
        <v>1.0359571773140199</v>
      </c>
      <c r="D2268">
        <v>1.0318560645585</v>
      </c>
      <c r="E2268">
        <v>1.1528919881883499</v>
      </c>
      <c r="F2268">
        <v>1.72582016912957</v>
      </c>
      <c r="G2268">
        <v>1.86318202089534</v>
      </c>
      <c r="H2268">
        <v>1.2270743581026899</v>
      </c>
      <c r="I2268">
        <v>0.43689299155155997</v>
      </c>
      <c r="J2268">
        <v>0.26871711372310902</v>
      </c>
      <c r="K2268">
        <v>0.329778455237354</v>
      </c>
      <c r="L2268">
        <v>15000</v>
      </c>
      <c r="M2268">
        <v>235.78312930045499</v>
      </c>
      <c r="N2268">
        <v>63.864928384483598</v>
      </c>
      <c r="O2268">
        <v>63.613206243007802</v>
      </c>
      <c r="P2268">
        <v>-0.64935563215051595</v>
      </c>
      <c r="Q2268">
        <v>0.299227321190079</v>
      </c>
      <c r="R2268">
        <v>0.49011984240852202</v>
      </c>
      <c r="S2268" t="s">
        <v>8094</v>
      </c>
      <c r="T2268" t="s">
        <v>11650</v>
      </c>
      <c r="U2268" t="s">
        <v>11650</v>
      </c>
      <c r="V2268" t="s">
        <v>11650</v>
      </c>
      <c r="W2268" t="s">
        <v>13877</v>
      </c>
      <c r="X2268">
        <v>2</v>
      </c>
      <c r="Y2268" t="s">
        <v>19598</v>
      </c>
      <c r="Z2268" t="s">
        <v>25330</v>
      </c>
      <c r="AA2268">
        <v>0.85100518974466899</v>
      </c>
      <c r="AB2268" t="str">
        <f>HYPERLINK("Melting_Curves/meltCurve_P35354_PTGS2.pdf", "Melting_Curves/meltCurve_P35354_PTGS2.pdf")</f>
        <v>Melting_Curves/meltCurve_P35354_PTGS2.pdf</v>
      </c>
    </row>
    <row r="2269" spans="1:28" x14ac:dyDescent="0.25">
      <c r="A2269" t="s">
        <v>2273</v>
      </c>
      <c r="B2269">
        <v>0.99996721820229495</v>
      </c>
      <c r="C2269">
        <v>0.74272931508697504</v>
      </c>
      <c r="D2269">
        <v>0.51278489011770101</v>
      </c>
      <c r="E2269">
        <v>0.63772906676459895</v>
      </c>
      <c r="F2269">
        <v>0.68741966673792598</v>
      </c>
      <c r="G2269">
        <v>0.63031162521740103</v>
      </c>
      <c r="H2269">
        <v>0.53939962416288001</v>
      </c>
      <c r="I2269">
        <v>0.65150988485487105</v>
      </c>
      <c r="J2269">
        <v>0.72584780062184595</v>
      </c>
      <c r="K2269">
        <v>0.74840872889413601</v>
      </c>
      <c r="L2269">
        <v>10684.9106035735</v>
      </c>
      <c r="M2269">
        <v>250</v>
      </c>
      <c r="O2269">
        <v>42.7369085355799</v>
      </c>
      <c r="P2269">
        <v>-0.52402538470467397</v>
      </c>
      <c r="Q2269">
        <v>0.64167641128366204</v>
      </c>
      <c r="R2269">
        <v>0.71044005160119095</v>
      </c>
      <c r="S2269" t="s">
        <v>8095</v>
      </c>
      <c r="T2269" t="s">
        <v>11650</v>
      </c>
      <c r="U2269" t="s">
        <v>11650</v>
      </c>
      <c r="V2269" t="s">
        <v>11650</v>
      </c>
      <c r="W2269" t="s">
        <v>13878</v>
      </c>
      <c r="X2269">
        <v>1</v>
      </c>
      <c r="Y2269" t="s">
        <v>19599</v>
      </c>
      <c r="Z2269" t="s">
        <v>25331</v>
      </c>
      <c r="AA2269">
        <v>0.67442590499499555</v>
      </c>
      <c r="AB2269" t="str">
        <f>HYPERLINK("Melting_Curves/meltCurve_P35398_2_RORA.pdf", "Melting_Curves/meltCurve_P35398_2_RORA.pdf")</f>
        <v>Melting_Curves/meltCurve_P35398_2_RORA.pdf</v>
      </c>
    </row>
    <row r="2270" spans="1:28" x14ac:dyDescent="0.25">
      <c r="A2270" t="s">
        <v>2274</v>
      </c>
      <c r="B2270">
        <v>0.99996721820229495</v>
      </c>
      <c r="C2270">
        <v>0.91441126032287401</v>
      </c>
      <c r="D2270">
        <v>0.91137552974366798</v>
      </c>
      <c r="E2270">
        <v>0.80644921989902196</v>
      </c>
      <c r="F2270">
        <v>0.68244892565993398</v>
      </c>
      <c r="G2270">
        <v>0.75098029691222001</v>
      </c>
      <c r="H2270">
        <v>0.51449590242255105</v>
      </c>
      <c r="I2270">
        <v>0.45333722470571902</v>
      </c>
      <c r="J2270">
        <v>0.42268384964228101</v>
      </c>
      <c r="K2270">
        <v>0.33051956448720199</v>
      </c>
      <c r="L2270">
        <v>375.42911604305903</v>
      </c>
      <c r="M2270">
        <v>5.9888998293490197</v>
      </c>
      <c r="N2270">
        <v>62.6874949793715</v>
      </c>
      <c r="O2270">
        <v>56.769083164621101</v>
      </c>
      <c r="P2270">
        <v>-2.64599238215199E-2</v>
      </c>
      <c r="Q2270">
        <v>0</v>
      </c>
      <c r="R2270">
        <v>0.96110423013287705</v>
      </c>
      <c r="S2270" t="s">
        <v>8096</v>
      </c>
      <c r="T2270" t="s">
        <v>11650</v>
      </c>
      <c r="U2270" t="s">
        <v>11650</v>
      </c>
      <c r="V2270" t="s">
        <v>11650</v>
      </c>
      <c r="W2270" t="s">
        <v>13879</v>
      </c>
      <c r="X2270">
        <v>3</v>
      </c>
      <c r="Y2270" t="s">
        <v>19600</v>
      </c>
      <c r="Z2270" t="s">
        <v>25332</v>
      </c>
      <c r="AA2270">
        <v>0.68457399222893245</v>
      </c>
      <c r="AB2270" t="str">
        <f>HYPERLINK("Melting_Curves/meltCurve_P35442_THBS2.pdf", "Melting_Curves/meltCurve_P35442_THBS2.pdf")</f>
        <v>Melting_Curves/meltCurve_P35442_THBS2.pdf</v>
      </c>
    </row>
    <row r="2271" spans="1:28" x14ac:dyDescent="0.25">
      <c r="A2271" t="s">
        <v>2275</v>
      </c>
      <c r="B2271">
        <v>0.99996721820229495</v>
      </c>
      <c r="C2271">
        <v>0.90432025091013002</v>
      </c>
      <c r="D2271">
        <v>0.92707788557076498</v>
      </c>
      <c r="E2271">
        <v>0.96877584019910701</v>
      </c>
      <c r="F2271">
        <v>0.66511293868712795</v>
      </c>
      <c r="G2271">
        <v>0.36225943461494098</v>
      </c>
      <c r="H2271">
        <v>0.22254128604808099</v>
      </c>
      <c r="I2271">
        <v>0.15588777588060701</v>
      </c>
      <c r="J2271">
        <v>0.113447101941022</v>
      </c>
      <c r="K2271">
        <v>9.4680851114699302E-2</v>
      </c>
      <c r="L2271">
        <v>1181.83944081099</v>
      </c>
      <c r="M2271">
        <v>21.616557010859601</v>
      </c>
      <c r="N2271">
        <v>55.289055151600799</v>
      </c>
      <c r="O2271">
        <v>54.211429502137399</v>
      </c>
      <c r="P2271">
        <v>-8.9017383552547305E-2</v>
      </c>
      <c r="Q2271">
        <v>0.10704656897869901</v>
      </c>
      <c r="R2271">
        <v>0.98503529468602602</v>
      </c>
      <c r="S2271" t="s">
        <v>8097</v>
      </c>
      <c r="T2271" t="s">
        <v>11650</v>
      </c>
      <c r="U2271" t="s">
        <v>11650</v>
      </c>
      <c r="V2271" t="s">
        <v>11650</v>
      </c>
      <c r="W2271" t="s">
        <v>13880</v>
      </c>
      <c r="X2271">
        <v>9</v>
      </c>
      <c r="Y2271" t="s">
        <v>19601</v>
      </c>
      <c r="Z2271" t="s">
        <v>25333</v>
      </c>
      <c r="AA2271">
        <v>0.55438211152701533</v>
      </c>
      <c r="AB2271" t="str">
        <f>HYPERLINK("Melting_Curves/meltCurve_P35520_CBS.pdf", "Melting_Curves/meltCurve_P35520_CBS.pdf")</f>
        <v>Melting_Curves/meltCurve_P35520_CBS.pdf</v>
      </c>
    </row>
    <row r="2272" spans="1:28" x14ac:dyDescent="0.25">
      <c r="A2272" t="s">
        <v>2276</v>
      </c>
      <c r="B2272">
        <v>0.99996721820229495</v>
      </c>
      <c r="C2272">
        <v>1.0039822751097101</v>
      </c>
      <c r="D2272">
        <v>1.01218475570653</v>
      </c>
      <c r="E2272">
        <v>1.1573570266342701</v>
      </c>
      <c r="F2272">
        <v>1.2971955950218601</v>
      </c>
      <c r="G2272">
        <v>1.35192632191107</v>
      </c>
      <c r="H2272">
        <v>0.99872025737589598</v>
      </c>
      <c r="I2272">
        <v>0.74945477686340201</v>
      </c>
      <c r="J2272">
        <v>0.49704350429314798</v>
      </c>
      <c r="K2272">
        <v>0.71625526490060698</v>
      </c>
      <c r="L2272">
        <v>15000</v>
      </c>
      <c r="M2272">
        <v>234.937241048358</v>
      </c>
      <c r="O2272">
        <v>63.842211743537398</v>
      </c>
      <c r="P2272">
        <v>-0.36187918549377501</v>
      </c>
      <c r="Q2272">
        <v>0.60664954713084196</v>
      </c>
      <c r="R2272">
        <v>0.58464108702735396</v>
      </c>
      <c r="S2272" t="s">
        <v>8098</v>
      </c>
      <c r="T2272" t="s">
        <v>11650</v>
      </c>
      <c r="U2272" t="s">
        <v>11650</v>
      </c>
      <c r="V2272" t="s">
        <v>11650</v>
      </c>
      <c r="W2272" t="s">
        <v>13881</v>
      </c>
      <c r="X2272">
        <v>59</v>
      </c>
      <c r="Y2272" t="s">
        <v>19602</v>
      </c>
      <c r="Z2272" t="s">
        <v>25334</v>
      </c>
      <c r="AA2272">
        <v>0.91937160901046922</v>
      </c>
      <c r="AB2272" t="str">
        <f>HYPERLINK("Melting_Curves/meltCurve_P35555_FBN1.pdf", "Melting_Curves/meltCurve_P35555_FBN1.pdf")</f>
        <v>Melting_Curves/meltCurve_P35555_FBN1.pdf</v>
      </c>
    </row>
    <row r="2273" spans="1:28" x14ac:dyDescent="0.25">
      <c r="A2273" t="s">
        <v>2277</v>
      </c>
      <c r="B2273">
        <v>0.99996721820229495</v>
      </c>
      <c r="C2273">
        <v>1.00420931684376</v>
      </c>
      <c r="D2273">
        <v>1.05166039447233</v>
      </c>
      <c r="E2273">
        <v>1.2298156616787701</v>
      </c>
      <c r="F2273">
        <v>1.53196943007391</v>
      </c>
      <c r="G2273">
        <v>1.77068339721531</v>
      </c>
      <c r="H2273">
        <v>1.1223515560649</v>
      </c>
      <c r="I2273">
        <v>0.69688093601439605</v>
      </c>
      <c r="J2273">
        <v>0.396455941523158</v>
      </c>
      <c r="K2273">
        <v>0.59889470070189099</v>
      </c>
      <c r="L2273">
        <v>15000</v>
      </c>
      <c r="M2273">
        <v>234.794774660309</v>
      </c>
      <c r="N2273">
        <v>65.380869928937997</v>
      </c>
      <c r="O2273">
        <v>63.8809436459956</v>
      </c>
      <c r="P2273">
        <v>-0.46157681367001502</v>
      </c>
      <c r="Q2273">
        <v>0.49767259666692498</v>
      </c>
      <c r="R2273">
        <v>0.37482215335626301</v>
      </c>
      <c r="S2273" t="s">
        <v>8099</v>
      </c>
      <c r="T2273" t="s">
        <v>11650</v>
      </c>
      <c r="U2273" t="s">
        <v>11650</v>
      </c>
      <c r="V2273" t="s">
        <v>11650</v>
      </c>
      <c r="W2273" t="s">
        <v>13882</v>
      </c>
      <c r="X2273">
        <v>10</v>
      </c>
      <c r="Y2273" t="s">
        <v>19603</v>
      </c>
      <c r="Z2273" t="s">
        <v>25335</v>
      </c>
      <c r="AA2273">
        <v>0.89768246958523246</v>
      </c>
      <c r="AB2273" t="str">
        <f>HYPERLINK("Melting_Curves/meltCurve_P35556_FBN2.pdf", "Melting_Curves/meltCurve_P35556_FBN2.pdf")</f>
        <v>Melting_Curves/meltCurve_P35556_FBN2.pdf</v>
      </c>
    </row>
    <row r="2274" spans="1:28" x14ac:dyDescent="0.25">
      <c r="A2274" t="s">
        <v>2278</v>
      </c>
      <c r="B2274">
        <v>0.99996721820229495</v>
      </c>
      <c r="C2274">
        <v>0.96410351824419005</v>
      </c>
      <c r="D2274">
        <v>0.885436187821245</v>
      </c>
      <c r="E2274">
        <v>0.76143169837406299</v>
      </c>
      <c r="F2274">
        <v>0.83305996612243305</v>
      </c>
      <c r="G2274">
        <v>0.85826215407115602</v>
      </c>
      <c r="H2274">
        <v>0.55539213159372602</v>
      </c>
      <c r="I2274">
        <v>0.50160188003763095</v>
      </c>
      <c r="J2274">
        <v>0.47247106886330897</v>
      </c>
      <c r="K2274">
        <v>0.331766702669199</v>
      </c>
      <c r="L2274">
        <v>427.36559807398402</v>
      </c>
      <c r="M2274">
        <v>6.6033663841738601</v>
      </c>
      <c r="N2274">
        <v>64.719352651092194</v>
      </c>
      <c r="O2274">
        <v>59.555415149527299</v>
      </c>
      <c r="P2274">
        <v>-2.77829955014589E-2</v>
      </c>
      <c r="Q2274">
        <v>0</v>
      </c>
      <c r="R2274">
        <v>0.91065842766887395</v>
      </c>
      <c r="S2274" t="s">
        <v>8100</v>
      </c>
      <c r="T2274" t="s">
        <v>11650</v>
      </c>
      <c r="U2274" t="s">
        <v>11650</v>
      </c>
      <c r="V2274" t="s">
        <v>11650</v>
      </c>
      <c r="W2274" t="s">
        <v>13883</v>
      </c>
      <c r="X2274">
        <v>11</v>
      </c>
      <c r="Y2274" t="s">
        <v>19604</v>
      </c>
      <c r="Z2274" t="s">
        <v>25336</v>
      </c>
      <c r="AA2274">
        <v>0.73203542218991313</v>
      </c>
      <c r="AB2274" t="str">
        <f>HYPERLINK("Melting_Curves/meltCurve_P35568_IRS1.pdf", "Melting_Curves/meltCurve_P35568_IRS1.pdf")</f>
        <v>Melting_Curves/meltCurve_P35568_IRS1.pdf</v>
      </c>
    </row>
    <row r="2275" spans="1:28" x14ac:dyDescent="0.25">
      <c r="A2275" t="s">
        <v>2279</v>
      </c>
      <c r="B2275">
        <v>0.99996721820229495</v>
      </c>
      <c r="C2275">
        <v>1.1211056525985399</v>
      </c>
      <c r="D2275">
        <v>1.46988078607866</v>
      </c>
      <c r="E2275">
        <v>2.8784542820844901</v>
      </c>
      <c r="F2275">
        <v>2.71194091750893</v>
      </c>
      <c r="G2275">
        <v>1.80780173330699</v>
      </c>
      <c r="H2275">
        <v>1.2865982630956301</v>
      </c>
      <c r="I2275">
        <v>1.1721613373964701</v>
      </c>
      <c r="J2275">
        <v>0.98941589561124399</v>
      </c>
      <c r="K2275">
        <v>0.70422754801272502</v>
      </c>
      <c r="L2275">
        <v>6806.0785783571</v>
      </c>
      <c r="M2275">
        <v>97.291498155375706</v>
      </c>
      <c r="O2275">
        <v>69.926001233535004</v>
      </c>
      <c r="P2275">
        <v>-0.198728777287806</v>
      </c>
      <c r="Q2275">
        <v>0.42867336834080599</v>
      </c>
      <c r="R2275">
        <v>-0.52129753942650303</v>
      </c>
      <c r="S2275" t="s">
        <v>8101</v>
      </c>
      <c r="T2275" t="s">
        <v>11650</v>
      </c>
      <c r="U2275" t="s">
        <v>11650</v>
      </c>
      <c r="V2275" t="s">
        <v>11650</v>
      </c>
      <c r="W2275" t="s">
        <v>13884</v>
      </c>
      <c r="X2275">
        <v>203</v>
      </c>
      <c r="Y2275" t="s">
        <v>19605</v>
      </c>
      <c r="Z2275" t="s">
        <v>25337</v>
      </c>
      <c r="AA2275">
        <v>0.99030252622414194</v>
      </c>
      <c r="AB2275" t="str">
        <f>HYPERLINK("Melting_Curves/meltCurve_P35579_MYH9.pdf", "Melting_Curves/meltCurve_P35579_MYH9.pdf")</f>
        <v>Melting_Curves/meltCurve_P35579_MYH9.pdf</v>
      </c>
    </row>
    <row r="2276" spans="1:28" x14ac:dyDescent="0.25">
      <c r="A2276" t="s">
        <v>2280</v>
      </c>
      <c r="B2276">
        <v>0.99996721820229495</v>
      </c>
      <c r="C2276">
        <v>1.02778098288636</v>
      </c>
      <c r="D2276">
        <v>1.2548976579889599</v>
      </c>
      <c r="E2276">
        <v>1.88557089332243</v>
      </c>
      <c r="F2276">
        <v>2.0759724182580199</v>
      </c>
      <c r="G2276">
        <v>1.78111369841275</v>
      </c>
      <c r="H2276">
        <v>1.37812397539013</v>
      </c>
      <c r="I2276">
        <v>1.22510018236764</v>
      </c>
      <c r="J2276">
        <v>1.0082389355929899</v>
      </c>
      <c r="K2276">
        <v>0.74591176215792299</v>
      </c>
      <c r="L2276">
        <v>15000</v>
      </c>
      <c r="M2276">
        <v>213.20878323602801</v>
      </c>
      <c r="Q2276">
        <v>0</v>
      </c>
      <c r="R2276">
        <v>-0.62342774149383395</v>
      </c>
      <c r="S2276" t="s">
        <v>8102</v>
      </c>
      <c r="T2276" t="s">
        <v>11650</v>
      </c>
      <c r="U2276" t="s">
        <v>11650</v>
      </c>
      <c r="V2276" t="s">
        <v>11650</v>
      </c>
      <c r="W2276" t="s">
        <v>13885</v>
      </c>
      <c r="X2276">
        <v>78</v>
      </c>
      <c r="Y2276" t="s">
        <v>19606</v>
      </c>
      <c r="Z2276" t="s">
        <v>25338</v>
      </c>
      <c r="AA2276">
        <v>0.99683954875348058</v>
      </c>
      <c r="AB2276" t="str">
        <f>HYPERLINK("Melting_Curves/meltCurve_P35580_MYH10.pdf", "Melting_Curves/meltCurve_P35580_MYH10.pdf")</f>
        <v>Melting_Curves/meltCurve_P35580_MYH10.pdf</v>
      </c>
    </row>
    <row r="2277" spans="1:28" x14ac:dyDescent="0.25">
      <c r="A2277" t="s">
        <v>2281</v>
      </c>
      <c r="B2277">
        <v>0.99996721820229495</v>
      </c>
      <c r="C2277">
        <v>1.01013143362702</v>
      </c>
      <c r="D2277">
        <v>1.11209425272521</v>
      </c>
      <c r="E2277">
        <v>1.45495693845176</v>
      </c>
      <c r="F2277">
        <v>1.23228390776567</v>
      </c>
      <c r="G2277">
        <v>0.81917887539757495</v>
      </c>
      <c r="H2277">
        <v>0.32084960461401302</v>
      </c>
      <c r="I2277">
        <v>0.21682161105172501</v>
      </c>
      <c r="J2277">
        <v>0.12717690117309899</v>
      </c>
      <c r="K2277">
        <v>0.108928790052821</v>
      </c>
      <c r="L2277">
        <v>2466.52617078294</v>
      </c>
      <c r="M2277">
        <v>41.742847167862799</v>
      </c>
      <c r="N2277">
        <v>59.541598259286602</v>
      </c>
      <c r="O2277">
        <v>58.953463751275002</v>
      </c>
      <c r="P2277">
        <v>-0.15293365445832199</v>
      </c>
      <c r="Q2277">
        <v>0.136048056321906</v>
      </c>
      <c r="R2277">
        <v>0.87562847555172096</v>
      </c>
      <c r="S2277" t="s">
        <v>8103</v>
      </c>
      <c r="T2277" t="s">
        <v>11650</v>
      </c>
      <c r="U2277" t="s">
        <v>11650</v>
      </c>
      <c r="V2277" t="s">
        <v>11650</v>
      </c>
      <c r="W2277" t="s">
        <v>13886</v>
      </c>
      <c r="X2277">
        <v>32</v>
      </c>
      <c r="Y2277" t="s">
        <v>19607</v>
      </c>
      <c r="Z2277" t="s">
        <v>25339</v>
      </c>
      <c r="AA2277">
        <v>0.68891708499872384</v>
      </c>
      <c r="AB2277" t="str">
        <f>HYPERLINK("Melting_Curves/meltCurve_P35606_COPB2.pdf", "Melting_Curves/meltCurve_P35606_COPB2.pdf")</f>
        <v>Melting_Curves/meltCurve_P35606_COPB2.pdf</v>
      </c>
    </row>
    <row r="2278" spans="1:28" x14ac:dyDescent="0.25">
      <c r="A2278" t="s">
        <v>2282</v>
      </c>
      <c r="B2278">
        <v>0.99996721820229495</v>
      </c>
      <c r="C2278">
        <v>1.02817166529849</v>
      </c>
      <c r="D2278">
        <v>0.99173784188194503</v>
      </c>
      <c r="E2278">
        <v>1.0625907621471899</v>
      </c>
      <c r="F2278">
        <v>1.00477842537393</v>
      </c>
      <c r="G2278">
        <v>0.91884014419036597</v>
      </c>
      <c r="H2278">
        <v>0.60674256407027105</v>
      </c>
      <c r="I2278">
        <v>0.40423168912451701</v>
      </c>
      <c r="J2278">
        <v>0.28398904506938299</v>
      </c>
      <c r="K2278">
        <v>0.18572893057791701</v>
      </c>
      <c r="L2278">
        <v>1587.51968829981</v>
      </c>
      <c r="M2278">
        <v>25.820187475063801</v>
      </c>
      <c r="N2278">
        <v>62.512779149380698</v>
      </c>
      <c r="O2278">
        <v>61.118421378884499</v>
      </c>
      <c r="P2278">
        <v>-8.7330488484744201E-2</v>
      </c>
      <c r="Q2278">
        <v>0.17313722478834601</v>
      </c>
      <c r="R2278">
        <v>0.99325297631302301</v>
      </c>
      <c r="S2278" t="s">
        <v>8104</v>
      </c>
      <c r="T2278" t="s">
        <v>11650</v>
      </c>
      <c r="U2278" t="s">
        <v>11650</v>
      </c>
      <c r="V2278" t="s">
        <v>11650</v>
      </c>
      <c r="W2278" t="s">
        <v>13887</v>
      </c>
      <c r="X2278">
        <v>31</v>
      </c>
      <c r="Y2278" t="s">
        <v>19608</v>
      </c>
      <c r="Z2278" t="s">
        <v>25340</v>
      </c>
      <c r="AA2278">
        <v>0.76984319267384715</v>
      </c>
      <c r="AB2278" t="str">
        <f>HYPERLINK("Melting_Curves/meltCurve_P35611_ADD1.pdf", "Melting_Curves/meltCurve_P35611_ADD1.pdf")</f>
        <v>Melting_Curves/meltCurve_P35611_ADD1.pdf</v>
      </c>
    </row>
    <row r="2279" spans="1:28" x14ac:dyDescent="0.25">
      <c r="A2279" t="s">
        <v>2283</v>
      </c>
      <c r="B2279">
        <v>0.99996721820229495</v>
      </c>
      <c r="C2279">
        <v>0.80559864488942201</v>
      </c>
      <c r="D2279">
        <v>0.917904189465094</v>
      </c>
      <c r="E2279">
        <v>1.2195681988081899</v>
      </c>
      <c r="F2279">
        <v>1.70123036887157</v>
      </c>
      <c r="G2279">
        <v>1.2619304605361901</v>
      </c>
      <c r="H2279">
        <v>1.2327392404991999</v>
      </c>
      <c r="I2279">
        <v>0.99002300704107205</v>
      </c>
      <c r="J2279">
        <v>0.84201783871828495</v>
      </c>
      <c r="K2279">
        <v>0.88564172504660099</v>
      </c>
      <c r="L2279">
        <v>15000</v>
      </c>
      <c r="M2279">
        <v>231.84892118333701</v>
      </c>
      <c r="O2279">
        <v>64.692490879777694</v>
      </c>
      <c r="P2279">
        <v>-0.12201788010976899</v>
      </c>
      <c r="Q2279">
        <v>0.86381406659363902</v>
      </c>
      <c r="R2279">
        <v>-5.3866120640305902E-2</v>
      </c>
      <c r="S2279" t="s">
        <v>8105</v>
      </c>
      <c r="T2279" t="s">
        <v>11650</v>
      </c>
      <c r="U2279" t="s">
        <v>11650</v>
      </c>
      <c r="V2279" t="s">
        <v>11650</v>
      </c>
      <c r="W2279" t="s">
        <v>13888</v>
      </c>
      <c r="X2279">
        <v>10</v>
      </c>
      <c r="Y2279" t="s">
        <v>19609</v>
      </c>
      <c r="Z2279" t="s">
        <v>25341</v>
      </c>
      <c r="AA2279">
        <v>0.97594622330953462</v>
      </c>
      <c r="AB2279" t="str">
        <f>HYPERLINK("Melting_Curves/meltCurve_P35613_2_BSG.pdf", "Melting_Curves/meltCurve_P35613_2_BSG.pdf")</f>
        <v>Melting_Curves/meltCurve_P35613_2_BSG.pdf</v>
      </c>
    </row>
    <row r="2280" spans="1:28" x14ac:dyDescent="0.25">
      <c r="A2280" t="s">
        <v>2284</v>
      </c>
      <c r="B2280">
        <v>0.99996721820229495</v>
      </c>
      <c r="C2280">
        <v>1.0436957945127701</v>
      </c>
      <c r="D2280">
        <v>0.90720676515926102</v>
      </c>
      <c r="E2280">
        <v>1.08082394347024</v>
      </c>
      <c r="F2280">
        <v>1.3852085548189099</v>
      </c>
      <c r="G2280">
        <v>1.3465445713600299</v>
      </c>
      <c r="H2280">
        <v>0.84001072510668096</v>
      </c>
      <c r="I2280">
        <v>0.50631397266150202</v>
      </c>
      <c r="J2280">
        <v>0.44047183703046799</v>
      </c>
      <c r="K2280">
        <v>0.391093892805224</v>
      </c>
      <c r="L2280">
        <v>3948.4625301289202</v>
      </c>
      <c r="M2280">
        <v>63.617272131282597</v>
      </c>
      <c r="N2280">
        <v>63.877820340109601</v>
      </c>
      <c r="O2280">
        <v>62.0046468704221</v>
      </c>
      <c r="P2280">
        <v>-0.149354582383356</v>
      </c>
      <c r="Q2280">
        <v>0.417725732948379</v>
      </c>
      <c r="R2280">
        <v>0.74397309409480505</v>
      </c>
      <c r="S2280" t="s">
        <v>8106</v>
      </c>
      <c r="T2280" t="s">
        <v>11650</v>
      </c>
      <c r="U2280" t="s">
        <v>11650</v>
      </c>
      <c r="V2280" t="s">
        <v>11650</v>
      </c>
      <c r="W2280" t="s">
        <v>13889</v>
      </c>
      <c r="X2280">
        <v>2</v>
      </c>
      <c r="Y2280" t="s">
        <v>19610</v>
      </c>
      <c r="Z2280" t="s">
        <v>25342</v>
      </c>
      <c r="AA2280">
        <v>0.8469698587988792</v>
      </c>
      <c r="AB2280" t="str">
        <f>HYPERLINK("Melting_Curves/meltCurve_P35625_TIMP3.pdf", "Melting_Curves/meltCurve_P35625_TIMP3.pdf")</f>
        <v>Melting_Curves/meltCurve_P35625_TIMP3.pdf</v>
      </c>
    </row>
    <row r="2281" spans="1:28" x14ac:dyDescent="0.25">
      <c r="A2281" t="s">
        <v>2285</v>
      </c>
      <c r="B2281">
        <v>0.99996721820229495</v>
      </c>
      <c r="C2281">
        <v>0.96320405363122097</v>
      </c>
      <c r="D2281">
        <v>0.92834523567566296</v>
      </c>
      <c r="E2281">
        <v>0.78793405665062999</v>
      </c>
      <c r="F2281">
        <v>0.60172863048615599</v>
      </c>
      <c r="G2281">
        <v>0.47530883565374699</v>
      </c>
      <c r="H2281">
        <v>0.32176836699790201</v>
      </c>
      <c r="I2281">
        <v>0.27868532551828101</v>
      </c>
      <c r="J2281">
        <v>0.24663367002688</v>
      </c>
      <c r="K2281">
        <v>0.17618514071861699</v>
      </c>
      <c r="L2281">
        <v>652.195652495334</v>
      </c>
      <c r="M2281">
        <v>12.010197063671701</v>
      </c>
      <c r="N2281">
        <v>55.941107076425098</v>
      </c>
      <c r="O2281">
        <v>52.8637145461079</v>
      </c>
      <c r="P2281">
        <v>-4.8391298044779797E-2</v>
      </c>
      <c r="Q2281">
        <v>0.14821406083468999</v>
      </c>
      <c r="R2281">
        <v>0.99644210299482905</v>
      </c>
      <c r="S2281" t="s">
        <v>8107</v>
      </c>
      <c r="T2281" t="s">
        <v>11650</v>
      </c>
      <c r="U2281" t="s">
        <v>11650</v>
      </c>
      <c r="V2281" t="s">
        <v>11650</v>
      </c>
      <c r="W2281" t="s">
        <v>13890</v>
      </c>
      <c r="X2281">
        <v>16</v>
      </c>
      <c r="Y2281" t="s">
        <v>19611</v>
      </c>
      <c r="Z2281" t="s">
        <v>25343</v>
      </c>
      <c r="AA2281">
        <v>0.57590440563834067</v>
      </c>
      <c r="AB2281" t="str">
        <f>HYPERLINK("Melting_Curves/meltCurve_P35658_2_NUP214.pdf", "Melting_Curves/meltCurve_P35658_2_NUP214.pdf")</f>
        <v>Melting_Curves/meltCurve_P35658_2_NUP214.pdf</v>
      </c>
    </row>
    <row r="2282" spans="1:28" x14ac:dyDescent="0.25">
      <c r="A2282" t="s">
        <v>2286</v>
      </c>
      <c r="B2282">
        <v>0.99996721820229495</v>
      </c>
      <c r="C2282">
        <v>1.1142769808042601</v>
      </c>
      <c r="D2282">
        <v>1.0571435510179801</v>
      </c>
      <c r="E2282">
        <v>0.94914923635557202</v>
      </c>
      <c r="F2282">
        <v>1.1442862098273201</v>
      </c>
      <c r="G2282">
        <v>1.45225938871187</v>
      </c>
      <c r="H2282">
        <v>1.0811455974303801</v>
      </c>
      <c r="I2282">
        <v>1.18536169544763</v>
      </c>
      <c r="J2282">
        <v>1.15496498902254</v>
      </c>
      <c r="K2282">
        <v>0.65889180833308603</v>
      </c>
      <c r="L2282">
        <v>15000</v>
      </c>
      <c r="M2282">
        <v>213.627246513438</v>
      </c>
      <c r="Q2282">
        <v>0</v>
      </c>
      <c r="R2282">
        <v>0.14572796208302899</v>
      </c>
      <c r="S2282" t="s">
        <v>8108</v>
      </c>
      <c r="T2282" t="s">
        <v>11650</v>
      </c>
      <c r="U2282" t="s">
        <v>11650</v>
      </c>
      <c r="V2282" t="s">
        <v>11650</v>
      </c>
      <c r="W2282" t="s">
        <v>13891</v>
      </c>
      <c r="X2282">
        <v>7</v>
      </c>
      <c r="Y2282" t="s">
        <v>19612</v>
      </c>
      <c r="Z2282" t="s">
        <v>25344</v>
      </c>
      <c r="AA2282">
        <v>0.99550394133435016</v>
      </c>
      <c r="AB2282" t="str">
        <f>HYPERLINK("Melting_Curves/meltCurve_P35754_GLRX.pdf", "Melting_Curves/meltCurve_P35754_GLRX.pdf")</f>
        <v>Melting_Curves/meltCurve_P35754_GLRX.pdf</v>
      </c>
    </row>
    <row r="2283" spans="1:28" x14ac:dyDescent="0.25">
      <c r="A2283" t="s">
        <v>2287</v>
      </c>
      <c r="B2283">
        <v>0.99996721820229495</v>
      </c>
      <c r="C2283">
        <v>1.03597671461374</v>
      </c>
      <c r="D2283">
        <v>1.05251672918023</v>
      </c>
      <c r="E2283">
        <v>0.94964789217333401</v>
      </c>
      <c r="F2283">
        <v>1.0880712760668101</v>
      </c>
      <c r="G2283">
        <v>0.85656922587116602</v>
      </c>
      <c r="H2283">
        <v>0.41092978615319897</v>
      </c>
      <c r="I2283">
        <v>0.239627419007755</v>
      </c>
      <c r="J2283">
        <v>0.13437571712396601</v>
      </c>
      <c r="K2283">
        <v>0.122367087493126</v>
      </c>
      <c r="L2283">
        <v>2055.5295205544198</v>
      </c>
      <c r="M2283">
        <v>34.366167463050502</v>
      </c>
      <c r="N2283">
        <v>60.318954089522698</v>
      </c>
      <c r="O2283">
        <v>59.611152465031701</v>
      </c>
      <c r="P2283">
        <v>-0.12606770920742399</v>
      </c>
      <c r="Q2283">
        <v>0.12530105256749799</v>
      </c>
      <c r="R2283">
        <v>0.98840081186357198</v>
      </c>
      <c r="S2283" t="s">
        <v>8109</v>
      </c>
      <c r="T2283" t="s">
        <v>11650</v>
      </c>
      <c r="U2283" t="s">
        <v>11650</v>
      </c>
      <c r="V2283" t="s">
        <v>11650</v>
      </c>
      <c r="W2283" t="s">
        <v>13892</v>
      </c>
      <c r="X2283">
        <v>3</v>
      </c>
      <c r="Y2283" t="s">
        <v>19613</v>
      </c>
      <c r="Z2283" t="s">
        <v>25345</v>
      </c>
      <c r="AA2283">
        <v>0.70738410916309535</v>
      </c>
      <c r="AB2283" t="str">
        <f>HYPERLINK("Melting_Curves/meltCurve_P35790_2_CHKA.pdf", "Melting_Curves/meltCurve_P35790_2_CHKA.pdf")</f>
        <v>Melting_Curves/meltCurve_P35790_2_CHKA.pdf</v>
      </c>
    </row>
    <row r="2284" spans="1:28" x14ac:dyDescent="0.25">
      <c r="A2284" t="s">
        <v>2288</v>
      </c>
      <c r="B2284">
        <v>0.99996721820229495</v>
      </c>
      <c r="C2284">
        <v>1.03240319535547</v>
      </c>
      <c r="D2284">
        <v>0.99954990638855001</v>
      </c>
      <c r="E2284">
        <v>0.79564419619461701</v>
      </c>
      <c r="F2284">
        <v>0.37918860885516997</v>
      </c>
      <c r="G2284">
        <v>0.27214880190044899</v>
      </c>
      <c r="H2284">
        <v>0.15467627135857401</v>
      </c>
      <c r="I2284">
        <v>0.109905895874985</v>
      </c>
      <c r="J2284">
        <v>7.9467940135788201E-2</v>
      </c>
      <c r="K2284">
        <v>6.28124586968246E-2</v>
      </c>
      <c r="L2284">
        <v>1360.71994333671</v>
      </c>
      <c r="M2284">
        <v>26.187330284742998</v>
      </c>
      <c r="N2284">
        <v>52.441293138803303</v>
      </c>
      <c r="O2284">
        <v>51.660838159548298</v>
      </c>
      <c r="P2284">
        <v>-0.113216400250278</v>
      </c>
      <c r="Q2284">
        <v>0.10662314192103201</v>
      </c>
      <c r="R2284">
        <v>0.98858525582587697</v>
      </c>
      <c r="S2284" t="s">
        <v>8110</v>
      </c>
      <c r="T2284" t="s">
        <v>11650</v>
      </c>
      <c r="U2284" t="s">
        <v>11650</v>
      </c>
      <c r="V2284" t="s">
        <v>11650</v>
      </c>
      <c r="W2284" t="s">
        <v>13893</v>
      </c>
      <c r="X2284">
        <v>12</v>
      </c>
      <c r="Y2284" t="s">
        <v>19614</v>
      </c>
      <c r="Z2284" t="s">
        <v>25346</v>
      </c>
      <c r="AA2284">
        <v>0.47026471768232753</v>
      </c>
      <c r="AB2284" t="str">
        <f>HYPERLINK("Melting_Curves/meltCurve_P35813_PPM1A.pdf", "Melting_Curves/meltCurve_P35813_PPM1A.pdf")</f>
        <v>Melting_Curves/meltCurve_P35813_PPM1A.pdf</v>
      </c>
    </row>
    <row r="2285" spans="1:28" x14ac:dyDescent="0.25">
      <c r="A2285" t="s">
        <v>2289</v>
      </c>
      <c r="B2285">
        <v>0.99996721820229495</v>
      </c>
      <c r="C2285">
        <v>1.0125760282771501</v>
      </c>
      <c r="D2285">
        <v>1.2802631717950499</v>
      </c>
      <c r="E2285">
        <v>1.8241107674436901</v>
      </c>
      <c r="F2285">
        <v>1.995208002607</v>
      </c>
      <c r="G2285">
        <v>1.53642974582554</v>
      </c>
      <c r="H2285">
        <v>0.56655965209709902</v>
      </c>
      <c r="I2285">
        <v>0.38710814061009702</v>
      </c>
      <c r="J2285">
        <v>0.27756115578268498</v>
      </c>
      <c r="K2285">
        <v>0.25418611859759899</v>
      </c>
      <c r="L2285">
        <v>8677.4557807307701</v>
      </c>
      <c r="M2285">
        <v>142.75964810717801</v>
      </c>
      <c r="N2285">
        <v>61.189495421634703</v>
      </c>
      <c r="O2285">
        <v>60.771764738690102</v>
      </c>
      <c r="P2285">
        <v>-0.407565135125042</v>
      </c>
      <c r="Q2285">
        <v>0.30600991682564199</v>
      </c>
      <c r="R2285">
        <v>0.44337778344636303</v>
      </c>
      <c r="S2285" t="s">
        <v>8111</v>
      </c>
      <c r="T2285" t="s">
        <v>11650</v>
      </c>
      <c r="U2285" t="s">
        <v>11650</v>
      </c>
      <c r="V2285" t="s">
        <v>11650</v>
      </c>
      <c r="W2285" t="s">
        <v>13894</v>
      </c>
      <c r="X2285">
        <v>19</v>
      </c>
      <c r="Y2285" t="s">
        <v>19615</v>
      </c>
      <c r="Z2285" t="s">
        <v>25347</v>
      </c>
      <c r="AA2285">
        <v>0.78702581746078837</v>
      </c>
      <c r="AB2285" t="str">
        <f>HYPERLINK("Melting_Curves/meltCurve_P35998_PSMC2.pdf", "Melting_Curves/meltCurve_P35998_PSMC2.pdf")</f>
        <v>Melting_Curves/meltCurve_P35998_PSMC2.pdf</v>
      </c>
    </row>
    <row r="2286" spans="1:28" x14ac:dyDescent="0.25">
      <c r="A2286" t="s">
        <v>2290</v>
      </c>
      <c r="B2286">
        <v>0.99996721820229495</v>
      </c>
      <c r="C2286">
        <v>0.92438334001265399</v>
      </c>
      <c r="D2286">
        <v>0.96373109596389805</v>
      </c>
      <c r="E2286">
        <v>1.15628317812452</v>
      </c>
      <c r="F2286">
        <v>1.6890810703747401</v>
      </c>
      <c r="G2286">
        <v>1.82830659783858</v>
      </c>
      <c r="H2286">
        <v>1.4891499974750699</v>
      </c>
      <c r="I2286">
        <v>1.02726929551088</v>
      </c>
      <c r="J2286">
        <v>0.71200140463779404</v>
      </c>
      <c r="K2286">
        <v>0.78775786552723703</v>
      </c>
      <c r="L2286">
        <v>15000</v>
      </c>
      <c r="M2286">
        <v>229.27598801290901</v>
      </c>
      <c r="O2286">
        <v>65.418376763488595</v>
      </c>
      <c r="P2286">
        <v>-0.21949613136551199</v>
      </c>
      <c r="Q2286">
        <v>0.74948834897082295</v>
      </c>
      <c r="R2286">
        <v>-9.4584534851699806E-2</v>
      </c>
      <c r="S2286" t="s">
        <v>8112</v>
      </c>
      <c r="T2286" t="s">
        <v>11650</v>
      </c>
      <c r="U2286" t="s">
        <v>11650</v>
      </c>
      <c r="V2286" t="s">
        <v>11650</v>
      </c>
      <c r="W2286" t="s">
        <v>13895</v>
      </c>
      <c r="X2286">
        <v>2</v>
      </c>
      <c r="Y2286" t="s">
        <v>19616</v>
      </c>
      <c r="Z2286" t="s">
        <v>25348</v>
      </c>
      <c r="AA2286">
        <v>0.9618172764214461</v>
      </c>
      <c r="AB2286" t="str">
        <f>HYPERLINK("Melting_Curves/meltCurve_P36021_SLC16A2.pdf", "Melting_Curves/meltCurve_P36021_SLC16A2.pdf")</f>
        <v>Melting_Curves/meltCurve_P36021_SLC16A2.pdf</v>
      </c>
    </row>
    <row r="2287" spans="1:28" x14ac:dyDescent="0.25">
      <c r="A2287" t="s">
        <v>2291</v>
      </c>
      <c r="B2287">
        <v>0.99996721820229495</v>
      </c>
      <c r="C2287">
        <v>1.06632466395737</v>
      </c>
      <c r="D2287">
        <v>1.0765084979905399</v>
      </c>
      <c r="E2287">
        <v>1.1524580420824999</v>
      </c>
      <c r="F2287">
        <v>0.710900616747564</v>
      </c>
      <c r="G2287">
        <v>0.39175529466372599</v>
      </c>
      <c r="H2287">
        <v>0.133847618070009</v>
      </c>
      <c r="I2287">
        <v>8.9469466008597898E-2</v>
      </c>
      <c r="J2287">
        <v>7.5200819307496905E-2</v>
      </c>
      <c r="K2287">
        <v>5.6234549449536798E-2</v>
      </c>
      <c r="L2287">
        <v>1589.3744918549201</v>
      </c>
      <c r="M2287">
        <v>28.6771416489707</v>
      </c>
      <c r="N2287">
        <v>55.7102630766923</v>
      </c>
      <c r="O2287">
        <v>55.155653796966398</v>
      </c>
      <c r="P2287">
        <v>-0.121051534290204</v>
      </c>
      <c r="Q2287">
        <v>6.8718593902295899E-2</v>
      </c>
      <c r="R2287">
        <v>0.97147019219442798</v>
      </c>
      <c r="S2287" t="s">
        <v>8113</v>
      </c>
      <c r="T2287" t="s">
        <v>11650</v>
      </c>
      <c r="U2287" t="s">
        <v>11650</v>
      </c>
      <c r="V2287" t="s">
        <v>11650</v>
      </c>
      <c r="W2287" t="s">
        <v>13896</v>
      </c>
      <c r="X2287">
        <v>5</v>
      </c>
      <c r="Y2287" t="s">
        <v>19617</v>
      </c>
      <c r="Z2287" t="s">
        <v>25349</v>
      </c>
      <c r="AA2287">
        <v>0.5542265754861494</v>
      </c>
      <c r="AB2287" t="str">
        <f>HYPERLINK("Melting_Curves/meltCurve_P36404_ARL2.pdf", "Melting_Curves/meltCurve_P36404_ARL2.pdf")</f>
        <v>Melting_Curves/meltCurve_P36404_ARL2.pdf</v>
      </c>
    </row>
    <row r="2288" spans="1:28" x14ac:dyDescent="0.25">
      <c r="A2288" t="s">
        <v>2292</v>
      </c>
      <c r="B2288">
        <v>0.99996721820229495</v>
      </c>
      <c r="C2288">
        <v>0.99970307128623204</v>
      </c>
      <c r="D2288">
        <v>0.95133409120629597</v>
      </c>
      <c r="E2288">
        <v>0.86125968123834995</v>
      </c>
      <c r="F2288">
        <v>0.99415994378684203</v>
      </c>
      <c r="G2288">
        <v>0.69847219895354296</v>
      </c>
      <c r="H2288">
        <v>0.297015231188687</v>
      </c>
      <c r="I2288">
        <v>0.15733487041317801</v>
      </c>
      <c r="J2288">
        <v>0.111991561255796</v>
      </c>
      <c r="K2288">
        <v>7.9039823212022894E-2</v>
      </c>
      <c r="L2288">
        <v>1632.3336505377099</v>
      </c>
      <c r="M2288">
        <v>27.901325723439701</v>
      </c>
      <c r="N2288">
        <v>58.859688876838298</v>
      </c>
      <c r="O2288">
        <v>58.205747913846402</v>
      </c>
      <c r="P2288">
        <v>-0.110538346009191</v>
      </c>
      <c r="Q2288">
        <v>7.7619287989942096E-2</v>
      </c>
      <c r="R2288">
        <v>0.98546566542259195</v>
      </c>
      <c r="S2288" t="s">
        <v>8114</v>
      </c>
      <c r="T2288" t="s">
        <v>11650</v>
      </c>
      <c r="U2288" t="s">
        <v>11650</v>
      </c>
      <c r="V2288" t="s">
        <v>11650</v>
      </c>
      <c r="W2288" t="s">
        <v>13897</v>
      </c>
      <c r="X2288">
        <v>11</v>
      </c>
      <c r="Y2288" t="s">
        <v>19618</v>
      </c>
      <c r="Z2288" t="s">
        <v>25350</v>
      </c>
      <c r="AA2288">
        <v>0.65324700767680122</v>
      </c>
      <c r="AB2288" t="str">
        <f>HYPERLINK("Melting_Curves/meltCurve_P36405_ARL3.pdf", "Melting_Curves/meltCurve_P36405_ARL3.pdf")</f>
        <v>Melting_Curves/meltCurve_P36405_ARL3.pdf</v>
      </c>
    </row>
    <row r="2289" spans="1:28" x14ac:dyDescent="0.25">
      <c r="A2289" t="s">
        <v>2293</v>
      </c>
      <c r="B2289">
        <v>0.99996721820229495</v>
      </c>
      <c r="C2289">
        <v>1.06551086351236</v>
      </c>
      <c r="D2289">
        <v>0.96795392880223297</v>
      </c>
      <c r="E2289">
        <v>0.77282906736956403</v>
      </c>
      <c r="F2289">
        <v>0.30427979249399001</v>
      </c>
      <c r="G2289">
        <v>0.216057008178589</v>
      </c>
      <c r="H2289">
        <v>0.14024877892385099</v>
      </c>
      <c r="I2289">
        <v>9.1311815801032203E-2</v>
      </c>
      <c r="J2289">
        <v>7.0350902520198294E-2</v>
      </c>
      <c r="K2289">
        <v>5.8318515641640097E-2</v>
      </c>
      <c r="L2289">
        <v>1791.5438998538</v>
      </c>
      <c r="M2289">
        <v>34.8563210434505</v>
      </c>
      <c r="N2289">
        <v>51.745410616227304</v>
      </c>
      <c r="O2289">
        <v>51.229664465703401</v>
      </c>
      <c r="P2289">
        <v>-0.152351231808486</v>
      </c>
      <c r="Q2289">
        <v>0.104337464171876</v>
      </c>
      <c r="R2289">
        <v>0.98935607318895802</v>
      </c>
      <c r="S2289" t="s">
        <v>8115</v>
      </c>
      <c r="T2289" t="s">
        <v>11650</v>
      </c>
      <c r="U2289" t="s">
        <v>11650</v>
      </c>
      <c r="V2289" t="s">
        <v>11650</v>
      </c>
      <c r="W2289" t="s">
        <v>13898</v>
      </c>
      <c r="X2289">
        <v>22</v>
      </c>
      <c r="Y2289" t="s">
        <v>19619</v>
      </c>
      <c r="Z2289" t="s">
        <v>25351</v>
      </c>
      <c r="AA2289">
        <v>0.44882487495079387</v>
      </c>
      <c r="AB2289" t="str">
        <f>HYPERLINK("Melting_Curves/meltCurve_P36507_MAP2K2.pdf", "Melting_Curves/meltCurve_P36507_MAP2K2.pdf")</f>
        <v>Melting_Curves/meltCurve_P36507_MAP2K2.pdf</v>
      </c>
    </row>
    <row r="2290" spans="1:28" x14ac:dyDescent="0.25">
      <c r="A2290" t="s">
        <v>2294</v>
      </c>
      <c r="B2290">
        <v>0.99996721820229495</v>
      </c>
      <c r="C2290">
        <v>1.06734054728738</v>
      </c>
      <c r="D2290">
        <v>1.0560109339677699</v>
      </c>
      <c r="E2290">
        <v>1.11906389225026</v>
      </c>
      <c r="F2290">
        <v>0.99201379228858699</v>
      </c>
      <c r="G2290">
        <v>0.779849572168965</v>
      </c>
      <c r="H2290">
        <v>0.28134161025927501</v>
      </c>
      <c r="I2290">
        <v>0.19486764287762401</v>
      </c>
      <c r="J2290">
        <v>0.18562423776256001</v>
      </c>
      <c r="K2290">
        <v>0.133289778717918</v>
      </c>
      <c r="L2290">
        <v>2437.2987265490401</v>
      </c>
      <c r="M2290">
        <v>41.7212826617057</v>
      </c>
      <c r="N2290">
        <v>58.970232949204203</v>
      </c>
      <c r="O2290">
        <v>58.284869196630801</v>
      </c>
      <c r="P2290">
        <v>-0.150041386115778</v>
      </c>
      <c r="Q2290">
        <v>0.16156687893945501</v>
      </c>
      <c r="R2290">
        <v>0.98563300540465903</v>
      </c>
      <c r="S2290" t="s">
        <v>8116</v>
      </c>
      <c r="T2290" t="s">
        <v>11650</v>
      </c>
      <c r="U2290" t="s">
        <v>11650</v>
      </c>
      <c r="V2290" t="s">
        <v>11650</v>
      </c>
      <c r="W2290" t="s">
        <v>13899</v>
      </c>
      <c r="X2290">
        <v>8</v>
      </c>
      <c r="Y2290" t="s">
        <v>19620</v>
      </c>
      <c r="Z2290" t="s">
        <v>25352</v>
      </c>
      <c r="AA2290">
        <v>0.67937625951379377</v>
      </c>
      <c r="AB2290" t="str">
        <f>HYPERLINK("Melting_Curves/meltCurve_P36543_ATP6V1E1.pdf", "Melting_Curves/meltCurve_P36543_ATP6V1E1.pdf")</f>
        <v>Melting_Curves/meltCurve_P36543_ATP6V1E1.pdf</v>
      </c>
    </row>
    <row r="2291" spans="1:28" x14ac:dyDescent="0.25">
      <c r="A2291" t="s">
        <v>2295</v>
      </c>
      <c r="B2291">
        <v>0.99996721820229495</v>
      </c>
      <c r="C2291">
        <v>1.00257192637411</v>
      </c>
      <c r="D2291">
        <v>1.00132631615482</v>
      </c>
      <c r="E2291">
        <v>1.08861418749327</v>
      </c>
      <c r="F2291">
        <v>1.17270576657285</v>
      </c>
      <c r="G2291">
        <v>1.06169951370259</v>
      </c>
      <c r="H2291">
        <v>0.48788264663731201</v>
      </c>
      <c r="I2291">
        <v>0.20860987550681501</v>
      </c>
      <c r="J2291">
        <v>0.157330560147874</v>
      </c>
      <c r="K2291">
        <v>0.13655202385368401</v>
      </c>
      <c r="L2291">
        <v>5102.6477497921096</v>
      </c>
      <c r="M2291">
        <v>84.090637653302295</v>
      </c>
      <c r="N2291">
        <v>60.966857490392002</v>
      </c>
      <c r="O2291">
        <v>60.646040363574997</v>
      </c>
      <c r="P2291">
        <v>-0.29006546692030499</v>
      </c>
      <c r="Q2291">
        <v>0.163221016162934</v>
      </c>
      <c r="R2291">
        <v>0.97362858302882604</v>
      </c>
      <c r="S2291" t="s">
        <v>8117</v>
      </c>
      <c r="T2291" t="s">
        <v>11650</v>
      </c>
      <c r="U2291" t="s">
        <v>11650</v>
      </c>
      <c r="V2291" t="s">
        <v>11650</v>
      </c>
      <c r="W2291" t="s">
        <v>13900</v>
      </c>
      <c r="X2291">
        <v>22</v>
      </c>
      <c r="Y2291" t="s">
        <v>19621</v>
      </c>
      <c r="Z2291" t="s">
        <v>25353</v>
      </c>
      <c r="AA2291">
        <v>0.74083851537085821</v>
      </c>
      <c r="AB2291" t="str">
        <f>HYPERLINK("Melting_Curves/meltCurve_P36551_CPOX.pdf", "Melting_Curves/meltCurve_P36551_CPOX.pdf")</f>
        <v>Melting_Curves/meltCurve_P36551_CPOX.pdf</v>
      </c>
    </row>
    <row r="2292" spans="1:28" x14ac:dyDescent="0.25">
      <c r="A2292" t="s">
        <v>2296</v>
      </c>
      <c r="B2292">
        <v>0.99996721820229495</v>
      </c>
      <c r="C2292">
        <v>1.0603241356094399</v>
      </c>
      <c r="D2292">
        <v>1.1623661726261201</v>
      </c>
      <c r="E2292">
        <v>1.54515851377538</v>
      </c>
      <c r="F2292">
        <v>1.72262002711974</v>
      </c>
      <c r="G2292">
        <v>1.04069825876698</v>
      </c>
      <c r="H2292">
        <v>0.648393542342798</v>
      </c>
      <c r="I2292">
        <v>0.43908141584244997</v>
      </c>
      <c r="J2292">
        <v>0.43136274516560902</v>
      </c>
      <c r="K2292">
        <v>0.28404154933727199</v>
      </c>
      <c r="L2292">
        <v>3406.5954601682201</v>
      </c>
      <c r="M2292">
        <v>55.981563647410702</v>
      </c>
      <c r="N2292">
        <v>62.335236797219203</v>
      </c>
      <c r="O2292">
        <v>60.774591823111599</v>
      </c>
      <c r="P2292">
        <v>-0.14553438190260401</v>
      </c>
      <c r="Q2292">
        <v>0.36802137820440001</v>
      </c>
      <c r="R2292">
        <v>0.58450553984662001</v>
      </c>
      <c r="S2292" t="s">
        <v>8118</v>
      </c>
      <c r="T2292" t="s">
        <v>11650</v>
      </c>
      <c r="U2292" t="s">
        <v>11650</v>
      </c>
      <c r="V2292" t="s">
        <v>11650</v>
      </c>
      <c r="W2292" t="s">
        <v>13901</v>
      </c>
      <c r="X2292">
        <v>6</v>
      </c>
      <c r="Y2292" t="s">
        <v>19622</v>
      </c>
      <c r="Z2292" t="s">
        <v>25354</v>
      </c>
      <c r="AA2292">
        <v>0.80862132557874344</v>
      </c>
      <c r="AB2292" t="str">
        <f>HYPERLINK("Melting_Curves/meltCurve_P36578_RPL4.pdf", "Melting_Curves/meltCurve_P36578_RPL4.pdf")</f>
        <v>Melting_Curves/meltCurve_P36578_RPL4.pdf</v>
      </c>
    </row>
    <row r="2293" spans="1:28" x14ac:dyDescent="0.25">
      <c r="A2293" t="s">
        <v>2297</v>
      </c>
      <c r="B2293">
        <v>0.99996721820229495</v>
      </c>
      <c r="C2293">
        <v>1.15308273973044</v>
      </c>
      <c r="D2293">
        <v>1.1063809738561701</v>
      </c>
      <c r="E2293">
        <v>1.0173766398010899</v>
      </c>
      <c r="F2293">
        <v>1.0862711732588901</v>
      </c>
      <c r="G2293">
        <v>0.82212113849735802</v>
      </c>
      <c r="H2293">
        <v>0.45257072739541299</v>
      </c>
      <c r="I2293">
        <v>0.26344285648294602</v>
      </c>
      <c r="J2293">
        <v>0.19584597887421901</v>
      </c>
      <c r="K2293">
        <v>0.17413349884210599</v>
      </c>
      <c r="L2293">
        <v>1904.6620354137999</v>
      </c>
      <c r="M2293">
        <v>31.931533377960399</v>
      </c>
      <c r="N2293">
        <v>60.4512452800886</v>
      </c>
      <c r="O2293">
        <v>59.415831049852599</v>
      </c>
      <c r="P2293">
        <v>-0.111136392107168</v>
      </c>
      <c r="Q2293">
        <v>0.172826793331365</v>
      </c>
      <c r="R2293">
        <v>0.96928491970544095</v>
      </c>
      <c r="S2293" t="s">
        <v>8119</v>
      </c>
      <c r="T2293" t="s">
        <v>11650</v>
      </c>
      <c r="U2293" t="s">
        <v>11650</v>
      </c>
      <c r="V2293" t="s">
        <v>11650</v>
      </c>
      <c r="W2293" t="s">
        <v>13902</v>
      </c>
      <c r="X2293">
        <v>6</v>
      </c>
      <c r="Y2293" t="s">
        <v>19623</v>
      </c>
      <c r="Z2293" t="s">
        <v>25355</v>
      </c>
      <c r="AA2293">
        <v>0.71927886823171761</v>
      </c>
      <c r="AB2293" t="str">
        <f>HYPERLINK("Melting_Curves/meltCurve_P36639_4_NUDT1.pdf", "Melting_Curves/meltCurve_P36639_4_NUDT1.pdf")</f>
        <v>Melting_Curves/meltCurve_P36639_4_NUDT1.pdf</v>
      </c>
    </row>
    <row r="2294" spans="1:28" x14ac:dyDescent="0.25">
      <c r="A2294" t="s">
        <v>2298</v>
      </c>
      <c r="B2294">
        <v>0.99996721820229495</v>
      </c>
      <c r="C2294">
        <v>1.06470419181051</v>
      </c>
      <c r="D2294">
        <v>1.0648621893368699</v>
      </c>
      <c r="E2294">
        <v>0.99650567944175605</v>
      </c>
      <c r="F2294">
        <v>1.0891839466470099</v>
      </c>
      <c r="G2294">
        <v>1.1066935005656999</v>
      </c>
      <c r="H2294">
        <v>0.51166251411770802</v>
      </c>
      <c r="I2294">
        <v>0.16596038886397599</v>
      </c>
      <c r="J2294">
        <v>0.112540964197533</v>
      </c>
      <c r="K2294">
        <v>8.1875741157910506E-2</v>
      </c>
      <c r="L2294">
        <v>5009.6802012958096</v>
      </c>
      <c r="M2294">
        <v>82.312257821565495</v>
      </c>
      <c r="N2294">
        <v>61.053838306692199</v>
      </c>
      <c r="O2294">
        <v>60.826001363122302</v>
      </c>
      <c r="P2294">
        <v>-0.29974257303507001</v>
      </c>
      <c r="Q2294">
        <v>0.114001219663017</v>
      </c>
      <c r="R2294">
        <v>0.98290274249492904</v>
      </c>
      <c r="S2294" t="s">
        <v>8120</v>
      </c>
      <c r="T2294" t="s">
        <v>11650</v>
      </c>
      <c r="U2294" t="s">
        <v>11650</v>
      </c>
      <c r="V2294" t="s">
        <v>11650</v>
      </c>
      <c r="W2294" t="s">
        <v>13903</v>
      </c>
      <c r="X2294">
        <v>39</v>
      </c>
      <c r="Y2294" t="s">
        <v>19624</v>
      </c>
      <c r="Z2294" t="s">
        <v>25356</v>
      </c>
      <c r="AA2294">
        <v>0.73099567713585922</v>
      </c>
      <c r="AB2294" t="str">
        <f>HYPERLINK("Melting_Curves/meltCurve_P36871_PGM1.pdf", "Melting_Curves/meltCurve_P36871_PGM1.pdf")</f>
        <v>Melting_Curves/meltCurve_P36871_PGM1.pdf</v>
      </c>
    </row>
    <row r="2295" spans="1:28" x14ac:dyDescent="0.25">
      <c r="A2295" t="s">
        <v>2299</v>
      </c>
      <c r="B2295">
        <v>0.99996721820229495</v>
      </c>
      <c r="C2295">
        <v>0.93172861738061896</v>
      </c>
      <c r="D2295">
        <v>0.98525880584439696</v>
      </c>
      <c r="E2295">
        <v>1.3519917778652799</v>
      </c>
      <c r="F2295">
        <v>1.3261692112769601</v>
      </c>
      <c r="G2295">
        <v>0.81499476332299303</v>
      </c>
      <c r="H2295">
        <v>0.25292724195984601</v>
      </c>
      <c r="I2295">
        <v>0.119732280037042</v>
      </c>
      <c r="J2295">
        <v>0.10269271612530401</v>
      </c>
      <c r="K2295">
        <v>0.11630854937066799</v>
      </c>
      <c r="L2295">
        <v>2899.9520789469798</v>
      </c>
      <c r="M2295">
        <v>49.363670815824598</v>
      </c>
      <c r="N2295">
        <v>59.048043894011201</v>
      </c>
      <c r="O2295">
        <v>58.65051221201</v>
      </c>
      <c r="P2295">
        <v>-0.18698470181701299</v>
      </c>
      <c r="Q2295">
        <v>0.11135139070481299</v>
      </c>
      <c r="R2295">
        <v>0.89555178334465502</v>
      </c>
      <c r="S2295" t="s">
        <v>8121</v>
      </c>
      <c r="T2295" t="s">
        <v>11650</v>
      </c>
      <c r="U2295" t="s">
        <v>11650</v>
      </c>
      <c r="V2295" t="s">
        <v>11650</v>
      </c>
      <c r="W2295" t="s">
        <v>13904</v>
      </c>
      <c r="X2295">
        <v>16</v>
      </c>
      <c r="Y2295" t="s">
        <v>19625</v>
      </c>
      <c r="Z2295" t="s">
        <v>25357</v>
      </c>
      <c r="AA2295">
        <v>0.66900266725615587</v>
      </c>
      <c r="AB2295" t="str">
        <f>HYPERLINK("Melting_Curves/meltCurve_P36873_PPP1CC.pdf", "Melting_Curves/meltCurve_P36873_PPP1CC.pdf")</f>
        <v>Melting_Curves/meltCurve_P36873_PPP1CC.pdf</v>
      </c>
    </row>
    <row r="2296" spans="1:28" x14ac:dyDescent="0.25">
      <c r="A2296" t="s">
        <v>2300</v>
      </c>
      <c r="B2296">
        <v>0.99996721820229495</v>
      </c>
      <c r="C2296">
        <v>1.07628726185462</v>
      </c>
      <c r="D2296">
        <v>1.0279804559401799</v>
      </c>
      <c r="E2296">
        <v>0.80461523055818296</v>
      </c>
      <c r="F2296">
        <v>0.365147147445814</v>
      </c>
      <c r="G2296">
        <v>0.31009524655242798</v>
      </c>
      <c r="H2296">
        <v>0.208687516366929</v>
      </c>
      <c r="I2296">
        <v>0.14534429788933001</v>
      </c>
      <c r="J2296">
        <v>0.12127101763811</v>
      </c>
      <c r="K2296">
        <v>9.8137420168025999E-2</v>
      </c>
      <c r="L2296">
        <v>1733.3385409421401</v>
      </c>
      <c r="M2296">
        <v>33.5922996035832</v>
      </c>
      <c r="N2296">
        <v>52.212229446382601</v>
      </c>
      <c r="O2296">
        <v>51.417451005067498</v>
      </c>
      <c r="P2296">
        <v>-0.13671883631626899</v>
      </c>
      <c r="Q2296">
        <v>0.16293853778378101</v>
      </c>
      <c r="R2296">
        <v>0.97978282768495295</v>
      </c>
      <c r="S2296" t="s">
        <v>8122</v>
      </c>
      <c r="T2296" t="s">
        <v>11650</v>
      </c>
      <c r="U2296" t="s">
        <v>11650</v>
      </c>
      <c r="V2296" t="s">
        <v>11650</v>
      </c>
      <c r="W2296" t="s">
        <v>13905</v>
      </c>
      <c r="X2296">
        <v>15</v>
      </c>
      <c r="Y2296" t="s">
        <v>19626</v>
      </c>
      <c r="Z2296" t="s">
        <v>25358</v>
      </c>
      <c r="AA2296">
        <v>0.49082139844235922</v>
      </c>
      <c r="AB2296" t="str">
        <f>HYPERLINK("Melting_Curves/meltCurve_P36915_GNL1.pdf", "Melting_Curves/meltCurve_P36915_GNL1.pdf")</f>
        <v>Melting_Curves/meltCurve_P36915_GNL1.pdf</v>
      </c>
    </row>
    <row r="2297" spans="1:28" x14ac:dyDescent="0.25">
      <c r="A2297" t="s">
        <v>2301</v>
      </c>
      <c r="B2297">
        <v>0.99996721820229495</v>
      </c>
      <c r="C2297">
        <v>1.08795465487478</v>
      </c>
      <c r="D2297">
        <v>1.0227034647742199</v>
      </c>
      <c r="E2297">
        <v>1.09180969517033</v>
      </c>
      <c r="F2297">
        <v>1.5393631972846999</v>
      </c>
      <c r="G2297">
        <v>1.28797933292198</v>
      </c>
      <c r="H2297">
        <v>0.335741872585332</v>
      </c>
      <c r="I2297">
        <v>0.18511898413973099</v>
      </c>
      <c r="J2297">
        <v>0.14370121840299099</v>
      </c>
      <c r="K2297">
        <v>9.1611822412105803E-2</v>
      </c>
      <c r="L2297">
        <v>12309.060776463501</v>
      </c>
      <c r="M2297">
        <v>203.01038252396299</v>
      </c>
      <c r="N2297">
        <v>60.731047775738801</v>
      </c>
      <c r="O2297">
        <v>60.626782465298</v>
      </c>
      <c r="P2297">
        <v>-0.71982023659127203</v>
      </c>
      <c r="Q2297">
        <v>0.14013491892003199</v>
      </c>
      <c r="R2297">
        <v>0.84597746628965997</v>
      </c>
      <c r="S2297" t="s">
        <v>8123</v>
      </c>
      <c r="T2297" t="s">
        <v>11650</v>
      </c>
      <c r="U2297" t="s">
        <v>11650</v>
      </c>
      <c r="V2297" t="s">
        <v>11650</v>
      </c>
      <c r="W2297" t="s">
        <v>13906</v>
      </c>
      <c r="X2297">
        <v>11</v>
      </c>
      <c r="Y2297" t="s">
        <v>19627</v>
      </c>
      <c r="Z2297" t="s">
        <v>25359</v>
      </c>
      <c r="AA2297">
        <v>0.73165066709018456</v>
      </c>
      <c r="AB2297" t="str">
        <f>HYPERLINK("Melting_Curves/meltCurve_P36955_SERPINF1.pdf", "Melting_Curves/meltCurve_P36955_SERPINF1.pdf")</f>
        <v>Melting_Curves/meltCurve_P36955_SERPINF1.pdf</v>
      </c>
    </row>
    <row r="2298" spans="1:28" x14ac:dyDescent="0.25">
      <c r="A2298" t="s">
        <v>2302</v>
      </c>
      <c r="B2298">
        <v>0.99996721820229495</v>
      </c>
      <c r="C2298">
        <v>0.96917362994462697</v>
      </c>
      <c r="D2298">
        <v>0.94755601579678095</v>
      </c>
      <c r="E2298">
        <v>1.1746699883835301</v>
      </c>
      <c r="F2298">
        <v>2.16517959797735</v>
      </c>
      <c r="G2298">
        <v>2.8825489354895102</v>
      </c>
      <c r="H2298">
        <v>2.04385060433026</v>
      </c>
      <c r="I2298">
        <v>1.4872928047832501</v>
      </c>
      <c r="J2298">
        <v>0.82804027355155696</v>
      </c>
      <c r="K2298">
        <v>1.7139318105672099</v>
      </c>
      <c r="L2298">
        <v>12531.095520983799</v>
      </c>
      <c r="M2298">
        <v>250</v>
      </c>
      <c r="O2298">
        <v>50.121152318396199</v>
      </c>
      <c r="P2298">
        <v>0.62348898006657805</v>
      </c>
      <c r="Q2298">
        <v>1.5</v>
      </c>
      <c r="R2298">
        <v>0.22877096552010001</v>
      </c>
      <c r="S2298" t="s">
        <v>8124</v>
      </c>
      <c r="T2298" t="s">
        <v>11650</v>
      </c>
      <c r="U2298" t="s">
        <v>11650</v>
      </c>
      <c r="V2298" t="s">
        <v>11650</v>
      </c>
      <c r="W2298" t="s">
        <v>13907</v>
      </c>
      <c r="X2298">
        <v>18</v>
      </c>
      <c r="Y2298" t="s">
        <v>19628</v>
      </c>
      <c r="Z2298" t="s">
        <v>25360</v>
      </c>
      <c r="AA2298">
        <v>1.3312163148458549</v>
      </c>
      <c r="AB2298" t="str">
        <f>HYPERLINK("Melting_Curves/meltCurve_P36957_DLST.pdf", "Melting_Curves/meltCurve_P36957_DLST.pdf")</f>
        <v>Melting_Curves/meltCurve_P36957_DLST.pdf</v>
      </c>
    </row>
    <row r="2299" spans="1:28" x14ac:dyDescent="0.25">
      <c r="A2299" t="s">
        <v>2303</v>
      </c>
      <c r="B2299">
        <v>0.99996721820229495</v>
      </c>
      <c r="C2299">
        <v>0.86972780654297499</v>
      </c>
      <c r="D2299">
        <v>0.96223006600852801</v>
      </c>
      <c r="E2299">
        <v>1.1905880321769999</v>
      </c>
      <c r="F2299">
        <v>1.69142772292239</v>
      </c>
      <c r="G2299">
        <v>2.1216374947866301</v>
      </c>
      <c r="H2299">
        <v>1.56663488842646</v>
      </c>
      <c r="I2299">
        <v>0.96684939070336595</v>
      </c>
      <c r="J2299">
        <v>0.36782727182974001</v>
      </c>
      <c r="K2299">
        <v>0.90615947007667497</v>
      </c>
      <c r="L2299">
        <v>15000</v>
      </c>
      <c r="M2299">
        <v>232.10515470064101</v>
      </c>
      <c r="O2299">
        <v>64.621082651854294</v>
      </c>
      <c r="P2299">
        <v>-0.32593618308361499</v>
      </c>
      <c r="Q2299">
        <v>0.63702057303715098</v>
      </c>
      <c r="R2299">
        <v>-2.3841732235625498E-3</v>
      </c>
      <c r="S2299" t="s">
        <v>8125</v>
      </c>
      <c r="T2299" t="s">
        <v>11650</v>
      </c>
      <c r="U2299" t="s">
        <v>11650</v>
      </c>
      <c r="V2299" t="s">
        <v>11650</v>
      </c>
      <c r="W2299" t="s">
        <v>13908</v>
      </c>
      <c r="X2299">
        <v>7</v>
      </c>
      <c r="Y2299" t="s">
        <v>19629</v>
      </c>
      <c r="Z2299" t="s">
        <v>25361</v>
      </c>
      <c r="AA2299">
        <v>0.93502460239803287</v>
      </c>
      <c r="AB2299" t="str">
        <f>HYPERLINK("Melting_Curves/meltCurve_P36959_GMPR.pdf", "Melting_Curves/meltCurve_P36959_GMPR.pdf")</f>
        <v>Melting_Curves/meltCurve_P36959_GMPR.pdf</v>
      </c>
    </row>
    <row r="2300" spans="1:28" x14ac:dyDescent="0.25">
      <c r="A2300" t="s">
        <v>2304</v>
      </c>
      <c r="B2300">
        <v>0.99996721820229495</v>
      </c>
      <c r="C2300">
        <v>1.1220628580243199</v>
      </c>
      <c r="D2300">
        <v>0.98984978399004797</v>
      </c>
      <c r="E2300">
        <v>0.86102080565993999</v>
      </c>
      <c r="F2300">
        <v>0.86602441776460704</v>
      </c>
      <c r="G2300">
        <v>0.43757505391017998</v>
      </c>
      <c r="H2300">
        <v>0.22905411253222399</v>
      </c>
      <c r="I2300">
        <v>0.140438106068693</v>
      </c>
      <c r="J2300">
        <v>0.112861456457371</v>
      </c>
      <c r="K2300">
        <v>8.5120990149552905E-2</v>
      </c>
      <c r="L2300">
        <v>1248.3546210555</v>
      </c>
      <c r="M2300">
        <v>22.233029228494299</v>
      </c>
      <c r="N2300">
        <v>56.609353004079402</v>
      </c>
      <c r="O2300">
        <v>55.700349047278799</v>
      </c>
      <c r="P2300">
        <v>-9.1532418281788805E-2</v>
      </c>
      <c r="Q2300">
        <v>8.2756350873245801E-2</v>
      </c>
      <c r="R2300">
        <v>0.98334352267843605</v>
      </c>
      <c r="S2300" t="s">
        <v>8126</v>
      </c>
      <c r="T2300" t="s">
        <v>11650</v>
      </c>
      <c r="U2300" t="s">
        <v>11650</v>
      </c>
      <c r="V2300" t="s">
        <v>11650</v>
      </c>
      <c r="W2300" t="s">
        <v>13909</v>
      </c>
      <c r="X2300">
        <v>12</v>
      </c>
      <c r="Y2300" t="s">
        <v>19630</v>
      </c>
      <c r="Z2300" t="s">
        <v>25362</v>
      </c>
      <c r="AA2300">
        <v>0.5866038642606497</v>
      </c>
      <c r="AB2300" t="str">
        <f>HYPERLINK("Melting_Curves/meltCurve_P36969_2_GPX4.pdf", "Melting_Curves/meltCurve_P36969_2_GPX4.pdf")</f>
        <v>Melting_Curves/meltCurve_P36969_2_GPX4.pdf</v>
      </c>
    </row>
    <row r="2301" spans="1:28" x14ac:dyDescent="0.25">
      <c r="A2301" t="s">
        <v>2305</v>
      </c>
      <c r="B2301">
        <v>0.99996721820229495</v>
      </c>
      <c r="C2301">
        <v>0.97943555136898097</v>
      </c>
      <c r="D2301">
        <v>1.18963757840351</v>
      </c>
      <c r="E2301">
        <v>1.5240535555918899</v>
      </c>
      <c r="F2301">
        <v>1.9665522416458101</v>
      </c>
      <c r="G2301">
        <v>3.0117728106112698</v>
      </c>
      <c r="H2301">
        <v>2.5598058047226599</v>
      </c>
      <c r="I2301">
        <v>1.2145357414786</v>
      </c>
      <c r="J2301">
        <v>0.29607257849511498</v>
      </c>
      <c r="K2301">
        <v>0.16966728910589399</v>
      </c>
      <c r="L2301">
        <v>15000</v>
      </c>
      <c r="M2301">
        <v>225.59388043411499</v>
      </c>
      <c r="N2301">
        <v>66.613381581153803</v>
      </c>
      <c r="O2301">
        <v>66.485940024253196</v>
      </c>
      <c r="P2301">
        <v>-0.70451562304517201</v>
      </c>
      <c r="Q2301">
        <v>0.16947422043545901</v>
      </c>
      <c r="R2301">
        <v>-4.6465144209421702E-2</v>
      </c>
      <c r="S2301" t="s">
        <v>8127</v>
      </c>
      <c r="T2301" t="s">
        <v>11650</v>
      </c>
      <c r="U2301" t="s">
        <v>11650</v>
      </c>
      <c r="V2301" t="s">
        <v>11650</v>
      </c>
      <c r="W2301" t="s">
        <v>13910</v>
      </c>
      <c r="X2301">
        <v>7</v>
      </c>
      <c r="Y2301" t="s">
        <v>19631</v>
      </c>
      <c r="Z2301" t="s">
        <v>25363</v>
      </c>
      <c r="AA2301">
        <v>0.90297965765559896</v>
      </c>
      <c r="AB2301" t="str">
        <f>HYPERLINK("Melting_Curves/meltCurve_P37108_SRP14.pdf", "Melting_Curves/meltCurve_P37108_SRP14.pdf")</f>
        <v>Melting_Curves/meltCurve_P37108_SRP14.pdf</v>
      </c>
    </row>
    <row r="2302" spans="1:28" x14ac:dyDescent="0.25">
      <c r="A2302" t="s">
        <v>2306</v>
      </c>
      <c r="B2302">
        <v>0.99996721820229495</v>
      </c>
      <c r="C2302">
        <v>0.85012157073616401</v>
      </c>
      <c r="D2302">
        <v>0.74242981543420405</v>
      </c>
      <c r="E2302">
        <v>0.46751606817458002</v>
      </c>
      <c r="F2302">
        <v>0.24983703668370799</v>
      </c>
      <c r="G2302">
        <v>0.26433031806059898</v>
      </c>
      <c r="H2302">
        <v>0.19788957975215199</v>
      </c>
      <c r="I2302">
        <v>0.12901861722792499</v>
      </c>
      <c r="J2302">
        <v>0.115498508446024</v>
      </c>
      <c r="K2302">
        <v>8.6176718526587898E-2</v>
      </c>
      <c r="L2302">
        <v>699.56866123923396</v>
      </c>
      <c r="M2302">
        <v>14.4256678989105</v>
      </c>
      <c r="N2302">
        <v>49.355014639393801</v>
      </c>
      <c r="O2302">
        <v>47.591374192559698</v>
      </c>
      <c r="P2302">
        <v>-6.7362820515154201E-2</v>
      </c>
      <c r="Q2302">
        <v>0.111164377098019</v>
      </c>
      <c r="R2302">
        <v>0.98618629457332596</v>
      </c>
      <c r="S2302" t="s">
        <v>8128</v>
      </c>
      <c r="T2302" t="s">
        <v>11650</v>
      </c>
      <c r="U2302" t="s">
        <v>11650</v>
      </c>
      <c r="V2302" t="s">
        <v>11650</v>
      </c>
      <c r="W2302" t="s">
        <v>13911</v>
      </c>
      <c r="X2302">
        <v>3</v>
      </c>
      <c r="Y2302" t="s">
        <v>19632</v>
      </c>
      <c r="Z2302" t="s">
        <v>25364</v>
      </c>
      <c r="AA2302">
        <v>0.38696077161008191</v>
      </c>
      <c r="AB2302" t="str">
        <f>HYPERLINK("Melting_Curves/meltCurve_P37173_TGFBR2.pdf", "Melting_Curves/meltCurve_P37173_TGFBR2.pdf")</f>
        <v>Melting_Curves/meltCurve_P37173_TGFBR2.pdf</v>
      </c>
    </row>
    <row r="2303" spans="1:28" x14ac:dyDescent="0.25">
      <c r="A2303" t="s">
        <v>2307</v>
      </c>
      <c r="B2303">
        <v>0.99996721820229495</v>
      </c>
      <c r="C2303">
        <v>0.85453886562438197</v>
      </c>
      <c r="D2303">
        <v>0.82422845830874503</v>
      </c>
      <c r="E2303">
        <v>1.0857705834263001</v>
      </c>
      <c r="F2303">
        <v>0.90559835010396705</v>
      </c>
      <c r="G2303">
        <v>0.96109282594253698</v>
      </c>
      <c r="H2303">
        <v>0.77964508718929804</v>
      </c>
      <c r="I2303">
        <v>0.797991417967433</v>
      </c>
      <c r="J2303">
        <v>0.74015795549183006</v>
      </c>
      <c r="K2303">
        <v>0.72373914403277495</v>
      </c>
      <c r="L2303">
        <v>305.97891524089903</v>
      </c>
      <c r="M2303">
        <v>3.4198886316189601</v>
      </c>
      <c r="O2303">
        <v>69.531661671854494</v>
      </c>
      <c r="P2303">
        <v>-1.2553979921486101E-2</v>
      </c>
      <c r="Q2303">
        <v>0</v>
      </c>
      <c r="R2303">
        <v>0.47514161808601202</v>
      </c>
      <c r="S2303" t="s">
        <v>8129</v>
      </c>
      <c r="T2303" t="s">
        <v>11650</v>
      </c>
      <c r="U2303" t="s">
        <v>11650</v>
      </c>
      <c r="V2303" t="s">
        <v>11650</v>
      </c>
      <c r="W2303" t="s">
        <v>13912</v>
      </c>
      <c r="X2303">
        <v>10</v>
      </c>
      <c r="Y2303" t="s">
        <v>19633</v>
      </c>
      <c r="Z2303" t="s">
        <v>25365</v>
      </c>
      <c r="AA2303">
        <v>0.88055488926527459</v>
      </c>
      <c r="AB2303" t="str">
        <f>HYPERLINK("Melting_Curves/meltCurve_P37198_NUP62.pdf", "Melting_Curves/meltCurve_P37198_NUP62.pdf")</f>
        <v>Melting_Curves/meltCurve_P37198_NUP62.pdf</v>
      </c>
    </row>
    <row r="2304" spans="1:28" x14ac:dyDescent="0.25">
      <c r="A2304" t="s">
        <v>2308</v>
      </c>
      <c r="B2304">
        <v>0.99996721820229495</v>
      </c>
      <c r="C2304">
        <v>1.0702335758108601</v>
      </c>
      <c r="D2304">
        <v>1.0703558029056699</v>
      </c>
      <c r="E2304">
        <v>1.12529112011137</v>
      </c>
      <c r="F2304">
        <v>1.38399968751089</v>
      </c>
      <c r="G2304">
        <v>1.4367974129599601</v>
      </c>
      <c r="H2304">
        <v>0.749880671511577</v>
      </c>
      <c r="I2304">
        <v>0.44167362154329498</v>
      </c>
      <c r="J2304">
        <v>0.30157779836585002</v>
      </c>
      <c r="K2304">
        <v>0.14534044480424199</v>
      </c>
      <c r="L2304">
        <v>2815.9022592247802</v>
      </c>
      <c r="M2304">
        <v>44.961477399875001</v>
      </c>
      <c r="N2304">
        <v>63.353143837367803</v>
      </c>
      <c r="O2304">
        <v>62.505703304414702</v>
      </c>
      <c r="P2304">
        <v>-0.143705438691832</v>
      </c>
      <c r="Q2304">
        <v>0.20088054724962801</v>
      </c>
      <c r="R2304">
        <v>0.78569135604814799</v>
      </c>
      <c r="S2304" t="s">
        <v>8130</v>
      </c>
      <c r="T2304" t="s">
        <v>11650</v>
      </c>
      <c r="U2304" t="s">
        <v>11650</v>
      </c>
      <c r="V2304" t="s">
        <v>11650</v>
      </c>
      <c r="W2304" t="s">
        <v>13913</v>
      </c>
      <c r="X2304">
        <v>15</v>
      </c>
      <c r="Y2304" t="s">
        <v>19634</v>
      </c>
      <c r="Z2304" t="s">
        <v>25366</v>
      </c>
      <c r="AA2304">
        <v>0.80596855211569762</v>
      </c>
      <c r="AB2304" t="str">
        <f>HYPERLINK("Melting_Curves/meltCurve_P37235_HPCAL1.pdf", "Melting_Curves/meltCurve_P37235_HPCAL1.pdf")</f>
        <v>Melting_Curves/meltCurve_P37235_HPCAL1.pdf</v>
      </c>
    </row>
    <row r="2305" spans="1:28" x14ac:dyDescent="0.25">
      <c r="A2305" t="s">
        <v>2309</v>
      </c>
      <c r="B2305">
        <v>0.99996721820229495</v>
      </c>
      <c r="C2305">
        <v>1.0633452523687299</v>
      </c>
      <c r="D2305">
        <v>1.06297009895516</v>
      </c>
      <c r="E2305">
        <v>0.92578826811259396</v>
      </c>
      <c r="F2305">
        <v>0.48672392023660999</v>
      </c>
      <c r="G2305">
        <v>0.32448432980898601</v>
      </c>
      <c r="H2305">
        <v>0.17664463582003001</v>
      </c>
      <c r="I2305">
        <v>0.10531368840452</v>
      </c>
      <c r="J2305">
        <v>7.3959697820676198E-2</v>
      </c>
      <c r="K2305">
        <v>5.4989275818918597E-2</v>
      </c>
      <c r="L2305">
        <v>1296.1678483005901</v>
      </c>
      <c r="M2305">
        <v>24.2944657677252</v>
      </c>
      <c r="N2305">
        <v>53.810000325426799</v>
      </c>
      <c r="O2305">
        <v>52.994870924382397</v>
      </c>
      <c r="P2305">
        <v>-0.10391265234045099</v>
      </c>
      <c r="Q2305">
        <v>9.3332241460052395E-2</v>
      </c>
      <c r="R2305">
        <v>0.97960535254256298</v>
      </c>
      <c r="S2305" t="s">
        <v>8131</v>
      </c>
      <c r="T2305" t="s">
        <v>11650</v>
      </c>
      <c r="U2305" t="s">
        <v>11650</v>
      </c>
      <c r="V2305" t="s">
        <v>11650</v>
      </c>
      <c r="W2305" t="s">
        <v>13914</v>
      </c>
      <c r="X2305">
        <v>24</v>
      </c>
      <c r="Y2305" t="s">
        <v>19635</v>
      </c>
      <c r="Z2305" t="s">
        <v>25367</v>
      </c>
      <c r="AA2305">
        <v>0.50569330187867212</v>
      </c>
      <c r="AB2305" t="str">
        <f>HYPERLINK("Melting_Curves/meltCurve_P37268_FDFT1.pdf", "Melting_Curves/meltCurve_P37268_FDFT1.pdf")</f>
        <v>Melting_Curves/meltCurve_P37268_FDFT1.pdf</v>
      </c>
    </row>
    <row r="2306" spans="1:28" x14ac:dyDescent="0.25">
      <c r="A2306" t="s">
        <v>2310</v>
      </c>
      <c r="B2306">
        <v>0.99996721820229495</v>
      </c>
      <c r="C2306">
        <v>0.95832922977017398</v>
      </c>
      <c r="D2306">
        <v>0.92430392161402297</v>
      </c>
      <c r="E2306">
        <v>0.85761893780220499</v>
      </c>
      <c r="F2306">
        <v>0.550556345765428</v>
      </c>
      <c r="G2306">
        <v>0.33770968671534701</v>
      </c>
      <c r="H2306">
        <v>0.18981569347820201</v>
      </c>
      <c r="I2306">
        <v>0.160286533565735</v>
      </c>
      <c r="J2306">
        <v>0.13952539109985199</v>
      </c>
      <c r="K2306">
        <v>0.101043074650274</v>
      </c>
      <c r="L2306">
        <v>987.61074964085196</v>
      </c>
      <c r="M2306">
        <v>18.4750162036805</v>
      </c>
      <c r="N2306">
        <v>54.180327697205399</v>
      </c>
      <c r="O2306">
        <v>52.842073599418498</v>
      </c>
      <c r="P2306">
        <v>-7.7852182480200802E-2</v>
      </c>
      <c r="Q2306">
        <v>0.10935135408388399</v>
      </c>
      <c r="R2306">
        <v>0.99445460780902195</v>
      </c>
      <c r="S2306" t="s">
        <v>8132</v>
      </c>
      <c r="T2306" t="s">
        <v>11650</v>
      </c>
      <c r="U2306" t="s">
        <v>11650</v>
      </c>
      <c r="V2306" t="s">
        <v>11650</v>
      </c>
      <c r="W2306" t="s">
        <v>13915</v>
      </c>
      <c r="X2306">
        <v>23</v>
      </c>
      <c r="Y2306" t="s">
        <v>19636</v>
      </c>
      <c r="Z2306" t="s">
        <v>25368</v>
      </c>
      <c r="AA2306">
        <v>0.52272236188310628</v>
      </c>
      <c r="AB2306" t="str">
        <f>HYPERLINK("Melting_Curves/meltCurve_P37802_TAGLN2.pdf", "Melting_Curves/meltCurve_P37802_TAGLN2.pdf")</f>
        <v>Melting_Curves/meltCurve_P37802_TAGLN2.pdf</v>
      </c>
    </row>
    <row r="2307" spans="1:28" x14ac:dyDescent="0.25">
      <c r="A2307" t="s">
        <v>2311</v>
      </c>
      <c r="B2307">
        <v>0.99996721820229495</v>
      </c>
      <c r="C2307">
        <v>0.99386448288037599</v>
      </c>
      <c r="D2307">
        <v>0.97007148263381704</v>
      </c>
      <c r="E2307">
        <v>0.89069459707820398</v>
      </c>
      <c r="F2307">
        <v>0.52418526445846003</v>
      </c>
      <c r="G2307">
        <v>0.37841691379965497</v>
      </c>
      <c r="H2307">
        <v>0.235845784716049</v>
      </c>
      <c r="I2307">
        <v>0.14629481762610899</v>
      </c>
      <c r="J2307">
        <v>9.2335061483380804E-2</v>
      </c>
      <c r="K2307">
        <v>7.5367669233395995E-2</v>
      </c>
      <c r="L2307">
        <v>918.93136454675198</v>
      </c>
      <c r="M2307">
        <v>16.9945405661487</v>
      </c>
      <c r="N2307">
        <v>54.6171580169053</v>
      </c>
      <c r="O2307">
        <v>53.340105204318903</v>
      </c>
      <c r="P2307">
        <v>-7.3444418554701796E-2</v>
      </c>
      <c r="Q2307">
        <v>7.7988447146752099E-2</v>
      </c>
      <c r="R2307">
        <v>0.98726964713665</v>
      </c>
      <c r="S2307" t="s">
        <v>8133</v>
      </c>
      <c r="T2307" t="s">
        <v>11650</v>
      </c>
      <c r="U2307" t="s">
        <v>11650</v>
      </c>
      <c r="V2307" t="s">
        <v>11650</v>
      </c>
      <c r="W2307" t="s">
        <v>13916</v>
      </c>
      <c r="X2307">
        <v>32</v>
      </c>
      <c r="Y2307" t="s">
        <v>19637</v>
      </c>
      <c r="Z2307" t="s">
        <v>25369</v>
      </c>
      <c r="AA2307">
        <v>0.52646870973116799</v>
      </c>
      <c r="AB2307" t="str">
        <f>HYPERLINK("Melting_Curves/meltCurve_P37837_TALDO1.pdf", "Melting_Curves/meltCurve_P37837_TALDO1.pdf")</f>
        <v>Melting_Curves/meltCurve_P37837_TALDO1.pdf</v>
      </c>
    </row>
    <row r="2308" spans="1:28" x14ac:dyDescent="0.25">
      <c r="A2308" t="s">
        <v>2312</v>
      </c>
      <c r="B2308">
        <v>0.99996721820229495</v>
      </c>
      <c r="C2308">
        <v>0.98833335696742797</v>
      </c>
      <c r="D2308">
        <v>0.92608318054609196</v>
      </c>
      <c r="E2308">
        <v>0.90163085897321105</v>
      </c>
      <c r="F2308">
        <v>0.76113181625859905</v>
      </c>
      <c r="G2308">
        <v>0.42082596011512802</v>
      </c>
      <c r="H2308">
        <v>0.230891069925002</v>
      </c>
      <c r="I2308">
        <v>0.12875959416138999</v>
      </c>
      <c r="J2308">
        <v>9.0954024628387406E-2</v>
      </c>
      <c r="K2308">
        <v>7.6089937294541596E-2</v>
      </c>
      <c r="L2308">
        <v>1015.27305914138</v>
      </c>
      <c r="M2308">
        <v>18.173621541228499</v>
      </c>
      <c r="N2308">
        <v>56.183470311267598</v>
      </c>
      <c r="O2308">
        <v>55.201971092688503</v>
      </c>
      <c r="P2308">
        <v>-7.8283187113292602E-2</v>
      </c>
      <c r="Q2308">
        <v>4.8911428105566403E-2</v>
      </c>
      <c r="R2308">
        <v>0.99717310948035498</v>
      </c>
      <c r="S2308" t="s">
        <v>8134</v>
      </c>
      <c r="T2308" t="s">
        <v>11650</v>
      </c>
      <c r="U2308" t="s">
        <v>11650</v>
      </c>
      <c r="V2308" t="s">
        <v>11650</v>
      </c>
      <c r="W2308" t="s">
        <v>13917</v>
      </c>
      <c r="X2308">
        <v>22</v>
      </c>
      <c r="Y2308" t="s">
        <v>19638</v>
      </c>
      <c r="Z2308" t="s">
        <v>25370</v>
      </c>
      <c r="AA2308">
        <v>0.56584023580105436</v>
      </c>
      <c r="AB2308" t="str">
        <f>HYPERLINK("Melting_Curves/meltCurve_P38117_ETFB.pdf", "Melting_Curves/meltCurve_P38117_ETFB.pdf")</f>
        <v>Melting_Curves/meltCurve_P38117_ETFB.pdf</v>
      </c>
    </row>
    <row r="2309" spans="1:28" x14ac:dyDescent="0.25">
      <c r="A2309" t="s">
        <v>2313</v>
      </c>
      <c r="B2309">
        <v>0.99996721820229495</v>
      </c>
      <c r="C2309">
        <v>1.0185637037395501</v>
      </c>
      <c r="D2309">
        <v>0.97403151299348401</v>
      </c>
      <c r="E2309">
        <v>1.0519621477249801</v>
      </c>
      <c r="F2309">
        <v>1.0256158499419299</v>
      </c>
      <c r="G2309">
        <v>0.89740793264751195</v>
      </c>
      <c r="H2309">
        <v>0.59524500741423303</v>
      </c>
      <c r="I2309">
        <v>2.1976815913520298</v>
      </c>
      <c r="J2309">
        <v>0.53914205918899905</v>
      </c>
      <c r="K2309">
        <v>0.458477742829905</v>
      </c>
      <c r="L2309">
        <v>15000</v>
      </c>
      <c r="M2309">
        <v>225.59059267599599</v>
      </c>
      <c r="N2309">
        <v>67.226465407164397</v>
      </c>
      <c r="O2309">
        <v>66.486908856902701</v>
      </c>
      <c r="P2309">
        <v>-0.46021280215375898</v>
      </c>
      <c r="Q2309">
        <v>0.45745740209670199</v>
      </c>
      <c r="R2309">
        <v>0.23643814005247199</v>
      </c>
      <c r="S2309" t="s">
        <v>8135</v>
      </c>
      <c r="T2309" t="s">
        <v>11650</v>
      </c>
      <c r="U2309" t="s">
        <v>11650</v>
      </c>
      <c r="V2309" t="s">
        <v>11650</v>
      </c>
      <c r="W2309" t="s">
        <v>13918</v>
      </c>
      <c r="X2309">
        <v>9</v>
      </c>
      <c r="Y2309" t="s">
        <v>19639</v>
      </c>
      <c r="Z2309" t="s">
        <v>25371</v>
      </c>
      <c r="AA2309">
        <v>0.93663879872295985</v>
      </c>
      <c r="AB2309" t="str">
        <f>HYPERLINK("Melting_Curves/meltCurve_P38159_RBMX.pdf", "Melting_Curves/meltCurve_P38159_RBMX.pdf")</f>
        <v>Melting_Curves/meltCurve_P38159_RBMX.pdf</v>
      </c>
    </row>
    <row r="2310" spans="1:28" x14ac:dyDescent="0.25">
      <c r="A2310" t="s">
        <v>2314</v>
      </c>
      <c r="B2310">
        <v>0.99996721820229495</v>
      </c>
      <c r="C2310">
        <v>0.99309822865770503</v>
      </c>
      <c r="D2310">
        <v>1.0943400424740799</v>
      </c>
      <c r="E2310">
        <v>0.97455205514321397</v>
      </c>
      <c r="F2310">
        <v>0.45932522630196498</v>
      </c>
      <c r="G2310">
        <v>0.36050473300960301</v>
      </c>
      <c r="H2310">
        <v>0.23470160022261199</v>
      </c>
      <c r="I2310">
        <v>0.161674300165183</v>
      </c>
      <c r="J2310">
        <v>0.114097046392392</v>
      </c>
      <c r="K2310">
        <v>9.01131007384363E-2</v>
      </c>
      <c r="L2310">
        <v>2586.9961875020099</v>
      </c>
      <c r="M2310">
        <v>49.345874174380299</v>
      </c>
      <c r="N2310">
        <v>52.923654055996899</v>
      </c>
      <c r="O2310">
        <v>52.339901970033601</v>
      </c>
      <c r="P2310">
        <v>-0.19193361656129199</v>
      </c>
      <c r="Q2310">
        <v>0.18568451831614</v>
      </c>
      <c r="R2310">
        <v>0.96543976842267198</v>
      </c>
      <c r="S2310" t="s">
        <v>8136</v>
      </c>
      <c r="T2310" t="s">
        <v>11650</v>
      </c>
      <c r="U2310" t="s">
        <v>11650</v>
      </c>
      <c r="V2310" t="s">
        <v>11650</v>
      </c>
      <c r="W2310" t="s">
        <v>13919</v>
      </c>
      <c r="X2310">
        <v>6</v>
      </c>
      <c r="Y2310" t="s">
        <v>19640</v>
      </c>
      <c r="Z2310" t="s">
        <v>25372</v>
      </c>
      <c r="AA2310">
        <v>0.52490160215301451</v>
      </c>
      <c r="AB2310" t="str">
        <f>HYPERLINK("Melting_Curves/meltCurve_P38435_GGCX.pdf", "Melting_Curves/meltCurve_P38435_GGCX.pdf")</f>
        <v>Melting_Curves/meltCurve_P38435_GGCX.pdf</v>
      </c>
    </row>
    <row r="2311" spans="1:28" x14ac:dyDescent="0.25">
      <c r="A2311" t="s">
        <v>2315</v>
      </c>
      <c r="B2311">
        <v>0.99996721820229495</v>
      </c>
      <c r="C2311">
        <v>0.95435927174378399</v>
      </c>
      <c r="D2311">
        <v>0.81386146654838298</v>
      </c>
      <c r="E2311">
        <v>0.74399373629062804</v>
      </c>
      <c r="F2311">
        <v>0.87702678956232605</v>
      </c>
      <c r="G2311">
        <v>1.2510854963168401</v>
      </c>
      <c r="H2311">
        <v>0.87314191947711295</v>
      </c>
      <c r="I2311">
        <v>0.27882290368169699</v>
      </c>
      <c r="J2311">
        <v>0.12871111688852199</v>
      </c>
      <c r="K2311">
        <v>9.8286620382212003E-2</v>
      </c>
      <c r="L2311">
        <v>4292.9655331754202</v>
      </c>
      <c r="M2311">
        <v>68.530899133610404</v>
      </c>
      <c r="N2311">
        <v>62.866920916247601</v>
      </c>
      <c r="O2311">
        <v>62.589495017725199</v>
      </c>
      <c r="P2311">
        <v>-0.244062881136073</v>
      </c>
      <c r="Q2311">
        <v>0.108386490253183</v>
      </c>
      <c r="R2311">
        <v>0.87061313463031798</v>
      </c>
      <c r="S2311" t="s">
        <v>8137</v>
      </c>
      <c r="T2311" t="s">
        <v>11650</v>
      </c>
      <c r="U2311" t="s">
        <v>11650</v>
      </c>
      <c r="V2311" t="s">
        <v>11650</v>
      </c>
      <c r="W2311" t="s">
        <v>13920</v>
      </c>
      <c r="X2311">
        <v>28</v>
      </c>
      <c r="Y2311" t="s">
        <v>19641</v>
      </c>
      <c r="Z2311" t="s">
        <v>25373</v>
      </c>
      <c r="AA2311">
        <v>0.78262180350287014</v>
      </c>
      <c r="AB2311" t="str">
        <f>HYPERLINK("Melting_Curves/meltCurve_P38606_ATP6V1A.pdf", "Melting_Curves/meltCurve_P38606_ATP6V1A.pdf")</f>
        <v>Melting_Curves/meltCurve_P38606_ATP6V1A.pdf</v>
      </c>
    </row>
    <row r="2312" spans="1:28" x14ac:dyDescent="0.25">
      <c r="A2312" t="s">
        <v>2316</v>
      </c>
      <c r="B2312">
        <v>0.99996721820229495</v>
      </c>
      <c r="C2312">
        <v>0.979241285947689</v>
      </c>
      <c r="D2312">
        <v>0.96093668827464296</v>
      </c>
      <c r="E2312">
        <v>1.06160360641755</v>
      </c>
      <c r="F2312">
        <v>0.40099139041375298</v>
      </c>
      <c r="G2312">
        <v>0.25107532982118902</v>
      </c>
      <c r="H2312">
        <v>0.13787497530307</v>
      </c>
      <c r="I2312">
        <v>0.158410272449657</v>
      </c>
      <c r="J2312">
        <v>7.2442921726254106E-2</v>
      </c>
      <c r="K2312">
        <v>5.7782356948656501E-2</v>
      </c>
      <c r="L2312">
        <v>13206.870884099801</v>
      </c>
      <c r="M2312">
        <v>250</v>
      </c>
      <c r="N2312">
        <v>52.894373080851501</v>
      </c>
      <c r="O2312">
        <v>52.824117679835197</v>
      </c>
      <c r="P2312">
        <v>-1.02283191510723</v>
      </c>
      <c r="Q2312">
        <v>0.13551714617694399</v>
      </c>
      <c r="R2312">
        <v>0.982604217858429</v>
      </c>
      <c r="S2312" t="s">
        <v>8138</v>
      </c>
      <c r="T2312" t="s">
        <v>11650</v>
      </c>
      <c r="U2312" t="s">
        <v>11650</v>
      </c>
      <c r="V2312" t="s">
        <v>11650</v>
      </c>
      <c r="W2312" t="s">
        <v>13921</v>
      </c>
      <c r="X2312">
        <v>54</v>
      </c>
      <c r="Y2312" t="s">
        <v>19642</v>
      </c>
      <c r="Z2312" t="s">
        <v>25374</v>
      </c>
      <c r="AA2312">
        <v>0.50523527943296653</v>
      </c>
      <c r="AB2312" t="str">
        <f>HYPERLINK("Melting_Curves/meltCurve_P38646_HSPA9.pdf", "Melting_Curves/meltCurve_P38646_HSPA9.pdf")</f>
        <v>Melting_Curves/meltCurve_P38646_HSPA9.pdf</v>
      </c>
    </row>
    <row r="2313" spans="1:28" x14ac:dyDescent="0.25">
      <c r="A2313" t="s">
        <v>2317</v>
      </c>
      <c r="B2313">
        <v>0.99996721820229495</v>
      </c>
      <c r="C2313">
        <v>1.0123066604541999</v>
      </c>
      <c r="D2313">
        <v>1.0125376780727999</v>
      </c>
      <c r="E2313">
        <v>0.819723671398214</v>
      </c>
      <c r="F2313">
        <v>0.68281748157321698</v>
      </c>
      <c r="G2313">
        <v>0.52847278674699605</v>
      </c>
      <c r="H2313">
        <v>0.25711844885118401</v>
      </c>
      <c r="I2313">
        <v>0.28481605247650299</v>
      </c>
      <c r="J2313">
        <v>9.8355520179512906E-2</v>
      </c>
      <c r="K2313">
        <v>7.9608026091581297E-2</v>
      </c>
      <c r="L2313">
        <v>701.55973734982103</v>
      </c>
      <c r="M2313">
        <v>12.325856763660401</v>
      </c>
      <c r="N2313">
        <v>56.917723774888699</v>
      </c>
      <c r="O2313">
        <v>55.4817581477188</v>
      </c>
      <c r="P2313">
        <v>-5.5552185710153301E-2</v>
      </c>
      <c r="Q2313">
        <v>0</v>
      </c>
      <c r="R2313">
        <v>0.98608992931628003</v>
      </c>
      <c r="S2313" t="s">
        <v>8139</v>
      </c>
      <c r="T2313" t="s">
        <v>11650</v>
      </c>
      <c r="U2313" t="s">
        <v>11650</v>
      </c>
      <c r="V2313" t="s">
        <v>11650</v>
      </c>
      <c r="W2313" t="s">
        <v>13922</v>
      </c>
      <c r="X2313">
        <v>22</v>
      </c>
      <c r="Y2313" t="s">
        <v>19643</v>
      </c>
      <c r="Z2313" t="s">
        <v>25375</v>
      </c>
      <c r="AA2313">
        <v>0.58104775158463917</v>
      </c>
      <c r="AB2313" t="str">
        <f>HYPERLINK("Melting_Curves/meltCurve_P38919_EIF4A3.pdf", "Melting_Curves/meltCurve_P38919_EIF4A3.pdf")</f>
        <v>Melting_Curves/meltCurve_P38919_EIF4A3.pdf</v>
      </c>
    </row>
    <row r="2314" spans="1:28" x14ac:dyDescent="0.25">
      <c r="A2314" t="s">
        <v>2318</v>
      </c>
      <c r="B2314">
        <v>0.99996721820229495</v>
      </c>
      <c r="C2314">
        <v>1.02391300748</v>
      </c>
      <c r="D2314">
        <v>1.06411188745497</v>
      </c>
      <c r="E2314">
        <v>1.10281455889332</v>
      </c>
      <c r="F2314">
        <v>1.1337575086947</v>
      </c>
      <c r="G2314">
        <v>1.13307951901423</v>
      </c>
      <c r="H2314">
        <v>0.76472955794840602</v>
      </c>
      <c r="I2314">
        <v>0.69224227707861397</v>
      </c>
      <c r="J2314">
        <v>0.50712622646428995</v>
      </c>
      <c r="K2314">
        <v>0.57571947229152498</v>
      </c>
      <c r="L2314">
        <v>2872.2608454958699</v>
      </c>
      <c r="M2314">
        <v>46.823900512748303</v>
      </c>
      <c r="O2314">
        <v>61.230199371930603</v>
      </c>
      <c r="P2314">
        <v>-8.3670853901204004E-2</v>
      </c>
      <c r="Q2314">
        <v>0.56234513538469599</v>
      </c>
      <c r="R2314">
        <v>0.87366884503267805</v>
      </c>
      <c r="S2314" t="s">
        <v>8140</v>
      </c>
      <c r="T2314" t="s">
        <v>11650</v>
      </c>
      <c r="U2314" t="s">
        <v>11650</v>
      </c>
      <c r="V2314" t="s">
        <v>11650</v>
      </c>
      <c r="W2314" t="s">
        <v>13923</v>
      </c>
      <c r="X2314">
        <v>12</v>
      </c>
      <c r="Y2314" t="s">
        <v>19644</v>
      </c>
      <c r="Z2314" t="s">
        <v>25376</v>
      </c>
      <c r="AA2314">
        <v>0.87496093534690356</v>
      </c>
      <c r="AB2314" t="str">
        <f>HYPERLINK("Melting_Curves/meltCurve_P39019_RPS19.pdf", "Melting_Curves/meltCurve_P39019_RPS19.pdf")</f>
        <v>Melting_Curves/meltCurve_P39019_RPS19.pdf</v>
      </c>
    </row>
    <row r="2315" spans="1:28" x14ac:dyDescent="0.25">
      <c r="A2315" t="s">
        <v>2319</v>
      </c>
      <c r="B2315">
        <v>0.99996721820229495</v>
      </c>
      <c r="C2315">
        <v>0.75522724447045997</v>
      </c>
      <c r="D2315">
        <v>0.62909373971153204</v>
      </c>
      <c r="E2315">
        <v>1.24316647067956</v>
      </c>
      <c r="F2315">
        <v>1.4510403151807301</v>
      </c>
      <c r="G2315">
        <v>1.07986935795702</v>
      </c>
      <c r="H2315">
        <v>0.78628292324326599</v>
      </c>
      <c r="I2315">
        <v>0.96064593489962202</v>
      </c>
      <c r="J2315">
        <v>0.56042246857870304</v>
      </c>
      <c r="K2315">
        <v>0.56276977785934501</v>
      </c>
      <c r="L2315">
        <v>15000</v>
      </c>
      <c r="M2315">
        <v>232.058549209435</v>
      </c>
      <c r="O2315">
        <v>64.634035216512004</v>
      </c>
      <c r="P2315">
        <v>-0.39356016020929102</v>
      </c>
      <c r="Q2315">
        <v>0.56153495412920396</v>
      </c>
      <c r="R2315">
        <v>0.36278637112693701</v>
      </c>
      <c r="S2315" t="s">
        <v>8141</v>
      </c>
      <c r="T2315" t="s">
        <v>11650</v>
      </c>
      <c r="U2315" t="s">
        <v>11650</v>
      </c>
      <c r="V2315" t="s">
        <v>11650</v>
      </c>
      <c r="W2315" t="s">
        <v>13924</v>
      </c>
      <c r="X2315">
        <v>6</v>
      </c>
      <c r="Y2315" t="s">
        <v>19645</v>
      </c>
      <c r="Z2315" t="s">
        <v>25377</v>
      </c>
      <c r="AA2315">
        <v>0.92170197546081911</v>
      </c>
      <c r="AB2315" t="str">
        <f>HYPERLINK("Melting_Curves/meltCurve_P39023_RPL3.pdf", "Melting_Curves/meltCurve_P39023_RPL3.pdf")</f>
        <v>Melting_Curves/meltCurve_P39023_RPL3.pdf</v>
      </c>
    </row>
    <row r="2316" spans="1:28" x14ac:dyDescent="0.25">
      <c r="A2316" t="s">
        <v>2320</v>
      </c>
      <c r="B2316">
        <v>0.99996721820229495</v>
      </c>
      <c r="C2316">
        <v>1.0767890326484499</v>
      </c>
      <c r="D2316">
        <v>1.2245999179654901</v>
      </c>
      <c r="E2316">
        <v>1.37929901671118</v>
      </c>
      <c r="F2316">
        <v>1.2090310435151099</v>
      </c>
      <c r="G2316">
        <v>0.852996937845656</v>
      </c>
      <c r="H2316">
        <v>0.47767104529175802</v>
      </c>
      <c r="I2316">
        <v>0.25197537051285002</v>
      </c>
      <c r="J2316">
        <v>0.14053705918232701</v>
      </c>
      <c r="K2316">
        <v>0.19589945803952699</v>
      </c>
      <c r="L2316">
        <v>2191.1982438733698</v>
      </c>
      <c r="M2316">
        <v>36.489295961159897</v>
      </c>
      <c r="N2316">
        <v>60.707673698169003</v>
      </c>
      <c r="O2316">
        <v>59.870926089537498</v>
      </c>
      <c r="P2316">
        <v>-0.12750464544623799</v>
      </c>
      <c r="Q2316">
        <v>0.163173839867161</v>
      </c>
      <c r="R2316">
        <v>0.87437081581088505</v>
      </c>
      <c r="S2316" t="s">
        <v>8142</v>
      </c>
      <c r="T2316" t="s">
        <v>11650</v>
      </c>
      <c r="U2316" t="s">
        <v>11650</v>
      </c>
      <c r="V2316" t="s">
        <v>11650</v>
      </c>
      <c r="W2316" t="s">
        <v>13925</v>
      </c>
      <c r="X2316">
        <v>5</v>
      </c>
      <c r="Y2316" t="s">
        <v>19646</v>
      </c>
      <c r="Z2316" t="s">
        <v>25378</v>
      </c>
      <c r="AA2316">
        <v>0.72627519617936198</v>
      </c>
      <c r="AB2316" t="str">
        <f>HYPERLINK("Melting_Curves/meltCurve_P39059_COL15A1.pdf", "Melting_Curves/meltCurve_P39059_COL15A1.pdf")</f>
        <v>Melting_Curves/meltCurve_P39059_COL15A1.pdf</v>
      </c>
    </row>
    <row r="2317" spans="1:28" x14ac:dyDescent="0.25">
      <c r="A2317" t="s">
        <v>2321</v>
      </c>
      <c r="B2317">
        <v>0.99996721820229495</v>
      </c>
      <c r="C2317">
        <v>0.94211306397503003</v>
      </c>
      <c r="D2317">
        <v>0.93779497331523898</v>
      </c>
      <c r="E2317">
        <v>1.05137648555844</v>
      </c>
      <c r="F2317">
        <v>1.14133537292942</v>
      </c>
      <c r="G2317">
        <v>0.961092172406248</v>
      </c>
      <c r="H2317">
        <v>0.61427702270123496</v>
      </c>
      <c r="I2317">
        <v>0.38987055061013998</v>
      </c>
      <c r="J2317">
        <v>0.35854002347596298</v>
      </c>
      <c r="K2317">
        <v>0.348498566389357</v>
      </c>
      <c r="L2317">
        <v>2949.8193981148102</v>
      </c>
      <c r="M2317">
        <v>48.7426624834102</v>
      </c>
      <c r="N2317">
        <v>62.0455152287483</v>
      </c>
      <c r="O2317">
        <v>60.416606943074001</v>
      </c>
      <c r="P2317">
        <v>-0.13122703169357999</v>
      </c>
      <c r="Q2317">
        <v>0.34937601566520998</v>
      </c>
      <c r="R2317">
        <v>0.965772051655712</v>
      </c>
      <c r="S2317" t="s">
        <v>8143</v>
      </c>
      <c r="T2317" t="s">
        <v>11650</v>
      </c>
      <c r="U2317" t="s">
        <v>11650</v>
      </c>
      <c r="V2317" t="s">
        <v>11650</v>
      </c>
      <c r="W2317" t="s">
        <v>13926</v>
      </c>
      <c r="X2317">
        <v>2</v>
      </c>
      <c r="Y2317" t="s">
        <v>19647</v>
      </c>
      <c r="Z2317" t="s">
        <v>25379</v>
      </c>
      <c r="AA2317">
        <v>0.79614108821941543</v>
      </c>
      <c r="AB2317" t="str">
        <f>HYPERLINK("Melting_Curves/meltCurve_P39060_2_COL18A1.pdf", "Melting_Curves/meltCurve_P39060_2_COL18A1.pdf")</f>
        <v>Melting_Curves/meltCurve_P39060_2_COL18A1.pdf</v>
      </c>
    </row>
    <row r="2318" spans="1:28" x14ac:dyDescent="0.25">
      <c r="A2318" t="s">
        <v>2322</v>
      </c>
      <c r="B2318">
        <v>0.99996721820229495</v>
      </c>
      <c r="C2318">
        <v>0.78432481781411301</v>
      </c>
      <c r="D2318">
        <v>1.0653047888207501</v>
      </c>
      <c r="E2318">
        <v>1.26875292535253</v>
      </c>
      <c r="F2318">
        <v>0.61298814683615699</v>
      </c>
      <c r="G2318">
        <v>0.316289116167837</v>
      </c>
      <c r="H2318">
        <v>0.159174460644817</v>
      </c>
      <c r="I2318">
        <v>7.8321018631722403E-2</v>
      </c>
      <c r="J2318">
        <v>3.97607129827387E-2</v>
      </c>
      <c r="K2318">
        <v>4.3107580880946801E-2</v>
      </c>
      <c r="L2318">
        <v>1828.5621029963099</v>
      </c>
      <c r="M2318">
        <v>33.574036655998498</v>
      </c>
      <c r="N2318">
        <v>54.748365245460398</v>
      </c>
      <c r="O2318">
        <v>54.271444517762703</v>
      </c>
      <c r="P2318">
        <v>-0.142266865326831</v>
      </c>
      <c r="Q2318">
        <v>8.0122995705643504E-2</v>
      </c>
      <c r="R2318">
        <v>0.91183524109912895</v>
      </c>
      <c r="S2318" t="s">
        <v>8144</v>
      </c>
      <c r="T2318" t="s">
        <v>11650</v>
      </c>
      <c r="U2318" t="s">
        <v>11650</v>
      </c>
      <c r="V2318" t="s">
        <v>11650</v>
      </c>
      <c r="W2318" t="s">
        <v>13927</v>
      </c>
      <c r="X2318">
        <v>9</v>
      </c>
      <c r="Y2318" t="s">
        <v>19648</v>
      </c>
      <c r="Z2318" t="s">
        <v>25380</v>
      </c>
      <c r="AA2318">
        <v>0.52849717102797678</v>
      </c>
      <c r="AB2318" t="str">
        <f>HYPERLINK("Melting_Curves/meltCurve_P39656_DDOST.pdf", "Melting_Curves/meltCurve_P39656_DDOST.pdf")</f>
        <v>Melting_Curves/meltCurve_P39656_DDOST.pdf</v>
      </c>
    </row>
    <row r="2319" spans="1:28" x14ac:dyDescent="0.25">
      <c r="A2319" t="s">
        <v>2323</v>
      </c>
      <c r="B2319">
        <v>0.99996721820229495</v>
      </c>
      <c r="C2319">
        <v>1.00138713809538</v>
      </c>
      <c r="D2319">
        <v>0.97219757495385195</v>
      </c>
      <c r="E2319">
        <v>1.15108745198447</v>
      </c>
      <c r="F2319">
        <v>1.48160809338663</v>
      </c>
      <c r="G2319">
        <v>1.4397583799150899</v>
      </c>
      <c r="H2319">
        <v>1.0594944568887701</v>
      </c>
      <c r="I2319">
        <v>1.02458510410427</v>
      </c>
      <c r="J2319">
        <v>0.79620794666625305</v>
      </c>
      <c r="K2319">
        <v>0.65007515933604998</v>
      </c>
      <c r="L2319">
        <v>15000</v>
      </c>
      <c r="M2319">
        <v>224.213009584844</v>
      </c>
      <c r="O2319">
        <v>66.895321699191101</v>
      </c>
      <c r="P2319">
        <v>-0.293226042803651</v>
      </c>
      <c r="Q2319">
        <v>0.65005675035981503</v>
      </c>
      <c r="R2319">
        <v>0.22396232700313601</v>
      </c>
      <c r="S2319" t="s">
        <v>8145</v>
      </c>
      <c r="T2319" t="s">
        <v>11650</v>
      </c>
      <c r="U2319" t="s">
        <v>11650</v>
      </c>
      <c r="V2319" t="s">
        <v>11650</v>
      </c>
      <c r="W2319" t="s">
        <v>13928</v>
      </c>
      <c r="X2319">
        <v>14</v>
      </c>
      <c r="Y2319" t="s">
        <v>19649</v>
      </c>
      <c r="Z2319" t="s">
        <v>25381</v>
      </c>
      <c r="AA2319">
        <v>0.96389787958896733</v>
      </c>
      <c r="AB2319" t="str">
        <f>HYPERLINK("Melting_Curves/meltCurve_P39687_ANP32A.pdf", "Melting_Curves/meltCurve_P39687_ANP32A.pdf")</f>
        <v>Melting_Curves/meltCurve_P39687_ANP32A.pdf</v>
      </c>
    </row>
    <row r="2320" spans="1:28" x14ac:dyDescent="0.25">
      <c r="A2320" t="s">
        <v>2324</v>
      </c>
      <c r="B2320">
        <v>0.99996721820229495</v>
      </c>
      <c r="C2320">
        <v>1.04029639412594</v>
      </c>
      <c r="D2320">
        <v>0.781263947093637</v>
      </c>
      <c r="E2320">
        <v>0.51020557047868897</v>
      </c>
      <c r="F2320">
        <v>0.40096755805161599</v>
      </c>
      <c r="G2320">
        <v>0.31273131023790302</v>
      </c>
      <c r="H2320">
        <v>0.20062194974401701</v>
      </c>
      <c r="I2320">
        <v>0.13794577301206401</v>
      </c>
      <c r="J2320">
        <v>8.0782458612341401E-2</v>
      </c>
      <c r="K2320">
        <v>6.6848128019151298E-2</v>
      </c>
      <c r="L2320">
        <v>679.64098057901401</v>
      </c>
      <c r="M2320">
        <v>13.4439753702397</v>
      </c>
      <c r="N2320">
        <v>51.227941851460102</v>
      </c>
      <c r="O2320">
        <v>49.474351830541899</v>
      </c>
      <c r="P2320">
        <v>-6.2434235471441897E-2</v>
      </c>
      <c r="Q2320">
        <v>8.11007746358543E-2</v>
      </c>
      <c r="R2320">
        <v>0.97775055527731902</v>
      </c>
      <c r="S2320" t="s">
        <v>8146</v>
      </c>
      <c r="T2320" t="s">
        <v>11650</v>
      </c>
      <c r="U2320" t="s">
        <v>11650</v>
      </c>
      <c r="V2320" t="s">
        <v>11650</v>
      </c>
      <c r="W2320" t="s">
        <v>13929</v>
      </c>
      <c r="X2320">
        <v>7</v>
      </c>
      <c r="Y2320" t="s">
        <v>19650</v>
      </c>
      <c r="Z2320" t="s">
        <v>25382</v>
      </c>
      <c r="AA2320">
        <v>0.43017273243574827</v>
      </c>
      <c r="AB2320" t="str">
        <f>HYPERLINK("Melting_Curves/meltCurve_P39748_FEN1.pdf", "Melting_Curves/meltCurve_P39748_FEN1.pdf")</f>
        <v>Melting_Curves/meltCurve_P39748_FEN1.pdf</v>
      </c>
    </row>
    <row r="2321" spans="1:28" x14ac:dyDescent="0.25">
      <c r="A2321" t="s">
        <v>2325</v>
      </c>
      <c r="B2321">
        <v>0.99996721820229495</v>
      </c>
      <c r="C2321">
        <v>1.05760656638068</v>
      </c>
      <c r="D2321">
        <v>0.985095868064224</v>
      </c>
      <c r="E2321">
        <v>0.77067254871992397</v>
      </c>
      <c r="F2321">
        <v>0.29360018757082101</v>
      </c>
      <c r="G2321">
        <v>0.230706857870529</v>
      </c>
      <c r="H2321">
        <v>0.13806224965260699</v>
      </c>
      <c r="I2321">
        <v>0.10038893027276601</v>
      </c>
      <c r="J2321">
        <v>7.40949520512377E-2</v>
      </c>
      <c r="K2321">
        <v>5.5592390973158497E-2</v>
      </c>
      <c r="L2321">
        <v>1886.5409919761</v>
      </c>
      <c r="M2321">
        <v>36.755344528553501</v>
      </c>
      <c r="N2321">
        <v>51.677947441460702</v>
      </c>
      <c r="O2321">
        <v>51.175757405442504</v>
      </c>
      <c r="P2321">
        <v>-0.15972260541025199</v>
      </c>
      <c r="Q2321">
        <v>0.11045299913199</v>
      </c>
      <c r="R2321">
        <v>0.98837929085824305</v>
      </c>
      <c r="S2321" t="s">
        <v>8147</v>
      </c>
      <c r="T2321" t="s">
        <v>11650</v>
      </c>
      <c r="U2321" t="s">
        <v>11650</v>
      </c>
      <c r="V2321" t="s">
        <v>11650</v>
      </c>
      <c r="W2321" t="s">
        <v>13930</v>
      </c>
      <c r="X2321">
        <v>17</v>
      </c>
      <c r="Y2321" t="s">
        <v>19651</v>
      </c>
      <c r="Z2321" t="s">
        <v>25383</v>
      </c>
      <c r="AA2321">
        <v>0.45005699111511588</v>
      </c>
      <c r="AB2321" t="str">
        <f>HYPERLINK("Melting_Curves/meltCurve_P40121_CAPG.pdf", "Melting_Curves/meltCurve_P40121_CAPG.pdf")</f>
        <v>Melting_Curves/meltCurve_P40121_CAPG.pdf</v>
      </c>
    </row>
    <row r="2322" spans="1:28" x14ac:dyDescent="0.25">
      <c r="A2322" t="s">
        <v>2326</v>
      </c>
      <c r="B2322">
        <v>0.99996721820229495</v>
      </c>
      <c r="C2322">
        <v>0.965781670307575</v>
      </c>
      <c r="D2322">
        <v>0.99078835161448597</v>
      </c>
      <c r="E2322">
        <v>1.01792114736612</v>
      </c>
      <c r="F2322">
        <v>0.887438806701077</v>
      </c>
      <c r="G2322">
        <v>0.863343820307376</v>
      </c>
      <c r="H2322">
        <v>0.58914728787404402</v>
      </c>
      <c r="I2322">
        <v>0.43686535487554501</v>
      </c>
      <c r="J2322">
        <v>0.33250970794582502</v>
      </c>
      <c r="K2322">
        <v>0.31994926292081</v>
      </c>
      <c r="L2322">
        <v>1221.2995676948301</v>
      </c>
      <c r="M2322">
        <v>20.217897327638799</v>
      </c>
      <c r="N2322">
        <v>62.6829079337625</v>
      </c>
      <c r="O2322">
        <v>59.825198902699498</v>
      </c>
      <c r="P2322">
        <v>-6.2519498591584496E-2</v>
      </c>
      <c r="Q2322">
        <v>0.26003683999223698</v>
      </c>
      <c r="R2322">
        <v>0.98830345002590403</v>
      </c>
      <c r="S2322" t="s">
        <v>8148</v>
      </c>
      <c r="T2322" t="s">
        <v>11650</v>
      </c>
      <c r="U2322" t="s">
        <v>11650</v>
      </c>
      <c r="V2322" t="s">
        <v>11650</v>
      </c>
      <c r="W2322" t="s">
        <v>13931</v>
      </c>
      <c r="X2322">
        <v>13</v>
      </c>
      <c r="Y2322" t="s">
        <v>19652</v>
      </c>
      <c r="Z2322" t="s">
        <v>25384</v>
      </c>
      <c r="AA2322">
        <v>0.76894393118842308</v>
      </c>
      <c r="AB2322" t="str">
        <f>HYPERLINK("Melting_Curves/meltCurve_P40189_IL6ST.pdf", "Melting_Curves/meltCurve_P40189_IL6ST.pdf")</f>
        <v>Melting_Curves/meltCurve_P40189_IL6ST.pdf</v>
      </c>
    </row>
    <row r="2323" spans="1:28" x14ac:dyDescent="0.25">
      <c r="A2323" t="s">
        <v>2327</v>
      </c>
      <c r="B2323">
        <v>0.99996721820229495</v>
      </c>
      <c r="C2323">
        <v>0.95481738735481503</v>
      </c>
      <c r="D2323">
        <v>0.859384031832783</v>
      </c>
      <c r="E2323">
        <v>0.87611456407128796</v>
      </c>
      <c r="F2323">
        <v>0.66501719124277803</v>
      </c>
      <c r="G2323">
        <v>0.57674257406352103</v>
      </c>
      <c r="H2323">
        <v>0.35673110142304498</v>
      </c>
      <c r="I2323">
        <v>0.26274126506805801</v>
      </c>
      <c r="J2323">
        <v>0.21473485673657999</v>
      </c>
      <c r="K2323">
        <v>0.16858220656836101</v>
      </c>
      <c r="L2323">
        <v>552.72263021812103</v>
      </c>
      <c r="M2323">
        <v>9.5637865165711293</v>
      </c>
      <c r="N2323">
        <v>57.793283986698803</v>
      </c>
      <c r="O2323">
        <v>55.435882109399003</v>
      </c>
      <c r="P2323">
        <v>-4.3154816684481803E-2</v>
      </c>
      <c r="Q2323">
        <v>0</v>
      </c>
      <c r="R2323">
        <v>0.987268018196925</v>
      </c>
      <c r="S2323" t="s">
        <v>8149</v>
      </c>
      <c r="T2323" t="s">
        <v>11650</v>
      </c>
      <c r="U2323" t="s">
        <v>11650</v>
      </c>
      <c r="V2323" t="s">
        <v>11650</v>
      </c>
      <c r="W2323" t="s">
        <v>13932</v>
      </c>
      <c r="X2323">
        <v>28</v>
      </c>
      <c r="Y2323" t="s">
        <v>19653</v>
      </c>
      <c r="Z2323" t="s">
        <v>25385</v>
      </c>
      <c r="AA2323">
        <v>0.60338063112307494</v>
      </c>
      <c r="AB2323" t="str">
        <f>HYPERLINK("Melting_Curves/meltCurve_P40222_TXLNA.pdf", "Melting_Curves/meltCurve_P40222_TXLNA.pdf")</f>
        <v>Melting_Curves/meltCurve_P40222_TXLNA.pdf</v>
      </c>
    </row>
    <row r="2324" spans="1:28" x14ac:dyDescent="0.25">
      <c r="A2324" t="s">
        <v>2328</v>
      </c>
      <c r="B2324">
        <v>0.99996721820229495</v>
      </c>
      <c r="C2324">
        <v>0.96780916310395104</v>
      </c>
      <c r="D2324">
        <v>0.93349522876741098</v>
      </c>
      <c r="E2324">
        <v>1.1236323973504401</v>
      </c>
      <c r="F2324">
        <v>1.40580663203472</v>
      </c>
      <c r="G2324">
        <v>2.5545790708645799</v>
      </c>
      <c r="H2324">
        <v>1.3588084088403101</v>
      </c>
      <c r="I2324">
        <v>0.321295051729661</v>
      </c>
      <c r="J2324">
        <v>0.12653216837944101</v>
      </c>
      <c r="K2324">
        <v>0.12174048750595499</v>
      </c>
      <c r="L2324">
        <v>15000</v>
      </c>
      <c r="M2324">
        <v>235.61059561392301</v>
      </c>
      <c r="N2324">
        <v>63.741578730417501</v>
      </c>
      <c r="O2324">
        <v>63.6597827663403</v>
      </c>
      <c r="P2324">
        <v>-0.81043530147538501</v>
      </c>
      <c r="Q2324">
        <v>0.124111802192289</v>
      </c>
      <c r="R2324">
        <v>0.42203624635536202</v>
      </c>
      <c r="S2324" t="s">
        <v>8150</v>
      </c>
      <c r="T2324" t="s">
        <v>11650</v>
      </c>
      <c r="U2324" t="s">
        <v>11650</v>
      </c>
      <c r="V2324" t="s">
        <v>11650</v>
      </c>
      <c r="W2324" t="s">
        <v>13933</v>
      </c>
      <c r="X2324">
        <v>24</v>
      </c>
      <c r="Y2324" t="s">
        <v>19654</v>
      </c>
      <c r="Z2324" t="s">
        <v>25386</v>
      </c>
      <c r="AA2324">
        <v>0.81513338309059558</v>
      </c>
      <c r="AB2324" t="str">
        <f>HYPERLINK("Melting_Curves/meltCurve_P40227_CCT6A.pdf", "Melting_Curves/meltCurve_P40227_CCT6A.pdf")</f>
        <v>Melting_Curves/meltCurve_P40227_CCT6A.pdf</v>
      </c>
    </row>
    <row r="2325" spans="1:28" x14ac:dyDescent="0.25">
      <c r="A2325" t="s">
        <v>2329</v>
      </c>
      <c r="B2325">
        <v>0.99996721820229495</v>
      </c>
      <c r="C2325">
        <v>1.04364936650611</v>
      </c>
      <c r="D2325">
        <v>0.96730033109525904</v>
      </c>
      <c r="E2325">
        <v>0.88291019556668704</v>
      </c>
      <c r="F2325">
        <v>0.62245782281334505</v>
      </c>
      <c r="G2325">
        <v>0.26362152905212899</v>
      </c>
      <c r="H2325">
        <v>0.133801273103898</v>
      </c>
      <c r="I2325">
        <v>9.1338673281317201E-2</v>
      </c>
      <c r="J2325">
        <v>7.2411248666841704E-2</v>
      </c>
      <c r="K2325">
        <v>5.7147407920799802E-2</v>
      </c>
      <c r="L2325">
        <v>1276.88437543997</v>
      </c>
      <c r="M2325">
        <v>23.683530907939598</v>
      </c>
      <c r="N2325">
        <v>54.231868995605602</v>
      </c>
      <c r="O2325">
        <v>53.534491251836997</v>
      </c>
      <c r="P2325">
        <v>-0.103442888804675</v>
      </c>
      <c r="Q2325">
        <v>6.4722536817205495E-2</v>
      </c>
      <c r="R2325">
        <v>0.99828873837431398</v>
      </c>
      <c r="S2325" t="s">
        <v>8151</v>
      </c>
      <c r="T2325" t="s">
        <v>11650</v>
      </c>
      <c r="U2325" t="s">
        <v>11650</v>
      </c>
      <c r="V2325" t="s">
        <v>11650</v>
      </c>
      <c r="W2325" t="s">
        <v>13934</v>
      </c>
      <c r="X2325">
        <v>15</v>
      </c>
      <c r="Y2325" t="s">
        <v>19655</v>
      </c>
      <c r="Z2325" t="s">
        <v>25387</v>
      </c>
      <c r="AA2325">
        <v>0.50805844511673359</v>
      </c>
      <c r="AB2325" t="str">
        <f>HYPERLINK("Melting_Curves/meltCurve_P40261_NNMT.pdf", "Melting_Curves/meltCurve_P40261_NNMT.pdf")</f>
        <v>Melting_Curves/meltCurve_P40261_NNMT.pdf</v>
      </c>
    </row>
    <row r="2326" spans="1:28" x14ac:dyDescent="0.25">
      <c r="A2326" t="s">
        <v>2330</v>
      </c>
      <c r="B2326">
        <v>0.99996721820229495</v>
      </c>
      <c r="C2326">
        <v>0.90881127582324595</v>
      </c>
      <c r="D2326">
        <v>0.91103059250622798</v>
      </c>
      <c r="E2326">
        <v>1.04820261465013</v>
      </c>
      <c r="F2326">
        <v>1.74632456416867</v>
      </c>
      <c r="G2326">
        <v>3.6501904638554499</v>
      </c>
      <c r="H2326">
        <v>4.2811616604037397</v>
      </c>
      <c r="I2326">
        <v>2.2971364915244399</v>
      </c>
      <c r="J2326">
        <v>0.40809106973715598</v>
      </c>
      <c r="K2326">
        <v>1.4976031884396599</v>
      </c>
      <c r="L2326">
        <v>12611.872960196601</v>
      </c>
      <c r="M2326">
        <v>250</v>
      </c>
      <c r="O2326">
        <v>50.444273127595203</v>
      </c>
      <c r="P2326">
        <v>0.619495614139698</v>
      </c>
      <c r="Q2326">
        <v>1.5</v>
      </c>
      <c r="R2326">
        <v>2.5876478862737098E-2</v>
      </c>
      <c r="S2326" t="s">
        <v>8152</v>
      </c>
      <c r="T2326" t="s">
        <v>11650</v>
      </c>
      <c r="U2326" t="s">
        <v>11650</v>
      </c>
      <c r="V2326" t="s">
        <v>11650</v>
      </c>
      <c r="W2326" t="s">
        <v>13935</v>
      </c>
      <c r="X2326">
        <v>2</v>
      </c>
      <c r="Y2326" t="s">
        <v>19656</v>
      </c>
      <c r="Z2326" t="s">
        <v>25388</v>
      </c>
      <c r="AA2326">
        <v>1.325830868705371</v>
      </c>
      <c r="AB2326" t="str">
        <f>HYPERLINK("Melting_Curves/meltCurve_P40306_PSMB10.pdf", "Melting_Curves/meltCurve_P40306_PSMB10.pdf")</f>
        <v>Melting_Curves/meltCurve_P40306_PSMB10.pdf</v>
      </c>
    </row>
    <row r="2327" spans="1:28" x14ac:dyDescent="0.25">
      <c r="A2327" t="s">
        <v>2331</v>
      </c>
      <c r="B2327">
        <v>0.99996721820229495</v>
      </c>
      <c r="C2327">
        <v>1.0712947272442901</v>
      </c>
      <c r="D2327">
        <v>1.0424008622409999</v>
      </c>
      <c r="E2327">
        <v>0.710532097700039</v>
      </c>
      <c r="F2327">
        <v>0.47777891558450802</v>
      </c>
      <c r="G2327">
        <v>0.33314318832301298</v>
      </c>
      <c r="H2327">
        <v>0.171458103544291</v>
      </c>
      <c r="I2327">
        <v>0.12820164965193301</v>
      </c>
      <c r="J2327">
        <v>0.11678677153831001</v>
      </c>
      <c r="K2327">
        <v>0.106301604745811</v>
      </c>
      <c r="L2327">
        <v>1032.4602397346</v>
      </c>
      <c r="M2327">
        <v>19.709526971487801</v>
      </c>
      <c r="N2327">
        <v>53.096480706301897</v>
      </c>
      <c r="O2327">
        <v>51.853501552966001</v>
      </c>
      <c r="P2327">
        <v>-8.3984154142048004E-2</v>
      </c>
      <c r="Q2327">
        <v>0.11621982871592799</v>
      </c>
      <c r="R2327">
        <v>0.98399547896551198</v>
      </c>
      <c r="S2327" t="s">
        <v>8153</v>
      </c>
      <c r="T2327" t="s">
        <v>11650</v>
      </c>
      <c r="U2327" t="s">
        <v>11650</v>
      </c>
      <c r="V2327" t="s">
        <v>11650</v>
      </c>
      <c r="W2327" t="s">
        <v>13936</v>
      </c>
      <c r="X2327">
        <v>31</v>
      </c>
      <c r="Y2327" t="s">
        <v>19657</v>
      </c>
      <c r="Z2327" t="s">
        <v>25389</v>
      </c>
      <c r="AA2327">
        <v>0.49356396301500971</v>
      </c>
      <c r="AB2327" t="str">
        <f>HYPERLINK("Melting_Curves/meltCurve_P40763_STAT3.pdf", "Melting_Curves/meltCurve_P40763_STAT3.pdf")</f>
        <v>Melting_Curves/meltCurve_P40763_STAT3.pdf</v>
      </c>
    </row>
    <row r="2328" spans="1:28" x14ac:dyDescent="0.25">
      <c r="A2328" t="s">
        <v>2332</v>
      </c>
      <c r="B2328">
        <v>0.99996721820229495</v>
      </c>
      <c r="C2328">
        <v>0.95417806882718403</v>
      </c>
      <c r="D2328">
        <v>0.81987976896094505</v>
      </c>
      <c r="E2328">
        <v>0.33796107214640297</v>
      </c>
      <c r="F2328">
        <v>0.31009812672428</v>
      </c>
      <c r="G2328">
        <v>0.262349767050993</v>
      </c>
      <c r="H2328">
        <v>0.17269387690486299</v>
      </c>
      <c r="I2328">
        <v>0.12579139844485099</v>
      </c>
      <c r="J2328">
        <v>8.2684713437490703E-2</v>
      </c>
      <c r="K2328">
        <v>7.5346632982381798E-2</v>
      </c>
      <c r="L2328">
        <v>1007.91303946608</v>
      </c>
      <c r="M2328">
        <v>20.8389018083986</v>
      </c>
      <c r="N2328">
        <v>49.091506261689403</v>
      </c>
      <c r="O2328">
        <v>47.928105967312902</v>
      </c>
      <c r="P2328">
        <v>-9.4310568389911698E-2</v>
      </c>
      <c r="Q2328">
        <v>0.13239151509856101</v>
      </c>
      <c r="R2328">
        <v>0.97623882887600899</v>
      </c>
      <c r="S2328" t="s">
        <v>8154</v>
      </c>
      <c r="T2328" t="s">
        <v>11650</v>
      </c>
      <c r="U2328" t="s">
        <v>11650</v>
      </c>
      <c r="V2328" t="s">
        <v>11650</v>
      </c>
      <c r="W2328" t="s">
        <v>13937</v>
      </c>
      <c r="X2328">
        <v>18</v>
      </c>
      <c r="Y2328" t="s">
        <v>19658</v>
      </c>
      <c r="Z2328" t="s">
        <v>25390</v>
      </c>
      <c r="AA2328">
        <v>0.38560407608088648</v>
      </c>
      <c r="AB2328" t="str">
        <f>HYPERLINK("Melting_Curves/meltCurve_P40818_USP8.pdf", "Melting_Curves/meltCurve_P40818_USP8.pdf")</f>
        <v>Melting_Curves/meltCurve_P40818_USP8.pdf</v>
      </c>
    </row>
    <row r="2329" spans="1:28" x14ac:dyDescent="0.25">
      <c r="A2329" t="s">
        <v>2333</v>
      </c>
      <c r="B2329">
        <v>0.99996721820229495</v>
      </c>
      <c r="C2329">
        <v>0.90124338305729801</v>
      </c>
      <c r="D2329">
        <v>0.877036631710434</v>
      </c>
      <c r="E2329">
        <v>0.99442870551199603</v>
      </c>
      <c r="F2329">
        <v>1.14325285847566</v>
      </c>
      <c r="G2329">
        <v>1.0449324100962301</v>
      </c>
      <c r="H2329">
        <v>0.26825698677343501</v>
      </c>
      <c r="I2329">
        <v>0.109741622364596</v>
      </c>
      <c r="J2329">
        <v>7.9772121121004E-2</v>
      </c>
      <c r="K2329">
        <v>6.5790088892632201E-2</v>
      </c>
      <c r="L2329">
        <v>9886.5793332814301</v>
      </c>
      <c r="M2329">
        <v>163.459686975442</v>
      </c>
      <c r="N2329">
        <v>60.5523606450055</v>
      </c>
      <c r="O2329">
        <v>60.474235642163897</v>
      </c>
      <c r="P2329">
        <v>-0.618266527417073</v>
      </c>
      <c r="Q2329">
        <v>8.50540321994116E-2</v>
      </c>
      <c r="R2329">
        <v>0.97393844577722599</v>
      </c>
      <c r="S2329" t="s">
        <v>8155</v>
      </c>
      <c r="T2329" t="s">
        <v>11650</v>
      </c>
      <c r="U2329" t="s">
        <v>11650</v>
      </c>
      <c r="V2329" t="s">
        <v>11650</v>
      </c>
      <c r="W2329" t="s">
        <v>13938</v>
      </c>
      <c r="X2329">
        <v>24</v>
      </c>
      <c r="Y2329" t="s">
        <v>19659</v>
      </c>
      <c r="Z2329" t="s">
        <v>25391</v>
      </c>
      <c r="AA2329">
        <v>0.70998466961514595</v>
      </c>
      <c r="AB2329" t="str">
        <f>HYPERLINK("Melting_Curves/meltCurve_P40925_MDH1.pdf", "Melting_Curves/meltCurve_P40925_MDH1.pdf")</f>
        <v>Melting_Curves/meltCurve_P40925_MDH1.pdf</v>
      </c>
    </row>
    <row r="2330" spans="1:28" x14ac:dyDescent="0.25">
      <c r="A2330" t="s">
        <v>2334</v>
      </c>
      <c r="B2330">
        <v>0.99996721820229495</v>
      </c>
      <c r="C2330">
        <v>1.0162720075201399</v>
      </c>
      <c r="D2330">
        <v>1.00065843314656</v>
      </c>
      <c r="E2330">
        <v>1.03557365970894</v>
      </c>
      <c r="F2330">
        <v>1.28046548537597</v>
      </c>
      <c r="G2330">
        <v>1.2115237698339401</v>
      </c>
      <c r="H2330">
        <v>0.476819128281045</v>
      </c>
      <c r="I2330">
        <v>0.108098204882348</v>
      </c>
      <c r="J2330">
        <v>6.8761416526890606E-2</v>
      </c>
      <c r="K2330">
        <v>4.9683615514199503E-2</v>
      </c>
      <c r="L2330">
        <v>7455.4494980665604</v>
      </c>
      <c r="M2330">
        <v>122.4811820521</v>
      </c>
      <c r="N2330">
        <v>60.950608689995498</v>
      </c>
      <c r="O2330">
        <v>60.853939948238001</v>
      </c>
      <c r="P2330">
        <v>-0.46562377368603802</v>
      </c>
      <c r="Q2330">
        <v>7.4632039150434301E-2</v>
      </c>
      <c r="R2330">
        <v>0.942610962778473</v>
      </c>
      <c r="S2330" t="s">
        <v>8156</v>
      </c>
      <c r="T2330" t="s">
        <v>11650</v>
      </c>
      <c r="U2330" t="s">
        <v>11650</v>
      </c>
      <c r="V2330" t="s">
        <v>11650</v>
      </c>
      <c r="W2330" t="s">
        <v>13939</v>
      </c>
      <c r="X2330">
        <v>35</v>
      </c>
      <c r="Y2330" t="s">
        <v>19660</v>
      </c>
      <c r="Z2330" t="s">
        <v>25392</v>
      </c>
      <c r="AA2330">
        <v>0.71879683851780229</v>
      </c>
      <c r="AB2330" t="str">
        <f>HYPERLINK("Melting_Curves/meltCurve_P40926_MDH2.pdf", "Melting_Curves/meltCurve_P40926_MDH2.pdf")</f>
        <v>Melting_Curves/meltCurve_P40926_MDH2.pdf</v>
      </c>
    </row>
    <row r="2331" spans="1:28" x14ac:dyDescent="0.25">
      <c r="A2331" t="s">
        <v>2335</v>
      </c>
      <c r="B2331">
        <v>0.99996721820229495</v>
      </c>
      <c r="C2331">
        <v>1.06974159536445</v>
      </c>
      <c r="D2331">
        <v>1.28774363317174</v>
      </c>
      <c r="E2331">
        <v>2.51634116103383</v>
      </c>
      <c r="F2331">
        <v>0.75145930713959597</v>
      </c>
      <c r="G2331">
        <v>0.46956194225637399</v>
      </c>
      <c r="H2331">
        <v>0.24157161405809799</v>
      </c>
      <c r="I2331">
        <v>0.16382945995394299</v>
      </c>
      <c r="J2331">
        <v>0.12748198907066099</v>
      </c>
      <c r="K2331">
        <v>9.9351228896755406E-2</v>
      </c>
      <c r="L2331">
        <v>2381.6263788258502</v>
      </c>
      <c r="M2331">
        <v>42.3390595655545</v>
      </c>
      <c r="N2331">
        <v>56.724019252151002</v>
      </c>
      <c r="O2331">
        <v>56.126249501239698</v>
      </c>
      <c r="P2331">
        <v>-0.160553284130663</v>
      </c>
      <c r="Q2331">
        <v>0.148659852905454</v>
      </c>
      <c r="R2331">
        <v>0.51724219873751198</v>
      </c>
      <c r="S2331" t="s">
        <v>8157</v>
      </c>
      <c r="T2331" t="s">
        <v>11650</v>
      </c>
      <c r="U2331" t="s">
        <v>11650</v>
      </c>
      <c r="V2331" t="s">
        <v>11650</v>
      </c>
      <c r="W2331" t="s">
        <v>13940</v>
      </c>
      <c r="X2331">
        <v>35</v>
      </c>
      <c r="Y2331" t="s">
        <v>19661</v>
      </c>
      <c r="Z2331" t="s">
        <v>25393</v>
      </c>
      <c r="AA2331">
        <v>0.61277621131022519</v>
      </c>
      <c r="AB2331" t="str">
        <f>HYPERLINK("Melting_Curves/meltCurve_P40939_HADHA.pdf", "Melting_Curves/meltCurve_P40939_HADHA.pdf")</f>
        <v>Melting_Curves/meltCurve_P40939_HADHA.pdf</v>
      </c>
    </row>
    <row r="2332" spans="1:28" x14ac:dyDescent="0.25">
      <c r="A2332" t="s">
        <v>2336</v>
      </c>
      <c r="B2332">
        <v>0.99996721820229495</v>
      </c>
      <c r="C2332">
        <v>0.98255229502230101</v>
      </c>
      <c r="D2332">
        <v>0.93458573039527304</v>
      </c>
      <c r="E2332">
        <v>1.0664406495919001</v>
      </c>
      <c r="F2332">
        <v>1.1020257798569499</v>
      </c>
      <c r="G2332">
        <v>0.60460239404404204</v>
      </c>
      <c r="H2332">
        <v>0.293196469563691</v>
      </c>
      <c r="I2332">
        <v>0.206406820042458</v>
      </c>
      <c r="J2332">
        <v>0.12275624562166999</v>
      </c>
      <c r="K2332">
        <v>0.118253239381619</v>
      </c>
      <c r="L2332">
        <v>2253.8086360410002</v>
      </c>
      <c r="M2332">
        <v>39.2157657685161</v>
      </c>
      <c r="N2332">
        <v>58.025260461043402</v>
      </c>
      <c r="O2332">
        <v>57.323170502439197</v>
      </c>
      <c r="P2332">
        <v>-0.144352217987924</v>
      </c>
      <c r="Q2332">
        <v>0.15598155772893799</v>
      </c>
      <c r="R2332">
        <v>0.977310037073709</v>
      </c>
      <c r="S2332" t="s">
        <v>8158</v>
      </c>
      <c r="T2332" t="s">
        <v>11650</v>
      </c>
      <c r="U2332" t="s">
        <v>11650</v>
      </c>
      <c r="V2332" t="s">
        <v>11650</v>
      </c>
      <c r="W2332" t="s">
        <v>13941</v>
      </c>
      <c r="X2332">
        <v>13</v>
      </c>
      <c r="Y2332" t="s">
        <v>19662</v>
      </c>
      <c r="Z2332" t="s">
        <v>25394</v>
      </c>
      <c r="AA2332">
        <v>0.65097019237096632</v>
      </c>
      <c r="AB2332" t="str">
        <f>HYPERLINK("Melting_Curves/meltCurve_P41091_EIF2S3.pdf", "Melting_Curves/meltCurve_P41091_EIF2S3.pdf")</f>
        <v>Melting_Curves/meltCurve_P41091_EIF2S3.pdf</v>
      </c>
    </row>
    <row r="2333" spans="1:28" x14ac:dyDescent="0.25">
      <c r="A2333" t="s">
        <v>2337</v>
      </c>
      <c r="B2333">
        <v>0.99996721820229495</v>
      </c>
      <c r="C2333">
        <v>0.95266104113517303</v>
      </c>
      <c r="D2333">
        <v>0.81848478733769203</v>
      </c>
      <c r="E2333">
        <v>0.59837854980652905</v>
      </c>
      <c r="F2333">
        <v>0.47325865643238102</v>
      </c>
      <c r="G2333">
        <v>0.38959987007226599</v>
      </c>
      <c r="H2333">
        <v>0.28404287340970202</v>
      </c>
      <c r="I2333">
        <v>0.32813669042834298</v>
      </c>
      <c r="J2333">
        <v>0.25117415399103499</v>
      </c>
      <c r="K2333">
        <v>0.21043009302375401</v>
      </c>
      <c r="L2333">
        <v>682.40397355528796</v>
      </c>
      <c r="M2333">
        <v>13.6447669265233</v>
      </c>
      <c r="N2333">
        <v>52.498439462967497</v>
      </c>
      <c r="O2333">
        <v>48.974601419165801</v>
      </c>
      <c r="P2333">
        <v>-5.3083772847592497E-2</v>
      </c>
      <c r="Q2333">
        <v>0.237985858880331</v>
      </c>
      <c r="R2333">
        <v>0.99035121714489005</v>
      </c>
      <c r="S2333" t="s">
        <v>8159</v>
      </c>
      <c r="T2333" t="s">
        <v>11650</v>
      </c>
      <c r="U2333" t="s">
        <v>11650</v>
      </c>
      <c r="V2333" t="s">
        <v>11650</v>
      </c>
      <c r="W2333" t="s">
        <v>13942</v>
      </c>
      <c r="X2333">
        <v>2</v>
      </c>
      <c r="Y2333" t="s">
        <v>19663</v>
      </c>
      <c r="Z2333" t="s">
        <v>25395</v>
      </c>
      <c r="AA2333">
        <v>0.51369437338673374</v>
      </c>
      <c r="AB2333" t="str">
        <f>HYPERLINK("Melting_Curves/meltCurve_P41134_2_ID1.pdf", "Melting_Curves/meltCurve_P41134_2_ID1.pdf")</f>
        <v>Melting_Curves/meltCurve_P41134_2_ID1.pdf</v>
      </c>
    </row>
    <row r="2334" spans="1:28" x14ac:dyDescent="0.25">
      <c r="A2334" t="s">
        <v>2338</v>
      </c>
      <c r="B2334">
        <v>0.99996721820229495</v>
      </c>
      <c r="C2334">
        <v>1.1014153441966501</v>
      </c>
      <c r="D2334">
        <v>1.0245398974253901</v>
      </c>
      <c r="E2334">
        <v>1.02055084892902</v>
      </c>
      <c r="F2334">
        <v>1.37509955557487</v>
      </c>
      <c r="G2334">
        <v>1.7148726410723301</v>
      </c>
      <c r="H2334">
        <v>1.3113023058290001</v>
      </c>
      <c r="I2334">
        <v>1.2732302181442401</v>
      </c>
      <c r="J2334">
        <v>1.2869708944993801</v>
      </c>
      <c r="K2334">
        <v>0.85005813847859701</v>
      </c>
      <c r="L2334">
        <v>12630.8147484049</v>
      </c>
      <c r="M2334">
        <v>250</v>
      </c>
      <c r="O2334">
        <v>50.520026876252302</v>
      </c>
      <c r="P2334">
        <v>0.37351835361297198</v>
      </c>
      <c r="Q2334">
        <v>1.30192250966886</v>
      </c>
      <c r="R2334">
        <v>0.29489939165988499</v>
      </c>
      <c r="S2334" t="s">
        <v>8160</v>
      </c>
      <c r="T2334" t="s">
        <v>11650</v>
      </c>
      <c r="U2334" t="s">
        <v>11650</v>
      </c>
      <c r="V2334" t="s">
        <v>11650</v>
      </c>
      <c r="W2334" t="s">
        <v>13943</v>
      </c>
      <c r="X2334">
        <v>9</v>
      </c>
      <c r="Y2334" t="s">
        <v>19664</v>
      </c>
      <c r="Z2334" t="s">
        <v>25396</v>
      </c>
      <c r="AA2334">
        <v>1.19598878010307</v>
      </c>
      <c r="AB2334" t="str">
        <f>HYPERLINK("Melting_Curves/meltCurve_P41208_CETN2.pdf", "Melting_Curves/meltCurve_P41208_CETN2.pdf")</f>
        <v>Melting_Curves/meltCurve_P41208_CETN2.pdf</v>
      </c>
    </row>
    <row r="2335" spans="1:28" x14ac:dyDescent="0.25">
      <c r="A2335" t="s">
        <v>2339</v>
      </c>
      <c r="B2335">
        <v>0.99996721820229495</v>
      </c>
      <c r="C2335">
        <v>0.98655423029292799</v>
      </c>
      <c r="D2335">
        <v>0.47430941586985198</v>
      </c>
      <c r="E2335">
        <v>0.27176315370377901</v>
      </c>
      <c r="F2335">
        <v>0.31177108171066098</v>
      </c>
      <c r="G2335">
        <v>0.22184655996664401</v>
      </c>
      <c r="H2335">
        <v>0.16098329134779901</v>
      </c>
      <c r="I2335">
        <v>0.12536024318644601</v>
      </c>
      <c r="J2335">
        <v>0.10029317134926601</v>
      </c>
      <c r="K2335">
        <v>7.6777849910060897E-2</v>
      </c>
      <c r="L2335">
        <v>2152.4575083188201</v>
      </c>
      <c r="M2335">
        <v>47.3035223884579</v>
      </c>
      <c r="N2335">
        <v>45.931669527931</v>
      </c>
      <c r="O2335">
        <v>45.422013189330997</v>
      </c>
      <c r="P2335">
        <v>-0.21390371415690401</v>
      </c>
      <c r="Q2335">
        <v>0.178418321387145</v>
      </c>
      <c r="R2335">
        <v>0.95693039227715704</v>
      </c>
      <c r="S2335" t="s">
        <v>8161</v>
      </c>
      <c r="T2335" t="s">
        <v>11650</v>
      </c>
      <c r="U2335" t="s">
        <v>11650</v>
      </c>
      <c r="V2335" t="s">
        <v>11650</v>
      </c>
      <c r="W2335" t="s">
        <v>13944</v>
      </c>
      <c r="X2335">
        <v>5</v>
      </c>
      <c r="Y2335" t="s">
        <v>19665</v>
      </c>
      <c r="Z2335" t="s">
        <v>25397</v>
      </c>
      <c r="AA2335">
        <v>0.33099977068446917</v>
      </c>
      <c r="AB2335" t="str">
        <f>HYPERLINK("Melting_Curves/meltCurve_P41214_EIF2D.pdf", "Melting_Curves/meltCurve_P41214_EIF2D.pdf")</f>
        <v>Melting_Curves/meltCurve_P41214_EIF2D.pdf</v>
      </c>
    </row>
    <row r="2336" spans="1:28" x14ac:dyDescent="0.25">
      <c r="A2336" t="s">
        <v>2340</v>
      </c>
      <c r="B2336">
        <v>0.99996721820229495</v>
      </c>
      <c r="C2336">
        <v>0.90554636887758899</v>
      </c>
      <c r="D2336">
        <v>1.04384072232317</v>
      </c>
      <c r="E2336">
        <v>1.1569812528205401</v>
      </c>
      <c r="F2336">
        <v>1.3657786446698399</v>
      </c>
      <c r="G2336">
        <v>1.5904028729437201</v>
      </c>
      <c r="H2336">
        <v>0.89042595221921494</v>
      </c>
      <c r="I2336">
        <v>0.69358784583474897</v>
      </c>
      <c r="J2336">
        <v>0.62919840551917094</v>
      </c>
      <c r="K2336">
        <v>0.41339327740487097</v>
      </c>
      <c r="L2336">
        <v>2499.54027982961</v>
      </c>
      <c r="M2336">
        <v>39.002980919040198</v>
      </c>
      <c r="N2336">
        <v>68.226652964065593</v>
      </c>
      <c r="O2336">
        <v>63.918094796244297</v>
      </c>
      <c r="P2336">
        <v>-8.3426131262295797E-2</v>
      </c>
      <c r="Q2336">
        <v>0.453126128670994</v>
      </c>
      <c r="R2336">
        <v>0.50869600220738298</v>
      </c>
      <c r="S2336" t="s">
        <v>8162</v>
      </c>
      <c r="T2336" t="s">
        <v>11650</v>
      </c>
      <c r="U2336" t="s">
        <v>11650</v>
      </c>
      <c r="V2336" t="s">
        <v>11650</v>
      </c>
      <c r="W2336" t="s">
        <v>13945</v>
      </c>
      <c r="X2336">
        <v>10</v>
      </c>
      <c r="Y2336" t="s">
        <v>19666</v>
      </c>
      <c r="Z2336" t="s">
        <v>25398</v>
      </c>
      <c r="AA2336">
        <v>0.89335972688054044</v>
      </c>
      <c r="AB2336" t="str">
        <f>HYPERLINK("Melting_Curves/meltCurve_P41221_2_WNT5A.pdf", "Melting_Curves/meltCurve_P41221_2_WNT5A.pdf")</f>
        <v>Melting_Curves/meltCurve_P41221_2_WNT5A.pdf</v>
      </c>
    </row>
    <row r="2337" spans="1:28" x14ac:dyDescent="0.25">
      <c r="A2337" t="s">
        <v>2341</v>
      </c>
      <c r="B2337">
        <v>0.99996721820229495</v>
      </c>
      <c r="C2337">
        <v>1.06578762764841</v>
      </c>
      <c r="D2337">
        <v>0.87136239963611795</v>
      </c>
      <c r="E2337">
        <v>0.63347753598193401</v>
      </c>
      <c r="F2337">
        <v>0.37610738113202802</v>
      </c>
      <c r="G2337">
        <v>0.299027751580836</v>
      </c>
      <c r="H2337">
        <v>0.16031523426342401</v>
      </c>
      <c r="I2337">
        <v>0.115442085124133</v>
      </c>
      <c r="J2337">
        <v>8.2476789190201599E-2</v>
      </c>
      <c r="K2337">
        <v>6.3718434416302497E-2</v>
      </c>
      <c r="L2337">
        <v>844.38044088285096</v>
      </c>
      <c r="M2337">
        <v>16.450556515865699</v>
      </c>
      <c r="N2337">
        <v>51.882091379418704</v>
      </c>
      <c r="O2337">
        <v>50.587880478788399</v>
      </c>
      <c r="P2337">
        <v>-7.4757029031462502E-2</v>
      </c>
      <c r="Q2337">
        <v>8.0509231936278097E-2</v>
      </c>
      <c r="R2337">
        <v>0.98663811103681898</v>
      </c>
      <c r="S2337" t="s">
        <v>8163</v>
      </c>
      <c r="T2337" t="s">
        <v>11650</v>
      </c>
      <c r="U2337" t="s">
        <v>11650</v>
      </c>
      <c r="V2337" t="s">
        <v>11650</v>
      </c>
      <c r="W2337" t="s">
        <v>13946</v>
      </c>
      <c r="X2337">
        <v>5</v>
      </c>
      <c r="Y2337" t="s">
        <v>19667</v>
      </c>
      <c r="Z2337" t="s">
        <v>25399</v>
      </c>
      <c r="AA2337">
        <v>0.44576332754839149</v>
      </c>
      <c r="AB2337" t="str">
        <f>HYPERLINK("Melting_Curves/meltCurve_P41223_BUD31.pdf", "Melting_Curves/meltCurve_P41223_BUD31.pdf")</f>
        <v>Melting_Curves/meltCurve_P41223_BUD31.pdf</v>
      </c>
    </row>
    <row r="2338" spans="1:28" x14ac:dyDescent="0.25">
      <c r="A2338" t="s">
        <v>2342</v>
      </c>
      <c r="B2338">
        <v>0.99996721820229495</v>
      </c>
      <c r="C2338">
        <v>1.07130695700411</v>
      </c>
      <c r="D2338">
        <v>1.0238600994754901</v>
      </c>
      <c r="E2338">
        <v>0.54917847181943802</v>
      </c>
      <c r="F2338">
        <v>0.48992973168381798</v>
      </c>
      <c r="G2338">
        <v>0.39445337814757198</v>
      </c>
      <c r="H2338">
        <v>0.24132008493266799</v>
      </c>
      <c r="I2338">
        <v>0.17839343182727099</v>
      </c>
      <c r="J2338">
        <v>0.113632640894529</v>
      </c>
      <c r="K2338">
        <v>0.10621381998205701</v>
      </c>
      <c r="L2338">
        <v>805.33488406471497</v>
      </c>
      <c r="M2338">
        <v>15.516928995621999</v>
      </c>
      <c r="N2338">
        <v>52.914981127197201</v>
      </c>
      <c r="O2338">
        <v>51.061320661454097</v>
      </c>
      <c r="P2338">
        <v>-6.6202662845993507E-2</v>
      </c>
      <c r="Q2338">
        <v>0.128668753087231</v>
      </c>
      <c r="R2338">
        <v>0.95531163968965205</v>
      </c>
      <c r="S2338" t="s">
        <v>8164</v>
      </c>
      <c r="T2338" t="s">
        <v>11650</v>
      </c>
      <c r="U2338" t="s">
        <v>11650</v>
      </c>
      <c r="V2338" t="s">
        <v>11650</v>
      </c>
      <c r="W2338" t="s">
        <v>13947</v>
      </c>
      <c r="X2338">
        <v>7</v>
      </c>
      <c r="Y2338" t="s">
        <v>19668</v>
      </c>
      <c r="Z2338" t="s">
        <v>25400</v>
      </c>
      <c r="AA2338">
        <v>0.49285051474320329</v>
      </c>
      <c r="AB2338" t="str">
        <f>HYPERLINK("Melting_Curves/meltCurve_P41226_UBA7.pdf", "Melting_Curves/meltCurve_P41226_UBA7.pdf")</f>
        <v>Melting_Curves/meltCurve_P41226_UBA7.pdf</v>
      </c>
    </row>
    <row r="2339" spans="1:28" x14ac:dyDescent="0.25">
      <c r="A2339" t="s">
        <v>2343</v>
      </c>
      <c r="B2339">
        <v>0.99996721820229495</v>
      </c>
      <c r="C2339">
        <v>0.87197888584874494</v>
      </c>
      <c r="D2339">
        <v>0.86596752527568299</v>
      </c>
      <c r="E2339">
        <v>1.24127788856187</v>
      </c>
      <c r="F2339">
        <v>0.458749720805325</v>
      </c>
      <c r="G2339">
        <v>0.25638236520587299</v>
      </c>
      <c r="H2339">
        <v>0.119902669201139</v>
      </c>
      <c r="I2339">
        <v>7.8059105064322606E-2</v>
      </c>
      <c r="J2339">
        <v>5.4237580873160003E-2</v>
      </c>
      <c r="K2339">
        <v>5.5838435031943703E-2</v>
      </c>
      <c r="L2339">
        <v>13226.2651437531</v>
      </c>
      <c r="M2339">
        <v>250</v>
      </c>
      <c r="N2339">
        <v>52.959267373558902</v>
      </c>
      <c r="O2339">
        <v>52.901679402839498</v>
      </c>
      <c r="P2339">
        <v>-1.0480717620578499</v>
      </c>
      <c r="Q2339">
        <v>0.11288397318101701</v>
      </c>
      <c r="R2339">
        <v>0.93457756264254399</v>
      </c>
      <c r="S2339" t="s">
        <v>8165</v>
      </c>
      <c r="T2339" t="s">
        <v>11650</v>
      </c>
      <c r="U2339" t="s">
        <v>11650</v>
      </c>
      <c r="V2339" t="s">
        <v>11650</v>
      </c>
      <c r="W2339" t="s">
        <v>13948</v>
      </c>
      <c r="X2339">
        <v>10</v>
      </c>
      <c r="Y2339" t="s">
        <v>19669</v>
      </c>
      <c r="Z2339" t="s">
        <v>25401</v>
      </c>
      <c r="AA2339">
        <v>0.49457587517648099</v>
      </c>
      <c r="AB2339" t="str">
        <f>HYPERLINK("Melting_Curves/meltCurve_P41227_2_NAA10.pdf", "Melting_Curves/meltCurve_P41227_2_NAA10.pdf")</f>
        <v>Melting_Curves/meltCurve_P41227_2_NAA10.pdf</v>
      </c>
    </row>
    <row r="2340" spans="1:28" x14ac:dyDescent="0.25">
      <c r="A2340" t="s">
        <v>2344</v>
      </c>
      <c r="B2340">
        <v>0.99996721820229495</v>
      </c>
      <c r="C2340">
        <v>1.0438565055703299</v>
      </c>
      <c r="D2340">
        <v>0.91798999839552098</v>
      </c>
      <c r="E2340">
        <v>0.52904283683417097</v>
      </c>
      <c r="F2340">
        <v>0.23864885272040701</v>
      </c>
      <c r="G2340">
        <v>0.18620967560948201</v>
      </c>
      <c r="H2340">
        <v>0.1143364506374</v>
      </c>
      <c r="I2340">
        <v>7.4946260807538398E-2</v>
      </c>
      <c r="J2340">
        <v>5.3258248613794398E-2</v>
      </c>
      <c r="K2340">
        <v>4.4762800673259301E-2</v>
      </c>
      <c r="L2340">
        <v>1275.0524830690499</v>
      </c>
      <c r="M2340">
        <v>25.513963799714698</v>
      </c>
      <c r="N2340">
        <v>50.321353974518402</v>
      </c>
      <c r="O2340">
        <v>49.670734476237598</v>
      </c>
      <c r="P2340">
        <v>-0.11806777125016001</v>
      </c>
      <c r="Q2340">
        <v>8.0591581444165394E-2</v>
      </c>
      <c r="R2340">
        <v>0.99287829858753796</v>
      </c>
      <c r="S2340" t="s">
        <v>8166</v>
      </c>
      <c r="T2340" t="s">
        <v>11650</v>
      </c>
      <c r="U2340" t="s">
        <v>11650</v>
      </c>
      <c r="V2340" t="s">
        <v>11650</v>
      </c>
      <c r="W2340" t="s">
        <v>13949</v>
      </c>
      <c r="X2340">
        <v>20</v>
      </c>
      <c r="Y2340" t="s">
        <v>19670</v>
      </c>
      <c r="Z2340" t="s">
        <v>25402</v>
      </c>
      <c r="AA2340">
        <v>0.39417099068728512</v>
      </c>
      <c r="AB2340" t="str">
        <f>HYPERLINK("Melting_Curves/meltCurve_P41240_CSK.pdf", "Melting_Curves/meltCurve_P41240_CSK.pdf")</f>
        <v>Melting_Curves/meltCurve_P41240_CSK.pdf</v>
      </c>
    </row>
    <row r="2341" spans="1:28" x14ac:dyDescent="0.25">
      <c r="A2341" t="s">
        <v>2345</v>
      </c>
      <c r="B2341">
        <v>0.99996721820229495</v>
      </c>
      <c r="C2341">
        <v>1.0415442318410699</v>
      </c>
      <c r="D2341">
        <v>1.22614462826101</v>
      </c>
      <c r="E2341">
        <v>1.7443855470123</v>
      </c>
      <c r="F2341">
        <v>2.5441395310928998</v>
      </c>
      <c r="G2341">
        <v>3.29356499761123</v>
      </c>
      <c r="H2341">
        <v>2.1973413529593699</v>
      </c>
      <c r="I2341">
        <v>0.72257732403552899</v>
      </c>
      <c r="J2341">
        <v>0.22644547546353699</v>
      </c>
      <c r="K2341">
        <v>0.171495610970439</v>
      </c>
      <c r="L2341">
        <v>15000</v>
      </c>
      <c r="M2341">
        <v>233.73956730808399</v>
      </c>
      <c r="N2341">
        <v>64.313579034082906</v>
      </c>
      <c r="O2341">
        <v>64.169289344438496</v>
      </c>
      <c r="P2341">
        <v>-0.72946881628555005</v>
      </c>
      <c r="Q2341">
        <v>0.19894614371459901</v>
      </c>
      <c r="R2341">
        <v>-4.0454385274334599E-2</v>
      </c>
      <c r="S2341" t="s">
        <v>8167</v>
      </c>
      <c r="T2341" t="s">
        <v>11650</v>
      </c>
      <c r="U2341" t="s">
        <v>11650</v>
      </c>
      <c r="V2341" t="s">
        <v>11650</v>
      </c>
      <c r="W2341" t="s">
        <v>13950</v>
      </c>
      <c r="X2341">
        <v>50</v>
      </c>
      <c r="Y2341" t="s">
        <v>19671</v>
      </c>
      <c r="Z2341" t="s">
        <v>25403</v>
      </c>
      <c r="AA2341">
        <v>0.84453820961361314</v>
      </c>
      <c r="AB2341" t="str">
        <f>HYPERLINK("Melting_Curves/meltCurve_P41250_GARS.pdf", "Melting_Curves/meltCurve_P41250_GARS.pdf")</f>
        <v>Melting_Curves/meltCurve_P41250_GARS.pdf</v>
      </c>
    </row>
    <row r="2342" spans="1:28" x14ac:dyDescent="0.25">
      <c r="A2342" t="s">
        <v>2346</v>
      </c>
      <c r="B2342">
        <v>0.99996721820229495</v>
      </c>
      <c r="C2342">
        <v>0.972346796615845</v>
      </c>
      <c r="D2342">
        <v>0.81857979887436905</v>
      </c>
      <c r="E2342">
        <v>0.88121410684608303</v>
      </c>
      <c r="F2342">
        <v>0.77081930881879501</v>
      </c>
      <c r="G2342">
        <v>0.60572515983319997</v>
      </c>
      <c r="H2342">
        <v>0.341055584328327</v>
      </c>
      <c r="I2342">
        <v>0.26468864547987703</v>
      </c>
      <c r="J2342">
        <v>0.17550852722313001</v>
      </c>
      <c r="K2342">
        <v>0.120049332149154</v>
      </c>
      <c r="L2342">
        <v>656.71713003565105</v>
      </c>
      <c r="M2342">
        <v>11.280574106079399</v>
      </c>
      <c r="N2342">
        <v>58.216624592902797</v>
      </c>
      <c r="O2342">
        <v>56.477103139932296</v>
      </c>
      <c r="P2342">
        <v>-4.9949568900969903E-2</v>
      </c>
      <c r="Q2342">
        <v>0</v>
      </c>
      <c r="R2342">
        <v>0.97887739598048895</v>
      </c>
      <c r="S2342" t="s">
        <v>8168</v>
      </c>
      <c r="T2342" t="s">
        <v>11650</v>
      </c>
      <c r="U2342" t="s">
        <v>11650</v>
      </c>
      <c r="V2342" t="s">
        <v>11650</v>
      </c>
      <c r="W2342" t="s">
        <v>13951</v>
      </c>
      <c r="X2342">
        <v>6</v>
      </c>
      <c r="Y2342" t="s">
        <v>19672</v>
      </c>
      <c r="Z2342" t="s">
        <v>25404</v>
      </c>
      <c r="AA2342">
        <v>0.61811386115434008</v>
      </c>
      <c r="AB2342" t="str">
        <f>HYPERLINK("Melting_Curves/meltCurve_P41252_IARS.pdf", "Melting_Curves/meltCurve_P41252_IARS.pdf")</f>
        <v>Melting_Curves/meltCurve_P41252_IARS.pdf</v>
      </c>
    </row>
    <row r="2343" spans="1:28" x14ac:dyDescent="0.25">
      <c r="A2343" t="s">
        <v>2347</v>
      </c>
      <c r="B2343">
        <v>0.99996721820229495</v>
      </c>
      <c r="C2343">
        <v>1.0811974268173099</v>
      </c>
      <c r="D2343">
        <v>1.0433676825893301</v>
      </c>
      <c r="E2343">
        <v>1.03791269395345</v>
      </c>
      <c r="F2343">
        <v>1.3350051040778901</v>
      </c>
      <c r="G2343">
        <v>1.35150115559067</v>
      </c>
      <c r="H2343">
        <v>0.79502078837323698</v>
      </c>
      <c r="I2343">
        <v>0.51220371500369399</v>
      </c>
      <c r="J2343">
        <v>0.38602988189958298</v>
      </c>
      <c r="K2343">
        <v>0.25997705684332001</v>
      </c>
      <c r="L2343">
        <v>2843.9012721622398</v>
      </c>
      <c r="M2343">
        <v>45.374676438926699</v>
      </c>
      <c r="N2343">
        <v>63.986752410006901</v>
      </c>
      <c r="O2343">
        <v>62.554582984934903</v>
      </c>
      <c r="P2343">
        <v>-0.12646209961865901</v>
      </c>
      <c r="Q2343">
        <v>0.30262653490838198</v>
      </c>
      <c r="R2343">
        <v>0.80223184959524196</v>
      </c>
      <c r="S2343" t="s">
        <v>8169</v>
      </c>
      <c r="T2343" t="s">
        <v>11650</v>
      </c>
      <c r="U2343" t="s">
        <v>11650</v>
      </c>
      <c r="V2343" t="s">
        <v>11650</v>
      </c>
      <c r="W2343" t="s">
        <v>13952</v>
      </c>
      <c r="X2343">
        <v>11</v>
      </c>
      <c r="Y2343" t="s">
        <v>19673</v>
      </c>
      <c r="Z2343" t="s">
        <v>25405</v>
      </c>
      <c r="AA2343">
        <v>0.8317264830848029</v>
      </c>
      <c r="AB2343" t="str">
        <f>HYPERLINK("Melting_Curves/meltCurve_P41567_EIF1.pdf", "Melting_Curves/meltCurve_P41567_EIF1.pdf")</f>
        <v>Melting_Curves/meltCurve_P41567_EIF1.pdf</v>
      </c>
    </row>
    <row r="2344" spans="1:28" x14ac:dyDescent="0.25">
      <c r="A2344" t="s">
        <v>2348</v>
      </c>
      <c r="B2344">
        <v>0.99996721820229495</v>
      </c>
      <c r="C2344">
        <v>0.91197916768794596</v>
      </c>
      <c r="D2344">
        <v>0.76642485204355004</v>
      </c>
      <c r="E2344">
        <v>0.61534592530810694</v>
      </c>
      <c r="F2344">
        <v>0.35051709239675999</v>
      </c>
      <c r="G2344">
        <v>0.243388337459745</v>
      </c>
      <c r="H2344">
        <v>0.14333678009362399</v>
      </c>
      <c r="I2344">
        <v>0.12310915862734299</v>
      </c>
      <c r="J2344">
        <v>0.102234967699646</v>
      </c>
      <c r="K2344">
        <v>6.6982380558301996E-2</v>
      </c>
      <c r="L2344">
        <v>658.39803040683603</v>
      </c>
      <c r="M2344">
        <v>13.011571867630799</v>
      </c>
      <c r="N2344">
        <v>51.059774140531502</v>
      </c>
      <c r="O2344">
        <v>49.450473687620097</v>
      </c>
      <c r="P2344">
        <v>-6.2162530698611801E-2</v>
      </c>
      <c r="Q2344">
        <v>5.5171650032374397E-2</v>
      </c>
      <c r="R2344">
        <v>0.99424548357980902</v>
      </c>
      <c r="S2344" t="s">
        <v>8170</v>
      </c>
      <c r="T2344" t="s">
        <v>11650</v>
      </c>
      <c r="U2344" t="s">
        <v>11650</v>
      </c>
      <c r="V2344" t="s">
        <v>11650</v>
      </c>
      <c r="W2344" t="s">
        <v>13953</v>
      </c>
      <c r="X2344">
        <v>7</v>
      </c>
      <c r="Y2344" t="s">
        <v>19674</v>
      </c>
      <c r="Z2344" t="s">
        <v>25406</v>
      </c>
      <c r="AA2344">
        <v>0.41693732894302948</v>
      </c>
      <c r="AB2344" t="str">
        <f>HYPERLINK("Melting_Curves/meltCurve_P41743_PRKCI.pdf", "Melting_Curves/meltCurve_P41743_PRKCI.pdf")</f>
        <v>Melting_Curves/meltCurve_P41743_PRKCI.pdf</v>
      </c>
    </row>
    <row r="2345" spans="1:28" x14ac:dyDescent="0.25">
      <c r="A2345" t="s">
        <v>2349</v>
      </c>
      <c r="B2345">
        <v>0.99996721820229495</v>
      </c>
      <c r="C2345">
        <v>1.0348428232983999</v>
      </c>
      <c r="D2345">
        <v>1.12716743969142</v>
      </c>
      <c r="E2345">
        <v>1.6930206051831</v>
      </c>
      <c r="F2345">
        <v>3.0747051453257299</v>
      </c>
      <c r="G2345">
        <v>5.27047321996017</v>
      </c>
      <c r="H2345">
        <v>2.32853464547589</v>
      </c>
      <c r="I2345">
        <v>0.62320410779632796</v>
      </c>
      <c r="J2345">
        <v>0.2134466028416</v>
      </c>
      <c r="K2345">
        <v>0.192128571001597</v>
      </c>
      <c r="L2345">
        <v>15000</v>
      </c>
      <c r="M2345">
        <v>234.265171013594</v>
      </c>
      <c r="N2345">
        <v>64.172472741927805</v>
      </c>
      <c r="O2345">
        <v>64.025338370878401</v>
      </c>
      <c r="P2345">
        <v>-0.729255558837274</v>
      </c>
      <c r="Q2345">
        <v>0.20276951753752701</v>
      </c>
      <c r="R2345">
        <v>-0.13172351048540901</v>
      </c>
      <c r="S2345" t="s">
        <v>8171</v>
      </c>
      <c r="T2345" t="s">
        <v>11650</v>
      </c>
      <c r="U2345" t="s">
        <v>11650</v>
      </c>
      <c r="V2345" t="s">
        <v>11650</v>
      </c>
      <c r="W2345" t="s">
        <v>13954</v>
      </c>
      <c r="X2345">
        <v>15</v>
      </c>
      <c r="Y2345" t="s">
        <v>19675</v>
      </c>
      <c r="Z2345" t="s">
        <v>25407</v>
      </c>
      <c r="AA2345">
        <v>0.84145328657229546</v>
      </c>
      <c r="AB2345" t="str">
        <f>HYPERLINK("Melting_Curves/meltCurve_P42025_ACTR1B.pdf", "Melting_Curves/meltCurve_P42025_ACTR1B.pdf")</f>
        <v>Melting_Curves/meltCurve_P42025_ACTR1B.pdf</v>
      </c>
    </row>
    <row r="2346" spans="1:28" x14ac:dyDescent="0.25">
      <c r="A2346" t="s">
        <v>2350</v>
      </c>
      <c r="B2346">
        <v>0.99996721820229495</v>
      </c>
      <c r="C2346">
        <v>0.89936768065735695</v>
      </c>
      <c r="D2346">
        <v>0.99563395834547697</v>
      </c>
      <c r="E2346">
        <v>1.12485853352517</v>
      </c>
      <c r="F2346">
        <v>1.3543798895415</v>
      </c>
      <c r="G2346">
        <v>0.90010343072409205</v>
      </c>
      <c r="H2346">
        <v>0.68276961806705905</v>
      </c>
      <c r="I2346">
        <v>0.49258802043615102</v>
      </c>
      <c r="J2346">
        <v>0.30564667571399001</v>
      </c>
      <c r="K2346">
        <v>0.285310950135713</v>
      </c>
      <c r="L2346">
        <v>1849.25652221627</v>
      </c>
      <c r="M2346">
        <v>29.9213746259746</v>
      </c>
      <c r="N2346">
        <v>63.372480112796701</v>
      </c>
      <c r="O2346">
        <v>61.529775686292297</v>
      </c>
      <c r="P2346">
        <v>-8.97710316232148E-2</v>
      </c>
      <c r="Q2346">
        <v>0.26159077924495</v>
      </c>
      <c r="R2346">
        <v>0.85879470678385394</v>
      </c>
      <c r="S2346" t="s">
        <v>8172</v>
      </c>
      <c r="T2346" t="s">
        <v>11650</v>
      </c>
      <c r="U2346" t="s">
        <v>11650</v>
      </c>
      <c r="V2346" t="s">
        <v>11650</v>
      </c>
      <c r="W2346" t="s">
        <v>13955</v>
      </c>
      <c r="X2346">
        <v>3</v>
      </c>
      <c r="Y2346" t="s">
        <v>19676</v>
      </c>
      <c r="Z2346" t="s">
        <v>25408</v>
      </c>
      <c r="AA2346">
        <v>0.80184140496823419</v>
      </c>
      <c r="AB2346" t="str">
        <f>HYPERLINK("Melting_Curves/meltCurve_P42126_2_ECI1.pdf", "Melting_Curves/meltCurve_P42126_2_ECI1.pdf")</f>
        <v>Melting_Curves/meltCurve_P42126_2_ECI1.pdf</v>
      </c>
    </row>
    <row r="2347" spans="1:28" x14ac:dyDescent="0.25">
      <c r="A2347" t="s">
        <v>2351</v>
      </c>
      <c r="B2347">
        <v>0.99996721820229495</v>
      </c>
      <c r="C2347">
        <v>0.57537738311018105</v>
      </c>
      <c r="D2347">
        <v>0.140560059103291</v>
      </c>
      <c r="E2347">
        <v>1.7332422992040699</v>
      </c>
      <c r="F2347">
        <v>2.1606920013494402</v>
      </c>
      <c r="G2347">
        <v>1.4653110060294501</v>
      </c>
      <c r="H2347">
        <v>1.39949863106329</v>
      </c>
      <c r="I2347">
        <v>1.67092154833715</v>
      </c>
      <c r="J2347">
        <v>1.3582554045912101</v>
      </c>
      <c r="K2347">
        <v>2.3379749350425101</v>
      </c>
      <c r="L2347">
        <v>12012.4156407107</v>
      </c>
      <c r="M2347">
        <v>250</v>
      </c>
      <c r="O2347">
        <v>48.0465926697686</v>
      </c>
      <c r="P2347">
        <v>0.650410393855816</v>
      </c>
      <c r="Q2347">
        <v>1.5</v>
      </c>
      <c r="R2347">
        <v>0.46651196199946499</v>
      </c>
      <c r="S2347" t="s">
        <v>8173</v>
      </c>
      <c r="T2347" t="s">
        <v>11650</v>
      </c>
      <c r="U2347" t="s">
        <v>11650</v>
      </c>
      <c r="V2347" t="s">
        <v>11650</v>
      </c>
      <c r="W2347" t="s">
        <v>13956</v>
      </c>
      <c r="X2347">
        <v>17</v>
      </c>
      <c r="Y2347" t="s">
        <v>18179</v>
      </c>
      <c r="Z2347" t="s">
        <v>25409</v>
      </c>
      <c r="AA2347">
        <v>1.365796794080963</v>
      </c>
      <c r="AB2347" t="str">
        <f>HYPERLINK("Melting_Curves/meltCurve_P42167_2_TMPO.pdf", "Melting_Curves/meltCurve_P42167_2_TMPO.pdf")</f>
        <v>Melting_Curves/meltCurve_P42167_2_TMPO.pdf</v>
      </c>
    </row>
    <row r="2348" spans="1:28" x14ac:dyDescent="0.25">
      <c r="A2348" t="s">
        <v>2352</v>
      </c>
      <c r="B2348">
        <v>0.99996721820229495</v>
      </c>
      <c r="C2348">
        <v>1.0239180138861199</v>
      </c>
      <c r="D2348">
        <v>0.78151778191461696</v>
      </c>
      <c r="E2348">
        <v>0.25399741761057198</v>
      </c>
      <c r="F2348">
        <v>0.28083901555122498</v>
      </c>
      <c r="G2348">
        <v>0.30242323581221098</v>
      </c>
      <c r="H2348">
        <v>0.20599544461972799</v>
      </c>
      <c r="I2348">
        <v>0.16565726295675401</v>
      </c>
      <c r="J2348">
        <v>0.154380286849325</v>
      </c>
      <c r="K2348">
        <v>0.100289403507136</v>
      </c>
      <c r="L2348">
        <v>1957.9935197402101</v>
      </c>
      <c r="M2348">
        <v>41.564377203505202</v>
      </c>
      <c r="N2348">
        <v>47.687369270002399</v>
      </c>
      <c r="O2348">
        <v>46.998825610666998</v>
      </c>
      <c r="P2348">
        <v>-0.177234277845608</v>
      </c>
      <c r="Q2348">
        <v>0.198372152794275</v>
      </c>
      <c r="R2348">
        <v>0.97406811251577996</v>
      </c>
      <c r="S2348" t="s">
        <v>8174</v>
      </c>
      <c r="T2348" t="s">
        <v>11650</v>
      </c>
      <c r="U2348" t="s">
        <v>11650</v>
      </c>
      <c r="V2348" t="s">
        <v>11650</v>
      </c>
      <c r="W2348" t="s">
        <v>13957</v>
      </c>
      <c r="X2348">
        <v>39</v>
      </c>
      <c r="Y2348" t="s">
        <v>19677</v>
      </c>
      <c r="Z2348" t="s">
        <v>25410</v>
      </c>
      <c r="AA2348">
        <v>0.39072041467902557</v>
      </c>
      <c r="AB2348" t="str">
        <f>HYPERLINK("Melting_Curves/meltCurve_P42224_STAT1.pdf", "Melting_Curves/meltCurve_P42224_STAT1.pdf")</f>
        <v>Melting_Curves/meltCurve_P42224_STAT1.pdf</v>
      </c>
    </row>
    <row r="2349" spans="1:28" x14ac:dyDescent="0.25">
      <c r="A2349" t="s">
        <v>2353</v>
      </c>
      <c r="B2349">
        <v>0.99996721820229495</v>
      </c>
      <c r="C2349">
        <v>0.96377760172730198</v>
      </c>
      <c r="D2349">
        <v>0.85051809479664098</v>
      </c>
      <c r="E2349">
        <v>0.58959806501812895</v>
      </c>
      <c r="F2349">
        <v>0.32511511455660802</v>
      </c>
      <c r="G2349">
        <v>0.261301605680479</v>
      </c>
      <c r="H2349">
        <v>0.16783593909499001</v>
      </c>
      <c r="I2349">
        <v>0.110762249477104</v>
      </c>
      <c r="J2349">
        <v>7.5579267593678598E-2</v>
      </c>
      <c r="K2349">
        <v>6.3042298005078004E-2</v>
      </c>
      <c r="L2349">
        <v>803.74761227589602</v>
      </c>
      <c r="M2349">
        <v>15.891909716427101</v>
      </c>
      <c r="N2349">
        <v>51.121290081996001</v>
      </c>
      <c r="O2349">
        <v>49.795385951604501</v>
      </c>
      <c r="P2349">
        <v>-7.35706473034341E-2</v>
      </c>
      <c r="Q2349">
        <v>7.7975203823457004E-2</v>
      </c>
      <c r="R2349">
        <v>0.99359720534632401</v>
      </c>
      <c r="S2349" t="s">
        <v>8175</v>
      </c>
      <c r="T2349" t="s">
        <v>11650</v>
      </c>
      <c r="U2349" t="s">
        <v>11650</v>
      </c>
      <c r="V2349" t="s">
        <v>11650</v>
      </c>
      <c r="W2349" t="s">
        <v>13958</v>
      </c>
      <c r="X2349">
        <v>21</v>
      </c>
      <c r="Y2349" t="s">
        <v>19678</v>
      </c>
      <c r="Z2349" t="s">
        <v>25411</v>
      </c>
      <c r="AA2349">
        <v>0.42255370789056379</v>
      </c>
      <c r="AB2349" t="str">
        <f>HYPERLINK("Melting_Curves/meltCurve_P42226_STAT6.pdf", "Melting_Curves/meltCurve_P42226_STAT6.pdf")</f>
        <v>Melting_Curves/meltCurve_P42226_STAT6.pdf</v>
      </c>
    </row>
    <row r="2350" spans="1:28" x14ac:dyDescent="0.25">
      <c r="A2350" t="s">
        <v>2354</v>
      </c>
      <c r="B2350">
        <v>0.99996721820229495</v>
      </c>
      <c r="C2350">
        <v>0.97304078055798704</v>
      </c>
      <c r="D2350">
        <v>1.0938262160163299</v>
      </c>
      <c r="E2350">
        <v>1.2400471969520801</v>
      </c>
      <c r="F2350">
        <v>0.70115319804501597</v>
      </c>
      <c r="G2350">
        <v>0.573762593238761</v>
      </c>
      <c r="H2350">
        <v>0.34499319581719001</v>
      </c>
      <c r="I2350">
        <v>0.27793823891218999</v>
      </c>
      <c r="J2350">
        <v>0.19230092844021299</v>
      </c>
      <c r="K2350">
        <v>0.156846712802994</v>
      </c>
      <c r="L2350">
        <v>1252.3541318883699</v>
      </c>
      <c r="M2350">
        <v>22.1160663716974</v>
      </c>
      <c r="N2350">
        <v>57.801700591734502</v>
      </c>
      <c r="O2350">
        <v>56.169567599679397</v>
      </c>
      <c r="P2350">
        <v>-8.0611381488730802E-2</v>
      </c>
      <c r="Q2350">
        <v>0.18108268013139001</v>
      </c>
      <c r="R2350">
        <v>0.92064006427006195</v>
      </c>
      <c r="S2350" t="s">
        <v>8176</v>
      </c>
      <c r="T2350" t="s">
        <v>11650</v>
      </c>
      <c r="U2350" t="s">
        <v>11650</v>
      </c>
      <c r="V2350" t="s">
        <v>11650</v>
      </c>
      <c r="W2350" t="s">
        <v>13959</v>
      </c>
      <c r="X2350">
        <v>11</v>
      </c>
      <c r="Y2350" t="s">
        <v>19679</v>
      </c>
      <c r="Z2350" t="s">
        <v>25412</v>
      </c>
      <c r="AA2350">
        <v>0.64389117613370894</v>
      </c>
      <c r="AB2350" t="str">
        <f>HYPERLINK("Melting_Curves/meltCurve_P42285_SKIV2L2.pdf", "Melting_Curves/meltCurve_P42285_SKIV2L2.pdf")</f>
        <v>Melting_Curves/meltCurve_P42285_SKIV2L2.pdf</v>
      </c>
    </row>
    <row r="2351" spans="1:28" x14ac:dyDescent="0.25">
      <c r="A2351" t="s">
        <v>2355</v>
      </c>
      <c r="B2351">
        <v>0.99996721820229495</v>
      </c>
      <c r="C2351">
        <v>1.04315428206158</v>
      </c>
      <c r="D2351">
        <v>0.94466326440745196</v>
      </c>
      <c r="E2351">
        <v>0.56073626633055496</v>
      </c>
      <c r="F2351">
        <v>0.390933034183297</v>
      </c>
      <c r="G2351">
        <v>0.34295723731126398</v>
      </c>
      <c r="H2351">
        <v>0.18030853829255</v>
      </c>
      <c r="I2351">
        <v>0.11039940090303201</v>
      </c>
      <c r="J2351">
        <v>7.9749802828401106E-2</v>
      </c>
      <c r="K2351">
        <v>5.5996989746117401E-2</v>
      </c>
      <c r="L2351">
        <v>819.07150305644404</v>
      </c>
      <c r="M2351">
        <v>15.9621068389702</v>
      </c>
      <c r="N2351">
        <v>51.907957424444298</v>
      </c>
      <c r="O2351">
        <v>50.528374378856903</v>
      </c>
      <c r="P2351">
        <v>-7.2384607677162205E-2</v>
      </c>
      <c r="Q2351">
        <v>8.3532756356821294E-2</v>
      </c>
      <c r="R2351">
        <v>0.97656131304016602</v>
      </c>
      <c r="S2351" t="s">
        <v>8177</v>
      </c>
      <c r="T2351" t="s">
        <v>11650</v>
      </c>
      <c r="U2351" t="s">
        <v>11650</v>
      </c>
      <c r="V2351" t="s">
        <v>11650</v>
      </c>
      <c r="W2351" t="s">
        <v>13960</v>
      </c>
      <c r="X2351">
        <v>19</v>
      </c>
      <c r="Y2351" t="s">
        <v>19680</v>
      </c>
      <c r="Z2351" t="s">
        <v>25413</v>
      </c>
      <c r="AA2351">
        <v>0.44807480641947289</v>
      </c>
      <c r="AB2351" t="str">
        <f>HYPERLINK("Melting_Curves/meltCurve_P42330_AKR1C3.pdf", "Melting_Curves/meltCurve_P42330_AKR1C3.pdf")</f>
        <v>Melting_Curves/meltCurve_P42330_AKR1C3.pdf</v>
      </c>
    </row>
    <row r="2352" spans="1:28" x14ac:dyDescent="0.25">
      <c r="A2352" t="s">
        <v>2356</v>
      </c>
      <c r="B2352">
        <v>0.99996721820229495</v>
      </c>
      <c r="C2352">
        <v>1.0473251198092599</v>
      </c>
      <c r="D2352">
        <v>0.90877163177725695</v>
      </c>
      <c r="E2352">
        <v>0.67600511748630199</v>
      </c>
      <c r="F2352">
        <v>0.937745547832046</v>
      </c>
      <c r="G2352">
        <v>0.78520908020434799</v>
      </c>
      <c r="H2352">
        <v>0.47929340421776701</v>
      </c>
      <c r="I2352">
        <v>0.38628639651569502</v>
      </c>
      <c r="J2352">
        <v>0.34504853035041499</v>
      </c>
      <c r="K2352">
        <v>0.31437592475124299</v>
      </c>
      <c r="L2352">
        <v>516.93778898297296</v>
      </c>
      <c r="M2352">
        <v>8.3245231798623198</v>
      </c>
      <c r="N2352">
        <v>62.098182836017102</v>
      </c>
      <c r="O2352">
        <v>58.824411495289198</v>
      </c>
      <c r="P2352">
        <v>-3.5413174029186298E-2</v>
      </c>
      <c r="Q2352">
        <v>0</v>
      </c>
      <c r="R2352">
        <v>0.88473732338370503</v>
      </c>
      <c r="S2352" t="s">
        <v>8178</v>
      </c>
      <c r="T2352" t="s">
        <v>11650</v>
      </c>
      <c r="U2352" t="s">
        <v>11650</v>
      </c>
      <c r="V2352" t="s">
        <v>11650</v>
      </c>
      <c r="W2352" t="s">
        <v>13961</v>
      </c>
      <c r="X2352">
        <v>5</v>
      </c>
      <c r="Y2352" t="s">
        <v>19681</v>
      </c>
      <c r="Z2352" t="s">
        <v>25414</v>
      </c>
      <c r="AA2352">
        <v>0.70176794371048745</v>
      </c>
      <c r="AB2352" t="str">
        <f>HYPERLINK("Melting_Curves/meltCurve_P42331_6_ARHGAP25.pdf", "Melting_Curves/meltCurve_P42331_6_ARHGAP25.pdf")</f>
        <v>Melting_Curves/meltCurve_P42331_6_ARHGAP25.pdf</v>
      </c>
    </row>
    <row r="2353" spans="1:28" x14ac:dyDescent="0.25">
      <c r="A2353" t="s">
        <v>2357</v>
      </c>
      <c r="B2353">
        <v>0.99996721820229495</v>
      </c>
      <c r="C2353">
        <v>0.82920551143202803</v>
      </c>
      <c r="D2353">
        <v>0.87714248379083304</v>
      </c>
      <c r="E2353">
        <v>0.56840263939636704</v>
      </c>
      <c r="F2353">
        <v>0.38336426094063197</v>
      </c>
      <c r="G2353">
        <v>0.27484244419161602</v>
      </c>
      <c r="H2353">
        <v>0.28673068915767203</v>
      </c>
      <c r="I2353">
        <v>0.1995209420864</v>
      </c>
      <c r="J2353">
        <v>0.117696022939489</v>
      </c>
      <c r="K2353">
        <v>0.10450896923238601</v>
      </c>
      <c r="L2353">
        <v>629.47424234470702</v>
      </c>
      <c r="M2353">
        <v>12.476530495688399</v>
      </c>
      <c r="N2353">
        <v>51.515299045918901</v>
      </c>
      <c r="O2353">
        <v>49.209111994405298</v>
      </c>
      <c r="P2353">
        <v>-5.6205519310461402E-2</v>
      </c>
      <c r="Q2353">
        <v>0.11345484776392301</v>
      </c>
      <c r="R2353">
        <v>0.97344007188874904</v>
      </c>
      <c r="S2353" t="s">
        <v>8179</v>
      </c>
      <c r="T2353" t="s">
        <v>11650</v>
      </c>
      <c r="U2353" t="s">
        <v>11650</v>
      </c>
      <c r="V2353" t="s">
        <v>11650</v>
      </c>
      <c r="W2353" t="s">
        <v>13962</v>
      </c>
      <c r="X2353">
        <v>3</v>
      </c>
      <c r="Y2353" t="s">
        <v>19682</v>
      </c>
      <c r="Z2353" t="s">
        <v>25415</v>
      </c>
      <c r="AA2353">
        <v>0.45050446171163039</v>
      </c>
      <c r="AB2353" t="str">
        <f>HYPERLINK("Melting_Curves/meltCurve_P42336_PIK3CA.pdf", "Melting_Curves/meltCurve_P42336_PIK3CA.pdf")</f>
        <v>Melting_Curves/meltCurve_P42336_PIK3CA.pdf</v>
      </c>
    </row>
    <row r="2354" spans="1:28" x14ac:dyDescent="0.25">
      <c r="A2354" t="s">
        <v>2358</v>
      </c>
      <c r="B2354">
        <v>0.99996721820229495</v>
      </c>
      <c r="C2354">
        <v>1.0941227503745801</v>
      </c>
      <c r="D2354">
        <v>1.1764519144012899</v>
      </c>
      <c r="E2354">
        <v>1.1461186289805601</v>
      </c>
      <c r="F2354">
        <v>0.60171901943609896</v>
      </c>
      <c r="G2354">
        <v>0.60747641703172095</v>
      </c>
      <c r="H2354">
        <v>0.35431975231118801</v>
      </c>
      <c r="I2354">
        <v>0.245287898901627</v>
      </c>
      <c r="J2354">
        <v>0.20725694452082599</v>
      </c>
      <c r="K2354">
        <v>0.12151060207125999</v>
      </c>
      <c r="L2354">
        <v>1017.6873413964</v>
      </c>
      <c r="M2354">
        <v>17.9064536253737</v>
      </c>
      <c r="N2354">
        <v>57.854483637072697</v>
      </c>
      <c r="O2354">
        <v>56.138945722794702</v>
      </c>
      <c r="P2354">
        <v>-6.8942880701702805E-2</v>
      </c>
      <c r="Q2354">
        <v>0.135465679736294</v>
      </c>
      <c r="R2354">
        <v>0.90992512114845003</v>
      </c>
      <c r="S2354" t="s">
        <v>8180</v>
      </c>
      <c r="T2354" t="s">
        <v>11650</v>
      </c>
      <c r="U2354" t="s">
        <v>11650</v>
      </c>
      <c r="V2354" t="s">
        <v>11650</v>
      </c>
      <c r="W2354" t="s">
        <v>13963</v>
      </c>
      <c r="X2354">
        <v>7</v>
      </c>
      <c r="Y2354" t="s">
        <v>19683</v>
      </c>
      <c r="Z2354" t="s">
        <v>25416</v>
      </c>
      <c r="AA2354">
        <v>0.63266253995695232</v>
      </c>
      <c r="AB2354" t="str">
        <f>HYPERLINK("Melting_Curves/meltCurve_P42345_MTOR.pdf", "Melting_Curves/meltCurve_P42345_MTOR.pdf")</f>
        <v>Melting_Curves/meltCurve_P42345_MTOR.pdf</v>
      </c>
    </row>
    <row r="2355" spans="1:28" x14ac:dyDescent="0.25">
      <c r="A2355" t="s">
        <v>2359</v>
      </c>
      <c r="B2355">
        <v>0.99996721820229495</v>
      </c>
      <c r="C2355">
        <v>0.98374439488562004</v>
      </c>
      <c r="D2355">
        <v>0.96493350732893202</v>
      </c>
      <c r="E2355">
        <v>0.850568449159538</v>
      </c>
      <c r="F2355">
        <v>0.75680147651691099</v>
      </c>
      <c r="G2355">
        <v>0.59279084851322805</v>
      </c>
      <c r="H2355">
        <v>0.37006369364345898</v>
      </c>
      <c r="I2355">
        <v>0.30590638981213403</v>
      </c>
      <c r="J2355">
        <v>0.27413349940307802</v>
      </c>
      <c r="K2355">
        <v>0.21543159512230201</v>
      </c>
      <c r="L2355">
        <v>715.824931924765</v>
      </c>
      <c r="M2355">
        <v>12.596693755492399</v>
      </c>
      <c r="N2355">
        <v>58.419838804653402</v>
      </c>
      <c r="O2355">
        <v>55.451305692528997</v>
      </c>
      <c r="P2355">
        <v>-4.8544617929603399E-2</v>
      </c>
      <c r="Q2355">
        <v>0.145386621232481</v>
      </c>
      <c r="R2355">
        <v>0.99723949768778097</v>
      </c>
      <c r="S2355" t="s">
        <v>8181</v>
      </c>
      <c r="T2355" t="s">
        <v>11650</v>
      </c>
      <c r="U2355" t="s">
        <v>11650</v>
      </c>
      <c r="V2355" t="s">
        <v>11650</v>
      </c>
      <c r="W2355" t="s">
        <v>13964</v>
      </c>
      <c r="X2355">
        <v>9</v>
      </c>
      <c r="Y2355" t="s">
        <v>19684</v>
      </c>
      <c r="Z2355" t="s">
        <v>25417</v>
      </c>
      <c r="AA2355">
        <v>0.63958137631872447</v>
      </c>
      <c r="AB2355" t="str">
        <f>HYPERLINK("Melting_Curves/meltCurve_P42566_EPS15.pdf", "Melting_Curves/meltCurve_P42566_EPS15.pdf")</f>
        <v>Melting_Curves/meltCurve_P42566_EPS15.pdf</v>
      </c>
    </row>
    <row r="2356" spans="1:28" x14ac:dyDescent="0.25">
      <c r="A2356" t="s">
        <v>2360</v>
      </c>
      <c r="B2356">
        <v>0.99996721820229495</v>
      </c>
      <c r="C2356">
        <v>0.97053139785275</v>
      </c>
      <c r="D2356">
        <v>0.94603308506730899</v>
      </c>
      <c r="E2356">
        <v>0.90029401459554304</v>
      </c>
      <c r="F2356">
        <v>1.07959317007315</v>
      </c>
      <c r="G2356">
        <v>1.08296084383506</v>
      </c>
      <c r="H2356">
        <v>0.76994332370756602</v>
      </c>
      <c r="I2356">
        <v>0.80304573981373895</v>
      </c>
      <c r="J2356">
        <v>0.72399107081485803</v>
      </c>
      <c r="K2356">
        <v>0.42148119881919499</v>
      </c>
      <c r="L2356">
        <v>1123.9816695412701</v>
      </c>
      <c r="M2356">
        <v>16.189118801814001</v>
      </c>
      <c r="N2356">
        <v>69.428239933172193</v>
      </c>
      <c r="O2356">
        <v>68.394786566832295</v>
      </c>
      <c r="P2356">
        <v>-5.9179697873375299E-2</v>
      </c>
      <c r="Q2356">
        <v>0</v>
      </c>
      <c r="R2356">
        <v>0.83407242386199199</v>
      </c>
      <c r="S2356" t="s">
        <v>8182</v>
      </c>
      <c r="T2356" t="s">
        <v>11650</v>
      </c>
      <c r="U2356" t="s">
        <v>11650</v>
      </c>
      <c r="V2356" t="s">
        <v>11650</v>
      </c>
      <c r="W2356" t="s">
        <v>13965</v>
      </c>
      <c r="X2356">
        <v>19</v>
      </c>
      <c r="Y2356" t="s">
        <v>19685</v>
      </c>
      <c r="Z2356" t="s">
        <v>25418</v>
      </c>
      <c r="AA2356">
        <v>0.90322977392492332</v>
      </c>
      <c r="AB2356" t="str">
        <f>HYPERLINK("Melting_Curves/meltCurve_P42574_CASP3.pdf", "Melting_Curves/meltCurve_P42574_CASP3.pdf")</f>
        <v>Melting_Curves/meltCurve_P42574_CASP3.pdf</v>
      </c>
    </row>
    <row r="2357" spans="1:28" x14ac:dyDescent="0.25">
      <c r="A2357" t="s">
        <v>2361</v>
      </c>
      <c r="B2357">
        <v>0.99996721820229495</v>
      </c>
      <c r="C2357">
        <v>1.01012858158734</v>
      </c>
      <c r="D2357">
        <v>0.88951938875446102</v>
      </c>
      <c r="E2357">
        <v>0.77243537652205396</v>
      </c>
      <c r="F2357">
        <v>0.90877823506936495</v>
      </c>
      <c r="G2357">
        <v>0.52767447354994801</v>
      </c>
      <c r="H2357">
        <v>0.33560077476449701</v>
      </c>
      <c r="I2357">
        <v>0.21426125621493999</v>
      </c>
      <c r="J2357">
        <v>0.124483462092647</v>
      </c>
      <c r="K2357">
        <v>0.102084638072673</v>
      </c>
      <c r="L2357">
        <v>768.54746178793198</v>
      </c>
      <c r="M2357">
        <v>13.267187093201599</v>
      </c>
      <c r="N2357">
        <v>57.928440808646499</v>
      </c>
      <c r="O2357">
        <v>56.659802348451301</v>
      </c>
      <c r="P2357">
        <v>-5.8548353040883898E-2</v>
      </c>
      <c r="Q2357">
        <v>0</v>
      </c>
      <c r="R2357">
        <v>0.96756178803192305</v>
      </c>
      <c r="S2357" t="s">
        <v>8183</v>
      </c>
      <c r="T2357" t="s">
        <v>11650</v>
      </c>
      <c r="U2357" t="s">
        <v>11650</v>
      </c>
      <c r="V2357" t="s">
        <v>11650</v>
      </c>
      <c r="W2357" t="s">
        <v>13966</v>
      </c>
      <c r="X2357">
        <v>3</v>
      </c>
      <c r="Y2357" t="s">
        <v>19686</v>
      </c>
      <c r="Z2357" t="s">
        <v>25419</v>
      </c>
      <c r="AA2357">
        <v>0.61123179856023635</v>
      </c>
      <c r="AB2357" t="str">
        <f>HYPERLINK("Melting_Curves/meltCurve_P42575_CASP2.pdf", "Melting_Curves/meltCurve_P42575_CASP2.pdf")</f>
        <v>Melting_Curves/meltCurve_P42575_CASP2.pdf</v>
      </c>
    </row>
    <row r="2358" spans="1:28" x14ac:dyDescent="0.25">
      <c r="A2358" t="s">
        <v>2362</v>
      </c>
      <c r="B2358">
        <v>0.99996721820229495</v>
      </c>
      <c r="C2358">
        <v>0.88300868050013503</v>
      </c>
      <c r="D2358">
        <v>0.82470486495585105</v>
      </c>
      <c r="E2358">
        <v>0.59181652351663705</v>
      </c>
      <c r="F2358">
        <v>0.77529432023825695</v>
      </c>
      <c r="G2358">
        <v>0.80689702842698297</v>
      </c>
      <c r="H2358">
        <v>0.47769418566222199</v>
      </c>
      <c r="I2358">
        <v>0.32849604222755202</v>
      </c>
      <c r="J2358">
        <v>0.29412926669571099</v>
      </c>
      <c r="K2358">
        <v>0.21163254082204699</v>
      </c>
      <c r="L2358">
        <v>391.56591556661601</v>
      </c>
      <c r="M2358">
        <v>6.55629489308612</v>
      </c>
      <c r="N2358">
        <v>59.723660058395403</v>
      </c>
      <c r="O2358">
        <v>54.898538242886502</v>
      </c>
      <c r="P2358">
        <v>-2.99266993601272E-2</v>
      </c>
      <c r="Q2358">
        <v>0</v>
      </c>
      <c r="R2358">
        <v>0.84059777848025896</v>
      </c>
      <c r="S2358" t="s">
        <v>8184</v>
      </c>
      <c r="T2358" t="s">
        <v>11650</v>
      </c>
      <c r="U2358" t="s">
        <v>11650</v>
      </c>
      <c r="V2358" t="s">
        <v>11650</v>
      </c>
      <c r="W2358" t="s">
        <v>13967</v>
      </c>
      <c r="X2358">
        <v>3</v>
      </c>
      <c r="Y2358" t="s">
        <v>19687</v>
      </c>
      <c r="Z2358" t="s">
        <v>25420</v>
      </c>
      <c r="AA2358">
        <v>0.63310140957075822</v>
      </c>
      <c r="AB2358" t="str">
        <f>HYPERLINK("Melting_Curves/meltCurve_P42684_7_ABL2.pdf", "Melting_Curves/meltCurve_P42684_7_ABL2.pdf")</f>
        <v>Melting_Curves/meltCurve_P42684_7_ABL2.pdf</v>
      </c>
    </row>
    <row r="2359" spans="1:28" x14ac:dyDescent="0.25">
      <c r="A2359" t="s">
        <v>2363</v>
      </c>
      <c r="B2359">
        <v>0.99996721820229495</v>
      </c>
      <c r="C2359">
        <v>0.95157076871738899</v>
      </c>
      <c r="D2359">
        <v>0.60996235231467999</v>
      </c>
      <c r="E2359">
        <v>0.23106681552412001</v>
      </c>
      <c r="F2359">
        <v>0.27009045947677801</v>
      </c>
      <c r="G2359">
        <v>0.225686302757794</v>
      </c>
      <c r="H2359">
        <v>0.13832002755519601</v>
      </c>
      <c r="I2359">
        <v>8.8888582199025998E-2</v>
      </c>
      <c r="J2359">
        <v>6.7140540750696795E-2</v>
      </c>
      <c r="K2359">
        <v>5.6695041513339303E-2</v>
      </c>
      <c r="L2359">
        <v>1093.5225200242801</v>
      </c>
      <c r="M2359">
        <v>23.436200700926499</v>
      </c>
      <c r="N2359">
        <v>47.2233730150068</v>
      </c>
      <c r="O2359">
        <v>46.323822033638997</v>
      </c>
      <c r="P2359">
        <v>-0.111047134543496</v>
      </c>
      <c r="Q2359">
        <v>0.12203562697454701</v>
      </c>
      <c r="R2359">
        <v>0.972495441969636</v>
      </c>
      <c r="S2359" t="s">
        <v>8185</v>
      </c>
      <c r="T2359" t="s">
        <v>11650</v>
      </c>
      <c r="U2359" t="s">
        <v>11650</v>
      </c>
      <c r="V2359" t="s">
        <v>11650</v>
      </c>
      <c r="W2359" t="s">
        <v>13968</v>
      </c>
      <c r="X2359">
        <v>36</v>
      </c>
      <c r="Y2359" t="s">
        <v>19688</v>
      </c>
      <c r="Z2359" t="s">
        <v>25421</v>
      </c>
      <c r="AA2359">
        <v>0.3260664680742616</v>
      </c>
      <c r="AB2359" t="str">
        <f>HYPERLINK("Melting_Curves/meltCurve_P42704_LRPPRC.pdf", "Melting_Curves/meltCurve_P42704_LRPPRC.pdf")</f>
        <v>Melting_Curves/meltCurve_P42704_LRPPRC.pdf</v>
      </c>
    </row>
    <row r="2360" spans="1:28" x14ac:dyDescent="0.25">
      <c r="A2360" t="s">
        <v>2364</v>
      </c>
      <c r="B2360">
        <v>0.99996721820229495</v>
      </c>
      <c r="C2360">
        <v>1.0486770561558301</v>
      </c>
      <c r="D2360">
        <v>1.13658529691074</v>
      </c>
      <c r="E2360">
        <v>1.43193468064881</v>
      </c>
      <c r="F2360">
        <v>1.8473803570491101</v>
      </c>
      <c r="G2360">
        <v>2.3908321248811601</v>
      </c>
      <c r="H2360">
        <v>1.69619789355849</v>
      </c>
      <c r="I2360">
        <v>1.0082985482876901</v>
      </c>
      <c r="J2360">
        <v>0.27136626906581102</v>
      </c>
      <c r="K2360">
        <v>0.149692798343669</v>
      </c>
      <c r="L2360">
        <v>15000</v>
      </c>
      <c r="M2360">
        <v>225.67016939867901</v>
      </c>
      <c r="N2360">
        <v>66.573633368883307</v>
      </c>
      <c r="O2360">
        <v>66.463468607567194</v>
      </c>
      <c r="P2360">
        <v>-0.72179894861007399</v>
      </c>
      <c r="Q2360">
        <v>0.14967474731390601</v>
      </c>
      <c r="R2360">
        <v>0.204814092622642</v>
      </c>
      <c r="S2360" t="s">
        <v>8186</v>
      </c>
      <c r="T2360" t="s">
        <v>11650</v>
      </c>
      <c r="U2360" t="s">
        <v>11650</v>
      </c>
      <c r="V2360" t="s">
        <v>11650</v>
      </c>
      <c r="W2360" t="s">
        <v>13969</v>
      </c>
      <c r="X2360">
        <v>20</v>
      </c>
      <c r="Y2360" t="s">
        <v>19689</v>
      </c>
      <c r="Z2360" t="s">
        <v>25422</v>
      </c>
      <c r="AA2360">
        <v>0.90002949675832034</v>
      </c>
      <c r="AB2360" t="str">
        <f>HYPERLINK("Melting_Curves/meltCurve_P42765_ACAA2.pdf", "Melting_Curves/meltCurve_P42765_ACAA2.pdf")</f>
        <v>Melting_Curves/meltCurve_P42765_ACAA2.pdf</v>
      </c>
    </row>
    <row r="2361" spans="1:28" x14ac:dyDescent="0.25">
      <c r="A2361" t="s">
        <v>2365</v>
      </c>
      <c r="B2361">
        <v>0.99996721820229495</v>
      </c>
      <c r="C2361">
        <v>1.23542371278651</v>
      </c>
      <c r="D2361">
        <v>1.2338952140211401</v>
      </c>
      <c r="E2361">
        <v>1.67871717920743</v>
      </c>
      <c r="F2361">
        <v>1.2830992230065399</v>
      </c>
      <c r="G2361">
        <v>1.0781005790397999</v>
      </c>
      <c r="H2361">
        <v>0.49068015213178701</v>
      </c>
      <c r="I2361">
        <v>0.53050104806517295</v>
      </c>
      <c r="J2361">
        <v>0.22409510907637301</v>
      </c>
      <c r="K2361">
        <v>0.21636302344804401</v>
      </c>
      <c r="L2361">
        <v>2913.81209225167</v>
      </c>
      <c r="M2361">
        <v>48.2428022163555</v>
      </c>
      <c r="N2361">
        <v>61.506410931056003</v>
      </c>
      <c r="O2361">
        <v>60.295387563740803</v>
      </c>
      <c r="P2361">
        <v>-0.141969350719508</v>
      </c>
      <c r="Q2361">
        <v>0.290249462600498</v>
      </c>
      <c r="R2361">
        <v>0.67988310642934702</v>
      </c>
      <c r="S2361" t="s">
        <v>8187</v>
      </c>
      <c r="T2361" t="s">
        <v>11650</v>
      </c>
      <c r="U2361" t="s">
        <v>11650</v>
      </c>
      <c r="V2361" t="s">
        <v>11650</v>
      </c>
      <c r="W2361" t="s">
        <v>13970</v>
      </c>
      <c r="X2361">
        <v>2</v>
      </c>
      <c r="Y2361" t="s">
        <v>19690</v>
      </c>
      <c r="Z2361" t="s">
        <v>25423</v>
      </c>
      <c r="AA2361">
        <v>0.77482986145829713</v>
      </c>
      <c r="AB2361" t="str">
        <f>HYPERLINK("Melting_Curves/meltCurve_P42766_RPL35.pdf", "Melting_Curves/meltCurve_P42766_RPL35.pdf")</f>
        <v>Melting_Curves/meltCurve_P42766_RPL35.pdf</v>
      </c>
    </row>
    <row r="2362" spans="1:28" x14ac:dyDescent="0.25">
      <c r="A2362" t="s">
        <v>2366</v>
      </c>
      <c r="B2362">
        <v>0.99996721820229495</v>
      </c>
      <c r="C2362">
        <v>0.88521023992933801</v>
      </c>
      <c r="D2362">
        <v>0.67208567064876401</v>
      </c>
      <c r="E2362">
        <v>0.423326055051506</v>
      </c>
      <c r="F2362">
        <v>0.35151080655300498</v>
      </c>
      <c r="G2362">
        <v>0.26355925340781999</v>
      </c>
      <c r="H2362">
        <v>0.115115999722758</v>
      </c>
      <c r="I2362">
        <v>9.0841378532330902E-2</v>
      </c>
      <c r="J2362">
        <v>9.6723618891676202E-2</v>
      </c>
      <c r="K2362">
        <v>5.83884784052549E-2</v>
      </c>
      <c r="L2362">
        <v>596.24805130144</v>
      </c>
      <c r="M2362">
        <v>12.173812552169</v>
      </c>
      <c r="N2362">
        <v>49.454557795319502</v>
      </c>
      <c r="O2362">
        <v>47.712541596416997</v>
      </c>
      <c r="P2362">
        <v>-6.0270146627130199E-2</v>
      </c>
      <c r="Q2362">
        <v>5.53538146111772E-2</v>
      </c>
      <c r="R2362">
        <v>0.98771039473603095</v>
      </c>
      <c r="S2362" t="s">
        <v>8188</v>
      </c>
      <c r="T2362" t="s">
        <v>11650</v>
      </c>
      <c r="U2362" t="s">
        <v>11650</v>
      </c>
      <c r="V2362" t="s">
        <v>11650</v>
      </c>
      <c r="W2362" t="s">
        <v>13971</v>
      </c>
      <c r="X2362">
        <v>9</v>
      </c>
      <c r="Y2362" t="s">
        <v>19691</v>
      </c>
      <c r="Z2362" t="s">
        <v>25424</v>
      </c>
      <c r="AA2362">
        <v>0.37197210424572319</v>
      </c>
      <c r="AB2362" t="str">
        <f>HYPERLINK("Melting_Curves/meltCurve_P42771_CDKN2A.pdf", "Melting_Curves/meltCurve_P42771_CDKN2A.pdf")</f>
        <v>Melting_Curves/meltCurve_P42771_CDKN2A.pdf</v>
      </c>
    </row>
    <row r="2363" spans="1:28" x14ac:dyDescent="0.25">
      <c r="A2363" t="s">
        <v>2367</v>
      </c>
      <c r="B2363">
        <v>0.99996721820229495</v>
      </c>
      <c r="C2363">
        <v>1.0127513219950799</v>
      </c>
      <c r="D2363">
        <v>0.94077290321111695</v>
      </c>
      <c r="E2363">
        <v>0.80149829217638602</v>
      </c>
      <c r="F2363">
        <v>1.0019455453777899</v>
      </c>
      <c r="G2363">
        <v>0.82719133991466098</v>
      </c>
      <c r="H2363">
        <v>0.47214969690946701</v>
      </c>
      <c r="I2363">
        <v>0.27528940861302897</v>
      </c>
      <c r="J2363">
        <v>0.178458340947447</v>
      </c>
      <c r="K2363">
        <v>0.111546325356085</v>
      </c>
      <c r="L2363">
        <v>1378.96355587428</v>
      </c>
      <c r="M2363">
        <v>22.8461594827196</v>
      </c>
      <c r="N2363">
        <v>60.821607512151601</v>
      </c>
      <c r="O2363">
        <v>59.901916512162202</v>
      </c>
      <c r="P2363">
        <v>-8.7740617884986299E-2</v>
      </c>
      <c r="Q2363">
        <v>7.9805052450841005E-2</v>
      </c>
      <c r="R2363">
        <v>0.96496479138225499</v>
      </c>
      <c r="S2363" t="s">
        <v>8189</v>
      </c>
      <c r="T2363" t="s">
        <v>11650</v>
      </c>
      <c r="U2363" t="s">
        <v>11650</v>
      </c>
      <c r="V2363" t="s">
        <v>11650</v>
      </c>
      <c r="W2363" t="s">
        <v>13972</v>
      </c>
      <c r="X2363">
        <v>2</v>
      </c>
      <c r="Y2363" t="s">
        <v>19692</v>
      </c>
      <c r="Z2363" t="s">
        <v>25425</v>
      </c>
      <c r="AA2363">
        <v>0.71111791029144089</v>
      </c>
      <c r="AB2363" t="str">
        <f>HYPERLINK("Melting_Curves/meltCurve_P42773_CDKN2C.pdf", "Melting_Curves/meltCurve_P42773_CDKN2C.pdf")</f>
        <v>Melting_Curves/meltCurve_P42773_CDKN2C.pdf</v>
      </c>
    </row>
    <row r="2364" spans="1:28" x14ac:dyDescent="0.25">
      <c r="A2364" t="s">
        <v>2368</v>
      </c>
      <c r="B2364">
        <v>0.99996721820229495</v>
      </c>
      <c r="C2364">
        <v>1.0253208447842499</v>
      </c>
      <c r="D2364">
        <v>1.0880906743762</v>
      </c>
      <c r="E2364">
        <v>1.2428799470248699</v>
      </c>
      <c r="F2364">
        <v>1.6481004205955301</v>
      </c>
      <c r="G2364">
        <v>1.9482506577679199</v>
      </c>
      <c r="H2364">
        <v>1.3744011811883301</v>
      </c>
      <c r="I2364">
        <v>0.59999175891441603</v>
      </c>
      <c r="J2364">
        <v>0.22800609503480099</v>
      </c>
      <c r="K2364">
        <v>0.18634010092035799</v>
      </c>
      <c r="L2364">
        <v>15000</v>
      </c>
      <c r="M2364">
        <v>234.393015243208</v>
      </c>
      <c r="N2364">
        <v>64.141492267808601</v>
      </c>
      <c r="O2364">
        <v>63.990443319186902</v>
      </c>
      <c r="P2364">
        <v>-0.72603156045164696</v>
      </c>
      <c r="Q2364">
        <v>0.207159545983326</v>
      </c>
      <c r="R2364">
        <v>0.47917668104163502</v>
      </c>
      <c r="S2364" t="s">
        <v>8190</v>
      </c>
      <c r="T2364" t="s">
        <v>11650</v>
      </c>
      <c r="U2364" t="s">
        <v>11650</v>
      </c>
      <c r="V2364" t="s">
        <v>11650</v>
      </c>
      <c r="W2364" t="s">
        <v>13973</v>
      </c>
      <c r="X2364">
        <v>10</v>
      </c>
      <c r="Y2364" t="s">
        <v>19693</v>
      </c>
      <c r="Z2364" t="s">
        <v>25426</v>
      </c>
      <c r="AA2364">
        <v>0.84140321021830566</v>
      </c>
      <c r="AB2364" t="str">
        <f>HYPERLINK("Melting_Curves/meltCurve_P42785_PRCP.pdf", "Melting_Curves/meltCurve_P42785_PRCP.pdf")</f>
        <v>Melting_Curves/meltCurve_P42785_PRCP.pdf</v>
      </c>
    </row>
    <row r="2365" spans="1:28" x14ac:dyDescent="0.25">
      <c r="A2365" t="s">
        <v>2369</v>
      </c>
      <c r="B2365">
        <v>0.99996721820229495</v>
      </c>
      <c r="C2365">
        <v>0.89886509104641299</v>
      </c>
      <c r="D2365">
        <v>1.1557596470037801</v>
      </c>
      <c r="E2365">
        <v>1.6135708481151101</v>
      </c>
      <c r="F2365">
        <v>1.87551689548102</v>
      </c>
      <c r="G2365">
        <v>1.9270101462859099</v>
      </c>
      <c r="H2365">
        <v>1.3414673644698001</v>
      </c>
      <c r="I2365">
        <v>0.74195585726273905</v>
      </c>
      <c r="J2365">
        <v>0.29526373907848802</v>
      </c>
      <c r="K2365">
        <v>0.696486836145218</v>
      </c>
      <c r="L2365">
        <v>15000</v>
      </c>
      <c r="M2365">
        <v>234.42252598524399</v>
      </c>
      <c r="N2365">
        <v>65.3238921150609</v>
      </c>
      <c r="O2365">
        <v>63.982356684435103</v>
      </c>
      <c r="P2365">
        <v>-0.46176116128615402</v>
      </c>
      <c r="Q2365">
        <v>0.49587485497348199</v>
      </c>
      <c r="R2365">
        <v>0.13070603610068501</v>
      </c>
      <c r="S2365" t="s">
        <v>8191</v>
      </c>
      <c r="T2365" t="s">
        <v>11650</v>
      </c>
      <c r="U2365" t="s">
        <v>11650</v>
      </c>
      <c r="V2365" t="s">
        <v>11650</v>
      </c>
      <c r="W2365" t="s">
        <v>13974</v>
      </c>
      <c r="X2365">
        <v>26</v>
      </c>
      <c r="Y2365" t="s">
        <v>19694</v>
      </c>
      <c r="Z2365" t="s">
        <v>25427</v>
      </c>
      <c r="AA2365">
        <v>0.89902132163623427</v>
      </c>
      <c r="AB2365" t="str">
        <f>HYPERLINK("Melting_Curves/meltCurve_P42892_3_ECE1.pdf", "Melting_Curves/meltCurve_P42892_3_ECE1.pdf")</f>
        <v>Melting_Curves/meltCurve_P42892_3_ECE1.pdf</v>
      </c>
    </row>
    <row r="2366" spans="1:28" x14ac:dyDescent="0.25">
      <c r="A2366" t="s">
        <v>2370</v>
      </c>
      <c r="B2366">
        <v>0.99996721820229495</v>
      </c>
      <c r="C2366">
        <v>0.55873711537748705</v>
      </c>
      <c r="D2366">
        <v>0.83812600594105702</v>
      </c>
      <c r="E2366">
        <v>1.2403713077521199</v>
      </c>
      <c r="F2366">
        <v>2.07583070298818</v>
      </c>
      <c r="G2366">
        <v>1.59591576549645</v>
      </c>
      <c r="H2366">
        <v>1.3922246004338801</v>
      </c>
      <c r="I2366">
        <v>1.1032020660722901</v>
      </c>
      <c r="J2366">
        <v>0.64962378332275295</v>
      </c>
      <c r="K2366">
        <v>1.11929101506328</v>
      </c>
      <c r="L2366">
        <v>12446.414520027</v>
      </c>
      <c r="M2366">
        <v>250</v>
      </c>
      <c r="O2366">
        <v>49.782472079284403</v>
      </c>
      <c r="P2366">
        <v>0.405113950801753</v>
      </c>
      <c r="Q2366">
        <v>1.3226811830543901</v>
      </c>
      <c r="R2366">
        <v>0.23574560285916199</v>
      </c>
      <c r="S2366" t="s">
        <v>8192</v>
      </c>
      <c r="T2366" t="s">
        <v>11650</v>
      </c>
      <c r="U2366" t="s">
        <v>11650</v>
      </c>
      <c r="V2366" t="s">
        <v>11650</v>
      </c>
      <c r="W2366" t="s">
        <v>13975</v>
      </c>
      <c r="X2366">
        <v>1</v>
      </c>
      <c r="Y2366" t="s">
        <v>19695</v>
      </c>
      <c r="Z2366" t="s">
        <v>25428</v>
      </c>
      <c r="AA2366">
        <v>1.2173980652051051</v>
      </c>
      <c r="AB2366" t="str">
        <f>HYPERLINK("Melting_Curves/meltCurve_P43003_2_SLC1A3.pdf", "Melting_Curves/meltCurve_P43003_2_SLC1A3.pdf")</f>
        <v>Melting_Curves/meltCurve_P43003_2_SLC1A3.pdf</v>
      </c>
    </row>
    <row r="2367" spans="1:28" x14ac:dyDescent="0.25">
      <c r="A2367" t="s">
        <v>2371</v>
      </c>
      <c r="B2367">
        <v>0.99996721820229495</v>
      </c>
      <c r="C2367">
        <v>0.96370915739486596</v>
      </c>
      <c r="D2367">
        <v>0.90263878727645097</v>
      </c>
      <c r="E2367">
        <v>0.85623295194183102</v>
      </c>
      <c r="F2367">
        <v>1.58598817621152</v>
      </c>
      <c r="G2367">
        <v>1.73308284001063</v>
      </c>
      <c r="H2367">
        <v>0.41236232290135999</v>
      </c>
      <c r="I2367">
        <v>0.106053801081491</v>
      </c>
      <c r="J2367">
        <v>3.7561528722401601E-2</v>
      </c>
      <c r="K2367">
        <v>3.52401693285017E-2</v>
      </c>
      <c r="L2367">
        <v>10957.419668138</v>
      </c>
      <c r="M2367">
        <v>180.139858295658</v>
      </c>
      <c r="N2367">
        <v>60.870153389951703</v>
      </c>
      <c r="O2367">
        <v>60.8197951710181</v>
      </c>
      <c r="P2367">
        <v>-0.69635804620861597</v>
      </c>
      <c r="Q2367">
        <v>5.9567296251131399E-2</v>
      </c>
      <c r="R2367">
        <v>0.72699772138654395</v>
      </c>
      <c r="S2367" t="s">
        <v>8193</v>
      </c>
      <c r="T2367" t="s">
        <v>11650</v>
      </c>
      <c r="U2367" t="s">
        <v>11650</v>
      </c>
      <c r="V2367" t="s">
        <v>11650</v>
      </c>
      <c r="W2367" t="s">
        <v>13976</v>
      </c>
      <c r="X2367">
        <v>1</v>
      </c>
      <c r="Y2367" t="s">
        <v>19696</v>
      </c>
      <c r="Z2367" t="s">
        <v>25429</v>
      </c>
      <c r="AA2367">
        <v>0.71264956088151155</v>
      </c>
      <c r="AB2367" t="str">
        <f>HYPERLINK("Melting_Curves/meltCurve_P43005_SLC1A1.pdf", "Melting_Curves/meltCurve_P43005_SLC1A1.pdf")</f>
        <v>Melting_Curves/meltCurve_P43005_SLC1A1.pdf</v>
      </c>
    </row>
    <row r="2368" spans="1:28" x14ac:dyDescent="0.25">
      <c r="A2368" t="s">
        <v>2372</v>
      </c>
      <c r="B2368">
        <v>0.99996721820229495</v>
      </c>
      <c r="C2368">
        <v>0.91399863371402501</v>
      </c>
      <c r="D2368">
        <v>1.0481643209613201</v>
      </c>
      <c r="E2368">
        <v>1.11234140254667</v>
      </c>
      <c r="F2368">
        <v>1.4746314831346099</v>
      </c>
      <c r="G2368">
        <v>1.54274482120544</v>
      </c>
      <c r="H2368">
        <v>1.11321949983694</v>
      </c>
      <c r="I2368">
        <v>0.90097336196775302</v>
      </c>
      <c r="J2368">
        <v>0.53457472929375105</v>
      </c>
      <c r="K2368">
        <v>0.75022070910358996</v>
      </c>
      <c r="L2368">
        <v>15000</v>
      </c>
      <c r="M2368">
        <v>233.415699697657</v>
      </c>
      <c r="O2368">
        <v>64.258303853648798</v>
      </c>
      <c r="P2368">
        <v>-0.324747304610705</v>
      </c>
      <c r="Q2368">
        <v>0.64239400116732204</v>
      </c>
      <c r="R2368">
        <v>0.30207689297614299</v>
      </c>
      <c r="S2368" t="s">
        <v>8194</v>
      </c>
      <c r="T2368" t="s">
        <v>11650</v>
      </c>
      <c r="U2368" t="s">
        <v>11650</v>
      </c>
      <c r="V2368" t="s">
        <v>11650</v>
      </c>
      <c r="W2368" t="s">
        <v>13977</v>
      </c>
      <c r="X2368">
        <v>1</v>
      </c>
      <c r="Y2368" t="s">
        <v>19697</v>
      </c>
      <c r="Z2368" t="s">
        <v>25430</v>
      </c>
      <c r="AA2368">
        <v>0.9316604318907501</v>
      </c>
      <c r="AB2368" t="str">
        <f>HYPERLINK("Melting_Curves/meltCurve_P43007_SLC1A4.pdf", "Melting_Curves/meltCurve_P43007_SLC1A4.pdf")</f>
        <v>Melting_Curves/meltCurve_P43007_SLC1A4.pdf</v>
      </c>
    </row>
    <row r="2369" spans="1:28" x14ac:dyDescent="0.25">
      <c r="A2369" t="s">
        <v>2373</v>
      </c>
      <c r="B2369">
        <v>0.99996721820229495</v>
      </c>
      <c r="C2369">
        <v>1.0316589258814399</v>
      </c>
      <c r="D2369">
        <v>1.1533099665700499</v>
      </c>
      <c r="E2369">
        <v>1.14359962160914</v>
      </c>
      <c r="F2369">
        <v>1.41480025227899</v>
      </c>
      <c r="G2369">
        <v>1.93409926992766</v>
      </c>
      <c r="H2369">
        <v>1.1847474933289099</v>
      </c>
      <c r="I2369">
        <v>0.43775037285659502</v>
      </c>
      <c r="J2369">
        <v>0.155277439333178</v>
      </c>
      <c r="K2369">
        <v>0.111920954127071</v>
      </c>
      <c r="L2369">
        <v>15000</v>
      </c>
      <c r="M2369">
        <v>234.98930520322801</v>
      </c>
      <c r="N2369">
        <v>63.917221030646303</v>
      </c>
      <c r="O2369">
        <v>63.828068947590701</v>
      </c>
      <c r="P2369">
        <v>-0.79744435844703099</v>
      </c>
      <c r="Q2369">
        <v>0.13358893780794001</v>
      </c>
      <c r="R2369">
        <v>0.61525242668924995</v>
      </c>
      <c r="S2369" t="s">
        <v>8195</v>
      </c>
      <c r="T2369" t="s">
        <v>11650</v>
      </c>
      <c r="U2369" t="s">
        <v>11650</v>
      </c>
      <c r="V2369" t="s">
        <v>11650</v>
      </c>
      <c r="W2369" t="s">
        <v>13978</v>
      </c>
      <c r="X2369">
        <v>28</v>
      </c>
      <c r="Y2369" t="s">
        <v>19698</v>
      </c>
      <c r="Z2369" t="s">
        <v>25431</v>
      </c>
      <c r="AA2369">
        <v>0.82199573722752939</v>
      </c>
      <c r="AB2369" t="str">
        <f>HYPERLINK("Melting_Curves/meltCurve_P43034_PAFAH1B1.pdf", "Melting_Curves/meltCurve_P43034_PAFAH1B1.pdf")</f>
        <v>Melting_Curves/meltCurve_P43034_PAFAH1B1.pdf</v>
      </c>
    </row>
    <row r="2370" spans="1:28" x14ac:dyDescent="0.25">
      <c r="A2370" t="s">
        <v>2374</v>
      </c>
      <c r="B2370">
        <v>0.99996721820229495</v>
      </c>
      <c r="C2370">
        <v>0.92755423835040696</v>
      </c>
      <c r="D2370">
        <v>1.0332203295459299</v>
      </c>
      <c r="E2370">
        <v>1.14483743360254</v>
      </c>
      <c r="F2370">
        <v>1.47890628704533</v>
      </c>
      <c r="G2370">
        <v>1.4099032049878</v>
      </c>
      <c r="H2370">
        <v>0.94217047126866704</v>
      </c>
      <c r="I2370">
        <v>0.58095251339476695</v>
      </c>
      <c r="J2370">
        <v>0.41489625883203302</v>
      </c>
      <c r="K2370">
        <v>0.40756810079721001</v>
      </c>
      <c r="L2370">
        <v>4303.8758422791898</v>
      </c>
      <c r="M2370">
        <v>68.137710397822403</v>
      </c>
      <c r="N2370">
        <v>64.748006005024905</v>
      </c>
      <c r="O2370">
        <v>63.110032607296198</v>
      </c>
      <c r="P2370">
        <v>-0.16045115401462701</v>
      </c>
      <c r="Q2370">
        <v>0.40555237439495201</v>
      </c>
      <c r="R2370">
        <v>0.66083817143006196</v>
      </c>
      <c r="S2370" t="s">
        <v>8196</v>
      </c>
      <c r="T2370" t="s">
        <v>11650</v>
      </c>
      <c r="U2370" t="s">
        <v>11650</v>
      </c>
      <c r="V2370" t="s">
        <v>11650</v>
      </c>
      <c r="W2370" t="s">
        <v>13979</v>
      </c>
      <c r="X2370">
        <v>7</v>
      </c>
      <c r="Y2370" t="s">
        <v>19699</v>
      </c>
      <c r="Z2370" t="s">
        <v>25432</v>
      </c>
      <c r="AA2370">
        <v>0.86541210219031461</v>
      </c>
      <c r="AB2370" t="str">
        <f>HYPERLINK("Melting_Curves/meltCurve_P43121_MCAM.pdf", "Melting_Curves/meltCurve_P43121_MCAM.pdf")</f>
        <v>Melting_Curves/meltCurve_P43121_MCAM.pdf</v>
      </c>
    </row>
    <row r="2371" spans="1:28" x14ac:dyDescent="0.25">
      <c r="A2371" t="s">
        <v>2375</v>
      </c>
      <c r="B2371">
        <v>0.99996721820229495</v>
      </c>
      <c r="C2371">
        <v>1.02177674121202</v>
      </c>
      <c r="D2371">
        <v>0.84791657845679003</v>
      </c>
      <c r="E2371">
        <v>0.48994746738079897</v>
      </c>
      <c r="F2371">
        <v>0.34072119755890701</v>
      </c>
      <c r="G2371">
        <v>0.23824482733608501</v>
      </c>
      <c r="H2371">
        <v>0.13333020956765601</v>
      </c>
      <c r="I2371">
        <v>9.7871771937864505E-2</v>
      </c>
      <c r="J2371">
        <v>7.2561092171465502E-2</v>
      </c>
      <c r="K2371">
        <v>6.2467031958632797E-2</v>
      </c>
      <c r="L2371">
        <v>878.83343553916995</v>
      </c>
      <c r="M2371">
        <v>17.580312408271201</v>
      </c>
      <c r="N2371">
        <v>50.516915968079999</v>
      </c>
      <c r="O2371">
        <v>49.356274818103401</v>
      </c>
      <c r="P2371">
        <v>-8.1588154928786599E-2</v>
      </c>
      <c r="Q2371">
        <v>8.3822917356444093E-2</v>
      </c>
      <c r="R2371">
        <v>0.99060081582822701</v>
      </c>
      <c r="S2371" t="s">
        <v>8197</v>
      </c>
      <c r="T2371" t="s">
        <v>11650</v>
      </c>
      <c r="U2371" t="s">
        <v>11650</v>
      </c>
      <c r="V2371" t="s">
        <v>11650</v>
      </c>
      <c r="W2371" t="s">
        <v>13980</v>
      </c>
      <c r="X2371">
        <v>18</v>
      </c>
      <c r="Y2371" t="s">
        <v>19700</v>
      </c>
      <c r="Z2371" t="s">
        <v>25433</v>
      </c>
      <c r="AA2371">
        <v>0.4052386600460397</v>
      </c>
      <c r="AB2371" t="str">
        <f>HYPERLINK("Melting_Curves/meltCurve_P43155_2_CRAT.pdf", "Melting_Curves/meltCurve_P43155_2_CRAT.pdf")</f>
        <v>Melting_Curves/meltCurve_P43155_2_CRAT.pdf</v>
      </c>
    </row>
    <row r="2372" spans="1:28" x14ac:dyDescent="0.25">
      <c r="A2372" t="s">
        <v>2376</v>
      </c>
      <c r="B2372">
        <v>0.99996721820229495</v>
      </c>
      <c r="C2372">
        <v>0.99673755762774197</v>
      </c>
      <c r="D2372">
        <v>0.92300849819737296</v>
      </c>
      <c r="E2372">
        <v>0.919110735300397</v>
      </c>
      <c r="F2372">
        <v>1.0076284499835599</v>
      </c>
      <c r="G2372">
        <v>1.0662153150974101</v>
      </c>
      <c r="H2372">
        <v>0.58053860384733602</v>
      </c>
      <c r="I2372">
        <v>0.25360531425669303</v>
      </c>
      <c r="J2372">
        <v>0.14086833875521601</v>
      </c>
      <c r="K2372">
        <v>0.103501433099049</v>
      </c>
      <c r="L2372">
        <v>3032.99815280948</v>
      </c>
      <c r="M2372">
        <v>49.543445847828799</v>
      </c>
      <c r="N2372">
        <v>61.584353535325199</v>
      </c>
      <c r="O2372">
        <v>61.119467464619902</v>
      </c>
      <c r="P2372">
        <v>-0.17684385277871101</v>
      </c>
      <c r="Q2372">
        <v>0.12734434255115401</v>
      </c>
      <c r="R2372">
        <v>0.983649174289841</v>
      </c>
      <c r="S2372" t="s">
        <v>8198</v>
      </c>
      <c r="T2372" t="s">
        <v>11650</v>
      </c>
      <c r="U2372" t="s">
        <v>11650</v>
      </c>
      <c r="V2372" t="s">
        <v>11650</v>
      </c>
      <c r="W2372" t="s">
        <v>13981</v>
      </c>
      <c r="X2372">
        <v>5</v>
      </c>
      <c r="Y2372" t="s">
        <v>19701</v>
      </c>
      <c r="Z2372" t="s">
        <v>25434</v>
      </c>
      <c r="AA2372">
        <v>0.74687434435178279</v>
      </c>
      <c r="AB2372" t="str">
        <f>HYPERLINK("Melting_Curves/meltCurve_P43234_CTSO.pdf", "Melting_Curves/meltCurve_P43234_CTSO.pdf")</f>
        <v>Melting_Curves/meltCurve_P43234_CTSO.pdf</v>
      </c>
    </row>
    <row r="2373" spans="1:28" x14ac:dyDescent="0.25">
      <c r="A2373" t="s">
        <v>2377</v>
      </c>
      <c r="B2373">
        <v>0.99996721820229495</v>
      </c>
      <c r="C2373">
        <v>0.94501454782102401</v>
      </c>
      <c r="D2373">
        <v>0.93103317832412102</v>
      </c>
      <c r="E2373">
        <v>0.89427810126207796</v>
      </c>
      <c r="F2373">
        <v>0.95865953121603797</v>
      </c>
      <c r="G2373">
        <v>0.87144081644028404</v>
      </c>
      <c r="H2373">
        <v>0.54279026365828698</v>
      </c>
      <c r="I2373">
        <v>0.45320498436935203</v>
      </c>
      <c r="J2373">
        <v>0.45184058051827303</v>
      </c>
      <c r="K2373">
        <v>0.38255478065614901</v>
      </c>
      <c r="L2373">
        <v>1915.4569162487801</v>
      </c>
      <c r="M2373">
        <v>32.476873415646097</v>
      </c>
      <c r="N2373">
        <v>62.1958900228746</v>
      </c>
      <c r="O2373">
        <v>58.756842108289298</v>
      </c>
      <c r="P2373">
        <v>-8.1972699590211001E-2</v>
      </c>
      <c r="Q2373">
        <v>0.40678603908216399</v>
      </c>
      <c r="R2373">
        <v>0.96178400731040203</v>
      </c>
      <c r="S2373" t="s">
        <v>8199</v>
      </c>
      <c r="T2373" t="s">
        <v>11650</v>
      </c>
      <c r="U2373" t="s">
        <v>11650</v>
      </c>
      <c r="V2373" t="s">
        <v>11650</v>
      </c>
      <c r="W2373" t="s">
        <v>13982</v>
      </c>
      <c r="X2373">
        <v>13</v>
      </c>
      <c r="Y2373" t="s">
        <v>19702</v>
      </c>
      <c r="Z2373" t="s">
        <v>25435</v>
      </c>
      <c r="AA2373">
        <v>0.78543328240512367</v>
      </c>
      <c r="AB2373" t="str">
        <f>HYPERLINK("Melting_Curves/meltCurve_P43235_CTSK.pdf", "Melting_Curves/meltCurve_P43235_CTSK.pdf")</f>
        <v>Melting_Curves/meltCurve_P43235_CTSK.pdf</v>
      </c>
    </row>
    <row r="2374" spans="1:28" x14ac:dyDescent="0.25">
      <c r="A2374" t="s">
        <v>2378</v>
      </c>
      <c r="B2374">
        <v>0.99996721820229495</v>
      </c>
      <c r="C2374">
        <v>0.93705070300039095</v>
      </c>
      <c r="D2374">
        <v>1.0521973252736201</v>
      </c>
      <c r="E2374">
        <v>1.2252580287322701</v>
      </c>
      <c r="F2374">
        <v>1.53671908780285</v>
      </c>
      <c r="G2374">
        <v>1.9871823204285199</v>
      </c>
      <c r="H2374">
        <v>1.2766411524199499</v>
      </c>
      <c r="I2374">
        <v>0.61285695771729298</v>
      </c>
      <c r="J2374">
        <v>0.32675696809975102</v>
      </c>
      <c r="K2374">
        <v>0.21907921218485801</v>
      </c>
      <c r="L2374">
        <v>15000</v>
      </c>
      <c r="M2374">
        <v>234.50489323089801</v>
      </c>
      <c r="N2374">
        <v>64.180533852042302</v>
      </c>
      <c r="O2374">
        <v>63.959897679553698</v>
      </c>
      <c r="P2374">
        <v>-0.66646147498981201</v>
      </c>
      <c r="Q2374">
        <v>0.27290544148121998</v>
      </c>
      <c r="R2374">
        <v>0.461980011545921</v>
      </c>
      <c r="S2374" t="s">
        <v>8200</v>
      </c>
      <c r="T2374" t="s">
        <v>11650</v>
      </c>
      <c r="U2374" t="s">
        <v>11650</v>
      </c>
      <c r="V2374" t="s">
        <v>11650</v>
      </c>
      <c r="W2374" t="s">
        <v>13983</v>
      </c>
      <c r="X2374">
        <v>43</v>
      </c>
      <c r="Y2374" t="s">
        <v>19703</v>
      </c>
      <c r="Z2374" t="s">
        <v>25436</v>
      </c>
      <c r="AA2374">
        <v>0.85381467500917652</v>
      </c>
      <c r="AB2374" t="str">
        <f>HYPERLINK("Melting_Curves/meltCurve_P43304_GPD2.pdf", "Melting_Curves/meltCurve_P43304_GPD2.pdf")</f>
        <v>Melting_Curves/meltCurve_P43304_GPD2.pdf</v>
      </c>
    </row>
    <row r="2375" spans="1:28" x14ac:dyDescent="0.25">
      <c r="A2375" t="s">
        <v>2379</v>
      </c>
      <c r="B2375">
        <v>0.99996721820229495</v>
      </c>
      <c r="C2375">
        <v>0.86507220524788697</v>
      </c>
      <c r="D2375">
        <v>1.2694440692006601</v>
      </c>
      <c r="E2375">
        <v>2.33215857594266</v>
      </c>
      <c r="F2375">
        <v>2.87719674449361</v>
      </c>
      <c r="G2375">
        <v>4.4829244904577497</v>
      </c>
      <c r="H2375">
        <v>2.8339184681198701</v>
      </c>
      <c r="I2375">
        <v>0.39651228376833902</v>
      </c>
      <c r="J2375">
        <v>5.5554243119957103E-2</v>
      </c>
      <c r="K2375">
        <v>0</v>
      </c>
      <c r="L2375">
        <v>15000</v>
      </c>
      <c r="M2375">
        <v>234.86699870812501</v>
      </c>
      <c r="N2375">
        <v>63.881442206772</v>
      </c>
      <c r="O2375">
        <v>63.861279925425499</v>
      </c>
      <c r="P2375">
        <v>-0.893933001153427</v>
      </c>
      <c r="Q2375">
        <v>2.7743768964506699E-2</v>
      </c>
      <c r="R2375">
        <v>-7.6379832185781801E-2</v>
      </c>
      <c r="S2375" t="s">
        <v>8201</v>
      </c>
      <c r="T2375" t="s">
        <v>11650</v>
      </c>
      <c r="U2375" t="s">
        <v>11650</v>
      </c>
      <c r="V2375" t="s">
        <v>11650</v>
      </c>
      <c r="W2375" t="s">
        <v>13984</v>
      </c>
      <c r="X2375">
        <v>43</v>
      </c>
      <c r="Y2375" t="s">
        <v>19703</v>
      </c>
      <c r="Z2375" t="s">
        <v>25437</v>
      </c>
      <c r="AA2375">
        <v>0.80132731045940941</v>
      </c>
      <c r="AB2375" t="str">
        <f>HYPERLINK("Melting_Curves/meltCurve_P43304_2_GPD2.pdf", "Melting_Curves/meltCurve_P43304_2_GPD2.pdf")</f>
        <v>Melting_Curves/meltCurve_P43304_2_GPD2.pdf</v>
      </c>
    </row>
    <row r="2376" spans="1:28" x14ac:dyDescent="0.25">
      <c r="A2376" t="s">
        <v>2380</v>
      </c>
      <c r="B2376">
        <v>0.99996721820229495</v>
      </c>
      <c r="C2376">
        <v>0.98734724747212899</v>
      </c>
      <c r="D2376">
        <v>1.2157323264511499</v>
      </c>
      <c r="E2376">
        <v>1.64814741718772</v>
      </c>
      <c r="F2376">
        <v>2.3143773168091002</v>
      </c>
      <c r="G2376">
        <v>2.4814519543012601</v>
      </c>
      <c r="H2376">
        <v>1.4793251091067701</v>
      </c>
      <c r="I2376">
        <v>0.810270618763273</v>
      </c>
      <c r="J2376">
        <v>0.598731384037549</v>
      </c>
      <c r="K2376">
        <v>0.66470551965139901</v>
      </c>
      <c r="L2376">
        <v>15000</v>
      </c>
      <c r="M2376">
        <v>234.43550229193599</v>
      </c>
      <c r="O2376">
        <v>63.978819729922797</v>
      </c>
      <c r="P2376">
        <v>-0.33737611476788298</v>
      </c>
      <c r="Q2376">
        <v>0.63171229929508599</v>
      </c>
      <c r="R2376">
        <v>-0.18359044093990101</v>
      </c>
      <c r="S2376" t="s">
        <v>8202</v>
      </c>
      <c r="T2376" t="s">
        <v>11650</v>
      </c>
      <c r="U2376" t="s">
        <v>11650</v>
      </c>
      <c r="V2376" t="s">
        <v>11650</v>
      </c>
      <c r="W2376" t="s">
        <v>13985</v>
      </c>
      <c r="X2376">
        <v>1</v>
      </c>
      <c r="Y2376" t="s">
        <v>19704</v>
      </c>
      <c r="Z2376" t="s">
        <v>25438</v>
      </c>
      <c r="AA2376">
        <v>0.92618672418430059</v>
      </c>
      <c r="AB2376" t="str">
        <f>HYPERLINK("Melting_Curves/meltCurve_P43307_SSR1.pdf", "Melting_Curves/meltCurve_P43307_SSR1.pdf")</f>
        <v>Melting_Curves/meltCurve_P43307_SSR1.pdf</v>
      </c>
    </row>
    <row r="2377" spans="1:28" x14ac:dyDescent="0.25">
      <c r="A2377" t="s">
        <v>2381</v>
      </c>
      <c r="B2377">
        <v>0.99996721820229495</v>
      </c>
      <c r="C2377">
        <v>0.93738009362882002</v>
      </c>
      <c r="D2377">
        <v>0.53329381112427399</v>
      </c>
      <c r="E2377">
        <v>0.274134704269692</v>
      </c>
      <c r="F2377">
        <v>0.31943699270526199</v>
      </c>
      <c r="G2377">
        <v>0.19371462093015701</v>
      </c>
      <c r="H2377">
        <v>0.141432946711567</v>
      </c>
      <c r="I2377">
        <v>0.103224885929947</v>
      </c>
      <c r="J2377">
        <v>0.11509658301238999</v>
      </c>
      <c r="K2377">
        <v>6.5708579641567302E-2</v>
      </c>
      <c r="L2377">
        <v>934.72751630373295</v>
      </c>
      <c r="M2377">
        <v>20.1459031627926</v>
      </c>
      <c r="N2377">
        <v>47.116539480888299</v>
      </c>
      <c r="O2377">
        <v>45.947985135402597</v>
      </c>
      <c r="P2377">
        <v>-9.5116726264342297E-2</v>
      </c>
      <c r="Q2377">
        <v>0.132273462271596</v>
      </c>
      <c r="R2377">
        <v>0.96702902082536601</v>
      </c>
      <c r="S2377" t="s">
        <v>8203</v>
      </c>
      <c r="T2377" t="s">
        <v>11650</v>
      </c>
      <c r="U2377" t="s">
        <v>11650</v>
      </c>
      <c r="V2377" t="s">
        <v>11650</v>
      </c>
      <c r="W2377" t="s">
        <v>13986</v>
      </c>
      <c r="X2377">
        <v>9</v>
      </c>
      <c r="Y2377" t="s">
        <v>19705</v>
      </c>
      <c r="Z2377" t="s">
        <v>25439</v>
      </c>
      <c r="AA2377">
        <v>0.33019256288872351</v>
      </c>
      <c r="AB2377" t="str">
        <f>HYPERLINK("Melting_Curves/meltCurve_P43378_PTPN9.pdf", "Melting_Curves/meltCurve_P43378_PTPN9.pdf")</f>
        <v>Melting_Curves/meltCurve_P43378_PTPN9.pdf</v>
      </c>
    </row>
    <row r="2378" spans="1:28" x14ac:dyDescent="0.25">
      <c r="A2378" t="s">
        <v>2382</v>
      </c>
      <c r="B2378">
        <v>0.99996721820229495</v>
      </c>
      <c r="C2378">
        <v>1.1014257832654</v>
      </c>
      <c r="D2378">
        <v>1.0434256621645599</v>
      </c>
      <c r="E2378">
        <v>0.87980827645968596</v>
      </c>
      <c r="F2378">
        <v>0.77173986207757195</v>
      </c>
      <c r="G2378">
        <v>0.77030573418634396</v>
      </c>
      <c r="H2378">
        <v>0.43174952210371997</v>
      </c>
      <c r="I2378">
        <v>0.35531783202676798</v>
      </c>
      <c r="J2378">
        <v>0.30321378713211999</v>
      </c>
      <c r="K2378">
        <v>0.198975053144124</v>
      </c>
      <c r="L2378">
        <v>730.08209090944399</v>
      </c>
      <c r="M2378">
        <v>12.197956377894499</v>
      </c>
      <c r="N2378">
        <v>60.6609547386239</v>
      </c>
      <c r="O2378">
        <v>58.312334913290996</v>
      </c>
      <c r="P2378">
        <v>-4.83848960645284E-2</v>
      </c>
      <c r="Q2378">
        <v>7.4993236221262596E-2</v>
      </c>
      <c r="R2378">
        <v>0.96418598000380695</v>
      </c>
      <c r="S2378" t="s">
        <v>8204</v>
      </c>
      <c r="T2378" t="s">
        <v>11650</v>
      </c>
      <c r="U2378" t="s">
        <v>11650</v>
      </c>
      <c r="V2378" t="s">
        <v>11650</v>
      </c>
      <c r="W2378" t="s">
        <v>13987</v>
      </c>
      <c r="X2378">
        <v>13</v>
      </c>
      <c r="Y2378" t="s">
        <v>18320</v>
      </c>
      <c r="Z2378" t="s">
        <v>25440</v>
      </c>
      <c r="AA2378">
        <v>0.69051534513259882</v>
      </c>
      <c r="AB2378" t="str">
        <f>HYPERLINK("Melting_Curves/meltCurve_P43487_RANBP1.pdf", "Melting_Curves/meltCurve_P43487_RANBP1.pdf")</f>
        <v>Melting_Curves/meltCurve_P43487_RANBP1.pdf</v>
      </c>
    </row>
    <row r="2379" spans="1:28" x14ac:dyDescent="0.25">
      <c r="A2379" t="s">
        <v>2383</v>
      </c>
      <c r="B2379">
        <v>0.99996721820229495</v>
      </c>
      <c r="C2379">
        <v>0.94492924173640602</v>
      </c>
      <c r="D2379">
        <v>1.00522503832517</v>
      </c>
      <c r="E2379">
        <v>1.1648493791953001</v>
      </c>
      <c r="F2379">
        <v>1.42792861387111</v>
      </c>
      <c r="G2379">
        <v>1.22812489933031</v>
      </c>
      <c r="H2379">
        <v>0.31608061134973903</v>
      </c>
      <c r="I2379">
        <v>0.126803761562122</v>
      </c>
      <c r="J2379">
        <v>8.1146363992059697E-2</v>
      </c>
      <c r="K2379">
        <v>7.9691701940406201E-2</v>
      </c>
      <c r="L2379">
        <v>12218.0482869925</v>
      </c>
      <c r="M2379">
        <v>201.42908971313901</v>
      </c>
      <c r="N2379">
        <v>60.720992061503502</v>
      </c>
      <c r="O2379">
        <v>60.650839868876197</v>
      </c>
      <c r="P2379">
        <v>-0.75068203835965197</v>
      </c>
      <c r="Q2379">
        <v>9.58704555321198E-2</v>
      </c>
      <c r="R2379">
        <v>0.89316720642786795</v>
      </c>
      <c r="S2379" t="s">
        <v>8205</v>
      </c>
      <c r="T2379" t="s">
        <v>11650</v>
      </c>
      <c r="U2379" t="s">
        <v>11650</v>
      </c>
      <c r="V2379" t="s">
        <v>11650</v>
      </c>
      <c r="W2379" t="s">
        <v>13988</v>
      </c>
      <c r="X2379">
        <v>18</v>
      </c>
      <c r="Y2379" t="s">
        <v>19706</v>
      </c>
      <c r="Z2379" t="s">
        <v>25441</v>
      </c>
      <c r="AA2379">
        <v>0.71856681085299845</v>
      </c>
      <c r="AB2379" t="str">
        <f>HYPERLINK("Melting_Curves/meltCurve_P43490_NAMPT.pdf", "Melting_Curves/meltCurve_P43490_NAMPT.pdf")</f>
        <v>Melting_Curves/meltCurve_P43490_NAMPT.pdf</v>
      </c>
    </row>
    <row r="2380" spans="1:28" x14ac:dyDescent="0.25">
      <c r="A2380" t="s">
        <v>2384</v>
      </c>
      <c r="B2380">
        <v>0.99996721820229495</v>
      </c>
      <c r="C2380">
        <v>0.94322916776666799</v>
      </c>
      <c r="D2380">
        <v>0.97708529050010895</v>
      </c>
      <c r="E2380">
        <v>1.4402027638580399</v>
      </c>
      <c r="F2380">
        <v>1.28645642589083</v>
      </c>
      <c r="G2380">
        <v>0.85284757792437604</v>
      </c>
      <c r="H2380">
        <v>0.34357931291698501</v>
      </c>
      <c r="I2380">
        <v>0.20552172454992099</v>
      </c>
      <c r="J2380">
        <v>0.14348221036566899</v>
      </c>
      <c r="K2380">
        <v>0.113804116456886</v>
      </c>
      <c r="L2380">
        <v>2583.5032925538198</v>
      </c>
      <c r="M2380">
        <v>43.526975372529598</v>
      </c>
      <c r="N2380">
        <v>59.803365912734698</v>
      </c>
      <c r="O2380">
        <v>59.229200933023598</v>
      </c>
      <c r="P2380">
        <v>-0.15810051346172299</v>
      </c>
      <c r="Q2380">
        <v>0.139462086392106</v>
      </c>
      <c r="R2380">
        <v>0.86794882030019405</v>
      </c>
      <c r="S2380" t="s">
        <v>8206</v>
      </c>
      <c r="T2380" t="s">
        <v>11650</v>
      </c>
      <c r="U2380" t="s">
        <v>11650</v>
      </c>
      <c r="V2380" t="s">
        <v>11650</v>
      </c>
      <c r="W2380" t="s">
        <v>13989</v>
      </c>
      <c r="X2380">
        <v>12</v>
      </c>
      <c r="Y2380" t="s">
        <v>19707</v>
      </c>
      <c r="Z2380" t="s">
        <v>25442</v>
      </c>
      <c r="AA2380">
        <v>0.69752739410887221</v>
      </c>
      <c r="AB2380" t="str">
        <f>HYPERLINK("Melting_Curves/meltCurve_P43686_PSMC4.pdf", "Melting_Curves/meltCurve_P43686_PSMC4.pdf")</f>
        <v>Melting_Curves/meltCurve_P43686_PSMC4.pdf</v>
      </c>
    </row>
    <row r="2381" spans="1:28" x14ac:dyDescent="0.25">
      <c r="A2381" t="s">
        <v>2385</v>
      </c>
      <c r="B2381">
        <v>0.99996721820229495</v>
      </c>
      <c r="C2381">
        <v>1.0199763346101001</v>
      </c>
      <c r="D2381">
        <v>0.75573348272329299</v>
      </c>
      <c r="E2381">
        <v>0.29495293251473698</v>
      </c>
      <c r="F2381">
        <v>0.26240623796156498</v>
      </c>
      <c r="G2381">
        <v>0.217068232436015</v>
      </c>
      <c r="H2381">
        <v>0.15371195829112999</v>
      </c>
      <c r="I2381">
        <v>0.119273783470126</v>
      </c>
      <c r="J2381">
        <v>8.4110647644606906E-2</v>
      </c>
      <c r="K2381">
        <v>7.28075574158632E-2</v>
      </c>
      <c r="L2381">
        <v>1255.05036591267</v>
      </c>
      <c r="M2381">
        <v>26.3034171615563</v>
      </c>
      <c r="N2381">
        <v>48.283709765866703</v>
      </c>
      <c r="O2381">
        <v>47.441120056867</v>
      </c>
      <c r="P2381">
        <v>-0.12013009460450801</v>
      </c>
      <c r="Q2381">
        <v>0.133337944700823</v>
      </c>
      <c r="R2381">
        <v>0.98252132150987803</v>
      </c>
      <c r="S2381" t="s">
        <v>8207</v>
      </c>
      <c r="T2381" t="s">
        <v>11650</v>
      </c>
      <c r="U2381" t="s">
        <v>11650</v>
      </c>
      <c r="V2381" t="s">
        <v>11650</v>
      </c>
      <c r="W2381" t="s">
        <v>13990</v>
      </c>
      <c r="X2381">
        <v>13</v>
      </c>
      <c r="Y2381" t="s">
        <v>19708</v>
      </c>
      <c r="Z2381" t="s">
        <v>25443</v>
      </c>
      <c r="AA2381">
        <v>0.36307440741242331</v>
      </c>
      <c r="AB2381" t="str">
        <f>HYPERLINK("Melting_Curves/meltCurve_P43897_TSFM.pdf", "Melting_Curves/meltCurve_P43897_TSFM.pdf")</f>
        <v>Melting_Curves/meltCurve_P43897_TSFM.pdf</v>
      </c>
    </row>
    <row r="2382" spans="1:28" x14ac:dyDescent="0.25">
      <c r="A2382" t="s">
        <v>2386</v>
      </c>
      <c r="B2382">
        <v>0.99996721820229495</v>
      </c>
      <c r="C2382">
        <v>0.86654746686987605</v>
      </c>
      <c r="D2382">
        <v>0.82714674887638995</v>
      </c>
      <c r="E2382">
        <v>0.93693898350508198</v>
      </c>
      <c r="F2382">
        <v>0.42032460101219699</v>
      </c>
      <c r="G2382">
        <v>0.21962997639551901</v>
      </c>
      <c r="H2382">
        <v>0.120677770832527</v>
      </c>
      <c r="I2382">
        <v>6.8377787638842905E-2</v>
      </c>
      <c r="J2382">
        <v>3.4727373584664399E-2</v>
      </c>
      <c r="K2382">
        <v>4.9078097126048999E-2</v>
      </c>
      <c r="S2382" t="s">
        <v>8208</v>
      </c>
      <c r="T2382" t="s">
        <v>11650</v>
      </c>
      <c r="U2382" t="s">
        <v>11651</v>
      </c>
      <c r="V2382" t="s">
        <v>11650</v>
      </c>
      <c r="W2382" t="s">
        <v>13991</v>
      </c>
      <c r="X2382">
        <v>5</v>
      </c>
      <c r="Y2382" t="s">
        <v>19709</v>
      </c>
      <c r="Z2382" t="s">
        <v>25444</v>
      </c>
      <c r="AB2382" t="str">
        <f>HYPERLINK("Melting_Curves/meltCurve_P45877_PPIC.pdf", "Melting_Curves/meltCurve_P45877_PPIC.pdf")</f>
        <v>Melting_Curves/meltCurve_P45877_PPIC.pdf</v>
      </c>
    </row>
    <row r="2383" spans="1:28" x14ac:dyDescent="0.25">
      <c r="A2383" t="s">
        <v>2387</v>
      </c>
      <c r="B2383">
        <v>0.99996721820229495</v>
      </c>
      <c r="C2383">
        <v>0.76668196255536503</v>
      </c>
      <c r="D2383">
        <v>0.92298970819266601</v>
      </c>
      <c r="E2383">
        <v>1.1202889200638599</v>
      </c>
      <c r="F2383">
        <v>1.31695189080742</v>
      </c>
      <c r="G2383">
        <v>1.62765134797793</v>
      </c>
      <c r="H2383">
        <v>0.96323368126987496</v>
      </c>
      <c r="I2383">
        <v>0.52476734882976805</v>
      </c>
      <c r="J2383">
        <v>0.28503081461282798</v>
      </c>
      <c r="K2383">
        <v>0.33188008290551202</v>
      </c>
      <c r="L2383">
        <v>5286.7821967395303</v>
      </c>
      <c r="M2383">
        <v>83.399463027726895</v>
      </c>
      <c r="N2383">
        <v>64.116886416985807</v>
      </c>
      <c r="O2383">
        <v>63.354661505552599</v>
      </c>
      <c r="P2383">
        <v>-0.22856421551174499</v>
      </c>
      <c r="Q2383">
        <v>0.30548200757382399</v>
      </c>
      <c r="R2383">
        <v>0.64842456452844299</v>
      </c>
      <c r="S2383" t="s">
        <v>8209</v>
      </c>
      <c r="T2383" t="s">
        <v>11650</v>
      </c>
      <c r="U2383" t="s">
        <v>11650</v>
      </c>
      <c r="V2383" t="s">
        <v>11650</v>
      </c>
      <c r="W2383" t="s">
        <v>13992</v>
      </c>
      <c r="X2383">
        <v>15</v>
      </c>
      <c r="Y2383" t="s">
        <v>19710</v>
      </c>
      <c r="Z2383" t="s">
        <v>25445</v>
      </c>
      <c r="AA2383">
        <v>0.8476867133048599</v>
      </c>
      <c r="AB2383" t="str">
        <f>HYPERLINK("Melting_Curves/meltCurve_P45880_VDAC2.pdf", "Melting_Curves/meltCurve_P45880_VDAC2.pdf")</f>
        <v>Melting_Curves/meltCurve_P45880_VDAC2.pdf</v>
      </c>
    </row>
    <row r="2384" spans="1:28" x14ac:dyDescent="0.25">
      <c r="A2384" t="s">
        <v>2388</v>
      </c>
      <c r="B2384">
        <v>0.99996721820229495</v>
      </c>
      <c r="C2384">
        <v>1.06289089648152</v>
      </c>
      <c r="D2384">
        <v>1.11376765516809</v>
      </c>
      <c r="E2384">
        <v>1.19211597909914</v>
      </c>
      <c r="F2384">
        <v>0.78826161068899703</v>
      </c>
      <c r="G2384">
        <v>0.68282631357805301</v>
      </c>
      <c r="H2384">
        <v>0.370257639669613</v>
      </c>
      <c r="I2384">
        <v>0.18747983334330301</v>
      </c>
      <c r="J2384">
        <v>0.13340478547433199</v>
      </c>
      <c r="K2384">
        <v>9.9813631952003698E-2</v>
      </c>
      <c r="L2384">
        <v>1238.0556797110901</v>
      </c>
      <c r="M2384">
        <v>21.123373176630501</v>
      </c>
      <c r="N2384">
        <v>59.029837353984298</v>
      </c>
      <c r="O2384">
        <v>58.093008051527598</v>
      </c>
      <c r="P2384">
        <v>-8.4575351941817298E-2</v>
      </c>
      <c r="Q2384">
        <v>6.9636003547525901E-2</v>
      </c>
      <c r="R2384">
        <v>0.95251955464983495</v>
      </c>
      <c r="S2384" t="s">
        <v>8210</v>
      </c>
      <c r="T2384" t="s">
        <v>11650</v>
      </c>
      <c r="U2384" t="s">
        <v>11650</v>
      </c>
      <c r="V2384" t="s">
        <v>11650</v>
      </c>
      <c r="W2384" t="s">
        <v>13993</v>
      </c>
      <c r="X2384">
        <v>14</v>
      </c>
      <c r="Y2384" t="s">
        <v>19711</v>
      </c>
      <c r="Z2384" t="s">
        <v>25446</v>
      </c>
      <c r="AA2384">
        <v>0.656217061548653</v>
      </c>
      <c r="AB2384" t="str">
        <f>HYPERLINK("Melting_Curves/meltCurve_P45954_ACADSB.pdf", "Melting_Curves/meltCurve_P45954_ACADSB.pdf")</f>
        <v>Melting_Curves/meltCurve_P45954_ACADSB.pdf</v>
      </c>
    </row>
    <row r="2385" spans="1:28" x14ac:dyDescent="0.25">
      <c r="A2385" t="s">
        <v>2389</v>
      </c>
      <c r="B2385">
        <v>0.99996721820229495</v>
      </c>
      <c r="C2385">
        <v>1.04528617509549</v>
      </c>
      <c r="D2385">
        <v>0.98709041829114197</v>
      </c>
      <c r="E2385">
        <v>0.68834390356588204</v>
      </c>
      <c r="F2385">
        <v>0.38109747336500899</v>
      </c>
      <c r="G2385">
        <v>0.32543793712885599</v>
      </c>
      <c r="H2385">
        <v>0.19806976630817499</v>
      </c>
      <c r="I2385">
        <v>0.321178250910434</v>
      </c>
      <c r="J2385">
        <v>0.124994038068157</v>
      </c>
      <c r="K2385">
        <v>9.0958636053365405E-2</v>
      </c>
      <c r="L2385">
        <v>1263.5975573112701</v>
      </c>
      <c r="M2385">
        <v>24.783775159848101</v>
      </c>
      <c r="N2385">
        <v>51.991724264934703</v>
      </c>
      <c r="O2385">
        <v>50.6564080819767</v>
      </c>
      <c r="P2385">
        <v>-9.9002358393753903E-2</v>
      </c>
      <c r="Q2385">
        <v>0.19059400910933799</v>
      </c>
      <c r="R2385">
        <v>0.96716973403381101</v>
      </c>
      <c r="S2385" t="s">
        <v>8211</v>
      </c>
      <c r="T2385" t="s">
        <v>11650</v>
      </c>
      <c r="U2385" t="s">
        <v>11650</v>
      </c>
      <c r="V2385" t="s">
        <v>11650</v>
      </c>
      <c r="W2385" t="s">
        <v>13994</v>
      </c>
      <c r="X2385">
        <v>5</v>
      </c>
      <c r="Y2385" t="s">
        <v>19712</v>
      </c>
      <c r="Z2385" t="s">
        <v>25447</v>
      </c>
      <c r="AA2385">
        <v>0.49440491690711458</v>
      </c>
      <c r="AB2385" t="str">
        <f>HYPERLINK("Melting_Curves/meltCurve_P45973_CBX5.pdf", "Melting_Curves/meltCurve_P45973_CBX5.pdf")</f>
        <v>Melting_Curves/meltCurve_P45973_CBX5.pdf</v>
      </c>
    </row>
    <row r="2386" spans="1:28" x14ac:dyDescent="0.25">
      <c r="A2386" t="s">
        <v>2390</v>
      </c>
      <c r="B2386">
        <v>0.99996721820229495</v>
      </c>
      <c r="C2386">
        <v>1.0137557412766101</v>
      </c>
      <c r="D2386">
        <v>1.01208867859814</v>
      </c>
      <c r="E2386">
        <v>1.0687929710524</v>
      </c>
      <c r="F2386">
        <v>0.82115897873768195</v>
      </c>
      <c r="G2386">
        <v>0.43242149965377802</v>
      </c>
      <c r="H2386">
        <v>0.19974265819183501</v>
      </c>
      <c r="I2386">
        <v>0.127297037587359</v>
      </c>
      <c r="J2386">
        <v>9.4872081953195603E-2</v>
      </c>
      <c r="K2386">
        <v>7.9319839904840206E-2</v>
      </c>
      <c r="L2386">
        <v>1590.5136489424001</v>
      </c>
      <c r="M2386">
        <v>28.396635081246998</v>
      </c>
      <c r="N2386">
        <v>56.424741546191697</v>
      </c>
      <c r="O2386">
        <v>55.735065651767997</v>
      </c>
      <c r="P2386">
        <v>-0.115393209765034</v>
      </c>
      <c r="Q2386">
        <v>9.4062134490993099E-2</v>
      </c>
      <c r="R2386">
        <v>0.99307512591038505</v>
      </c>
      <c r="S2386" t="s">
        <v>8212</v>
      </c>
      <c r="T2386" t="s">
        <v>11650</v>
      </c>
      <c r="U2386" t="s">
        <v>11650</v>
      </c>
      <c r="V2386" t="s">
        <v>11650</v>
      </c>
      <c r="W2386" t="s">
        <v>13995</v>
      </c>
      <c r="X2386">
        <v>32</v>
      </c>
      <c r="Y2386" t="s">
        <v>19713</v>
      </c>
      <c r="Z2386" t="s">
        <v>25448</v>
      </c>
      <c r="AA2386">
        <v>0.58422321082346584</v>
      </c>
      <c r="AB2386" t="str">
        <f>HYPERLINK("Melting_Curves/meltCurve_P45974_2_USP5.pdf", "Melting_Curves/meltCurve_P45974_2_USP5.pdf")</f>
        <v>Melting_Curves/meltCurve_P45974_2_USP5.pdf</v>
      </c>
    </row>
    <row r="2387" spans="1:28" x14ac:dyDescent="0.25">
      <c r="A2387" t="s">
        <v>2391</v>
      </c>
      <c r="B2387">
        <v>0.99996721820229495</v>
      </c>
      <c r="C2387">
        <v>0.87348143362334996</v>
      </c>
      <c r="D2387">
        <v>0.642704555947895</v>
      </c>
      <c r="E2387">
        <v>0.357264454852882</v>
      </c>
      <c r="F2387">
        <v>0.48573839655539502</v>
      </c>
      <c r="G2387">
        <v>0.31857227288400503</v>
      </c>
      <c r="H2387">
        <v>0.21485029175561299</v>
      </c>
      <c r="I2387">
        <v>0.16001816337635</v>
      </c>
      <c r="J2387">
        <v>0.139712044387027</v>
      </c>
      <c r="K2387">
        <v>0.103524646929672</v>
      </c>
      <c r="L2387">
        <v>522.26871477451095</v>
      </c>
      <c r="M2387">
        <v>10.7314587958499</v>
      </c>
      <c r="N2387">
        <v>49.812836963129499</v>
      </c>
      <c r="O2387">
        <v>47.068487989713397</v>
      </c>
      <c r="P2387">
        <v>-5.0784224773655399E-2</v>
      </c>
      <c r="Q2387">
        <v>0.109366303075304</v>
      </c>
      <c r="R2387">
        <v>0.948031308682456</v>
      </c>
      <c r="S2387" t="s">
        <v>8213</v>
      </c>
      <c r="T2387" t="s">
        <v>11650</v>
      </c>
      <c r="U2387" t="s">
        <v>11650</v>
      </c>
      <c r="V2387" t="s">
        <v>11650</v>
      </c>
      <c r="W2387" t="s">
        <v>13996</v>
      </c>
      <c r="X2387">
        <v>4</v>
      </c>
      <c r="Y2387" t="s">
        <v>19714</v>
      </c>
      <c r="Z2387" t="s">
        <v>25449</v>
      </c>
      <c r="AA2387">
        <v>0.40680907542816042</v>
      </c>
      <c r="AB2387" t="str">
        <f>HYPERLINK("Melting_Curves/meltCurve_P45983_3_MAPK8.pdf", "Melting_Curves/meltCurve_P45983_3_MAPK8.pdf")</f>
        <v>Melting_Curves/meltCurve_P45983_3_MAPK8.pdf</v>
      </c>
    </row>
    <row r="2388" spans="1:28" x14ac:dyDescent="0.25">
      <c r="A2388" t="s">
        <v>2392</v>
      </c>
      <c r="B2388">
        <v>0.99996721820229495</v>
      </c>
      <c r="C2388">
        <v>1.0029123208438999</v>
      </c>
      <c r="D2388">
        <v>0.78905542110534399</v>
      </c>
      <c r="E2388">
        <v>0.71009855116545195</v>
      </c>
      <c r="F2388">
        <v>0.38981528801525001</v>
      </c>
      <c r="G2388">
        <v>0.183318648385776</v>
      </c>
      <c r="H2388">
        <v>9.3829494752286594E-2</v>
      </c>
      <c r="I2388">
        <v>4.5962063686231597E-2</v>
      </c>
      <c r="J2388">
        <v>3.8057125789814503E-2</v>
      </c>
      <c r="K2388">
        <v>2.9226959511332602E-2</v>
      </c>
      <c r="L2388">
        <v>809.89371247179804</v>
      </c>
      <c r="M2388">
        <v>15.631492737699199</v>
      </c>
      <c r="N2388">
        <v>51.839768359548998</v>
      </c>
      <c r="O2388">
        <v>50.985935311333002</v>
      </c>
      <c r="P2388">
        <v>-7.6329283453499694E-2</v>
      </c>
      <c r="Q2388">
        <v>4.2192349315201896E-3</v>
      </c>
      <c r="R2388">
        <v>0.98947833864510104</v>
      </c>
      <c r="S2388" t="s">
        <v>8214</v>
      </c>
      <c r="T2388" t="s">
        <v>11650</v>
      </c>
      <c r="U2388" t="s">
        <v>11650</v>
      </c>
      <c r="V2388" t="s">
        <v>11650</v>
      </c>
      <c r="W2388" t="s">
        <v>13997</v>
      </c>
      <c r="X2388">
        <v>5</v>
      </c>
      <c r="Y2388" t="s">
        <v>19715</v>
      </c>
      <c r="Z2388" t="s">
        <v>25450</v>
      </c>
      <c r="AA2388">
        <v>0.41727975313150439</v>
      </c>
      <c r="AB2388" t="str">
        <f>HYPERLINK("Melting_Curves/meltCurve_P45984_2_MAPK9.pdf", "Melting_Curves/meltCurve_P45984_2_MAPK9.pdf")</f>
        <v>Melting_Curves/meltCurve_P45984_2_MAPK9.pdf</v>
      </c>
    </row>
    <row r="2389" spans="1:28" x14ac:dyDescent="0.25">
      <c r="A2389" t="s">
        <v>2393</v>
      </c>
      <c r="B2389">
        <v>0.99996721820229495</v>
      </c>
      <c r="C2389">
        <v>0.92061888927940605</v>
      </c>
      <c r="D2389">
        <v>0.80803301295921404</v>
      </c>
      <c r="E2389">
        <v>0.71984260493850105</v>
      </c>
      <c r="F2389">
        <v>0.27563829150137398</v>
      </c>
      <c r="G2389">
        <v>0.20872426996784599</v>
      </c>
      <c r="H2389">
        <v>0.125066580164507</v>
      </c>
      <c r="I2389">
        <v>8.0867437806043899E-2</v>
      </c>
      <c r="J2389">
        <v>5.2682216346448797E-2</v>
      </c>
      <c r="K2389">
        <v>5.1687196881540602E-2</v>
      </c>
      <c r="L2389">
        <v>840.39208739392097</v>
      </c>
      <c r="M2389">
        <v>16.466467576106002</v>
      </c>
      <c r="N2389">
        <v>51.320883014215198</v>
      </c>
      <c r="O2389">
        <v>50.301675447436097</v>
      </c>
      <c r="P2389">
        <v>-7.8276582394061794E-2</v>
      </c>
      <c r="Q2389">
        <v>4.3591580796476799E-2</v>
      </c>
      <c r="R2389">
        <v>0.97767707726051101</v>
      </c>
      <c r="S2389" t="s">
        <v>8215</v>
      </c>
      <c r="T2389" t="s">
        <v>11650</v>
      </c>
      <c r="U2389" t="s">
        <v>11650</v>
      </c>
      <c r="V2389" t="s">
        <v>11650</v>
      </c>
      <c r="W2389" t="s">
        <v>13998</v>
      </c>
      <c r="X2389">
        <v>7</v>
      </c>
      <c r="Y2389" t="s">
        <v>19716</v>
      </c>
      <c r="Z2389" t="s">
        <v>25451</v>
      </c>
      <c r="AA2389">
        <v>0.41429231277735779</v>
      </c>
      <c r="AB2389" t="str">
        <f>HYPERLINK("Melting_Curves/meltCurve_P45985_MAP2K4.pdf", "Melting_Curves/meltCurve_P45985_MAP2K4.pdf")</f>
        <v>Melting_Curves/meltCurve_P45985_MAP2K4.pdf</v>
      </c>
    </row>
    <row r="2390" spans="1:28" x14ac:dyDescent="0.25">
      <c r="A2390" t="s">
        <v>2394</v>
      </c>
      <c r="B2390">
        <v>0.99996721820229495</v>
      </c>
      <c r="C2390">
        <v>1.0342961146399201</v>
      </c>
      <c r="D2390">
        <v>0.98994998777165499</v>
      </c>
      <c r="E2390">
        <v>0.75130896738409103</v>
      </c>
      <c r="F2390">
        <v>0.27809248643929302</v>
      </c>
      <c r="G2390">
        <v>0.208484897056503</v>
      </c>
      <c r="H2390">
        <v>0.122500748241963</v>
      </c>
      <c r="I2390">
        <v>8.37261850533043E-2</v>
      </c>
      <c r="J2390">
        <v>5.7822909502308499E-2</v>
      </c>
      <c r="K2390">
        <v>4.8683527723536103E-2</v>
      </c>
      <c r="L2390">
        <v>1857.5390318018101</v>
      </c>
      <c r="M2390">
        <v>36.244964880824099</v>
      </c>
      <c r="N2390">
        <v>51.549469506401998</v>
      </c>
      <c r="O2390">
        <v>51.094315542267303</v>
      </c>
      <c r="P2390">
        <v>-0.160486258482815</v>
      </c>
      <c r="Q2390">
        <v>9.5056614946525106E-2</v>
      </c>
      <c r="R2390">
        <v>0.99123377447022398</v>
      </c>
      <c r="S2390" t="s">
        <v>8216</v>
      </c>
      <c r="T2390" t="s">
        <v>11650</v>
      </c>
      <c r="U2390" t="s">
        <v>11650</v>
      </c>
      <c r="V2390" t="s">
        <v>11650</v>
      </c>
      <c r="W2390" t="s">
        <v>13999</v>
      </c>
      <c r="X2390">
        <v>23</v>
      </c>
      <c r="Y2390" t="s">
        <v>19717</v>
      </c>
      <c r="Z2390" t="s">
        <v>25452</v>
      </c>
      <c r="AA2390">
        <v>0.4383064192500834</v>
      </c>
      <c r="AB2390" t="str">
        <f>HYPERLINK("Melting_Curves/meltCurve_P46060_RANGAP1.pdf", "Melting_Curves/meltCurve_P46060_RANGAP1.pdf")</f>
        <v>Melting_Curves/meltCurve_P46060_RANGAP1.pdf</v>
      </c>
    </row>
    <row r="2391" spans="1:28" x14ac:dyDescent="0.25">
      <c r="A2391" t="s">
        <v>2395</v>
      </c>
      <c r="B2391">
        <v>0.99996721820229495</v>
      </c>
      <c r="C2391">
        <v>0.94386255925793305</v>
      </c>
      <c r="D2391">
        <v>0.88899394582493296</v>
      </c>
      <c r="E2391">
        <v>1.09654707615862</v>
      </c>
      <c r="F2391">
        <v>0.87313214520250404</v>
      </c>
      <c r="G2391">
        <v>0.41711761863851898</v>
      </c>
      <c r="H2391">
        <v>0.19439609141743</v>
      </c>
      <c r="I2391">
        <v>0.129690106976136</v>
      </c>
      <c r="J2391">
        <v>8.9917297670523005E-2</v>
      </c>
      <c r="K2391">
        <v>8.1099950828992406E-2</v>
      </c>
      <c r="L2391">
        <v>1876.6168831153</v>
      </c>
      <c r="M2391">
        <v>33.486025642854202</v>
      </c>
      <c r="N2391">
        <v>56.430379927764001</v>
      </c>
      <c r="O2391">
        <v>55.843058354812598</v>
      </c>
      <c r="P2391">
        <v>-0.13447590543414101</v>
      </c>
      <c r="Q2391">
        <v>0.102967399164676</v>
      </c>
      <c r="R2391">
        <v>0.98125089633325102</v>
      </c>
      <c r="S2391" t="s">
        <v>8217</v>
      </c>
      <c r="T2391" t="s">
        <v>11650</v>
      </c>
      <c r="U2391" t="s">
        <v>11650</v>
      </c>
      <c r="V2391" t="s">
        <v>11650</v>
      </c>
      <c r="W2391" t="s">
        <v>14000</v>
      </c>
      <c r="X2391">
        <v>15</v>
      </c>
      <c r="Y2391" t="s">
        <v>19718</v>
      </c>
      <c r="Z2391" t="s">
        <v>25453</v>
      </c>
      <c r="AA2391">
        <v>0.5875066840598907</v>
      </c>
      <c r="AB2391" t="str">
        <f>HYPERLINK("Melting_Curves/meltCurve_P46063_RECQL.pdf", "Melting_Curves/meltCurve_P46063_RECQL.pdf")</f>
        <v>Melting_Curves/meltCurve_P46063_RECQL.pdf</v>
      </c>
    </row>
    <row r="2392" spans="1:28" x14ac:dyDescent="0.25">
      <c r="A2392" t="s">
        <v>2396</v>
      </c>
      <c r="B2392">
        <v>0.99996721820229495</v>
      </c>
      <c r="C2392">
        <v>0.955336465296724</v>
      </c>
      <c r="D2392">
        <v>0.91725628252649805</v>
      </c>
      <c r="E2392">
        <v>0.89680323620518698</v>
      </c>
      <c r="F2392">
        <v>0.90716166983390001</v>
      </c>
      <c r="G2392">
        <v>0.69644562537371602</v>
      </c>
      <c r="H2392">
        <v>0.45110789744986102</v>
      </c>
      <c r="I2392">
        <v>0.45622977582199398</v>
      </c>
      <c r="J2392">
        <v>0.33411025188294502</v>
      </c>
      <c r="K2392">
        <v>0.18648088015936101</v>
      </c>
      <c r="L2392">
        <v>635.65941103242301</v>
      </c>
      <c r="M2392">
        <v>10.3230339896087</v>
      </c>
      <c r="N2392">
        <v>61.576806616022502</v>
      </c>
      <c r="O2392">
        <v>59.400387484869199</v>
      </c>
      <c r="P2392">
        <v>-4.3465539659235199E-2</v>
      </c>
      <c r="Q2392">
        <v>0</v>
      </c>
      <c r="R2392">
        <v>0.97595679302516103</v>
      </c>
      <c r="S2392" t="s">
        <v>8218</v>
      </c>
      <c r="T2392" t="s">
        <v>11650</v>
      </c>
      <c r="U2392" t="s">
        <v>11650</v>
      </c>
      <c r="V2392" t="s">
        <v>11650</v>
      </c>
      <c r="W2392" t="s">
        <v>14001</v>
      </c>
      <c r="X2392">
        <v>1</v>
      </c>
      <c r="Y2392" t="s">
        <v>19719</v>
      </c>
      <c r="Z2392" t="s">
        <v>25454</v>
      </c>
      <c r="AA2392">
        <v>0.70374699719884692</v>
      </c>
      <c r="AB2392" t="str">
        <f>HYPERLINK("Melting_Curves/meltCurve_P46087_2_NOP2.pdf", "Melting_Curves/meltCurve_P46087_2_NOP2.pdf")</f>
        <v>Melting_Curves/meltCurve_P46087_2_NOP2.pdf</v>
      </c>
    </row>
    <row r="2393" spans="1:28" x14ac:dyDescent="0.25">
      <c r="A2393" t="s">
        <v>2397</v>
      </c>
      <c r="B2393">
        <v>0.99996721820229495</v>
      </c>
      <c r="C2393">
        <v>1.2580140538056599</v>
      </c>
      <c r="D2393">
        <v>1.1542982807654101</v>
      </c>
      <c r="E2393">
        <v>0.89949538117581895</v>
      </c>
      <c r="F2393">
        <v>0.56786416264602702</v>
      </c>
      <c r="G2393">
        <v>0.468136842618606</v>
      </c>
      <c r="H2393">
        <v>0.199608919480291</v>
      </c>
      <c r="I2393">
        <v>0.112720606712267</v>
      </c>
      <c r="J2393">
        <v>8.7910815079676699E-2</v>
      </c>
      <c r="K2393">
        <v>6.12924288765547E-2</v>
      </c>
      <c r="L2393">
        <v>1013.76389681509</v>
      </c>
      <c r="M2393">
        <v>18.408440691801299</v>
      </c>
      <c r="N2393">
        <v>55.437574424770702</v>
      </c>
      <c r="O2393">
        <v>54.4330575820806</v>
      </c>
      <c r="P2393">
        <v>-7.9700086581313001E-2</v>
      </c>
      <c r="Q2393">
        <v>5.7362086283520401E-2</v>
      </c>
      <c r="R2393">
        <v>0.93652323242251301</v>
      </c>
      <c r="S2393" t="s">
        <v>8219</v>
      </c>
      <c r="T2393" t="s">
        <v>11650</v>
      </c>
      <c r="U2393" t="s">
        <v>11650</v>
      </c>
      <c r="V2393" t="s">
        <v>11650</v>
      </c>
      <c r="W2393" t="s">
        <v>14002</v>
      </c>
      <c r="X2393">
        <v>17</v>
      </c>
      <c r="Y2393" t="s">
        <v>19720</v>
      </c>
      <c r="Z2393" t="s">
        <v>25455</v>
      </c>
      <c r="AA2393">
        <v>0.54500464785049063</v>
      </c>
      <c r="AB2393" t="str">
        <f>HYPERLINK("Melting_Curves/meltCurve_P46108_CRK.pdf", "Melting_Curves/meltCurve_P46108_CRK.pdf")</f>
        <v>Melting_Curves/meltCurve_P46108_CRK.pdf</v>
      </c>
    </row>
    <row r="2394" spans="1:28" x14ac:dyDescent="0.25">
      <c r="A2394" t="s">
        <v>2398</v>
      </c>
      <c r="B2394">
        <v>0.99996721820229495</v>
      </c>
      <c r="C2394">
        <v>1.0291873342912601</v>
      </c>
      <c r="D2394">
        <v>0.97230294666723804</v>
      </c>
      <c r="E2394">
        <v>0.74485613090041103</v>
      </c>
      <c r="F2394">
        <v>0.66166183311374904</v>
      </c>
      <c r="G2394">
        <v>0.47292753079234301</v>
      </c>
      <c r="H2394">
        <v>0.24321571464702499</v>
      </c>
      <c r="I2394">
        <v>0.17859182367450899</v>
      </c>
      <c r="J2394">
        <v>0.130696789428114</v>
      </c>
      <c r="K2394">
        <v>9.7331722870271697E-2</v>
      </c>
      <c r="L2394">
        <v>698.25603983143696</v>
      </c>
      <c r="M2394">
        <v>12.5706336589489</v>
      </c>
      <c r="N2394">
        <v>55.790954229796299</v>
      </c>
      <c r="O2394">
        <v>54.197127195127798</v>
      </c>
      <c r="P2394">
        <v>-5.6443986397613E-2</v>
      </c>
      <c r="Q2394">
        <v>2.6783761624254099E-2</v>
      </c>
      <c r="R2394">
        <v>0.99213152277250205</v>
      </c>
      <c r="S2394" t="s">
        <v>8220</v>
      </c>
      <c r="T2394" t="s">
        <v>11650</v>
      </c>
      <c r="U2394" t="s">
        <v>11650</v>
      </c>
      <c r="V2394" t="s">
        <v>11650</v>
      </c>
      <c r="W2394" t="s">
        <v>14003</v>
      </c>
      <c r="X2394">
        <v>11</v>
      </c>
      <c r="Y2394" t="s">
        <v>19721</v>
      </c>
      <c r="Z2394" t="s">
        <v>25456</v>
      </c>
      <c r="AA2394">
        <v>0.55180421254313983</v>
      </c>
      <c r="AB2394" t="str">
        <f>HYPERLINK("Melting_Curves/meltCurve_P46109_CRKL.pdf", "Melting_Curves/meltCurve_P46109_CRKL.pdf")</f>
        <v>Melting_Curves/meltCurve_P46109_CRKL.pdf</v>
      </c>
    </row>
    <row r="2395" spans="1:28" x14ac:dyDescent="0.25">
      <c r="A2395" t="s">
        <v>2399</v>
      </c>
      <c r="B2395">
        <v>0.99996721820229495</v>
      </c>
      <c r="C2395">
        <v>0.90547924146099901</v>
      </c>
      <c r="D2395">
        <v>0.58533283812594505</v>
      </c>
      <c r="E2395">
        <v>0.20208769241631799</v>
      </c>
      <c r="F2395">
        <v>0.19132751592623701</v>
      </c>
      <c r="G2395">
        <v>0.182135049346665</v>
      </c>
      <c r="H2395">
        <v>0.109821783411323</v>
      </c>
      <c r="I2395">
        <v>7.31475542813948E-2</v>
      </c>
      <c r="J2395">
        <v>5.9713897384185699E-2</v>
      </c>
      <c r="K2395">
        <v>4.8584728672714503E-2</v>
      </c>
      <c r="L2395">
        <v>1129.43221810911</v>
      </c>
      <c r="M2395">
        <v>24.356939889481001</v>
      </c>
      <c r="N2395">
        <v>46.784985663940297</v>
      </c>
      <c r="O2395">
        <v>46.060852488022597</v>
      </c>
      <c r="P2395">
        <v>-0.11935854058489601</v>
      </c>
      <c r="Q2395">
        <v>9.7148467511985803E-2</v>
      </c>
      <c r="R2395">
        <v>0.98765275778613204</v>
      </c>
      <c r="S2395" t="s">
        <v>8221</v>
      </c>
      <c r="T2395" t="s">
        <v>11650</v>
      </c>
      <c r="U2395" t="s">
        <v>11650</v>
      </c>
      <c r="V2395" t="s">
        <v>11650</v>
      </c>
      <c r="W2395" t="s">
        <v>14004</v>
      </c>
      <c r="X2395">
        <v>4</v>
      </c>
      <c r="Y2395" t="s">
        <v>19722</v>
      </c>
      <c r="Z2395" t="s">
        <v>25457</v>
      </c>
      <c r="AA2395">
        <v>0.29756015096331268</v>
      </c>
      <c r="AB2395" t="str">
        <f>HYPERLINK("Melting_Curves/meltCurve_P46199_MTIF2.pdf", "Melting_Curves/meltCurve_P46199_MTIF2.pdf")</f>
        <v>Melting_Curves/meltCurve_P46199_MTIF2.pdf</v>
      </c>
    </row>
    <row r="2396" spans="1:28" x14ac:dyDescent="0.25">
      <c r="A2396" t="s">
        <v>2400</v>
      </c>
      <c r="B2396">
        <v>0.99996721820229495</v>
      </c>
      <c r="C2396">
        <v>1.1121621229620999</v>
      </c>
      <c r="D2396">
        <v>0.95641115567859203</v>
      </c>
      <c r="E2396">
        <v>0.54322122039961496</v>
      </c>
      <c r="F2396">
        <v>0.38901590995573898</v>
      </c>
      <c r="G2396">
        <v>0.32821349384210702</v>
      </c>
      <c r="H2396">
        <v>0.22100844229454999</v>
      </c>
      <c r="I2396">
        <v>0.138443474378971</v>
      </c>
      <c r="J2396">
        <v>0.117054819163959</v>
      </c>
      <c r="K2396">
        <v>7.1181225065251805E-2</v>
      </c>
      <c r="L2396">
        <v>991.518987615274</v>
      </c>
      <c r="M2396">
        <v>19.5793704623065</v>
      </c>
      <c r="N2396">
        <v>51.499049015330101</v>
      </c>
      <c r="O2396">
        <v>50.1216109046808</v>
      </c>
      <c r="P2396">
        <v>-8.40706166211318E-2</v>
      </c>
      <c r="Q2396">
        <v>0.139174455277775</v>
      </c>
      <c r="R2396">
        <v>0.96592139075858297</v>
      </c>
      <c r="S2396" t="s">
        <v>8222</v>
      </c>
      <c r="T2396" t="s">
        <v>11650</v>
      </c>
      <c r="U2396" t="s">
        <v>11650</v>
      </c>
      <c r="V2396" t="s">
        <v>11650</v>
      </c>
      <c r="W2396" t="s">
        <v>14005</v>
      </c>
      <c r="X2396">
        <v>16</v>
      </c>
      <c r="Y2396" t="s">
        <v>19723</v>
      </c>
      <c r="Z2396" t="s">
        <v>25458</v>
      </c>
      <c r="AA2396">
        <v>0.45696105951213911</v>
      </c>
      <c r="AB2396" t="str">
        <f>HYPERLINK("Melting_Curves/meltCurve_P46439_GSTM5.pdf", "Melting_Curves/meltCurve_P46439_GSTM5.pdf")</f>
        <v>Melting_Curves/meltCurve_P46439_GSTM5.pdf</v>
      </c>
    </row>
    <row r="2397" spans="1:28" x14ac:dyDescent="0.25">
      <c r="A2397" t="s">
        <v>2401</v>
      </c>
      <c r="B2397">
        <v>0.99996721820229495</v>
      </c>
      <c r="C2397">
        <v>0.80074279049862396</v>
      </c>
      <c r="D2397">
        <v>0.81498870076020602</v>
      </c>
      <c r="E2397">
        <v>0.97133561489842002</v>
      </c>
      <c r="F2397">
        <v>0.935945227430798</v>
      </c>
      <c r="G2397">
        <v>1.6031771668827699</v>
      </c>
      <c r="H2397">
        <v>1.4401108966438301</v>
      </c>
      <c r="I2397">
        <v>1.27809189714741</v>
      </c>
      <c r="J2397">
        <v>1.3325032789112601</v>
      </c>
      <c r="K2397">
        <v>0.96305624993564198</v>
      </c>
      <c r="L2397">
        <v>4019.7724989119802</v>
      </c>
      <c r="M2397">
        <v>73.772782980133798</v>
      </c>
      <c r="O2397">
        <v>54.448561138543802</v>
      </c>
      <c r="P2397">
        <v>0.108823877065927</v>
      </c>
      <c r="Q2397">
        <v>1.3212730748545001</v>
      </c>
      <c r="R2397">
        <v>0.54633850672010598</v>
      </c>
      <c r="S2397" t="s">
        <v>8223</v>
      </c>
      <c r="T2397" t="s">
        <v>11650</v>
      </c>
      <c r="U2397" t="s">
        <v>11650</v>
      </c>
      <c r="V2397" t="s">
        <v>11650</v>
      </c>
      <c r="W2397" t="s">
        <v>14006</v>
      </c>
      <c r="X2397">
        <v>4</v>
      </c>
      <c r="Y2397" t="s">
        <v>19724</v>
      </c>
      <c r="Z2397" t="s">
        <v>25459</v>
      </c>
      <c r="AA2397">
        <v>1.165760000323715</v>
      </c>
      <c r="AB2397" t="str">
        <f>HYPERLINK("Melting_Curves/meltCurve_P46527_CDKN1B.pdf", "Melting_Curves/meltCurve_P46527_CDKN1B.pdf")</f>
        <v>Melting_Curves/meltCurve_P46527_CDKN1B.pdf</v>
      </c>
    </row>
    <row r="2398" spans="1:28" x14ac:dyDescent="0.25">
      <c r="A2398" t="s">
        <v>2402</v>
      </c>
      <c r="B2398">
        <v>0.99996721820229495</v>
      </c>
      <c r="C2398">
        <v>1.02493881406412</v>
      </c>
      <c r="D2398">
        <v>0.888646556465294</v>
      </c>
      <c r="E2398">
        <v>0.58590612128766495</v>
      </c>
      <c r="F2398">
        <v>0.345950890641256</v>
      </c>
      <c r="G2398">
        <v>0.30970608458694598</v>
      </c>
      <c r="H2398">
        <v>0.16889728129231499</v>
      </c>
      <c r="I2398">
        <v>0.15013282660555799</v>
      </c>
      <c r="J2398">
        <v>8.1343427557357406E-2</v>
      </c>
      <c r="K2398">
        <v>0.10730806659137999</v>
      </c>
      <c r="L2398">
        <v>905.88585095336805</v>
      </c>
      <c r="M2398">
        <v>17.9158884900245</v>
      </c>
      <c r="N2398">
        <v>51.343389705485897</v>
      </c>
      <c r="O2398">
        <v>49.945936685572597</v>
      </c>
      <c r="P2398">
        <v>-7.8994952561681306E-2</v>
      </c>
      <c r="Q2398">
        <v>0.119155369361559</v>
      </c>
      <c r="R2398">
        <v>0.98723739526113097</v>
      </c>
      <c r="S2398" t="s">
        <v>8224</v>
      </c>
      <c r="T2398" t="s">
        <v>11650</v>
      </c>
      <c r="U2398" t="s">
        <v>11650</v>
      </c>
      <c r="V2398" t="s">
        <v>11650</v>
      </c>
      <c r="W2398" t="s">
        <v>14007</v>
      </c>
      <c r="X2398">
        <v>17</v>
      </c>
      <c r="Y2398" t="s">
        <v>19725</v>
      </c>
      <c r="Z2398" t="s">
        <v>25460</v>
      </c>
      <c r="AA2398">
        <v>0.44435553689580892</v>
      </c>
      <c r="AB2398" t="str">
        <f>HYPERLINK("Melting_Curves/meltCurve_P46734_MAP2K3.pdf", "Melting_Curves/meltCurve_P46734_MAP2K3.pdf")</f>
        <v>Melting_Curves/meltCurve_P46734_MAP2K3.pdf</v>
      </c>
    </row>
    <row r="2399" spans="1:28" x14ac:dyDescent="0.25">
      <c r="A2399" t="s">
        <v>2403</v>
      </c>
      <c r="B2399">
        <v>0.99996721820229495</v>
      </c>
      <c r="C2399">
        <v>0.84202579183288595</v>
      </c>
      <c r="D2399">
        <v>0.59379297081405402</v>
      </c>
      <c r="E2399">
        <v>0.41082062883939602</v>
      </c>
      <c r="F2399">
        <v>0.21347349635298199</v>
      </c>
      <c r="G2399">
        <v>0.166967197580142</v>
      </c>
      <c r="H2399">
        <v>0.14585412129151301</v>
      </c>
      <c r="I2399">
        <v>0.125224508296434</v>
      </c>
      <c r="J2399">
        <v>8.7168880785467306E-2</v>
      </c>
      <c r="K2399">
        <v>0.108537417745079</v>
      </c>
      <c r="L2399">
        <v>731.74228084448202</v>
      </c>
      <c r="M2399">
        <v>15.528036635696401</v>
      </c>
      <c r="N2399">
        <v>47.840487391787399</v>
      </c>
      <c r="O2399">
        <v>46.363152236846197</v>
      </c>
      <c r="P2399">
        <v>-7.5049663377444495E-2</v>
      </c>
      <c r="Q2399">
        <v>0.103755072776801</v>
      </c>
      <c r="R2399">
        <v>0.99149248363839804</v>
      </c>
      <c r="S2399" t="s">
        <v>8225</v>
      </c>
      <c r="T2399" t="s">
        <v>11650</v>
      </c>
      <c r="U2399" t="s">
        <v>11650</v>
      </c>
      <c r="V2399" t="s">
        <v>11650</v>
      </c>
      <c r="W2399" t="s">
        <v>14008</v>
      </c>
      <c r="X2399">
        <v>17</v>
      </c>
      <c r="Y2399" t="s">
        <v>19725</v>
      </c>
      <c r="Z2399" t="s">
        <v>25461</v>
      </c>
      <c r="AA2399">
        <v>0.33908288667988479</v>
      </c>
      <c r="AB2399" t="str">
        <f>HYPERLINK("Melting_Curves/meltCurve_P46734_2_MAP2K3.pdf", "Melting_Curves/meltCurve_P46734_2_MAP2K3.pdf")</f>
        <v>Melting_Curves/meltCurve_P46734_2_MAP2K3.pdf</v>
      </c>
    </row>
    <row r="2400" spans="1:28" x14ac:dyDescent="0.25">
      <c r="A2400" t="s">
        <v>2404</v>
      </c>
      <c r="B2400">
        <v>0.99996721820229495</v>
      </c>
      <c r="C2400">
        <v>0.965243926543501</v>
      </c>
      <c r="D2400">
        <v>1.07547791824228</v>
      </c>
      <c r="E2400">
        <v>1.47377408449341</v>
      </c>
      <c r="F2400">
        <v>1.98378440845889</v>
      </c>
      <c r="G2400">
        <v>2.7377429480692901</v>
      </c>
      <c r="H2400">
        <v>1.76781961274991</v>
      </c>
      <c r="I2400">
        <v>0.73891391411735496</v>
      </c>
      <c r="J2400">
        <v>0.26695883589807301</v>
      </c>
      <c r="K2400">
        <v>0.160020775645136</v>
      </c>
      <c r="L2400">
        <v>15000</v>
      </c>
      <c r="M2400">
        <v>233.675419558279</v>
      </c>
      <c r="N2400">
        <v>64.344911597136303</v>
      </c>
      <c r="O2400">
        <v>64.186901229841993</v>
      </c>
      <c r="P2400">
        <v>-0.71585596613376901</v>
      </c>
      <c r="Q2400">
        <v>0.21346323989125299</v>
      </c>
      <c r="R2400">
        <v>0.147747781483512</v>
      </c>
      <c r="S2400" t="s">
        <v>8226</v>
      </c>
      <c r="T2400" t="s">
        <v>11650</v>
      </c>
      <c r="U2400" t="s">
        <v>11650</v>
      </c>
      <c r="V2400" t="s">
        <v>11650</v>
      </c>
      <c r="W2400" t="s">
        <v>14009</v>
      </c>
      <c r="X2400">
        <v>8</v>
      </c>
      <c r="Y2400" t="s">
        <v>19726</v>
      </c>
      <c r="Z2400" t="s">
        <v>25462</v>
      </c>
      <c r="AA2400">
        <v>0.84781752473023786</v>
      </c>
      <c r="AB2400" t="str">
        <f>HYPERLINK("Melting_Curves/meltCurve_P46736_2_BRCC3.pdf", "Melting_Curves/meltCurve_P46736_2_BRCC3.pdf")</f>
        <v>Melting_Curves/meltCurve_P46736_2_BRCC3.pdf</v>
      </c>
    </row>
    <row r="2401" spans="1:28" x14ac:dyDescent="0.25">
      <c r="A2401" t="s">
        <v>2405</v>
      </c>
      <c r="B2401">
        <v>0.99996721820229495</v>
      </c>
      <c r="C2401">
        <v>0.99915544993328298</v>
      </c>
      <c r="D2401">
        <v>1.06461039202148</v>
      </c>
      <c r="E2401">
        <v>0.97713603077983002</v>
      </c>
      <c r="F2401">
        <v>0.80204506423337596</v>
      </c>
      <c r="G2401">
        <v>0.71327444622285696</v>
      </c>
      <c r="H2401">
        <v>0.232701986997772</v>
      </c>
      <c r="I2401">
        <v>0.16482193253545599</v>
      </c>
      <c r="J2401">
        <v>0.103675003551722</v>
      </c>
      <c r="K2401">
        <v>7.5521368919957796E-2</v>
      </c>
      <c r="L2401">
        <v>1278.51712165243</v>
      </c>
      <c r="M2401">
        <v>21.9755632244336</v>
      </c>
      <c r="N2401">
        <v>58.420887635789903</v>
      </c>
      <c r="O2401">
        <v>57.703698297884401</v>
      </c>
      <c r="P2401">
        <v>-9.1071405364440194E-2</v>
      </c>
      <c r="Q2401">
        <v>4.3475891328860698E-2</v>
      </c>
      <c r="R2401">
        <v>0.98363566420646698</v>
      </c>
      <c r="S2401" t="s">
        <v>8227</v>
      </c>
      <c r="T2401" t="s">
        <v>11650</v>
      </c>
      <c r="U2401" t="s">
        <v>11650</v>
      </c>
      <c r="V2401" t="s">
        <v>11650</v>
      </c>
      <c r="W2401" t="s">
        <v>14010</v>
      </c>
      <c r="X2401">
        <v>30</v>
      </c>
      <c r="Y2401" t="s">
        <v>19727</v>
      </c>
      <c r="Z2401" t="s">
        <v>25463</v>
      </c>
      <c r="AA2401">
        <v>0.63277815860176778</v>
      </c>
      <c r="AB2401" t="str">
        <f>HYPERLINK("Melting_Curves/meltCurve_P46777_RPL5.pdf", "Melting_Curves/meltCurve_P46777_RPL5.pdf")</f>
        <v>Melting_Curves/meltCurve_P46777_RPL5.pdf</v>
      </c>
    </row>
    <row r="2402" spans="1:28" x14ac:dyDescent="0.25">
      <c r="A2402" t="s">
        <v>2406</v>
      </c>
      <c r="B2402">
        <v>0.99996721820229495</v>
      </c>
      <c r="C2402">
        <v>0.85942479523405801</v>
      </c>
      <c r="D2402">
        <v>0.80305453804242199</v>
      </c>
      <c r="E2402">
        <v>0.85667518261083297</v>
      </c>
      <c r="F2402">
        <v>0.81378040451622402</v>
      </c>
      <c r="G2402">
        <v>0.61739129731374498</v>
      </c>
      <c r="H2402">
        <v>0.51946255891306004</v>
      </c>
      <c r="I2402">
        <v>0.54971146011459604</v>
      </c>
      <c r="J2402">
        <v>0.44984825115716598</v>
      </c>
      <c r="K2402">
        <v>0.32037741580861701</v>
      </c>
      <c r="L2402">
        <v>339.84430278064599</v>
      </c>
      <c r="M2402">
        <v>5.3515858517641304</v>
      </c>
      <c r="N2402">
        <v>63.503475857605302</v>
      </c>
      <c r="O2402">
        <v>56.2675188658433</v>
      </c>
      <c r="P2402">
        <v>-2.38926536619554E-2</v>
      </c>
      <c r="Q2402">
        <v>0</v>
      </c>
      <c r="R2402">
        <v>0.92991374951496197</v>
      </c>
      <c r="S2402" t="s">
        <v>8228</v>
      </c>
      <c r="T2402" t="s">
        <v>11650</v>
      </c>
      <c r="U2402" t="s">
        <v>11650</v>
      </c>
      <c r="V2402" t="s">
        <v>11650</v>
      </c>
      <c r="W2402" t="s">
        <v>14011</v>
      </c>
      <c r="X2402">
        <v>4</v>
      </c>
      <c r="Y2402" t="s">
        <v>19728</v>
      </c>
      <c r="Z2402" t="s">
        <v>25464</v>
      </c>
      <c r="AA2402">
        <v>0.68731899273745556</v>
      </c>
      <c r="AB2402" t="str">
        <f>HYPERLINK("Melting_Curves/meltCurve_P46778_RPL21.pdf", "Melting_Curves/meltCurve_P46778_RPL21.pdf")</f>
        <v>Melting_Curves/meltCurve_P46778_RPL21.pdf</v>
      </c>
    </row>
    <row r="2403" spans="1:28" x14ac:dyDescent="0.25">
      <c r="A2403" t="s">
        <v>2407</v>
      </c>
      <c r="B2403">
        <v>0.99996721820229495</v>
      </c>
      <c r="C2403">
        <v>0.94235196074758198</v>
      </c>
      <c r="D2403">
        <v>0.92241298418473405</v>
      </c>
      <c r="E2403">
        <v>1.2874158978779999</v>
      </c>
      <c r="F2403">
        <v>1.2210819820560099</v>
      </c>
      <c r="G2403">
        <v>0.76834091734744403</v>
      </c>
      <c r="H2403">
        <v>0.44204918690037298</v>
      </c>
      <c r="I2403">
        <v>0.33393699580612402</v>
      </c>
      <c r="J2403">
        <v>0.159395073432512</v>
      </c>
      <c r="K2403">
        <v>0.178060936461435</v>
      </c>
      <c r="L2403">
        <v>1855.2665221953901</v>
      </c>
      <c r="M2403">
        <v>31.175477245802401</v>
      </c>
      <c r="N2403">
        <v>60.382453015640301</v>
      </c>
      <c r="O2403">
        <v>59.2671958118232</v>
      </c>
      <c r="P2403">
        <v>-0.10766888110662499</v>
      </c>
      <c r="Q2403">
        <v>0.18125437710623399</v>
      </c>
      <c r="R2403">
        <v>0.89759999148511005</v>
      </c>
      <c r="S2403" t="s">
        <v>8229</v>
      </c>
      <c r="T2403" t="s">
        <v>11650</v>
      </c>
      <c r="U2403" t="s">
        <v>11650</v>
      </c>
      <c r="V2403" t="s">
        <v>11650</v>
      </c>
      <c r="W2403" t="s">
        <v>14012</v>
      </c>
      <c r="X2403">
        <v>12</v>
      </c>
      <c r="Y2403" t="s">
        <v>19729</v>
      </c>
      <c r="Z2403" t="s">
        <v>25465</v>
      </c>
      <c r="AA2403">
        <v>0.71857362019971094</v>
      </c>
      <c r="AB2403" t="str">
        <f>HYPERLINK("Melting_Curves/meltCurve_P46781_RPS9.pdf", "Melting_Curves/meltCurve_P46781_RPS9.pdf")</f>
        <v>Melting_Curves/meltCurve_P46781_RPS9.pdf</v>
      </c>
    </row>
    <row r="2404" spans="1:28" x14ac:dyDescent="0.25">
      <c r="A2404" t="s">
        <v>2408</v>
      </c>
      <c r="B2404">
        <v>0.99996721820229495</v>
      </c>
      <c r="C2404">
        <v>1.0354819288997501</v>
      </c>
      <c r="D2404">
        <v>0.87190451734126695</v>
      </c>
      <c r="E2404">
        <v>0.84467011954794502</v>
      </c>
      <c r="F2404">
        <v>0.93265341034031501</v>
      </c>
      <c r="G2404">
        <v>0.924787118772876</v>
      </c>
      <c r="H2404">
        <v>0.64943806070869903</v>
      </c>
      <c r="I2404">
        <v>0.64232552754221595</v>
      </c>
      <c r="J2404">
        <v>0.49289525031347797</v>
      </c>
      <c r="K2404">
        <v>0.38036361283518599</v>
      </c>
      <c r="L2404">
        <v>605.132386994233</v>
      </c>
      <c r="M2404">
        <v>9.0404746911528893</v>
      </c>
      <c r="N2404">
        <v>66.935907899953904</v>
      </c>
      <c r="O2404">
        <v>63.904353945398697</v>
      </c>
      <c r="P2404">
        <v>-3.5392461327602598E-2</v>
      </c>
      <c r="Q2404">
        <v>0</v>
      </c>
      <c r="R2404">
        <v>0.90749984416140905</v>
      </c>
      <c r="S2404" t="s">
        <v>8230</v>
      </c>
      <c r="T2404" t="s">
        <v>11650</v>
      </c>
      <c r="U2404" t="s">
        <v>11650</v>
      </c>
      <c r="V2404" t="s">
        <v>11650</v>
      </c>
      <c r="W2404" t="s">
        <v>14013</v>
      </c>
      <c r="X2404">
        <v>7</v>
      </c>
      <c r="Y2404" t="s">
        <v>19730</v>
      </c>
      <c r="Z2404" t="s">
        <v>25466</v>
      </c>
      <c r="AA2404">
        <v>0.80647030428857969</v>
      </c>
      <c r="AB2404" t="str">
        <f>HYPERLINK("Melting_Curves/meltCurve_P46783_RPS10.pdf", "Melting_Curves/meltCurve_P46783_RPS10.pdf")</f>
        <v>Melting_Curves/meltCurve_P46783_RPS10.pdf</v>
      </c>
    </row>
    <row r="2405" spans="1:28" x14ac:dyDescent="0.25">
      <c r="A2405" t="s">
        <v>2409</v>
      </c>
      <c r="B2405">
        <v>0.99996721820229495</v>
      </c>
      <c r="C2405">
        <v>1.08717875111489</v>
      </c>
      <c r="D2405">
        <v>1.0349239643567001</v>
      </c>
      <c r="E2405">
        <v>1.1064911647940601</v>
      </c>
      <c r="F2405">
        <v>1.29215531871065</v>
      </c>
      <c r="G2405">
        <v>1.6341576883127999</v>
      </c>
      <c r="H2405">
        <v>1.0405002615260901</v>
      </c>
      <c r="I2405">
        <v>0.734775901506448</v>
      </c>
      <c r="J2405">
        <v>0.58400350662774703</v>
      </c>
      <c r="K2405">
        <v>0.442722443107748</v>
      </c>
      <c r="L2405">
        <v>4062.59088852584</v>
      </c>
      <c r="M2405">
        <v>63.379817402041198</v>
      </c>
      <c r="N2405">
        <v>68.4094354570219</v>
      </c>
      <c r="O2405">
        <v>64.035403873509694</v>
      </c>
      <c r="P2405">
        <v>-0.126001352103077</v>
      </c>
      <c r="Q2405">
        <v>0.49078144323697898</v>
      </c>
      <c r="R2405">
        <v>0.51226371982104402</v>
      </c>
      <c r="S2405" t="s">
        <v>8231</v>
      </c>
      <c r="T2405" t="s">
        <v>11650</v>
      </c>
      <c r="U2405" t="s">
        <v>11650</v>
      </c>
      <c r="V2405" t="s">
        <v>11650</v>
      </c>
      <c r="W2405" t="s">
        <v>14014</v>
      </c>
      <c r="X2405">
        <v>95</v>
      </c>
      <c r="Y2405" t="s">
        <v>19731</v>
      </c>
      <c r="Z2405" t="s">
        <v>25467</v>
      </c>
      <c r="AA2405">
        <v>0.9006317701451908</v>
      </c>
      <c r="AB2405" t="str">
        <f>HYPERLINK("Melting_Curves/meltCurve_P46821_MAP1B.pdf", "Melting_Curves/meltCurve_P46821_MAP1B.pdf")</f>
        <v>Melting_Curves/meltCurve_P46821_MAP1B.pdf</v>
      </c>
    </row>
    <row r="2406" spans="1:28" x14ac:dyDescent="0.25">
      <c r="A2406" t="s">
        <v>2410</v>
      </c>
      <c r="B2406">
        <v>0.99996721820229495</v>
      </c>
      <c r="C2406">
        <v>1.0580650608117099</v>
      </c>
      <c r="D2406">
        <v>1.171278479243</v>
      </c>
      <c r="E2406">
        <v>1.40822851783453</v>
      </c>
      <c r="F2406">
        <v>2.03418872686006</v>
      </c>
      <c r="G2406">
        <v>2.6154708696287798</v>
      </c>
      <c r="H2406">
        <v>2.1424850909007498</v>
      </c>
      <c r="I2406">
        <v>1.4306740961264099</v>
      </c>
      <c r="J2406">
        <v>0.48920929442782701</v>
      </c>
      <c r="K2406">
        <v>0.184157390126788</v>
      </c>
      <c r="L2406">
        <v>15000</v>
      </c>
      <c r="M2406">
        <v>224.39541061634699</v>
      </c>
      <c r="N2406">
        <v>66.983346680177405</v>
      </c>
      <c r="O2406">
        <v>66.840977440957701</v>
      </c>
      <c r="P2406">
        <v>-0.68478305626804004</v>
      </c>
      <c r="Q2406">
        <v>0.18409082271909699</v>
      </c>
      <c r="R2406">
        <v>-6.3846896891719004E-2</v>
      </c>
      <c r="S2406" t="s">
        <v>8232</v>
      </c>
      <c r="T2406" t="s">
        <v>11650</v>
      </c>
      <c r="U2406" t="s">
        <v>11650</v>
      </c>
      <c r="V2406" t="s">
        <v>11650</v>
      </c>
      <c r="W2406" t="s">
        <v>14015</v>
      </c>
      <c r="X2406">
        <v>19</v>
      </c>
      <c r="Y2406" t="s">
        <v>19732</v>
      </c>
      <c r="Z2406" t="s">
        <v>25468</v>
      </c>
      <c r="AA2406">
        <v>0.91434700080494713</v>
      </c>
      <c r="AB2406" t="str">
        <f>HYPERLINK("Melting_Curves/meltCurve_P46926_GNPDA1.pdf", "Melting_Curves/meltCurve_P46926_GNPDA1.pdf")</f>
        <v>Melting_Curves/meltCurve_P46926_GNPDA1.pdf</v>
      </c>
    </row>
    <row r="2407" spans="1:28" x14ac:dyDescent="0.25">
      <c r="A2407" t="s">
        <v>2411</v>
      </c>
      <c r="B2407">
        <v>0.99996721820229495</v>
      </c>
      <c r="C2407">
        <v>1.0355172513941699</v>
      </c>
      <c r="D2407">
        <v>1.0306743598664401</v>
      </c>
      <c r="E2407">
        <v>0.71033285530790002</v>
      </c>
      <c r="F2407">
        <v>0.40410833898736598</v>
      </c>
      <c r="G2407">
        <v>0.333065623802695</v>
      </c>
      <c r="H2407">
        <v>0.19367019782266601</v>
      </c>
      <c r="I2407">
        <v>0.13957762388280301</v>
      </c>
      <c r="J2407">
        <v>0.109718727163024</v>
      </c>
      <c r="K2407">
        <v>7.8684017975870005E-2</v>
      </c>
      <c r="L2407">
        <v>1077.90195925746</v>
      </c>
      <c r="M2407">
        <v>20.7866799372419</v>
      </c>
      <c r="N2407">
        <v>52.5823788582411</v>
      </c>
      <c r="O2407">
        <v>51.382627095346102</v>
      </c>
      <c r="P2407">
        <v>-8.8508522396036404E-2</v>
      </c>
      <c r="Q2407">
        <v>0.124886680116249</v>
      </c>
      <c r="R2407">
        <v>0.98173815819617005</v>
      </c>
      <c r="S2407" t="s">
        <v>8233</v>
      </c>
      <c r="T2407" t="s">
        <v>11650</v>
      </c>
      <c r="U2407" t="s">
        <v>11650</v>
      </c>
      <c r="V2407" t="s">
        <v>11650</v>
      </c>
      <c r="W2407" t="s">
        <v>14016</v>
      </c>
      <c r="X2407">
        <v>18</v>
      </c>
      <c r="Y2407" t="s">
        <v>19733</v>
      </c>
      <c r="Z2407" t="s">
        <v>25469</v>
      </c>
      <c r="AA2407">
        <v>0.48201131125476099</v>
      </c>
      <c r="AB2407" t="str">
        <f>HYPERLINK("Melting_Curves/meltCurve_P46934_4_NEDD4.pdf", "Melting_Curves/meltCurve_P46934_4_NEDD4.pdf")</f>
        <v>Melting_Curves/meltCurve_P46934_4_NEDD4.pdf</v>
      </c>
    </row>
    <row r="2408" spans="1:28" x14ac:dyDescent="0.25">
      <c r="A2408" t="s">
        <v>2412</v>
      </c>
      <c r="B2408">
        <v>0.99996721820229495</v>
      </c>
      <c r="C2408">
        <v>0.98936088717400195</v>
      </c>
      <c r="D2408">
        <v>0.95529530008624797</v>
      </c>
      <c r="E2408">
        <v>0.60246369649866904</v>
      </c>
      <c r="F2408">
        <v>0.40334190276447301</v>
      </c>
      <c r="G2408">
        <v>0.338522622822444</v>
      </c>
      <c r="H2408">
        <v>0.21633160376961399</v>
      </c>
      <c r="I2408">
        <v>0.144601093770346</v>
      </c>
      <c r="J2408">
        <v>0.118931935483141</v>
      </c>
      <c r="K2408">
        <v>9.5902678931232901E-2</v>
      </c>
      <c r="L2408">
        <v>850.96083189888896</v>
      </c>
      <c r="M2408">
        <v>16.6118453487354</v>
      </c>
      <c r="N2408">
        <v>52.111207084917403</v>
      </c>
      <c r="O2408">
        <v>50.501067843139303</v>
      </c>
      <c r="P2408">
        <v>-7.2131921794388806E-2</v>
      </c>
      <c r="Q2408">
        <v>0.12291682006971801</v>
      </c>
      <c r="R2408">
        <v>0.98513903656417501</v>
      </c>
      <c r="S2408" t="s">
        <v>8234</v>
      </c>
      <c r="T2408" t="s">
        <v>11650</v>
      </c>
      <c r="U2408" t="s">
        <v>11650</v>
      </c>
      <c r="V2408" t="s">
        <v>11650</v>
      </c>
      <c r="W2408" t="s">
        <v>14017</v>
      </c>
      <c r="X2408">
        <v>38</v>
      </c>
      <c r="Y2408" t="s">
        <v>19734</v>
      </c>
      <c r="Z2408" t="s">
        <v>25470</v>
      </c>
      <c r="AA2408">
        <v>0.46808772392413089</v>
      </c>
      <c r="AB2408" t="str">
        <f>HYPERLINK("Melting_Curves/meltCurve_P46939_UTRN.pdf", "Melting_Curves/meltCurve_P46939_UTRN.pdf")</f>
        <v>Melting_Curves/meltCurve_P46939_UTRN.pdf</v>
      </c>
    </row>
    <row r="2409" spans="1:28" x14ac:dyDescent="0.25">
      <c r="A2409" t="s">
        <v>2413</v>
      </c>
      <c r="B2409">
        <v>0.99996721820229495</v>
      </c>
      <c r="C2409">
        <v>1.0124437835028099</v>
      </c>
      <c r="D2409">
        <v>1.13018962772262</v>
      </c>
      <c r="E2409">
        <v>1.1750232765330799</v>
      </c>
      <c r="F2409">
        <v>0.35229276281862898</v>
      </c>
      <c r="G2409">
        <v>0.30606073404748102</v>
      </c>
      <c r="H2409">
        <v>0.17396865225694799</v>
      </c>
      <c r="I2409">
        <v>0.105625366774003</v>
      </c>
      <c r="J2409">
        <v>8.0569565935508403E-2</v>
      </c>
      <c r="K2409">
        <v>6.3295957365731806E-2</v>
      </c>
      <c r="L2409">
        <v>13189.385480352699</v>
      </c>
      <c r="M2409">
        <v>250</v>
      </c>
      <c r="N2409">
        <v>52.830453505127402</v>
      </c>
      <c r="O2409">
        <v>52.754165786448802</v>
      </c>
      <c r="P2409">
        <v>-1.01188225792549</v>
      </c>
      <c r="Q2409">
        <v>0.14590393070982099</v>
      </c>
      <c r="R2409">
        <v>0.95735009520443104</v>
      </c>
      <c r="S2409" t="s">
        <v>8235</v>
      </c>
      <c r="T2409" t="s">
        <v>11650</v>
      </c>
      <c r="U2409" t="s">
        <v>11650</v>
      </c>
      <c r="V2409" t="s">
        <v>11650</v>
      </c>
      <c r="W2409" t="s">
        <v>14018</v>
      </c>
      <c r="X2409">
        <v>68</v>
      </c>
      <c r="Y2409" t="s">
        <v>19735</v>
      </c>
      <c r="Z2409" t="s">
        <v>25471</v>
      </c>
      <c r="AA2409">
        <v>0.50918855728736545</v>
      </c>
      <c r="AB2409" t="str">
        <f>HYPERLINK("Melting_Curves/meltCurve_P46940_IQGAP1.pdf", "Melting_Curves/meltCurve_P46940_IQGAP1.pdf")</f>
        <v>Melting_Curves/meltCurve_P46940_IQGAP1.pdf</v>
      </c>
    </row>
    <row r="2410" spans="1:28" x14ac:dyDescent="0.25">
      <c r="A2410" t="s">
        <v>2414</v>
      </c>
      <c r="B2410">
        <v>0.99996721820229495</v>
      </c>
      <c r="C2410">
        <v>1.0518435277279601</v>
      </c>
      <c r="D2410">
        <v>1.0067726407661699</v>
      </c>
      <c r="E2410">
        <v>0.90401572190920798</v>
      </c>
      <c r="F2410">
        <v>0.95298870738598596</v>
      </c>
      <c r="G2410">
        <v>0.81979815774932996</v>
      </c>
      <c r="H2410">
        <v>0.40070466455631998</v>
      </c>
      <c r="I2410">
        <v>0.21587454459151201</v>
      </c>
      <c r="J2410">
        <v>0.128213024690118</v>
      </c>
      <c r="K2410">
        <v>0.12463038317527</v>
      </c>
      <c r="L2410">
        <v>1691.51854311906</v>
      </c>
      <c r="M2410">
        <v>28.391082192809499</v>
      </c>
      <c r="N2410">
        <v>60.0607859063362</v>
      </c>
      <c r="O2410">
        <v>59.2859840040649</v>
      </c>
      <c r="P2410">
        <v>-0.10753489999806</v>
      </c>
      <c r="Q2410">
        <v>0.101793925618942</v>
      </c>
      <c r="R2410">
        <v>0.99128197693999298</v>
      </c>
      <c r="S2410" t="s">
        <v>8236</v>
      </c>
      <c r="T2410" t="s">
        <v>11650</v>
      </c>
      <c r="U2410" t="s">
        <v>11650</v>
      </c>
      <c r="V2410" t="s">
        <v>11650</v>
      </c>
      <c r="W2410" t="s">
        <v>14019</v>
      </c>
      <c r="X2410">
        <v>8</v>
      </c>
      <c r="Y2410" t="s">
        <v>19736</v>
      </c>
      <c r="Z2410" t="s">
        <v>25472</v>
      </c>
      <c r="AA2410">
        <v>0.69403278343979147</v>
      </c>
      <c r="AB2410" t="str">
        <f>HYPERLINK("Melting_Curves/meltCurve_P46976_2_GYG1.pdf", "Melting_Curves/meltCurve_P46976_2_GYG1.pdf")</f>
        <v>Melting_Curves/meltCurve_P46976_2_GYG1.pdf</v>
      </c>
    </row>
    <row r="2411" spans="1:28" x14ac:dyDescent="0.25">
      <c r="A2411" t="s">
        <v>2415</v>
      </c>
      <c r="B2411">
        <v>0.99996721820229495</v>
      </c>
      <c r="C2411">
        <v>0.86580009590081897</v>
      </c>
      <c r="D2411">
        <v>1.20786225582147</v>
      </c>
      <c r="E2411">
        <v>1.6511532652412</v>
      </c>
      <c r="F2411">
        <v>0.70441103459549603</v>
      </c>
      <c r="G2411">
        <v>0.50598390147980299</v>
      </c>
      <c r="H2411">
        <v>0.402904057224374</v>
      </c>
      <c r="I2411">
        <v>0.227146754489259</v>
      </c>
      <c r="J2411">
        <v>0.17671532188834399</v>
      </c>
      <c r="K2411">
        <v>0.12634403375157299</v>
      </c>
      <c r="L2411">
        <v>1642.12528883447</v>
      </c>
      <c r="M2411">
        <v>29.1676257820498</v>
      </c>
      <c r="N2411">
        <v>57.2856746817166</v>
      </c>
      <c r="O2411">
        <v>56.036937334025403</v>
      </c>
      <c r="P2411">
        <v>-0.104445190122335</v>
      </c>
      <c r="Q2411">
        <v>0.197364095401037</v>
      </c>
      <c r="R2411">
        <v>0.74500512982816502</v>
      </c>
      <c r="S2411" t="s">
        <v>8237</v>
      </c>
      <c r="T2411" t="s">
        <v>11650</v>
      </c>
      <c r="U2411" t="s">
        <v>11650</v>
      </c>
      <c r="V2411" t="s">
        <v>11650</v>
      </c>
      <c r="W2411" t="s">
        <v>14020</v>
      </c>
      <c r="X2411">
        <v>11</v>
      </c>
      <c r="Y2411" t="s">
        <v>19737</v>
      </c>
      <c r="Z2411" t="s">
        <v>25473</v>
      </c>
      <c r="AA2411">
        <v>0.63908471684358026</v>
      </c>
      <c r="AB2411" t="str">
        <f>HYPERLINK("Melting_Curves/meltCurve_P46977_STT3A.pdf", "Melting_Curves/meltCurve_P46977_STT3A.pdf")</f>
        <v>Melting_Curves/meltCurve_P46977_STT3A.pdf</v>
      </c>
    </row>
    <row r="2412" spans="1:28" x14ac:dyDescent="0.25">
      <c r="A2412" t="s">
        <v>2416</v>
      </c>
      <c r="B2412">
        <v>0.99996721820229495</v>
      </c>
      <c r="C2412">
        <v>1.01831696661316</v>
      </c>
      <c r="D2412">
        <v>0.93143822245739405</v>
      </c>
      <c r="E2412">
        <v>0.76363766870863803</v>
      </c>
      <c r="F2412">
        <v>0.72648640693479305</v>
      </c>
      <c r="G2412">
        <v>0.61315874910726798</v>
      </c>
      <c r="H2412">
        <v>0.38964663848640002</v>
      </c>
      <c r="I2412">
        <v>0.14663788145975201</v>
      </c>
      <c r="J2412">
        <v>5.3880244781167798E-2</v>
      </c>
      <c r="K2412">
        <v>6.9012260262992897E-2</v>
      </c>
      <c r="L2412">
        <v>731.96879582574297</v>
      </c>
      <c r="M2412">
        <v>12.7556492778848</v>
      </c>
      <c r="N2412">
        <v>57.383868559432003</v>
      </c>
      <c r="O2412">
        <v>56.028379633181302</v>
      </c>
      <c r="P2412">
        <v>-5.6926860543226203E-2</v>
      </c>
      <c r="Q2412">
        <v>0</v>
      </c>
      <c r="R2412">
        <v>0.97098806774174196</v>
      </c>
      <c r="S2412" t="s">
        <v>8238</v>
      </c>
      <c r="T2412" t="s">
        <v>11650</v>
      </c>
      <c r="U2412" t="s">
        <v>11650</v>
      </c>
      <c r="V2412" t="s">
        <v>11650</v>
      </c>
      <c r="W2412" t="s">
        <v>14021</v>
      </c>
      <c r="X2412">
        <v>2</v>
      </c>
      <c r="Y2412" t="s">
        <v>19738</v>
      </c>
      <c r="Z2412" t="s">
        <v>25474</v>
      </c>
      <c r="AA2412">
        <v>0.59492622338027679</v>
      </c>
      <c r="AB2412" t="str">
        <f>HYPERLINK("Melting_Curves/meltCurve_P47224_RABIF.pdf", "Melting_Curves/meltCurve_P47224_RABIF.pdf")</f>
        <v>Melting_Curves/meltCurve_P47224_RABIF.pdf</v>
      </c>
    </row>
    <row r="2413" spans="1:28" x14ac:dyDescent="0.25">
      <c r="A2413" t="s">
        <v>2417</v>
      </c>
      <c r="B2413">
        <v>0.99996721820229495</v>
      </c>
      <c r="C2413">
        <v>1.02456994920866</v>
      </c>
      <c r="D2413">
        <v>0.98938969093281104</v>
      </c>
      <c r="E2413">
        <v>0.78952258626383998</v>
      </c>
      <c r="F2413">
        <v>0.54445131911264</v>
      </c>
      <c r="G2413">
        <v>0.447522313960107</v>
      </c>
      <c r="H2413">
        <v>0.25025205879775497</v>
      </c>
      <c r="I2413">
        <v>0.17405308591985899</v>
      </c>
      <c r="J2413">
        <v>0.17407892614599199</v>
      </c>
      <c r="K2413">
        <v>0.12283710082319201</v>
      </c>
      <c r="L2413">
        <v>806.43229396842298</v>
      </c>
      <c r="M2413">
        <v>14.965338712278999</v>
      </c>
      <c r="N2413">
        <v>54.843795302456101</v>
      </c>
      <c r="O2413">
        <v>52.951944514228899</v>
      </c>
      <c r="P2413">
        <v>-6.2541538627098797E-2</v>
      </c>
      <c r="Q2413">
        <v>0.11492587904918</v>
      </c>
      <c r="R2413">
        <v>0.98877013385870804</v>
      </c>
      <c r="S2413" t="s">
        <v>8239</v>
      </c>
      <c r="T2413" t="s">
        <v>11650</v>
      </c>
      <c r="U2413" t="s">
        <v>11650</v>
      </c>
      <c r="V2413" t="s">
        <v>11650</v>
      </c>
      <c r="W2413" t="s">
        <v>14022</v>
      </c>
      <c r="X2413">
        <v>2</v>
      </c>
      <c r="Y2413" t="s">
        <v>19739</v>
      </c>
      <c r="Z2413" t="s">
        <v>25475</v>
      </c>
      <c r="AA2413">
        <v>0.54293938413672982</v>
      </c>
      <c r="AB2413" t="str">
        <f>HYPERLINK("Melting_Curves/meltCurve_P47712_PLA2G4A.pdf", "Melting_Curves/meltCurve_P47712_PLA2G4A.pdf")</f>
        <v>Melting_Curves/meltCurve_P47712_PLA2G4A.pdf</v>
      </c>
    </row>
    <row r="2414" spans="1:28" x14ac:dyDescent="0.25">
      <c r="A2414" t="s">
        <v>2418</v>
      </c>
      <c r="B2414">
        <v>0.99996721820229495</v>
      </c>
      <c r="C2414">
        <v>1.04479251183072</v>
      </c>
      <c r="D2414">
        <v>1.0541249629823899</v>
      </c>
      <c r="E2414">
        <v>1.1141108691622701</v>
      </c>
      <c r="F2414">
        <v>1.22993539755253</v>
      </c>
      <c r="G2414">
        <v>0.73821120108891602</v>
      </c>
      <c r="H2414">
        <v>0.33477998071932302</v>
      </c>
      <c r="I2414">
        <v>0.19055096773281099</v>
      </c>
      <c r="J2414">
        <v>0.146538855743436</v>
      </c>
      <c r="K2414">
        <v>0.108655641712601</v>
      </c>
      <c r="L2414">
        <v>2193.3074556456299</v>
      </c>
      <c r="M2414">
        <v>37.354870332591503</v>
      </c>
      <c r="N2414">
        <v>59.222604186369097</v>
      </c>
      <c r="O2414">
        <v>58.547932025151297</v>
      </c>
      <c r="P2414">
        <v>-0.13767143165649301</v>
      </c>
      <c r="Q2414">
        <v>0.136888530970011</v>
      </c>
      <c r="R2414">
        <v>0.95497008850854503</v>
      </c>
      <c r="S2414" t="s">
        <v>8240</v>
      </c>
      <c r="T2414" t="s">
        <v>11650</v>
      </c>
      <c r="U2414" t="s">
        <v>11650</v>
      </c>
      <c r="V2414" t="s">
        <v>11650</v>
      </c>
      <c r="W2414" t="s">
        <v>14023</v>
      </c>
      <c r="X2414">
        <v>17</v>
      </c>
      <c r="Y2414" t="s">
        <v>19740</v>
      </c>
      <c r="Z2414" t="s">
        <v>25476</v>
      </c>
      <c r="AA2414">
        <v>0.6791951236544036</v>
      </c>
      <c r="AB2414" t="str">
        <f>HYPERLINK("Melting_Curves/meltCurve_P47755_CAPZA2.pdf", "Melting_Curves/meltCurve_P47755_CAPZA2.pdf")</f>
        <v>Melting_Curves/meltCurve_P47755_CAPZA2.pdf</v>
      </c>
    </row>
    <row r="2415" spans="1:28" x14ac:dyDescent="0.25">
      <c r="A2415" t="s">
        <v>2419</v>
      </c>
      <c r="B2415">
        <v>0.99996721820229495</v>
      </c>
      <c r="C2415">
        <v>1.10145366762547</v>
      </c>
      <c r="D2415">
        <v>1.0606830048370699</v>
      </c>
      <c r="E2415">
        <v>1.0926712854371301</v>
      </c>
      <c r="F2415">
        <v>1.06734683794049</v>
      </c>
      <c r="G2415">
        <v>0.62512239627774202</v>
      </c>
      <c r="H2415">
        <v>0.29320547369320099</v>
      </c>
      <c r="I2415">
        <v>0.211419095367852</v>
      </c>
      <c r="J2415">
        <v>0.11347790258312</v>
      </c>
      <c r="K2415">
        <v>8.6088992371702103E-2</v>
      </c>
      <c r="L2415">
        <v>1912.3910756159701</v>
      </c>
      <c r="M2415">
        <v>33.040213420092897</v>
      </c>
      <c r="N2415">
        <v>58.390304314502202</v>
      </c>
      <c r="O2415">
        <v>57.669917627125301</v>
      </c>
      <c r="P2415">
        <v>-0.12529063539513899</v>
      </c>
      <c r="Q2415">
        <v>0.125251642100141</v>
      </c>
      <c r="R2415">
        <v>0.97599311130017696</v>
      </c>
      <c r="S2415" t="s">
        <v>8241</v>
      </c>
      <c r="T2415" t="s">
        <v>11650</v>
      </c>
      <c r="U2415" t="s">
        <v>11650</v>
      </c>
      <c r="V2415" t="s">
        <v>11650</v>
      </c>
      <c r="W2415" t="s">
        <v>14024</v>
      </c>
      <c r="X2415">
        <v>23</v>
      </c>
      <c r="Y2415" t="s">
        <v>19741</v>
      </c>
      <c r="Z2415" t="s">
        <v>25477</v>
      </c>
      <c r="AA2415">
        <v>0.65151011040599871</v>
      </c>
      <c r="AB2415" t="str">
        <f>HYPERLINK("Melting_Curves/meltCurve_P47756_CAPZB.pdf", "Melting_Curves/meltCurve_P47756_CAPZB.pdf")</f>
        <v>Melting_Curves/meltCurve_P47756_CAPZB.pdf</v>
      </c>
    </row>
    <row r="2416" spans="1:28" x14ac:dyDescent="0.25">
      <c r="A2416" t="s">
        <v>2420</v>
      </c>
      <c r="B2416">
        <v>0.99996721820229495</v>
      </c>
      <c r="C2416">
        <v>0.78161428179742898</v>
      </c>
      <c r="D2416">
        <v>0.75679314713651902</v>
      </c>
      <c r="E2416">
        <v>1.04334056752227</v>
      </c>
      <c r="F2416">
        <v>1.1058223543794301</v>
      </c>
      <c r="G2416">
        <v>0.39976361693635998</v>
      </c>
      <c r="H2416">
        <v>0.19780300804360201</v>
      </c>
      <c r="I2416">
        <v>0.147841312607953</v>
      </c>
      <c r="J2416">
        <v>7.4130307355364897E-2</v>
      </c>
      <c r="K2416">
        <v>5.8412410608940701E-2</v>
      </c>
      <c r="L2416">
        <v>11359.5045335131</v>
      </c>
      <c r="M2416">
        <v>200.051306431124</v>
      </c>
      <c r="N2416">
        <v>56.8605973552827</v>
      </c>
      <c r="O2416">
        <v>56.777279312769203</v>
      </c>
      <c r="P2416">
        <v>-0.77555616384224302</v>
      </c>
      <c r="Q2416">
        <v>0.119546453725484</v>
      </c>
      <c r="R2416">
        <v>0.91848515561889399</v>
      </c>
      <c r="S2416" t="s">
        <v>8242</v>
      </c>
      <c r="T2416" t="s">
        <v>11650</v>
      </c>
      <c r="U2416" t="s">
        <v>11650</v>
      </c>
      <c r="V2416" t="s">
        <v>11650</v>
      </c>
      <c r="W2416" t="s">
        <v>14025</v>
      </c>
      <c r="X2416">
        <v>29</v>
      </c>
      <c r="Y2416" t="s">
        <v>19741</v>
      </c>
      <c r="Z2416" t="s">
        <v>25478</v>
      </c>
      <c r="AA2416">
        <v>0.61223726552522562</v>
      </c>
      <c r="AB2416" t="str">
        <f>HYPERLINK("Melting_Curves/meltCurve_P47756_2_CAPZB.pdf", "Melting_Curves/meltCurve_P47756_2_CAPZB.pdf")</f>
        <v>Melting_Curves/meltCurve_P47756_2_CAPZB.pdf</v>
      </c>
    </row>
    <row r="2417" spans="1:28" x14ac:dyDescent="0.25">
      <c r="A2417" t="s">
        <v>2421</v>
      </c>
      <c r="B2417">
        <v>0.99996721820229495</v>
      </c>
      <c r="C2417">
        <v>1.3107464186613</v>
      </c>
      <c r="D2417">
        <v>1.0643151826511199</v>
      </c>
      <c r="E2417">
        <v>1.1159095634138201</v>
      </c>
      <c r="F2417">
        <v>0.81253621210626104</v>
      </c>
      <c r="G2417">
        <v>0.56259919589839502</v>
      </c>
      <c r="H2417">
        <v>0.24587920752520701</v>
      </c>
      <c r="I2417">
        <v>0.11623221842901101</v>
      </c>
      <c r="J2417">
        <v>5.4779885155252603E-2</v>
      </c>
      <c r="K2417">
        <v>3.1256371408852103E-2</v>
      </c>
      <c r="L2417">
        <v>1319.04341153479</v>
      </c>
      <c r="M2417">
        <v>22.930853556734998</v>
      </c>
      <c r="N2417">
        <v>57.642674784532197</v>
      </c>
      <c r="O2417">
        <v>57.090534864475899</v>
      </c>
      <c r="P2417">
        <v>-9.8075360239182702E-2</v>
      </c>
      <c r="Q2417">
        <v>2.3312639324670498E-2</v>
      </c>
      <c r="R2417">
        <v>0.94110961735565302</v>
      </c>
      <c r="S2417" t="s">
        <v>8243</v>
      </c>
      <c r="T2417" t="s">
        <v>11650</v>
      </c>
      <c r="U2417" t="s">
        <v>11650</v>
      </c>
      <c r="V2417" t="s">
        <v>11650</v>
      </c>
      <c r="W2417" t="s">
        <v>14026</v>
      </c>
      <c r="X2417">
        <v>9</v>
      </c>
      <c r="Y2417" t="s">
        <v>19742</v>
      </c>
      <c r="Z2417" t="s">
        <v>25479</v>
      </c>
      <c r="AA2417">
        <v>0.60355941047130568</v>
      </c>
      <c r="AB2417" t="str">
        <f>HYPERLINK("Melting_Curves/meltCurve_P47813_EIF1AX.pdf", "Melting_Curves/meltCurve_P47813_EIF1AX.pdf")</f>
        <v>Melting_Curves/meltCurve_P47813_EIF1AX.pdf</v>
      </c>
    </row>
    <row r="2418" spans="1:28" x14ac:dyDescent="0.25">
      <c r="A2418" t="s">
        <v>2422</v>
      </c>
      <c r="B2418">
        <v>0.99996721820229495</v>
      </c>
      <c r="C2418">
        <v>1.04573123262731</v>
      </c>
      <c r="D2418">
        <v>1.1265684241271701</v>
      </c>
      <c r="E2418">
        <v>1.42665516460454</v>
      </c>
      <c r="F2418">
        <v>1.95090055695465</v>
      </c>
      <c r="G2418">
        <v>2.9523195588739601</v>
      </c>
      <c r="H2418">
        <v>1.46295674326235</v>
      </c>
      <c r="I2418">
        <v>0.54218578583051602</v>
      </c>
      <c r="J2418">
        <v>0.44050516019589198</v>
      </c>
      <c r="K2418">
        <v>0.35071496397506802</v>
      </c>
      <c r="L2418">
        <v>15000</v>
      </c>
      <c r="M2418">
        <v>235.51302670743499</v>
      </c>
      <c r="N2418">
        <v>64.1171411909623</v>
      </c>
      <c r="O2418">
        <v>63.6861547102827</v>
      </c>
      <c r="P2418">
        <v>-0.55878636142785498</v>
      </c>
      <c r="Q2418">
        <v>0.39558412489759398</v>
      </c>
      <c r="R2418">
        <v>7.4257082835761296E-2</v>
      </c>
      <c r="S2418" t="s">
        <v>8244</v>
      </c>
      <c r="T2418" t="s">
        <v>11650</v>
      </c>
      <c r="U2418" t="s">
        <v>11650</v>
      </c>
      <c r="V2418" t="s">
        <v>11650</v>
      </c>
      <c r="W2418" t="s">
        <v>14027</v>
      </c>
      <c r="X2418">
        <v>5</v>
      </c>
      <c r="Y2418" t="s">
        <v>19743</v>
      </c>
      <c r="Z2418" t="s">
        <v>25480</v>
      </c>
      <c r="AA2418">
        <v>0.87296232155097797</v>
      </c>
      <c r="AB2418" t="str">
        <f>HYPERLINK("Melting_Curves/meltCurve_P47895_ALDH1A3.pdf", "Melting_Curves/meltCurve_P47895_ALDH1A3.pdf")</f>
        <v>Melting_Curves/meltCurve_P47895_ALDH1A3.pdf</v>
      </c>
    </row>
    <row r="2419" spans="1:28" x14ac:dyDescent="0.25">
      <c r="A2419" t="s">
        <v>2423</v>
      </c>
      <c r="B2419">
        <v>0.99996721820229495</v>
      </c>
      <c r="C2419">
        <v>1.0247563072956001</v>
      </c>
      <c r="D2419">
        <v>1.22935896448977</v>
      </c>
      <c r="E2419">
        <v>1.5987638165701901</v>
      </c>
      <c r="F2419">
        <v>3.0000200611432599</v>
      </c>
      <c r="G2419">
        <v>1.6212703637517101</v>
      </c>
      <c r="H2419">
        <v>1.0414191805814299</v>
      </c>
      <c r="I2419">
        <v>0.57669317022695898</v>
      </c>
      <c r="J2419">
        <v>0.25501697816263402</v>
      </c>
      <c r="K2419">
        <v>0.62418283926358298</v>
      </c>
      <c r="L2419">
        <v>15000</v>
      </c>
      <c r="M2419">
        <v>235.50245457268599</v>
      </c>
      <c r="N2419">
        <v>64.270433249752401</v>
      </c>
      <c r="O2419">
        <v>63.689013617491803</v>
      </c>
      <c r="P2419">
        <v>-0.51804720787682901</v>
      </c>
      <c r="Q2419">
        <v>0.43959965846038601</v>
      </c>
      <c r="R2419">
        <v>7.91901386023902E-2</v>
      </c>
      <c r="S2419" t="s">
        <v>8245</v>
      </c>
      <c r="T2419" t="s">
        <v>11650</v>
      </c>
      <c r="U2419" t="s">
        <v>11650</v>
      </c>
      <c r="V2419" t="s">
        <v>11650</v>
      </c>
      <c r="W2419" t="s">
        <v>14028</v>
      </c>
      <c r="X2419">
        <v>4</v>
      </c>
      <c r="Y2419" t="s">
        <v>19744</v>
      </c>
      <c r="Z2419" t="s">
        <v>25481</v>
      </c>
      <c r="AA2419">
        <v>0.88226703853686206</v>
      </c>
      <c r="AB2419" t="str">
        <f>HYPERLINK("Melting_Curves/meltCurve_P47914_RPL29.pdf", "Melting_Curves/meltCurve_P47914_RPL29.pdf")</f>
        <v>Melting_Curves/meltCurve_P47914_RPL29.pdf</v>
      </c>
    </row>
    <row r="2420" spans="1:28" x14ac:dyDescent="0.25">
      <c r="A2420" t="s">
        <v>2424</v>
      </c>
      <c r="B2420">
        <v>0.99996721820229495</v>
      </c>
      <c r="C2420">
        <v>0.79908486522772004</v>
      </c>
      <c r="D2420">
        <v>0.64971723138973103</v>
      </c>
      <c r="E2420">
        <v>0.46600846650098599</v>
      </c>
      <c r="F2420">
        <v>0.38242034143354198</v>
      </c>
      <c r="G2420">
        <v>0.28247137956308799</v>
      </c>
      <c r="H2420">
        <v>0.19735925987387201</v>
      </c>
      <c r="I2420">
        <v>0.15422525000304599</v>
      </c>
      <c r="J2420">
        <v>0.12479976638215701</v>
      </c>
      <c r="K2420">
        <v>0.10982244271786</v>
      </c>
      <c r="L2420">
        <v>508.07589685155398</v>
      </c>
      <c r="M2420">
        <v>10.424143269288599</v>
      </c>
      <c r="N2420">
        <v>49.655490318047903</v>
      </c>
      <c r="O2420">
        <v>47.048968607444202</v>
      </c>
      <c r="P2420">
        <v>-5.0569876854255902E-2</v>
      </c>
      <c r="Q2420">
        <v>8.7398034727426299E-2</v>
      </c>
      <c r="R2420">
        <v>0.987419699751798</v>
      </c>
      <c r="S2420" t="s">
        <v>8246</v>
      </c>
      <c r="T2420" t="s">
        <v>11650</v>
      </c>
      <c r="U2420" t="s">
        <v>11650</v>
      </c>
      <c r="V2420" t="s">
        <v>11650</v>
      </c>
      <c r="W2420" t="s">
        <v>14029</v>
      </c>
      <c r="X2420">
        <v>7</v>
      </c>
      <c r="Y2420" t="s">
        <v>19745</v>
      </c>
      <c r="Z2420" t="s">
        <v>25482</v>
      </c>
      <c r="AA2420">
        <v>0.39608339104551499</v>
      </c>
      <c r="AB2420" t="str">
        <f>HYPERLINK("Melting_Curves/meltCurve_P47974_ZFP36L2.pdf", "Melting_Curves/meltCurve_P47974_ZFP36L2.pdf")</f>
        <v>Melting_Curves/meltCurve_P47974_ZFP36L2.pdf</v>
      </c>
    </row>
    <row r="2421" spans="1:28" x14ac:dyDescent="0.25">
      <c r="A2421" t="s">
        <v>2425</v>
      </c>
      <c r="B2421">
        <v>0.99996721820229495</v>
      </c>
      <c r="C2421">
        <v>0.82793092142968505</v>
      </c>
      <c r="D2421">
        <v>0.70523930824241099</v>
      </c>
      <c r="E2421">
        <v>0.82997471440896398</v>
      </c>
      <c r="F2421">
        <v>1.23940806132371</v>
      </c>
      <c r="G2421">
        <v>1.0809766757213899</v>
      </c>
      <c r="H2421">
        <v>0.70905000530490203</v>
      </c>
      <c r="I2421">
        <v>0.39844451481363902</v>
      </c>
      <c r="J2421">
        <v>0.338035770332482</v>
      </c>
      <c r="K2421">
        <v>0.176168754618797</v>
      </c>
      <c r="L2421">
        <v>2572.3822344810601</v>
      </c>
      <c r="M2421">
        <v>41.5370596669473</v>
      </c>
      <c r="N2421">
        <v>62.895361306086002</v>
      </c>
      <c r="O2421">
        <v>61.786784736956903</v>
      </c>
      <c r="P2421">
        <v>-0.128446870373638</v>
      </c>
      <c r="Q2421">
        <v>0.235737430424279</v>
      </c>
      <c r="R2421">
        <v>0.78656366904297503</v>
      </c>
      <c r="S2421" t="s">
        <v>8247</v>
      </c>
      <c r="T2421" t="s">
        <v>11650</v>
      </c>
      <c r="U2421" t="s">
        <v>11650</v>
      </c>
      <c r="V2421" t="s">
        <v>11650</v>
      </c>
      <c r="W2421" t="s">
        <v>14030</v>
      </c>
      <c r="X2421">
        <v>10</v>
      </c>
      <c r="Y2421" t="s">
        <v>19746</v>
      </c>
      <c r="Z2421" t="s">
        <v>25483</v>
      </c>
      <c r="AA2421">
        <v>0.79701526445013593</v>
      </c>
      <c r="AB2421" t="str">
        <f>HYPERLINK("Melting_Curves/meltCurve_P47985_UQCRFS1.pdf", "Melting_Curves/meltCurve_P47985_UQCRFS1.pdf")</f>
        <v>Melting_Curves/meltCurve_P47985_UQCRFS1.pdf</v>
      </c>
    </row>
    <row r="2422" spans="1:28" x14ac:dyDescent="0.25">
      <c r="A2422" t="s">
        <v>2426</v>
      </c>
      <c r="B2422">
        <v>0.99996721820229495</v>
      </c>
      <c r="C2422">
        <v>1.01979983395598</v>
      </c>
      <c r="D2422">
        <v>1.27014916662718</v>
      </c>
      <c r="E2422">
        <v>1.48005059927769</v>
      </c>
      <c r="F2422">
        <v>2.00385671937542</v>
      </c>
      <c r="G2422">
        <v>2.0156338694397702</v>
      </c>
      <c r="H2422">
        <v>1.37778883336908</v>
      </c>
      <c r="I2422">
        <v>0.81611005061572095</v>
      </c>
      <c r="J2422">
        <v>0.39371425872728</v>
      </c>
      <c r="K2422">
        <v>0.387559268145302</v>
      </c>
      <c r="L2422">
        <v>15000</v>
      </c>
      <c r="M2422">
        <v>233.53602127221399</v>
      </c>
      <c r="N2422">
        <v>64.6506351834593</v>
      </c>
      <c r="O2422">
        <v>64.225203341165695</v>
      </c>
      <c r="P2422">
        <v>-0.55396067552948303</v>
      </c>
      <c r="Q2422">
        <v>0.39061665163162101</v>
      </c>
      <c r="R2422">
        <v>0.15760373988552101</v>
      </c>
      <c r="S2422" t="s">
        <v>8248</v>
      </c>
      <c r="T2422" t="s">
        <v>11650</v>
      </c>
      <c r="U2422" t="s">
        <v>11650</v>
      </c>
      <c r="V2422" t="s">
        <v>11650</v>
      </c>
      <c r="W2422" t="s">
        <v>14031</v>
      </c>
      <c r="X2422">
        <v>3</v>
      </c>
      <c r="Y2422" t="s">
        <v>19747</v>
      </c>
      <c r="Z2422" t="s">
        <v>25484</v>
      </c>
      <c r="AA2422">
        <v>0.8828723679017022</v>
      </c>
      <c r="AB2422" t="str">
        <f>HYPERLINK("Melting_Curves/meltCurve_P48029_SLC6A8.pdf", "Melting_Curves/meltCurve_P48029_SLC6A8.pdf")</f>
        <v>Melting_Curves/meltCurve_P48029_SLC6A8.pdf</v>
      </c>
    </row>
    <row r="2423" spans="1:28" x14ac:dyDescent="0.25">
      <c r="A2423" t="s">
        <v>2427</v>
      </c>
      <c r="B2423">
        <v>0.99996721820229495</v>
      </c>
      <c r="C2423">
        <v>1.01146414890338</v>
      </c>
      <c r="D2423">
        <v>1.0579536691532501</v>
      </c>
      <c r="E2423">
        <v>1.76390741682331</v>
      </c>
      <c r="F2423">
        <v>2.22249225623167</v>
      </c>
      <c r="G2423">
        <v>3.0972163578723699</v>
      </c>
      <c r="H2423">
        <v>2.0965547433744298</v>
      </c>
      <c r="I2423">
        <v>0.57127773804089699</v>
      </c>
      <c r="J2423">
        <v>0.243873426613535</v>
      </c>
      <c r="K2423">
        <v>0.18358969960413599</v>
      </c>
      <c r="L2423">
        <v>15000</v>
      </c>
      <c r="M2423">
        <v>234.55621205179401</v>
      </c>
      <c r="N2423">
        <v>64.102948389797206</v>
      </c>
      <c r="O2423">
        <v>63.945925594553998</v>
      </c>
      <c r="P2423">
        <v>-0.72103267878459498</v>
      </c>
      <c r="Q2423">
        <v>0.213713630971927</v>
      </c>
      <c r="R2423">
        <v>4.5355657357306498E-2</v>
      </c>
      <c r="S2423" t="s">
        <v>8249</v>
      </c>
      <c r="T2423" t="s">
        <v>11650</v>
      </c>
      <c r="U2423" t="s">
        <v>11650</v>
      </c>
      <c r="V2423" t="s">
        <v>11650</v>
      </c>
      <c r="W2423" t="s">
        <v>14032</v>
      </c>
      <c r="X2423">
        <v>9</v>
      </c>
      <c r="Y2423" t="s">
        <v>19748</v>
      </c>
      <c r="Z2423" t="s">
        <v>25485</v>
      </c>
      <c r="AA2423">
        <v>0.84154705500600868</v>
      </c>
      <c r="AB2423" t="str">
        <f>HYPERLINK("Melting_Curves/meltCurve_P48047_ATP5O.pdf", "Melting_Curves/meltCurve_P48047_ATP5O.pdf")</f>
        <v>Melting_Curves/meltCurve_P48047_ATP5O.pdf</v>
      </c>
    </row>
    <row r="2424" spans="1:28" x14ac:dyDescent="0.25">
      <c r="A2424" t="s">
        <v>2428</v>
      </c>
      <c r="B2424">
        <v>0.99996721820229495</v>
      </c>
      <c r="C2424">
        <v>1.0008371052236</v>
      </c>
      <c r="D2424">
        <v>1.03173167393994</v>
      </c>
      <c r="E2424">
        <v>0.992130624848098</v>
      </c>
      <c r="F2424">
        <v>0.86277089091887005</v>
      </c>
      <c r="G2424">
        <v>0.75102452626184102</v>
      </c>
      <c r="H2424">
        <v>0.332473313064163</v>
      </c>
      <c r="I2424">
        <v>0.17402105764793399</v>
      </c>
      <c r="J2424">
        <v>0.13272238118947</v>
      </c>
      <c r="K2424">
        <v>0.10144735020859399</v>
      </c>
      <c r="L2424">
        <v>1413.8513959588299</v>
      </c>
      <c r="M2424">
        <v>24.033451545015101</v>
      </c>
      <c r="N2424">
        <v>59.225658881111599</v>
      </c>
      <c r="O2424">
        <v>58.425702699431397</v>
      </c>
      <c r="P2424">
        <v>-9.5185145222593304E-2</v>
      </c>
      <c r="Q2424">
        <v>7.44278022356126E-2</v>
      </c>
      <c r="R2424">
        <v>0.99345463551544599</v>
      </c>
      <c r="S2424" t="s">
        <v>8250</v>
      </c>
      <c r="T2424" t="s">
        <v>11650</v>
      </c>
      <c r="U2424" t="s">
        <v>11650</v>
      </c>
      <c r="V2424" t="s">
        <v>11650</v>
      </c>
      <c r="W2424" t="s">
        <v>14033</v>
      </c>
      <c r="X2424">
        <v>16</v>
      </c>
      <c r="Y2424" t="s">
        <v>19749</v>
      </c>
      <c r="Z2424" t="s">
        <v>25486</v>
      </c>
      <c r="AA2424">
        <v>0.66337777861471781</v>
      </c>
      <c r="AB2424" t="str">
        <f>HYPERLINK("Melting_Curves/meltCurve_P48059_3_LIMS1.pdf", "Melting_Curves/meltCurve_P48059_3_LIMS1.pdf")</f>
        <v>Melting_Curves/meltCurve_P48059_3_LIMS1.pdf</v>
      </c>
    </row>
    <row r="2425" spans="1:28" x14ac:dyDescent="0.25">
      <c r="A2425" t="s">
        <v>2429</v>
      </c>
      <c r="B2425">
        <v>0.99996721820229495</v>
      </c>
      <c r="C2425">
        <v>0.82804170565673896</v>
      </c>
      <c r="D2425">
        <v>1.1135641780350001</v>
      </c>
      <c r="E2425">
        <v>1.22020266962993</v>
      </c>
      <c r="F2425">
        <v>1.3164929174879301</v>
      </c>
      <c r="G2425">
        <v>1.1877782313581999</v>
      </c>
      <c r="H2425">
        <v>0.65028824230151105</v>
      </c>
      <c r="I2425">
        <v>0.257874478296717</v>
      </c>
      <c r="J2425">
        <v>0.114066708252202</v>
      </c>
      <c r="K2425">
        <v>0.129542630208031</v>
      </c>
      <c r="L2425">
        <v>3533.7773649276901</v>
      </c>
      <c r="M2425">
        <v>57.427638060327901</v>
      </c>
      <c r="N2425">
        <v>61.865516449422003</v>
      </c>
      <c r="O2425">
        <v>61.459941540343202</v>
      </c>
      <c r="P2425">
        <v>-0.20269390639368501</v>
      </c>
      <c r="Q2425">
        <v>0.13229571196517501</v>
      </c>
      <c r="R2425">
        <v>0.88163826029265602</v>
      </c>
      <c r="S2425" t="s">
        <v>8251</v>
      </c>
      <c r="T2425" t="s">
        <v>11650</v>
      </c>
      <c r="U2425" t="s">
        <v>11650</v>
      </c>
      <c r="V2425" t="s">
        <v>11650</v>
      </c>
      <c r="W2425" t="s">
        <v>14034</v>
      </c>
      <c r="X2425">
        <v>3</v>
      </c>
      <c r="Y2425" t="s">
        <v>19750</v>
      </c>
      <c r="Z2425" t="s">
        <v>25487</v>
      </c>
      <c r="AA2425">
        <v>0.75688918497027147</v>
      </c>
      <c r="AB2425" t="str">
        <f>HYPERLINK("Melting_Curves/meltCurve_P48060_GLIPR1.pdf", "Melting_Curves/meltCurve_P48060_GLIPR1.pdf")</f>
        <v>Melting_Curves/meltCurve_P48060_GLIPR1.pdf</v>
      </c>
    </row>
    <row r="2426" spans="1:28" x14ac:dyDescent="0.25">
      <c r="A2426" t="s">
        <v>2430</v>
      </c>
      <c r="B2426">
        <v>0.99996721820229495</v>
      </c>
      <c r="C2426">
        <v>1.09076317733384</v>
      </c>
      <c r="D2426">
        <v>1.05457652571162</v>
      </c>
      <c r="E2426">
        <v>0.419056973970655</v>
      </c>
      <c r="F2426">
        <v>0.28939464893107197</v>
      </c>
      <c r="G2426">
        <v>0.23921230242876301</v>
      </c>
      <c r="H2426">
        <v>0.14145903276692101</v>
      </c>
      <c r="I2426">
        <v>9.4302180965571206E-2</v>
      </c>
      <c r="J2426">
        <v>6.9559577008211596E-2</v>
      </c>
      <c r="K2426">
        <v>5.1971762916643502E-2</v>
      </c>
      <c r="L2426">
        <v>2050.5016279496599</v>
      </c>
      <c r="M2426">
        <v>41.503578293995503</v>
      </c>
      <c r="N2426">
        <v>49.779680907700801</v>
      </c>
      <c r="O2426">
        <v>49.2911327790748</v>
      </c>
      <c r="P2426">
        <v>-0.18229025049464101</v>
      </c>
      <c r="Q2426">
        <v>0.134023872114619</v>
      </c>
      <c r="R2426">
        <v>0.968205616528511</v>
      </c>
      <c r="S2426" t="s">
        <v>8252</v>
      </c>
      <c r="T2426" t="s">
        <v>11650</v>
      </c>
      <c r="U2426" t="s">
        <v>11650</v>
      </c>
      <c r="V2426" t="s">
        <v>11650</v>
      </c>
      <c r="W2426" t="s">
        <v>14035</v>
      </c>
      <c r="X2426">
        <v>31</v>
      </c>
      <c r="Y2426" t="s">
        <v>19751</v>
      </c>
      <c r="Z2426" t="s">
        <v>25488</v>
      </c>
      <c r="AA2426">
        <v>0.40826633818343627</v>
      </c>
      <c r="AB2426" t="str">
        <f>HYPERLINK("Melting_Curves/meltCurve_P48147_PREP.pdf", "Melting_Curves/meltCurve_P48147_PREP.pdf")</f>
        <v>Melting_Curves/meltCurve_P48147_PREP.pdf</v>
      </c>
    </row>
    <row r="2427" spans="1:28" x14ac:dyDescent="0.25">
      <c r="A2427" t="s">
        <v>2431</v>
      </c>
      <c r="B2427">
        <v>0.99996721820229495</v>
      </c>
      <c r="C2427">
        <v>0.92945177761538</v>
      </c>
      <c r="D2427">
        <v>1.07116967220989</v>
      </c>
      <c r="E2427">
        <v>1.5674481786605901</v>
      </c>
      <c r="F2427">
        <v>2.1836146730886501</v>
      </c>
      <c r="G2427">
        <v>2.2187128893100301</v>
      </c>
      <c r="H2427">
        <v>0.86810869659280399</v>
      </c>
      <c r="I2427">
        <v>0.49406344884752501</v>
      </c>
      <c r="J2427">
        <v>0.222504201897958</v>
      </c>
      <c r="K2427">
        <v>0.16381672371926201</v>
      </c>
      <c r="L2427">
        <v>3614.08639507013</v>
      </c>
      <c r="M2427">
        <v>56.974689521202997</v>
      </c>
      <c r="N2427">
        <v>63.910831569152201</v>
      </c>
      <c r="O2427">
        <v>63.355198636253903</v>
      </c>
      <c r="P2427">
        <v>-0.18584364352605701</v>
      </c>
      <c r="Q2427">
        <v>0.173376607431492</v>
      </c>
      <c r="R2427">
        <v>0.320163057584335</v>
      </c>
      <c r="S2427" t="s">
        <v>8253</v>
      </c>
      <c r="T2427" t="s">
        <v>11650</v>
      </c>
      <c r="U2427" t="s">
        <v>11650</v>
      </c>
      <c r="V2427" t="s">
        <v>11650</v>
      </c>
      <c r="W2427" t="s">
        <v>14036</v>
      </c>
      <c r="X2427">
        <v>21</v>
      </c>
      <c r="Y2427" t="s">
        <v>19752</v>
      </c>
      <c r="Z2427" t="s">
        <v>25489</v>
      </c>
      <c r="AA2427">
        <v>0.82065123446643495</v>
      </c>
      <c r="AB2427" t="str">
        <f>HYPERLINK("Melting_Curves/meltCurve_P48163_ME1.pdf", "Melting_Curves/meltCurve_P48163_ME1.pdf")</f>
        <v>Melting_Curves/meltCurve_P48163_ME1.pdf</v>
      </c>
    </row>
    <row r="2428" spans="1:28" x14ac:dyDescent="0.25">
      <c r="A2428" t="s">
        <v>2432</v>
      </c>
      <c r="B2428">
        <v>0.99996721820229495</v>
      </c>
      <c r="C2428">
        <v>0.96567175381547299</v>
      </c>
      <c r="D2428">
        <v>0.89909250265503105</v>
      </c>
      <c r="E2428">
        <v>1.1479313543587899</v>
      </c>
      <c r="F2428">
        <v>0.742266837930596</v>
      </c>
      <c r="G2428">
        <v>0.343707921656492</v>
      </c>
      <c r="H2428">
        <v>0.18646211301204901</v>
      </c>
      <c r="I2428">
        <v>0.13358241607691099</v>
      </c>
      <c r="J2428">
        <v>9.7488672537677998E-2</v>
      </c>
      <c r="K2428">
        <v>8.2776924432170704E-2</v>
      </c>
      <c r="L2428">
        <v>1785.1553054922799</v>
      </c>
      <c r="M2428">
        <v>32.444852949080598</v>
      </c>
      <c r="N2428">
        <v>55.461286528667102</v>
      </c>
      <c r="O2428">
        <v>54.813458805218303</v>
      </c>
      <c r="P2428">
        <v>-0.13118552474949599</v>
      </c>
      <c r="Q2428">
        <v>0.113486747870675</v>
      </c>
      <c r="R2428">
        <v>0.969806106865025</v>
      </c>
      <c r="S2428" t="s">
        <v>8254</v>
      </c>
      <c r="T2428" t="s">
        <v>11650</v>
      </c>
      <c r="U2428" t="s">
        <v>11650</v>
      </c>
      <c r="V2428" t="s">
        <v>11650</v>
      </c>
      <c r="W2428" t="s">
        <v>14037</v>
      </c>
      <c r="X2428">
        <v>30</v>
      </c>
      <c r="Y2428" t="s">
        <v>19753</v>
      </c>
      <c r="Z2428" t="s">
        <v>25490</v>
      </c>
      <c r="AA2428">
        <v>0.56243535075169715</v>
      </c>
      <c r="AB2428" t="str">
        <f>HYPERLINK("Melting_Curves/meltCurve_P48444_ARCN1.pdf", "Melting_Curves/meltCurve_P48444_ARCN1.pdf")</f>
        <v>Melting_Curves/meltCurve_P48444_ARCN1.pdf</v>
      </c>
    </row>
    <row r="2429" spans="1:28" x14ac:dyDescent="0.25">
      <c r="A2429" t="s">
        <v>2433</v>
      </c>
      <c r="B2429">
        <v>0.99996721820229495</v>
      </c>
      <c r="C2429">
        <v>1.03301854812223</v>
      </c>
      <c r="D2429">
        <v>1.0766160180748601</v>
      </c>
      <c r="E2429">
        <v>1.0413762775683</v>
      </c>
      <c r="F2429">
        <v>0.58992885199770895</v>
      </c>
      <c r="G2429">
        <v>0.36592815343077001</v>
      </c>
      <c r="H2429">
        <v>0.19121981753394299</v>
      </c>
      <c r="I2429">
        <v>0.118302291623595</v>
      </c>
      <c r="J2429">
        <v>8.9502710113898098E-2</v>
      </c>
      <c r="K2429">
        <v>6.5971941382428706E-2</v>
      </c>
      <c r="L2429">
        <v>1354.9479794711001</v>
      </c>
      <c r="M2429">
        <v>24.893779066174002</v>
      </c>
      <c r="N2429">
        <v>54.902440468890603</v>
      </c>
      <c r="O2429">
        <v>54.081587353713601</v>
      </c>
      <c r="P2429">
        <v>-0.103964183783399</v>
      </c>
      <c r="Q2429">
        <v>9.6566065061691797E-2</v>
      </c>
      <c r="R2429">
        <v>0.97619695178108201</v>
      </c>
      <c r="S2429" t="s">
        <v>8255</v>
      </c>
      <c r="T2429" t="s">
        <v>11650</v>
      </c>
      <c r="U2429" t="s">
        <v>11650</v>
      </c>
      <c r="V2429" t="s">
        <v>11650</v>
      </c>
      <c r="W2429" t="s">
        <v>14038</v>
      </c>
      <c r="X2429">
        <v>38</v>
      </c>
      <c r="Y2429" t="s">
        <v>19754</v>
      </c>
      <c r="Z2429" t="s">
        <v>25491</v>
      </c>
      <c r="AA2429">
        <v>0.5395228860282536</v>
      </c>
      <c r="AB2429" t="str">
        <f>HYPERLINK("Melting_Curves/meltCurve_P48449_LSS.pdf", "Melting_Curves/meltCurve_P48449_LSS.pdf")</f>
        <v>Melting_Curves/meltCurve_P48449_LSS.pdf</v>
      </c>
    </row>
    <row r="2430" spans="1:28" x14ac:dyDescent="0.25">
      <c r="A2430" t="s">
        <v>2434</v>
      </c>
      <c r="B2430">
        <v>0.99996721820229495</v>
      </c>
      <c r="C2430">
        <v>1.0838027117148601</v>
      </c>
      <c r="D2430">
        <v>1.0716026332313899</v>
      </c>
      <c r="E2430">
        <v>0.74321474706095503</v>
      </c>
      <c r="F2430">
        <v>0.400072541334488</v>
      </c>
      <c r="G2430">
        <v>0.30771013841449602</v>
      </c>
      <c r="H2430">
        <v>0.20596305951848301</v>
      </c>
      <c r="I2430">
        <v>0.13113586731093799</v>
      </c>
      <c r="J2430">
        <v>9.6129110894262806E-2</v>
      </c>
      <c r="K2430">
        <v>7.7302291574536705E-2</v>
      </c>
      <c r="L2430">
        <v>1289.0380189928801</v>
      </c>
      <c r="M2430">
        <v>24.867408138191301</v>
      </c>
      <c r="N2430">
        <v>52.488036276442301</v>
      </c>
      <c r="O2430">
        <v>51.504717048939199</v>
      </c>
      <c r="P2430">
        <v>-0.104676172039065</v>
      </c>
      <c r="Q2430">
        <v>0.13280189477521101</v>
      </c>
      <c r="R2430">
        <v>0.97590670660229295</v>
      </c>
      <c r="S2430" t="s">
        <v>8256</v>
      </c>
      <c r="T2430" t="s">
        <v>11650</v>
      </c>
      <c r="U2430" t="s">
        <v>11650</v>
      </c>
      <c r="V2430" t="s">
        <v>11650</v>
      </c>
      <c r="W2430" t="s">
        <v>14039</v>
      </c>
      <c r="X2430">
        <v>25</v>
      </c>
      <c r="Y2430" t="s">
        <v>19755</v>
      </c>
      <c r="Z2430" t="s">
        <v>25492</v>
      </c>
      <c r="AA2430">
        <v>0.48293871837481628</v>
      </c>
      <c r="AB2430" t="str">
        <f>HYPERLINK("Melting_Curves/meltCurve_P48506_GCLC.pdf", "Melting_Curves/meltCurve_P48506_GCLC.pdf")</f>
        <v>Melting_Curves/meltCurve_P48506_GCLC.pdf</v>
      </c>
    </row>
    <row r="2431" spans="1:28" x14ac:dyDescent="0.25">
      <c r="A2431" t="s">
        <v>2435</v>
      </c>
      <c r="B2431">
        <v>0.99996721820229495</v>
      </c>
      <c r="C2431">
        <v>1.04596866385487</v>
      </c>
      <c r="D2431">
        <v>0.93342066518531197</v>
      </c>
      <c r="E2431">
        <v>0.54230981410693702</v>
      </c>
      <c r="F2431">
        <v>0.27408302447121002</v>
      </c>
      <c r="G2431">
        <v>0.220251796645586</v>
      </c>
      <c r="H2431">
        <v>0.151107745355085</v>
      </c>
      <c r="I2431">
        <v>0.12637789164192001</v>
      </c>
      <c r="J2431">
        <v>0.100884631247823</v>
      </c>
      <c r="K2431">
        <v>8.0983516579332407E-2</v>
      </c>
      <c r="L2431">
        <v>1323.84716956886</v>
      </c>
      <c r="M2431">
        <v>26.507430570956199</v>
      </c>
      <c r="N2431">
        <v>50.489676943660903</v>
      </c>
      <c r="O2431">
        <v>49.660843682206</v>
      </c>
      <c r="P2431">
        <v>-0.11678360559980699</v>
      </c>
      <c r="Q2431">
        <v>0.12484746261388199</v>
      </c>
      <c r="R2431">
        <v>0.99252204300760405</v>
      </c>
      <c r="S2431" t="s">
        <v>8257</v>
      </c>
      <c r="T2431" t="s">
        <v>11650</v>
      </c>
      <c r="U2431" t="s">
        <v>11650</v>
      </c>
      <c r="V2431" t="s">
        <v>11650</v>
      </c>
      <c r="W2431" t="s">
        <v>14040</v>
      </c>
      <c r="X2431">
        <v>13</v>
      </c>
      <c r="Y2431" t="s">
        <v>19756</v>
      </c>
      <c r="Z2431" t="s">
        <v>25493</v>
      </c>
      <c r="AA2431">
        <v>0.42183408108557452</v>
      </c>
      <c r="AB2431" t="str">
        <f>HYPERLINK("Melting_Curves/meltCurve_P48507_GCLM.pdf", "Melting_Curves/meltCurve_P48507_GCLM.pdf")</f>
        <v>Melting_Curves/meltCurve_P48507_GCLM.pdf</v>
      </c>
    </row>
    <row r="2432" spans="1:28" x14ac:dyDescent="0.25">
      <c r="A2432" t="s">
        <v>2436</v>
      </c>
      <c r="B2432">
        <v>0.99996721820229495</v>
      </c>
      <c r="C2432">
        <v>0.96907219282804202</v>
      </c>
      <c r="D2432">
        <v>0.97204654959442305</v>
      </c>
      <c r="E2432">
        <v>1.07129851964883</v>
      </c>
      <c r="F2432">
        <v>1.35923394489988</v>
      </c>
      <c r="G2432">
        <v>1.4713484557276599</v>
      </c>
      <c r="H2432">
        <v>1.07523607283369</v>
      </c>
      <c r="I2432">
        <v>0.99750758450141896</v>
      </c>
      <c r="J2432">
        <v>0.91306448237360505</v>
      </c>
      <c r="K2432">
        <v>0.89082107555409096</v>
      </c>
      <c r="L2432">
        <v>7617.3220229520603</v>
      </c>
      <c r="M2432">
        <v>115.04720547142</v>
      </c>
      <c r="O2432">
        <v>66.190427214980403</v>
      </c>
      <c r="P2432">
        <v>-4.7527611486752303E-2</v>
      </c>
      <c r="Q2432">
        <v>0.890623270380277</v>
      </c>
      <c r="R2432">
        <v>-9.7461364552622998E-2</v>
      </c>
      <c r="S2432" t="s">
        <v>8258</v>
      </c>
      <c r="T2432" t="s">
        <v>11650</v>
      </c>
      <c r="U2432" t="s">
        <v>11650</v>
      </c>
      <c r="V2432" t="s">
        <v>11650</v>
      </c>
      <c r="W2432" t="s">
        <v>14041</v>
      </c>
      <c r="X2432">
        <v>32</v>
      </c>
      <c r="Y2432" t="s">
        <v>19757</v>
      </c>
      <c r="Z2432" t="s">
        <v>25494</v>
      </c>
      <c r="AA2432">
        <v>0.98623890219843091</v>
      </c>
      <c r="AB2432" t="str">
        <f>HYPERLINK("Melting_Curves/meltCurve_P48634_PRRC2A.pdf", "Melting_Curves/meltCurve_P48634_PRRC2A.pdf")</f>
        <v>Melting_Curves/meltCurve_P48634_PRRC2A.pdf</v>
      </c>
    </row>
    <row r="2433" spans="1:28" x14ac:dyDescent="0.25">
      <c r="A2433" t="s">
        <v>2437</v>
      </c>
      <c r="B2433">
        <v>0.99996721820229495</v>
      </c>
      <c r="C2433">
        <v>1.0218872420151199</v>
      </c>
      <c r="D2433">
        <v>1.0811876423147899</v>
      </c>
      <c r="E2433">
        <v>1.2047587560620101</v>
      </c>
      <c r="F2433">
        <v>1.25505407456875</v>
      </c>
      <c r="G2433">
        <v>1.13223495301977</v>
      </c>
      <c r="H2433">
        <v>0.59582132810786503</v>
      </c>
      <c r="I2433">
        <v>0.172420048677875</v>
      </c>
      <c r="J2433">
        <v>7.4105339493286099E-2</v>
      </c>
      <c r="K2433">
        <v>6.2339809734084602E-2</v>
      </c>
      <c r="L2433">
        <v>3830.29959343682</v>
      </c>
      <c r="M2433">
        <v>62.487198986642397</v>
      </c>
      <c r="N2433">
        <v>61.465836730327702</v>
      </c>
      <c r="O2433">
        <v>61.234661663682601</v>
      </c>
      <c r="P2433">
        <v>-0.235033635085029</v>
      </c>
      <c r="Q2433">
        <v>7.8710508689520398E-2</v>
      </c>
      <c r="R2433">
        <v>0.93674317613555103</v>
      </c>
      <c r="S2433" t="s">
        <v>8259</v>
      </c>
      <c r="T2433" t="s">
        <v>11650</v>
      </c>
      <c r="U2433" t="s">
        <v>11650</v>
      </c>
      <c r="V2433" t="s">
        <v>11650</v>
      </c>
      <c r="W2433" t="s">
        <v>14042</v>
      </c>
      <c r="X2433">
        <v>29</v>
      </c>
      <c r="Y2433" t="s">
        <v>19758</v>
      </c>
      <c r="Z2433" t="s">
        <v>25495</v>
      </c>
      <c r="AA2433">
        <v>0.73431905562109123</v>
      </c>
      <c r="AB2433" t="str">
        <f>HYPERLINK("Melting_Curves/meltCurve_P48637_GSS.pdf", "Melting_Curves/meltCurve_P48637_GSS.pdf")</f>
        <v>Melting_Curves/meltCurve_P48637_GSS.pdf</v>
      </c>
    </row>
    <row r="2434" spans="1:28" x14ac:dyDescent="0.25">
      <c r="A2434" t="s">
        <v>2438</v>
      </c>
      <c r="B2434">
        <v>0.99996721820229495</v>
      </c>
      <c r="C2434">
        <v>0.99877781679765099</v>
      </c>
      <c r="D2434">
        <v>1.00953851936803</v>
      </c>
      <c r="E2434">
        <v>1.20588055868428</v>
      </c>
      <c r="F2434">
        <v>1.48065727346813</v>
      </c>
      <c r="G2434">
        <v>2.6347243708950501</v>
      </c>
      <c r="H2434">
        <v>1.8996942277171101</v>
      </c>
      <c r="I2434">
        <v>0.71940620146855905</v>
      </c>
      <c r="J2434">
        <v>0.19003351671919899</v>
      </c>
      <c r="K2434">
        <v>0.136463099328169</v>
      </c>
      <c r="L2434">
        <v>15000</v>
      </c>
      <c r="M2434">
        <v>233.690666156947</v>
      </c>
      <c r="N2434">
        <v>64.296143596266703</v>
      </c>
      <c r="O2434">
        <v>64.182714507362704</v>
      </c>
      <c r="P2434">
        <v>-0.76168140200388001</v>
      </c>
      <c r="Q2434">
        <v>0.163222371141377</v>
      </c>
      <c r="R2434">
        <v>0.25949029128736101</v>
      </c>
      <c r="S2434" t="s">
        <v>8260</v>
      </c>
      <c r="T2434" t="s">
        <v>11650</v>
      </c>
      <c r="U2434" t="s">
        <v>11650</v>
      </c>
      <c r="V2434" t="s">
        <v>11650</v>
      </c>
      <c r="W2434" t="s">
        <v>14043</v>
      </c>
      <c r="X2434">
        <v>34</v>
      </c>
      <c r="Y2434" t="s">
        <v>19759</v>
      </c>
      <c r="Z2434" t="s">
        <v>25496</v>
      </c>
      <c r="AA2434">
        <v>0.83797987178447308</v>
      </c>
      <c r="AB2434" t="str">
        <f>HYPERLINK("Melting_Curves/meltCurve_P48643_CCT5.pdf", "Melting_Curves/meltCurve_P48643_CCT5.pdf")</f>
        <v>Melting_Curves/meltCurve_P48643_CCT5.pdf</v>
      </c>
    </row>
    <row r="2435" spans="1:28" x14ac:dyDescent="0.25">
      <c r="A2435" t="s">
        <v>2439</v>
      </c>
      <c r="B2435">
        <v>0.99996721820229495</v>
      </c>
      <c r="C2435">
        <v>1.0416730801781999</v>
      </c>
      <c r="D2435">
        <v>1.00885503956079</v>
      </c>
      <c r="E2435">
        <v>1.0543992138254299</v>
      </c>
      <c r="F2435">
        <v>1.4343801708233901</v>
      </c>
      <c r="G2435">
        <v>1.4080415041910099</v>
      </c>
      <c r="H2435">
        <v>1.05232900406663</v>
      </c>
      <c r="I2435">
        <v>0.79945634878042604</v>
      </c>
      <c r="J2435">
        <v>0.64592015293974203</v>
      </c>
      <c r="K2435">
        <v>0.51920553257406699</v>
      </c>
      <c r="L2435">
        <v>3340.6621011381699</v>
      </c>
      <c r="M2435">
        <v>51.619497762339101</v>
      </c>
      <c r="O2435">
        <v>64.620161554945497</v>
      </c>
      <c r="P2435">
        <v>-9.2523253189186194E-2</v>
      </c>
      <c r="Q2435">
        <v>0.53669738989851101</v>
      </c>
      <c r="R2435">
        <v>0.51406044505732695</v>
      </c>
      <c r="S2435" t="s">
        <v>8261</v>
      </c>
      <c r="T2435" t="s">
        <v>11650</v>
      </c>
      <c r="U2435" t="s">
        <v>11650</v>
      </c>
      <c r="V2435" t="s">
        <v>11650</v>
      </c>
      <c r="W2435" t="s">
        <v>14044</v>
      </c>
      <c r="X2435">
        <v>94</v>
      </c>
      <c r="Y2435" t="s">
        <v>19760</v>
      </c>
      <c r="Z2435" t="s">
        <v>25497</v>
      </c>
      <c r="AA2435">
        <v>0.9191774195574971</v>
      </c>
      <c r="AB2435" t="str">
        <f>HYPERLINK("Melting_Curves/meltCurve_P48681_NES.pdf", "Melting_Curves/meltCurve_P48681_NES.pdf")</f>
        <v>Melting_Curves/meltCurve_P48681_NES.pdf</v>
      </c>
    </row>
    <row r="2436" spans="1:28" x14ac:dyDescent="0.25">
      <c r="A2436" t="s">
        <v>2440</v>
      </c>
      <c r="B2436">
        <v>0.99996721820229495</v>
      </c>
      <c r="C2436">
        <v>0.96686045548430299</v>
      </c>
      <c r="D2436">
        <v>0.90662279457046402</v>
      </c>
      <c r="E2436">
        <v>0.57373842786946605</v>
      </c>
      <c r="F2436">
        <v>0.35444978640796598</v>
      </c>
      <c r="G2436">
        <v>0.28983806403972001</v>
      </c>
      <c r="H2436">
        <v>0.174952838827757</v>
      </c>
      <c r="I2436">
        <v>9.5228902548038799E-2</v>
      </c>
      <c r="J2436">
        <v>7.3580884680828101E-2</v>
      </c>
      <c r="K2436">
        <v>5.4948750293271502E-2</v>
      </c>
      <c r="L2436">
        <v>805.35165222170701</v>
      </c>
      <c r="M2436">
        <v>15.8077874915473</v>
      </c>
      <c r="N2436">
        <v>51.459369297151397</v>
      </c>
      <c r="O2436">
        <v>50.152107097652099</v>
      </c>
      <c r="P2436">
        <v>-7.3062306647287703E-2</v>
      </c>
      <c r="Q2436">
        <v>7.2880430144349195E-2</v>
      </c>
      <c r="R2436">
        <v>0.98963773661630094</v>
      </c>
      <c r="S2436" t="s">
        <v>8262</v>
      </c>
      <c r="T2436" t="s">
        <v>11650</v>
      </c>
      <c r="U2436" t="s">
        <v>11650</v>
      </c>
      <c r="V2436" t="s">
        <v>11650</v>
      </c>
      <c r="W2436" t="s">
        <v>14045</v>
      </c>
      <c r="X2436">
        <v>9</v>
      </c>
      <c r="Y2436" t="s">
        <v>19761</v>
      </c>
      <c r="Z2436" t="s">
        <v>25498</v>
      </c>
      <c r="AA2436">
        <v>0.43081483735919929</v>
      </c>
      <c r="AB2436" t="str">
        <f>HYPERLINK("Melting_Curves/meltCurve_P48723_HSPA13.pdf", "Melting_Curves/meltCurve_P48723_HSPA13.pdf")</f>
        <v>Melting_Curves/meltCurve_P48723_HSPA13.pdf</v>
      </c>
    </row>
    <row r="2437" spans="1:28" x14ac:dyDescent="0.25">
      <c r="A2437" t="s">
        <v>2441</v>
      </c>
      <c r="B2437">
        <v>0.99996721820229495</v>
      </c>
      <c r="C2437">
        <v>1.0499909097703</v>
      </c>
      <c r="D2437">
        <v>1.05856867320101</v>
      </c>
      <c r="E2437">
        <v>1.1127466430973301</v>
      </c>
      <c r="F2437">
        <v>0.40209498543125799</v>
      </c>
      <c r="G2437">
        <v>0.237900376382713</v>
      </c>
      <c r="H2437">
        <v>0.13582316614478601</v>
      </c>
      <c r="I2437">
        <v>8.4983454589179996E-2</v>
      </c>
      <c r="J2437">
        <v>6.3185378116981605E-2</v>
      </c>
      <c r="K2437">
        <v>5.2078849853971702E-2</v>
      </c>
      <c r="L2437">
        <v>13211.1562826802</v>
      </c>
      <c r="M2437">
        <v>250</v>
      </c>
      <c r="N2437">
        <v>52.899838015912799</v>
      </c>
      <c r="O2437">
        <v>52.841248295185302</v>
      </c>
      <c r="P2437">
        <v>-1.0470109807766199</v>
      </c>
      <c r="Q2437">
        <v>0.11479420725499399</v>
      </c>
      <c r="R2437">
        <v>0.97924802997405802</v>
      </c>
      <c r="S2437" t="s">
        <v>8263</v>
      </c>
      <c r="T2437" t="s">
        <v>11650</v>
      </c>
      <c r="U2437" t="s">
        <v>11650</v>
      </c>
      <c r="V2437" t="s">
        <v>11650</v>
      </c>
      <c r="W2437" t="s">
        <v>14046</v>
      </c>
      <c r="X2437">
        <v>29</v>
      </c>
      <c r="Y2437" t="s">
        <v>19762</v>
      </c>
      <c r="Z2437" t="s">
        <v>25499</v>
      </c>
      <c r="AA2437">
        <v>0.49388085494169959</v>
      </c>
      <c r="AB2437" t="str">
        <f>HYPERLINK("Melting_Curves/meltCurve_P48735_IDH2.pdf", "Melting_Curves/meltCurve_P48735_IDH2.pdf")</f>
        <v>Melting_Curves/meltCurve_P48735_IDH2.pdf</v>
      </c>
    </row>
    <row r="2438" spans="1:28" x14ac:dyDescent="0.25">
      <c r="A2438" t="s">
        <v>2442</v>
      </c>
      <c r="B2438">
        <v>0.99996721820229495</v>
      </c>
      <c r="C2438">
        <v>0.98841008946893205</v>
      </c>
      <c r="D2438">
        <v>0.96155920368374304</v>
      </c>
      <c r="E2438">
        <v>0.79029499428767802</v>
      </c>
      <c r="F2438">
        <v>0.71908179082423795</v>
      </c>
      <c r="G2438">
        <v>0.30830052149276399</v>
      </c>
      <c r="H2438">
        <v>0.14985407508949999</v>
      </c>
      <c r="I2438">
        <v>0.112253188265646</v>
      </c>
      <c r="J2438">
        <v>9.3147838658780693E-2</v>
      </c>
      <c r="K2438">
        <v>6.8844666779886002E-2</v>
      </c>
      <c r="L2438">
        <v>1027.5467073699799</v>
      </c>
      <c r="M2438">
        <v>18.855613889419399</v>
      </c>
      <c r="N2438">
        <v>54.818961269212402</v>
      </c>
      <c r="O2438">
        <v>53.8936731156222</v>
      </c>
      <c r="P2438">
        <v>-8.2865798771205104E-2</v>
      </c>
      <c r="Q2438">
        <v>5.2640998160673101E-2</v>
      </c>
      <c r="R2438">
        <v>0.99302789479826703</v>
      </c>
      <c r="S2438" t="s">
        <v>8264</v>
      </c>
      <c r="T2438" t="s">
        <v>11650</v>
      </c>
      <c r="U2438" t="s">
        <v>11650</v>
      </c>
      <c r="V2438" t="s">
        <v>11650</v>
      </c>
      <c r="W2438" t="s">
        <v>14047</v>
      </c>
      <c r="X2438">
        <v>25</v>
      </c>
      <c r="Y2438" t="s">
        <v>19763</v>
      </c>
      <c r="Z2438" t="s">
        <v>25500</v>
      </c>
      <c r="AA2438">
        <v>0.52434743079582358</v>
      </c>
      <c r="AB2438" t="str">
        <f>HYPERLINK("Melting_Curves/meltCurve_P48739_PITPNB.pdf", "Melting_Curves/meltCurve_P48739_PITPNB.pdf")</f>
        <v>Melting_Curves/meltCurve_P48739_PITPNB.pdf</v>
      </c>
    </row>
    <row r="2439" spans="1:28" x14ac:dyDescent="0.25">
      <c r="A2439" t="s">
        <v>2443</v>
      </c>
      <c r="B2439">
        <v>0.99996721820229495</v>
      </c>
      <c r="C2439">
        <v>1.0818971433639499</v>
      </c>
      <c r="D2439">
        <v>1.1048444013407599</v>
      </c>
      <c r="E2439">
        <v>1.1828381917089801</v>
      </c>
      <c r="F2439">
        <v>1.04344523024661</v>
      </c>
      <c r="G2439">
        <v>1.0276674551881999</v>
      </c>
      <c r="H2439">
        <v>0.62245279066757397</v>
      </c>
      <c r="I2439">
        <v>0.46628320967917603</v>
      </c>
      <c r="J2439">
        <v>0.34603757449326</v>
      </c>
      <c r="K2439">
        <v>0.27273047977749998</v>
      </c>
      <c r="L2439">
        <v>2300.7065176435999</v>
      </c>
      <c r="M2439">
        <v>37.639043644903502</v>
      </c>
      <c r="N2439">
        <v>62.713561312494598</v>
      </c>
      <c r="O2439">
        <v>60.9537324650722</v>
      </c>
      <c r="P2439">
        <v>-0.10694742145741699</v>
      </c>
      <c r="Q2439">
        <v>0.30722687704058299</v>
      </c>
      <c r="R2439">
        <v>0.94095578188222995</v>
      </c>
      <c r="S2439" t="s">
        <v>8265</v>
      </c>
      <c r="T2439" t="s">
        <v>11650</v>
      </c>
      <c r="U2439" t="s">
        <v>11650</v>
      </c>
      <c r="V2439" t="s">
        <v>11650</v>
      </c>
      <c r="W2439" t="s">
        <v>14048</v>
      </c>
      <c r="X2439">
        <v>4</v>
      </c>
      <c r="Y2439" t="s">
        <v>19764</v>
      </c>
      <c r="Z2439" t="s">
        <v>25501</v>
      </c>
      <c r="AA2439">
        <v>0.79793496334634839</v>
      </c>
      <c r="AB2439" t="str">
        <f>HYPERLINK("Melting_Curves/meltCurve_P48740_4_MASP1.pdf", "Melting_Curves/meltCurve_P48740_4_MASP1.pdf")</f>
        <v>Melting_Curves/meltCurve_P48740_4_MASP1.pdf</v>
      </c>
    </row>
    <row r="2440" spans="1:28" x14ac:dyDescent="0.25">
      <c r="A2440" t="s">
        <v>2444</v>
      </c>
      <c r="B2440">
        <v>0.99996721820229495</v>
      </c>
      <c r="C2440">
        <v>0.86728307158654006</v>
      </c>
      <c r="D2440">
        <v>1.0067035049403401</v>
      </c>
      <c r="E2440">
        <v>1.13368443190326</v>
      </c>
      <c r="F2440">
        <v>1.64802202902281</v>
      </c>
      <c r="G2440">
        <v>1.70865218960473</v>
      </c>
      <c r="H2440">
        <v>1.44771286508161</v>
      </c>
      <c r="I2440">
        <v>1.00138984235288</v>
      </c>
      <c r="J2440">
        <v>0.83206412343147496</v>
      </c>
      <c r="K2440">
        <v>0.67788228443091003</v>
      </c>
      <c r="L2440">
        <v>15000</v>
      </c>
      <c r="M2440">
        <v>223.96591355900901</v>
      </c>
      <c r="O2440">
        <v>66.969117566956896</v>
      </c>
      <c r="P2440">
        <v>-0.26933267867159399</v>
      </c>
      <c r="Q2440">
        <v>0.67786210288595705</v>
      </c>
      <c r="R2440">
        <v>-3.8716516123128902E-2</v>
      </c>
      <c r="S2440" t="s">
        <v>8266</v>
      </c>
      <c r="T2440" t="s">
        <v>11650</v>
      </c>
      <c r="U2440" t="s">
        <v>11650</v>
      </c>
      <c r="V2440" t="s">
        <v>11650</v>
      </c>
      <c r="W2440" t="s">
        <v>14049</v>
      </c>
      <c r="X2440">
        <v>14</v>
      </c>
      <c r="Y2440" t="s">
        <v>19765</v>
      </c>
      <c r="Z2440" t="s">
        <v>25502</v>
      </c>
      <c r="AA2440">
        <v>0.96755910898044839</v>
      </c>
      <c r="AB2440" t="str">
        <f>HYPERLINK("Melting_Curves/meltCurve_P48960_2_CD97.pdf", "Melting_Curves/meltCurve_P48960_2_CD97.pdf")</f>
        <v>Melting_Curves/meltCurve_P48960_2_CD97.pdf</v>
      </c>
    </row>
    <row r="2441" spans="1:28" x14ac:dyDescent="0.25">
      <c r="A2441" t="s">
        <v>2445</v>
      </c>
      <c r="B2441">
        <v>0.99996721820229495</v>
      </c>
      <c r="C2441">
        <v>0.83933256693298997</v>
      </c>
      <c r="D2441">
        <v>0.85677272066603904</v>
      </c>
      <c r="E2441">
        <v>0.93541712517078401</v>
      </c>
      <c r="F2441">
        <v>1.25874509296822</v>
      </c>
      <c r="G2441">
        <v>1.2201839743655201</v>
      </c>
      <c r="H2441">
        <v>1.0374952581308701</v>
      </c>
      <c r="I2441">
        <v>1.2208084410675899</v>
      </c>
      <c r="J2441">
        <v>1.32173957741526</v>
      </c>
      <c r="K2441">
        <v>1.0001473938957399</v>
      </c>
      <c r="L2441">
        <v>4462.74853132305</v>
      </c>
      <c r="M2441">
        <v>86.813903447713798</v>
      </c>
      <c r="O2441">
        <v>51.378661237168899</v>
      </c>
      <c r="P2441">
        <v>7.4514521484118801E-2</v>
      </c>
      <c r="Q2441">
        <v>1.1763982858352799</v>
      </c>
      <c r="R2441">
        <v>0.496843566536468</v>
      </c>
      <c r="S2441" t="s">
        <v>8267</v>
      </c>
      <c r="T2441" t="s">
        <v>11650</v>
      </c>
      <c r="U2441" t="s">
        <v>11650</v>
      </c>
      <c r="V2441" t="s">
        <v>11650</v>
      </c>
      <c r="W2441" t="s">
        <v>14050</v>
      </c>
      <c r="X2441">
        <v>10</v>
      </c>
      <c r="Y2441" t="s">
        <v>19766</v>
      </c>
      <c r="Z2441" t="s">
        <v>25503</v>
      </c>
      <c r="AA2441">
        <v>1.1091999450999079</v>
      </c>
      <c r="AB2441" t="str">
        <f>HYPERLINK("Melting_Curves/meltCurve_P49006_MARCKSL1.pdf", "Melting_Curves/meltCurve_P49006_MARCKSL1.pdf")</f>
        <v>Melting_Curves/meltCurve_P49006_MARCKSL1.pdf</v>
      </c>
    </row>
    <row r="2442" spans="1:28" x14ac:dyDescent="0.25">
      <c r="A2442" t="s">
        <v>2446</v>
      </c>
      <c r="B2442">
        <v>0.99996721820229495</v>
      </c>
      <c r="C2442">
        <v>0.87551153008999405</v>
      </c>
      <c r="D2442">
        <v>0.956779072465481</v>
      </c>
      <c r="E2442">
        <v>1.17386776712334</v>
      </c>
      <c r="F2442">
        <v>1.4427841565741699</v>
      </c>
      <c r="G2442">
        <v>1.52379453181826</v>
      </c>
      <c r="H2442">
        <v>1.1008400624933501</v>
      </c>
      <c r="I2442">
        <v>0.64180961487257504</v>
      </c>
      <c r="J2442">
        <v>0.47517791958571098</v>
      </c>
      <c r="K2442">
        <v>0.36271777529071397</v>
      </c>
      <c r="L2442">
        <v>15000</v>
      </c>
      <c r="M2442">
        <v>234.84939783988301</v>
      </c>
      <c r="N2442">
        <v>64.369392743494203</v>
      </c>
      <c r="O2442">
        <v>63.866087848638699</v>
      </c>
      <c r="P2442">
        <v>-0.53417095447706697</v>
      </c>
      <c r="Q2442">
        <v>0.41893980810441001</v>
      </c>
      <c r="R2442">
        <v>0.59448404723840298</v>
      </c>
      <c r="S2442" t="s">
        <v>8268</v>
      </c>
      <c r="T2442" t="s">
        <v>11650</v>
      </c>
      <c r="U2442" t="s">
        <v>11650</v>
      </c>
      <c r="V2442" t="s">
        <v>11650</v>
      </c>
      <c r="W2442" t="s">
        <v>14051</v>
      </c>
      <c r="X2442">
        <v>6</v>
      </c>
      <c r="Y2442" t="s">
        <v>19767</v>
      </c>
      <c r="Z2442" t="s">
        <v>25504</v>
      </c>
      <c r="AA2442">
        <v>0.88135777784116054</v>
      </c>
      <c r="AB2442" t="str">
        <f>HYPERLINK("Melting_Curves/meltCurve_P49069_CAMLG.pdf", "Melting_Curves/meltCurve_P49069_CAMLG.pdf")</f>
        <v>Melting_Curves/meltCurve_P49069_CAMLG.pdf</v>
      </c>
    </row>
    <row r="2443" spans="1:28" x14ac:dyDescent="0.25">
      <c r="A2443" t="s">
        <v>2447</v>
      </c>
      <c r="B2443">
        <v>0.99996721820229495</v>
      </c>
      <c r="C2443">
        <v>0.79896007498297394</v>
      </c>
      <c r="D2443">
        <v>0.74247315203141595</v>
      </c>
      <c r="E2443">
        <v>0.70235572042044303</v>
      </c>
      <c r="F2443">
        <v>0.32155636160447298</v>
      </c>
      <c r="G2443">
        <v>0.24888334758807201</v>
      </c>
      <c r="H2443">
        <v>0.174747736207124</v>
      </c>
      <c r="I2443">
        <v>0.102431341497318</v>
      </c>
      <c r="J2443">
        <v>7.2785413142505501E-2</v>
      </c>
      <c r="K2443">
        <v>8.7304589424876997E-2</v>
      </c>
      <c r="L2443">
        <v>538.73255903565598</v>
      </c>
      <c r="M2443">
        <v>10.528588060312201</v>
      </c>
      <c r="N2443">
        <v>51.237853620298999</v>
      </c>
      <c r="O2443">
        <v>49.426044002149098</v>
      </c>
      <c r="P2443">
        <v>-5.2898972521723799E-2</v>
      </c>
      <c r="Q2443">
        <v>7.0679404497634903E-3</v>
      </c>
      <c r="R2443">
        <v>0.96413668263879904</v>
      </c>
      <c r="S2443" t="s">
        <v>8269</v>
      </c>
      <c r="T2443" t="s">
        <v>11650</v>
      </c>
      <c r="U2443" t="s">
        <v>11650</v>
      </c>
      <c r="V2443" t="s">
        <v>11650</v>
      </c>
      <c r="W2443" t="s">
        <v>14052</v>
      </c>
      <c r="X2443">
        <v>17</v>
      </c>
      <c r="Y2443" t="s">
        <v>19768</v>
      </c>
      <c r="Z2443" t="s">
        <v>25505</v>
      </c>
      <c r="AA2443">
        <v>0.41489991920871561</v>
      </c>
      <c r="AB2443" t="str">
        <f>HYPERLINK("Melting_Curves/meltCurve_P49137_MAPKAPK2.pdf", "Melting_Curves/meltCurve_P49137_MAPKAPK2.pdf")</f>
        <v>Melting_Curves/meltCurve_P49137_MAPKAPK2.pdf</v>
      </c>
    </row>
    <row r="2444" spans="1:28" x14ac:dyDescent="0.25">
      <c r="A2444" t="s">
        <v>2448</v>
      </c>
      <c r="B2444">
        <v>0.99996721820229495</v>
      </c>
      <c r="C2444">
        <v>1.0508336845080499</v>
      </c>
      <c r="D2444">
        <v>1.2792548039776199</v>
      </c>
      <c r="E2444">
        <v>1.82798443926132</v>
      </c>
      <c r="F2444">
        <v>2.6852080476259301</v>
      </c>
      <c r="G2444">
        <v>3.5025533355165201</v>
      </c>
      <c r="H2444">
        <v>1.7550124093103801</v>
      </c>
      <c r="I2444">
        <v>0.36294871821351599</v>
      </c>
      <c r="J2444">
        <v>0.17617587367114901</v>
      </c>
      <c r="K2444">
        <v>0.13679982729250401</v>
      </c>
      <c r="L2444">
        <v>15000</v>
      </c>
      <c r="M2444">
        <v>235.50074555434901</v>
      </c>
      <c r="N2444">
        <v>63.795741086384297</v>
      </c>
      <c r="O2444">
        <v>63.689475789681801</v>
      </c>
      <c r="P2444">
        <v>-0.77978769651639901</v>
      </c>
      <c r="Q2444">
        <v>0.156448240895498</v>
      </c>
      <c r="R2444">
        <v>3.7118737265011602E-2</v>
      </c>
      <c r="S2444" t="s">
        <v>8270</v>
      </c>
      <c r="T2444" t="s">
        <v>11650</v>
      </c>
      <c r="U2444" t="s">
        <v>11650</v>
      </c>
      <c r="V2444" t="s">
        <v>11650</v>
      </c>
      <c r="W2444" t="s">
        <v>14053</v>
      </c>
      <c r="X2444">
        <v>28</v>
      </c>
      <c r="Y2444" t="s">
        <v>19769</v>
      </c>
      <c r="Z2444" t="s">
        <v>25506</v>
      </c>
      <c r="AA2444">
        <v>0.82279353775195019</v>
      </c>
      <c r="AB2444" t="str">
        <f>HYPERLINK("Melting_Curves/meltCurve_P49189_ALDH9A1.pdf", "Melting_Curves/meltCurve_P49189_ALDH9A1.pdf")</f>
        <v>Melting_Curves/meltCurve_P49189_ALDH9A1.pdf</v>
      </c>
    </row>
    <row r="2445" spans="1:28" x14ac:dyDescent="0.25">
      <c r="A2445" t="s">
        <v>2449</v>
      </c>
      <c r="B2445">
        <v>0.99996721820229495</v>
      </c>
      <c r="C2445">
        <v>0.756055167571416</v>
      </c>
      <c r="D2445">
        <v>0.64325287068586401</v>
      </c>
      <c r="E2445">
        <v>1.7293764083369301</v>
      </c>
      <c r="F2445">
        <v>1.20308108299504</v>
      </c>
      <c r="G2445">
        <v>0.59501521942734104</v>
      </c>
      <c r="H2445">
        <v>0.48202358817530799</v>
      </c>
      <c r="I2445">
        <v>0.64054988222286602</v>
      </c>
      <c r="J2445">
        <v>0.23645916799843</v>
      </c>
      <c r="K2445">
        <v>0.313009943026899</v>
      </c>
      <c r="L2445">
        <v>14202.822602255301</v>
      </c>
      <c r="M2445">
        <v>250</v>
      </c>
      <c r="N2445">
        <v>57.225146910114702</v>
      </c>
      <c r="O2445">
        <v>56.807649792273203</v>
      </c>
      <c r="P2445">
        <v>-0.64030693447289</v>
      </c>
      <c r="Q2445">
        <v>0.41801063516801901</v>
      </c>
      <c r="R2445">
        <v>0.52351845068064895</v>
      </c>
      <c r="S2445" t="s">
        <v>8271</v>
      </c>
      <c r="T2445" t="s">
        <v>11650</v>
      </c>
      <c r="U2445" t="s">
        <v>11650</v>
      </c>
      <c r="V2445" t="s">
        <v>11650</v>
      </c>
      <c r="W2445" t="s">
        <v>14054</v>
      </c>
      <c r="X2445">
        <v>3</v>
      </c>
      <c r="Y2445" t="s">
        <v>19770</v>
      </c>
      <c r="Z2445" t="s">
        <v>25507</v>
      </c>
      <c r="AA2445">
        <v>0.7442017354516135</v>
      </c>
      <c r="AB2445" t="str">
        <f>HYPERLINK("Melting_Curves/meltCurve_P49207_RPL34.pdf", "Melting_Curves/meltCurve_P49207_RPL34.pdf")</f>
        <v>Melting_Curves/meltCurve_P49207_RPL34.pdf</v>
      </c>
    </row>
    <row r="2446" spans="1:28" x14ac:dyDescent="0.25">
      <c r="A2446" t="s">
        <v>2450</v>
      </c>
      <c r="B2446">
        <v>0.99996721820229495</v>
      </c>
      <c r="C2446">
        <v>0.95203393458009</v>
      </c>
      <c r="D2446">
        <v>0.91206855350173699</v>
      </c>
      <c r="E2446">
        <v>1.1216502041408301</v>
      </c>
      <c r="F2446">
        <v>1.21056401595492</v>
      </c>
      <c r="G2446">
        <v>1.27581547434783</v>
      </c>
      <c r="H2446">
        <v>0.94589837735203197</v>
      </c>
      <c r="I2446">
        <v>0.63164273869411802</v>
      </c>
      <c r="J2446">
        <v>0.36448223219598003</v>
      </c>
      <c r="K2446">
        <v>0.44764891112405297</v>
      </c>
      <c r="L2446">
        <v>4558.8031343140701</v>
      </c>
      <c r="M2446">
        <v>71.769352754154795</v>
      </c>
      <c r="N2446">
        <v>64.992530059332196</v>
      </c>
      <c r="O2446">
        <v>63.470942636490101</v>
      </c>
      <c r="P2446">
        <v>-0.169151205325594</v>
      </c>
      <c r="Q2446">
        <v>0.40162860488896501</v>
      </c>
      <c r="R2446">
        <v>0.82542829283347496</v>
      </c>
      <c r="S2446" t="s">
        <v>8272</v>
      </c>
      <c r="T2446" t="s">
        <v>11650</v>
      </c>
      <c r="U2446" t="s">
        <v>11650</v>
      </c>
      <c r="V2446" t="s">
        <v>11650</v>
      </c>
      <c r="W2446" t="s">
        <v>14055</v>
      </c>
      <c r="X2446">
        <v>2</v>
      </c>
      <c r="Y2446" t="s">
        <v>19771</v>
      </c>
      <c r="Z2446" t="s">
        <v>25508</v>
      </c>
      <c r="AA2446">
        <v>0.87153822084174004</v>
      </c>
      <c r="AB2446" t="str">
        <f>HYPERLINK("Melting_Curves/meltCurve_P49247_RPIA.pdf", "Melting_Curves/meltCurve_P49247_RPIA.pdf")</f>
        <v>Melting_Curves/meltCurve_P49247_RPIA.pdf</v>
      </c>
    </row>
    <row r="2447" spans="1:28" x14ac:dyDescent="0.25">
      <c r="A2447" t="s">
        <v>2451</v>
      </c>
      <c r="B2447">
        <v>0.99996721820229495</v>
      </c>
      <c r="C2447">
        <v>0.57799668693648998</v>
      </c>
      <c r="D2447">
        <v>0.69212919688070296</v>
      </c>
      <c r="E2447">
        <v>0.65837964929034898</v>
      </c>
      <c r="F2447">
        <v>0.34725392995591903</v>
      </c>
      <c r="G2447">
        <v>0.249574265078712</v>
      </c>
      <c r="H2447">
        <v>0.16141309758759201</v>
      </c>
      <c r="I2447">
        <v>8.6470598672114707E-2</v>
      </c>
      <c r="J2447">
        <v>6.1010087560297001E-2</v>
      </c>
      <c r="K2447">
        <v>6.4943794116293294E-2</v>
      </c>
      <c r="L2447">
        <v>429.71844366735399</v>
      </c>
      <c r="M2447">
        <v>8.6115974935761095</v>
      </c>
      <c r="N2447">
        <v>49.899968522051502</v>
      </c>
      <c r="O2447">
        <v>47.427864570727202</v>
      </c>
      <c r="P2447">
        <v>-4.5432074977482001E-2</v>
      </c>
      <c r="Q2447">
        <v>0</v>
      </c>
      <c r="R2447">
        <v>0.90187471765361504</v>
      </c>
      <c r="S2447" t="s">
        <v>8273</v>
      </c>
      <c r="T2447" t="s">
        <v>11650</v>
      </c>
      <c r="U2447" t="s">
        <v>11650</v>
      </c>
      <c r="V2447" t="s">
        <v>11650</v>
      </c>
      <c r="W2447" t="s">
        <v>14056</v>
      </c>
      <c r="X2447">
        <v>13</v>
      </c>
      <c r="Y2447" t="s">
        <v>19772</v>
      </c>
      <c r="Z2447" t="s">
        <v>25509</v>
      </c>
      <c r="AA2447">
        <v>0.38528976415960209</v>
      </c>
      <c r="AB2447" t="str">
        <f>HYPERLINK("Melting_Curves/meltCurve_P49257_LMAN1.pdf", "Melting_Curves/meltCurve_P49257_LMAN1.pdf")</f>
        <v>Melting_Curves/meltCurve_P49257_LMAN1.pdf</v>
      </c>
    </row>
    <row r="2448" spans="1:28" x14ac:dyDescent="0.25">
      <c r="A2448" t="s">
        <v>2452</v>
      </c>
      <c r="B2448">
        <v>0.99996721820229495</v>
      </c>
      <c r="C2448">
        <v>1.04604208142577</v>
      </c>
      <c r="D2448">
        <v>0.96261432691894799</v>
      </c>
      <c r="E2448">
        <v>0.93714976904556901</v>
      </c>
      <c r="F2448">
        <v>0.75345937407089003</v>
      </c>
      <c r="G2448">
        <v>0.54551970420601303</v>
      </c>
      <c r="H2448">
        <v>0.37098598751704698</v>
      </c>
      <c r="I2448">
        <v>0.368918207004305</v>
      </c>
      <c r="J2448">
        <v>0.276296110837426</v>
      </c>
      <c r="K2448">
        <v>0.26360455998239701</v>
      </c>
      <c r="L2448">
        <v>983.55189677493399</v>
      </c>
      <c r="M2448">
        <v>17.731672264153602</v>
      </c>
      <c r="N2448">
        <v>57.8594285332059</v>
      </c>
      <c r="O2448">
        <v>54.777574747332402</v>
      </c>
      <c r="P2448">
        <v>-5.9913205341651503E-2</v>
      </c>
      <c r="Q2448">
        <v>0.25969119361350401</v>
      </c>
      <c r="R2448">
        <v>0.99251545256488805</v>
      </c>
      <c r="S2448" t="s">
        <v>8274</v>
      </c>
      <c r="T2448" t="s">
        <v>11650</v>
      </c>
      <c r="U2448" t="s">
        <v>11650</v>
      </c>
      <c r="V2448" t="s">
        <v>11650</v>
      </c>
      <c r="W2448" t="s">
        <v>14057</v>
      </c>
      <c r="X2448">
        <v>22</v>
      </c>
      <c r="Y2448" t="s">
        <v>19773</v>
      </c>
      <c r="Z2448" t="s">
        <v>25510</v>
      </c>
      <c r="AA2448">
        <v>0.65284364461418887</v>
      </c>
      <c r="AB2448" t="str">
        <f>HYPERLINK("Melting_Curves/meltCurve_P49321_NASP.pdf", "Melting_Curves/meltCurve_P49321_NASP.pdf")</f>
        <v>Melting_Curves/meltCurve_P49321_NASP.pdf</v>
      </c>
    </row>
    <row r="2449" spans="1:28" x14ac:dyDescent="0.25">
      <c r="A2449" t="s">
        <v>2453</v>
      </c>
      <c r="B2449">
        <v>0.99996721820229495</v>
      </c>
      <c r="C2449">
        <v>1.122439042841</v>
      </c>
      <c r="D2449">
        <v>1.5181455024813799</v>
      </c>
      <c r="E2449">
        <v>2.7629616973936701</v>
      </c>
      <c r="F2449">
        <v>0.94370921199234004</v>
      </c>
      <c r="G2449">
        <v>0.77643815705814301</v>
      </c>
      <c r="H2449">
        <v>0.42040210462558503</v>
      </c>
      <c r="I2449">
        <v>0.25094365858734302</v>
      </c>
      <c r="J2449">
        <v>0.184183868627773</v>
      </c>
      <c r="K2449">
        <v>0.200605297190633</v>
      </c>
      <c r="L2449">
        <v>2092.3029245180801</v>
      </c>
      <c r="M2449">
        <v>35.447982319231897</v>
      </c>
      <c r="N2449">
        <v>59.865405683312403</v>
      </c>
      <c r="O2449">
        <v>58.837706577856103</v>
      </c>
      <c r="P2449">
        <v>-0.121083957206693</v>
      </c>
      <c r="Q2449">
        <v>0.196086571037876</v>
      </c>
      <c r="R2449">
        <v>0.39026952605809001</v>
      </c>
      <c r="S2449" t="s">
        <v>8275</v>
      </c>
      <c r="T2449" t="s">
        <v>11650</v>
      </c>
      <c r="U2449" t="s">
        <v>11650</v>
      </c>
      <c r="V2449" t="s">
        <v>11650</v>
      </c>
      <c r="W2449" t="s">
        <v>14058</v>
      </c>
      <c r="X2449">
        <v>44</v>
      </c>
      <c r="Y2449" t="s">
        <v>19774</v>
      </c>
      <c r="Z2449" t="s">
        <v>25511</v>
      </c>
      <c r="AA2449">
        <v>0.7098191074293172</v>
      </c>
      <c r="AB2449" t="str">
        <f>HYPERLINK("Melting_Curves/meltCurve_P49327_FASN.pdf", "Melting_Curves/meltCurve_P49327_FASN.pdf")</f>
        <v>Melting_Curves/meltCurve_P49327_FASN.pdf</v>
      </c>
    </row>
    <row r="2450" spans="1:28" x14ac:dyDescent="0.25">
      <c r="A2450" t="s">
        <v>2454</v>
      </c>
      <c r="B2450">
        <v>0.99996721820229495</v>
      </c>
      <c r="C2450">
        <v>1.11794719366786</v>
      </c>
      <c r="D2450">
        <v>1.0766194535648499</v>
      </c>
      <c r="E2450">
        <v>0.93963363584618298</v>
      </c>
      <c r="F2450">
        <v>0.73653447972198505</v>
      </c>
      <c r="G2450">
        <v>0.41081972717815202</v>
      </c>
      <c r="H2450">
        <v>0.214735774137611</v>
      </c>
      <c r="I2450">
        <v>0.129001493665137</v>
      </c>
      <c r="J2450">
        <v>8.50567650072767E-2</v>
      </c>
      <c r="K2450">
        <v>6.2356698887105599E-2</v>
      </c>
      <c r="L2450">
        <v>1186.9830802650899</v>
      </c>
      <c r="M2450">
        <v>21.342307138893698</v>
      </c>
      <c r="N2450">
        <v>55.995972168368397</v>
      </c>
      <c r="O2450">
        <v>55.1350593179192</v>
      </c>
      <c r="P2450">
        <v>-9.0258296302578894E-2</v>
      </c>
      <c r="Q2450">
        <v>6.7341423265935493E-2</v>
      </c>
      <c r="R2450">
        <v>0.98640735459608697</v>
      </c>
      <c r="S2450" t="s">
        <v>8276</v>
      </c>
      <c r="T2450" t="s">
        <v>11650</v>
      </c>
      <c r="U2450" t="s">
        <v>11650</v>
      </c>
      <c r="V2450" t="s">
        <v>11650</v>
      </c>
      <c r="W2450" t="s">
        <v>14059</v>
      </c>
      <c r="X2450">
        <v>12</v>
      </c>
      <c r="Y2450" t="s">
        <v>19775</v>
      </c>
      <c r="Z2450" t="s">
        <v>25512</v>
      </c>
      <c r="AA2450">
        <v>0.56391959626155064</v>
      </c>
      <c r="AB2450" t="str">
        <f>HYPERLINK("Melting_Curves/meltCurve_P49354_FNTA.pdf", "Melting_Curves/meltCurve_P49354_FNTA.pdf")</f>
        <v>Melting_Curves/meltCurve_P49354_FNTA.pdf</v>
      </c>
    </row>
    <row r="2451" spans="1:28" x14ac:dyDescent="0.25">
      <c r="A2451" t="s">
        <v>2455</v>
      </c>
      <c r="B2451">
        <v>0.99996721820229495</v>
      </c>
      <c r="C2451">
        <v>1.1265935194388099</v>
      </c>
      <c r="D2451">
        <v>1.08958468255908</v>
      </c>
      <c r="E2451">
        <v>0.87911079785577895</v>
      </c>
      <c r="F2451">
        <v>0.67437678740854201</v>
      </c>
      <c r="G2451">
        <v>0.62246808280190702</v>
      </c>
      <c r="H2451">
        <v>0.33002228694497199</v>
      </c>
      <c r="I2451">
        <v>0.21756056782211</v>
      </c>
      <c r="J2451">
        <v>0.167061689364463</v>
      </c>
      <c r="K2451">
        <v>0.128351295340147</v>
      </c>
      <c r="L2451">
        <v>806.71405864600297</v>
      </c>
      <c r="M2451">
        <v>14.074122604485799</v>
      </c>
      <c r="N2451">
        <v>57.815581503425101</v>
      </c>
      <c r="O2451">
        <v>56.198997258336199</v>
      </c>
      <c r="P2451">
        <v>-5.90513076049295E-2</v>
      </c>
      <c r="Q2451">
        <v>5.6937843514046002E-2</v>
      </c>
      <c r="R2451">
        <v>0.96527647835573305</v>
      </c>
      <c r="S2451" t="s">
        <v>8277</v>
      </c>
      <c r="T2451" t="s">
        <v>11650</v>
      </c>
      <c r="U2451" t="s">
        <v>11650</v>
      </c>
      <c r="V2451" t="s">
        <v>11650</v>
      </c>
      <c r="W2451" t="s">
        <v>14060</v>
      </c>
      <c r="X2451">
        <v>6</v>
      </c>
      <c r="Y2451" t="s">
        <v>19776</v>
      </c>
      <c r="Z2451" t="s">
        <v>25513</v>
      </c>
      <c r="AA2451">
        <v>0.61596261430792087</v>
      </c>
      <c r="AB2451" t="str">
        <f>HYPERLINK("Melting_Curves/meltCurve_P49356_FNTB.pdf", "Melting_Curves/meltCurve_P49356_FNTB.pdf")</f>
        <v>Melting_Curves/meltCurve_P49356_FNTB.pdf</v>
      </c>
    </row>
    <row r="2452" spans="1:28" x14ac:dyDescent="0.25">
      <c r="A2452" t="s">
        <v>2456</v>
      </c>
      <c r="B2452">
        <v>0.99996721820229495</v>
      </c>
      <c r="C2452">
        <v>0.97879973963242295</v>
      </c>
      <c r="D2452">
        <v>1.14816908751012</v>
      </c>
      <c r="E2452">
        <v>1.337825530296</v>
      </c>
      <c r="F2452">
        <v>1.8460351284196499</v>
      </c>
      <c r="G2452">
        <v>1.93226211153918</v>
      </c>
      <c r="H2452">
        <v>1.0286769967732401</v>
      </c>
      <c r="I2452">
        <v>0.518296033657619</v>
      </c>
      <c r="J2452">
        <v>0.24437097951138401</v>
      </c>
      <c r="K2452">
        <v>0.16665124348135399</v>
      </c>
      <c r="L2452">
        <v>9877.2095043383797</v>
      </c>
      <c r="M2452">
        <v>154.76113924986601</v>
      </c>
      <c r="N2452">
        <v>64.040891699840998</v>
      </c>
      <c r="O2452">
        <v>63.811628992934402</v>
      </c>
      <c r="P2452">
        <v>-0.48190862505611998</v>
      </c>
      <c r="Q2452">
        <v>0.20519132293926501</v>
      </c>
      <c r="R2452">
        <v>0.463486662024921</v>
      </c>
      <c r="S2452" t="s">
        <v>8278</v>
      </c>
      <c r="T2452" t="s">
        <v>11650</v>
      </c>
      <c r="U2452" t="s">
        <v>11650</v>
      </c>
      <c r="V2452" t="s">
        <v>11650</v>
      </c>
      <c r="W2452" t="s">
        <v>14061</v>
      </c>
      <c r="X2452">
        <v>6</v>
      </c>
      <c r="Y2452" t="s">
        <v>19777</v>
      </c>
      <c r="Z2452" t="s">
        <v>25514</v>
      </c>
      <c r="AA2452">
        <v>0.83656232032114297</v>
      </c>
      <c r="AB2452" t="str">
        <f>HYPERLINK("Melting_Curves/meltCurve_P49366_DHPS.pdf", "Melting_Curves/meltCurve_P49366_DHPS.pdf")</f>
        <v>Melting_Curves/meltCurve_P49366_DHPS.pdf</v>
      </c>
    </row>
    <row r="2453" spans="1:28" x14ac:dyDescent="0.25">
      <c r="A2453" t="s">
        <v>2457</v>
      </c>
      <c r="B2453">
        <v>0.99996721820229495</v>
      </c>
      <c r="C2453">
        <v>1.00181408777847</v>
      </c>
      <c r="D2453">
        <v>0.93564740390614298</v>
      </c>
      <c r="E2453">
        <v>1.00353650388409</v>
      </c>
      <c r="F2453">
        <v>1.1436792734778101</v>
      </c>
      <c r="G2453">
        <v>1.5254402658356201</v>
      </c>
      <c r="H2453">
        <v>0.49582846782441298</v>
      </c>
      <c r="I2453">
        <v>0.22839875024429901</v>
      </c>
      <c r="J2453">
        <v>0.15415746014764101</v>
      </c>
      <c r="K2453">
        <v>0.125146433150086</v>
      </c>
      <c r="L2453">
        <v>9054.5856352399205</v>
      </c>
      <c r="M2453">
        <v>148.86805287286299</v>
      </c>
      <c r="N2453">
        <v>60.991901269640202</v>
      </c>
      <c r="O2453">
        <v>60.811909664984299</v>
      </c>
      <c r="P2453">
        <v>-0.50856901980973002</v>
      </c>
      <c r="Q2453">
        <v>0.169007542192253</v>
      </c>
      <c r="R2453">
        <v>0.85132290319305404</v>
      </c>
      <c r="S2453" t="s">
        <v>8279</v>
      </c>
      <c r="T2453" t="s">
        <v>11650</v>
      </c>
      <c r="U2453" t="s">
        <v>11650</v>
      </c>
      <c r="V2453" t="s">
        <v>11650</v>
      </c>
      <c r="W2453" t="s">
        <v>14062</v>
      </c>
      <c r="X2453">
        <v>30</v>
      </c>
      <c r="Y2453" t="s">
        <v>19778</v>
      </c>
      <c r="Z2453" t="s">
        <v>25515</v>
      </c>
      <c r="AA2453">
        <v>0.74604669915107868</v>
      </c>
      <c r="AB2453" t="str">
        <f>HYPERLINK("Melting_Curves/meltCurve_P49368_CCT3.pdf", "Melting_Curves/meltCurve_P49368_CCT3.pdf")</f>
        <v>Melting_Curves/meltCurve_P49368_CCT3.pdf</v>
      </c>
    </row>
    <row r="2454" spans="1:28" x14ac:dyDescent="0.25">
      <c r="A2454" t="s">
        <v>2458</v>
      </c>
      <c r="B2454">
        <v>0.99996721820229495</v>
      </c>
      <c r="C2454">
        <v>1.0948780984043101</v>
      </c>
      <c r="D2454">
        <v>1.08569162613896</v>
      </c>
      <c r="E2454">
        <v>1.0643575261957701</v>
      </c>
      <c r="F2454">
        <v>1.2286141901919301</v>
      </c>
      <c r="G2454">
        <v>0.72988006676558603</v>
      </c>
      <c r="H2454">
        <v>0.26005687052995502</v>
      </c>
      <c r="I2454">
        <v>0.17006043614330699</v>
      </c>
      <c r="J2454">
        <v>0.13606983055567201</v>
      </c>
      <c r="K2454">
        <v>0.100815813372892</v>
      </c>
      <c r="L2454">
        <v>2642.4492380013799</v>
      </c>
      <c r="M2454">
        <v>45.4110466388357</v>
      </c>
      <c r="N2454">
        <v>58.601993418516699</v>
      </c>
      <c r="O2454">
        <v>58.077071207340701</v>
      </c>
      <c r="P2454">
        <v>-0.168741130699855</v>
      </c>
      <c r="Q2454">
        <v>0.136775955745532</v>
      </c>
      <c r="R2454">
        <v>0.95869654522112702</v>
      </c>
      <c r="S2454" t="s">
        <v>8280</v>
      </c>
      <c r="T2454" t="s">
        <v>11650</v>
      </c>
      <c r="U2454" t="s">
        <v>11650</v>
      </c>
      <c r="V2454" t="s">
        <v>11650</v>
      </c>
      <c r="W2454" t="s">
        <v>14063</v>
      </c>
      <c r="X2454">
        <v>11</v>
      </c>
      <c r="Y2454" t="s">
        <v>19779</v>
      </c>
      <c r="Z2454" t="s">
        <v>25516</v>
      </c>
      <c r="AA2454">
        <v>0.66282787980875191</v>
      </c>
      <c r="AB2454" t="str">
        <f>HYPERLINK("Melting_Curves/meltCurve_P49407_2_ARRB1.pdf", "Melting_Curves/meltCurve_P49407_2_ARRB1.pdf")</f>
        <v>Melting_Curves/meltCurve_P49407_2_ARRB1.pdf</v>
      </c>
    </row>
    <row r="2455" spans="1:28" x14ac:dyDescent="0.25">
      <c r="A2455" t="s">
        <v>2459</v>
      </c>
      <c r="B2455">
        <v>0.99996721820229495</v>
      </c>
      <c r="C2455">
        <v>1.0030654476505401</v>
      </c>
      <c r="D2455">
        <v>0.90296663898504104</v>
      </c>
      <c r="E2455">
        <v>0.54028281650894106</v>
      </c>
      <c r="F2455">
        <v>0.239980724971841</v>
      </c>
      <c r="G2455">
        <v>0.18204888258722701</v>
      </c>
      <c r="H2455">
        <v>0.110331682504727</v>
      </c>
      <c r="I2455">
        <v>7.7035997869222897E-2</v>
      </c>
      <c r="J2455">
        <v>6.2457984733120003E-2</v>
      </c>
      <c r="K2455">
        <v>5.3778034443636998E-2</v>
      </c>
      <c r="L2455">
        <v>1203.1621155452001</v>
      </c>
      <c r="M2455">
        <v>24.072120925931198</v>
      </c>
      <c r="N2455">
        <v>50.345590680253203</v>
      </c>
      <c r="O2455">
        <v>49.640434973162201</v>
      </c>
      <c r="P2455">
        <v>-0.111550646161032</v>
      </c>
      <c r="Q2455">
        <v>7.9875229297703104E-2</v>
      </c>
      <c r="R2455">
        <v>0.99604381789207896</v>
      </c>
      <c r="S2455" t="s">
        <v>8281</v>
      </c>
      <c r="T2455" t="s">
        <v>11650</v>
      </c>
      <c r="U2455" t="s">
        <v>11650</v>
      </c>
      <c r="V2455" t="s">
        <v>11650</v>
      </c>
      <c r="W2455" t="s">
        <v>14064</v>
      </c>
      <c r="X2455">
        <v>28</v>
      </c>
      <c r="Y2455" t="s">
        <v>19780</v>
      </c>
      <c r="Z2455" t="s">
        <v>25517</v>
      </c>
      <c r="AA2455">
        <v>0.39488921222021528</v>
      </c>
      <c r="AB2455" t="str">
        <f>HYPERLINK("Melting_Curves/meltCurve_P49411_TUFM.pdf", "Melting_Curves/meltCurve_P49411_TUFM.pdf")</f>
        <v>Melting_Curves/meltCurve_P49411_TUFM.pdf</v>
      </c>
    </row>
    <row r="2456" spans="1:28" x14ac:dyDescent="0.25">
      <c r="A2456" t="s">
        <v>2460</v>
      </c>
      <c r="B2456">
        <v>0.99996721820229495</v>
      </c>
      <c r="C2456">
        <v>1.13571931129541</v>
      </c>
      <c r="D2456">
        <v>1.3479154081095699</v>
      </c>
      <c r="E2456">
        <v>1.6498117767281699</v>
      </c>
      <c r="F2456">
        <v>1.03490680179429</v>
      </c>
      <c r="G2456">
        <v>0.40944458134378497</v>
      </c>
      <c r="H2456">
        <v>0.213727269051495</v>
      </c>
      <c r="I2456">
        <v>0.14375117952011099</v>
      </c>
      <c r="J2456">
        <v>0.121999951723832</v>
      </c>
      <c r="K2456">
        <v>0.10071539171522501</v>
      </c>
      <c r="L2456">
        <v>6378.8824509902197</v>
      </c>
      <c r="M2456">
        <v>112.712530172203</v>
      </c>
      <c r="N2456">
        <v>56.766687276373702</v>
      </c>
      <c r="O2456">
        <v>56.576452065369601</v>
      </c>
      <c r="P2456">
        <v>-0.425858670135915</v>
      </c>
      <c r="Q2456">
        <v>0.144954982502221</v>
      </c>
      <c r="R2456">
        <v>0.81213949373657901</v>
      </c>
      <c r="S2456" t="s">
        <v>8282</v>
      </c>
      <c r="T2456" t="s">
        <v>11650</v>
      </c>
      <c r="U2456" t="s">
        <v>11650</v>
      </c>
      <c r="V2456" t="s">
        <v>11650</v>
      </c>
      <c r="W2456" t="s">
        <v>14065</v>
      </c>
      <c r="X2456">
        <v>25</v>
      </c>
      <c r="Y2456" t="s">
        <v>19781</v>
      </c>
      <c r="Z2456" t="s">
        <v>25518</v>
      </c>
      <c r="AA2456">
        <v>0.6183345122732099</v>
      </c>
      <c r="AB2456" t="str">
        <f>HYPERLINK("Melting_Curves/meltCurve_P49419_2_ALDH7A1.pdf", "Melting_Curves/meltCurve_P49419_2_ALDH7A1.pdf")</f>
        <v>Melting_Curves/meltCurve_P49419_2_ALDH7A1.pdf</v>
      </c>
    </row>
    <row r="2457" spans="1:28" x14ac:dyDescent="0.25">
      <c r="A2457" t="s">
        <v>2461</v>
      </c>
      <c r="B2457">
        <v>0.99996721820229495</v>
      </c>
      <c r="C2457">
        <v>1.0915465834543401</v>
      </c>
      <c r="D2457">
        <v>0.86785407220968303</v>
      </c>
      <c r="E2457">
        <v>0.40820633291283098</v>
      </c>
      <c r="F2457">
        <v>0.29916770150056499</v>
      </c>
      <c r="G2457">
        <v>0.269412156079118</v>
      </c>
      <c r="H2457">
        <v>0.16338079714317599</v>
      </c>
      <c r="I2457">
        <v>0.10687211241125</v>
      </c>
      <c r="J2457">
        <v>8.5078365985157806E-2</v>
      </c>
      <c r="K2457">
        <v>5.80661261479943E-2</v>
      </c>
      <c r="L2457">
        <v>1175.03438917073</v>
      </c>
      <c r="M2457">
        <v>23.9403180001196</v>
      </c>
      <c r="N2457">
        <v>49.697193878788703</v>
      </c>
      <c r="O2457">
        <v>48.743204336677998</v>
      </c>
      <c r="P2457">
        <v>-0.10703981376838299</v>
      </c>
      <c r="Q2457">
        <v>0.128268848353948</v>
      </c>
      <c r="R2457">
        <v>0.97160547622859805</v>
      </c>
      <c r="S2457" t="s">
        <v>8283</v>
      </c>
      <c r="T2457" t="s">
        <v>11650</v>
      </c>
      <c r="U2457" t="s">
        <v>11650</v>
      </c>
      <c r="V2457" t="s">
        <v>11650</v>
      </c>
      <c r="W2457" t="s">
        <v>14066</v>
      </c>
      <c r="X2457">
        <v>4</v>
      </c>
      <c r="Y2457" t="s">
        <v>19782</v>
      </c>
      <c r="Z2457" t="s">
        <v>25519</v>
      </c>
      <c r="AA2457">
        <v>0.40061438106722641</v>
      </c>
      <c r="AB2457" t="str">
        <f>HYPERLINK("Melting_Curves/meltCurve_P49427_CDC34.pdf", "Melting_Curves/meltCurve_P49427_CDC34.pdf")</f>
        <v>Melting_Curves/meltCurve_P49427_CDC34.pdf</v>
      </c>
    </row>
    <row r="2458" spans="1:28" x14ac:dyDescent="0.25">
      <c r="A2458" t="s">
        <v>2462</v>
      </c>
      <c r="B2458">
        <v>0.99996721820229495</v>
      </c>
      <c r="C2458">
        <v>1.0558262031165999</v>
      </c>
      <c r="D2458">
        <v>1.0090050914815401</v>
      </c>
      <c r="E2458">
        <v>0.74411577147541896</v>
      </c>
      <c r="F2458">
        <v>0.41675429001449898</v>
      </c>
      <c r="G2458">
        <v>0.220801626322156</v>
      </c>
      <c r="H2458">
        <v>0.10011124042382299</v>
      </c>
      <c r="I2458">
        <v>4.8384617779777303E-2</v>
      </c>
      <c r="J2458">
        <v>3.3845877567132698E-2</v>
      </c>
      <c r="K2458">
        <v>2.5686758189560399E-2</v>
      </c>
      <c r="L2458">
        <v>1163.0550924685599</v>
      </c>
      <c r="M2458">
        <v>22.237902701492398</v>
      </c>
      <c r="N2458">
        <v>52.5045965930139</v>
      </c>
      <c r="O2458">
        <v>51.883159228164303</v>
      </c>
      <c r="P2458">
        <v>-0.10272096846730901</v>
      </c>
      <c r="Q2458">
        <v>4.1389145315595698E-2</v>
      </c>
      <c r="R2458">
        <v>0.99361182246481605</v>
      </c>
      <c r="S2458" t="s">
        <v>8284</v>
      </c>
      <c r="T2458" t="s">
        <v>11650</v>
      </c>
      <c r="U2458" t="s">
        <v>11650</v>
      </c>
      <c r="V2458" t="s">
        <v>11650</v>
      </c>
      <c r="W2458" t="s">
        <v>14067</v>
      </c>
      <c r="X2458">
        <v>10</v>
      </c>
      <c r="Y2458" t="s">
        <v>19783</v>
      </c>
      <c r="Z2458" t="s">
        <v>25520</v>
      </c>
      <c r="AA2458">
        <v>0.4453743503895452</v>
      </c>
      <c r="AB2458" t="str">
        <f>HYPERLINK("Melting_Curves/meltCurve_P49441_INPP1.pdf", "Melting_Curves/meltCurve_P49441_INPP1.pdf")</f>
        <v>Melting_Curves/meltCurve_P49441_INPP1.pdf</v>
      </c>
    </row>
    <row r="2459" spans="1:28" x14ac:dyDescent="0.25">
      <c r="A2459" t="s">
        <v>2463</v>
      </c>
      <c r="B2459">
        <v>0.99996721820229495</v>
      </c>
      <c r="C2459">
        <v>0.94679189291328303</v>
      </c>
      <c r="D2459">
        <v>1.02732770644159</v>
      </c>
      <c r="E2459">
        <v>1.4146006856237301</v>
      </c>
      <c r="F2459">
        <v>1.8957851835958299</v>
      </c>
      <c r="G2459">
        <v>2.5375031277014899</v>
      </c>
      <c r="H2459">
        <v>2.3345413204688601</v>
      </c>
      <c r="I2459">
        <v>1.29496922983132</v>
      </c>
      <c r="J2459">
        <v>0.55650210368923603</v>
      </c>
      <c r="K2459">
        <v>0.34074637022299897</v>
      </c>
      <c r="L2459">
        <v>15000</v>
      </c>
      <c r="M2459">
        <v>224.60035745575399</v>
      </c>
      <c r="N2459">
        <v>67.127120359658306</v>
      </c>
      <c r="O2459">
        <v>66.780012339869401</v>
      </c>
      <c r="P2459">
        <v>-0.55436230729865399</v>
      </c>
      <c r="Q2459">
        <v>0.34069005963702897</v>
      </c>
      <c r="R2459">
        <v>-0.103844707536975</v>
      </c>
      <c r="S2459" t="s">
        <v>8285</v>
      </c>
      <c r="T2459" t="s">
        <v>11650</v>
      </c>
      <c r="U2459" t="s">
        <v>11650</v>
      </c>
      <c r="V2459" t="s">
        <v>11650</v>
      </c>
      <c r="W2459" t="s">
        <v>14068</v>
      </c>
      <c r="X2459">
        <v>9</v>
      </c>
      <c r="Y2459" t="s">
        <v>19784</v>
      </c>
      <c r="Z2459" t="s">
        <v>25521</v>
      </c>
      <c r="AA2459">
        <v>0.92944583099935696</v>
      </c>
      <c r="AB2459" t="str">
        <f>HYPERLINK("Melting_Curves/meltCurve_P49458_SRP9.pdf", "Melting_Curves/meltCurve_P49458_SRP9.pdf")</f>
        <v>Melting_Curves/meltCurve_P49458_SRP9.pdf</v>
      </c>
    </row>
    <row r="2460" spans="1:28" x14ac:dyDescent="0.25">
      <c r="A2460" t="s">
        <v>2464</v>
      </c>
      <c r="B2460">
        <v>0.99996721820229495</v>
      </c>
      <c r="C2460">
        <v>1.1910756840005099</v>
      </c>
      <c r="D2460">
        <v>1.164194914746</v>
      </c>
      <c r="E2460">
        <v>1.1142449721669601</v>
      </c>
      <c r="F2460">
        <v>1.0178435860631301</v>
      </c>
      <c r="G2460">
        <v>0.70044455924858295</v>
      </c>
      <c r="H2460">
        <v>0.36273352963361599</v>
      </c>
      <c r="I2460">
        <v>0.25655127234604902</v>
      </c>
      <c r="J2460">
        <v>0.18796219642999601</v>
      </c>
      <c r="K2460">
        <v>0.11679859824359801</v>
      </c>
      <c r="L2460">
        <v>1678.14830576497</v>
      </c>
      <c r="M2460">
        <v>28.6591538611079</v>
      </c>
      <c r="N2460">
        <v>59.309660896589598</v>
      </c>
      <c r="O2460">
        <v>58.272543032569402</v>
      </c>
      <c r="P2460">
        <v>-0.104176955740148</v>
      </c>
      <c r="Q2460">
        <v>0.152716479030094</v>
      </c>
      <c r="R2460">
        <v>0.95032148106469305</v>
      </c>
      <c r="S2460" t="s">
        <v>8286</v>
      </c>
      <c r="T2460" t="s">
        <v>11650</v>
      </c>
      <c r="U2460" t="s">
        <v>11650</v>
      </c>
      <c r="V2460" t="s">
        <v>11650</v>
      </c>
      <c r="W2460" t="s">
        <v>14069</v>
      </c>
      <c r="X2460">
        <v>4</v>
      </c>
      <c r="Y2460" t="s">
        <v>19785</v>
      </c>
      <c r="Z2460" t="s">
        <v>25522</v>
      </c>
      <c r="AA2460">
        <v>0.68268245347869783</v>
      </c>
      <c r="AB2460" t="str">
        <f>HYPERLINK("Melting_Curves/meltCurve_P49459_UBE2A.pdf", "Melting_Curves/meltCurve_P49459_UBE2A.pdf")</f>
        <v>Melting_Curves/meltCurve_P49459_UBE2A.pdf</v>
      </c>
    </row>
    <row r="2461" spans="1:28" x14ac:dyDescent="0.25">
      <c r="A2461" t="s">
        <v>2465</v>
      </c>
      <c r="B2461">
        <v>0.99996721820229495</v>
      </c>
      <c r="C2461">
        <v>0.96086606456580403</v>
      </c>
      <c r="D2461">
        <v>0.95418323341862299</v>
      </c>
      <c r="E2461">
        <v>0.93164970377742895</v>
      </c>
      <c r="F2461">
        <v>0.66926506090751803</v>
      </c>
      <c r="G2461">
        <v>0.480009002648497</v>
      </c>
      <c r="H2461">
        <v>0.26914481770276</v>
      </c>
      <c r="I2461">
        <v>0.16136388043251901</v>
      </c>
      <c r="J2461">
        <v>0.11470886328605</v>
      </c>
      <c r="K2461">
        <v>9.3828792518206902E-2</v>
      </c>
      <c r="L2461">
        <v>860.83934856961298</v>
      </c>
      <c r="M2461">
        <v>15.3582807266693</v>
      </c>
      <c r="N2461">
        <v>56.416994195252499</v>
      </c>
      <c r="O2461">
        <v>55.126016832998999</v>
      </c>
      <c r="P2461">
        <v>-6.6350013929334498E-2</v>
      </c>
      <c r="Q2461">
        <v>4.7477983033172799E-2</v>
      </c>
      <c r="R2461">
        <v>0.99399553377447403</v>
      </c>
      <c r="S2461" t="s">
        <v>8287</v>
      </c>
      <c r="T2461" t="s">
        <v>11650</v>
      </c>
      <c r="U2461" t="s">
        <v>11650</v>
      </c>
      <c r="V2461" t="s">
        <v>11650</v>
      </c>
      <c r="W2461" t="s">
        <v>14070</v>
      </c>
      <c r="X2461">
        <v>22</v>
      </c>
      <c r="Y2461" t="s">
        <v>19786</v>
      </c>
      <c r="Z2461" t="s">
        <v>25523</v>
      </c>
      <c r="AA2461">
        <v>0.57357234497509602</v>
      </c>
      <c r="AB2461" t="str">
        <f>HYPERLINK("Melting_Curves/meltCurve_P49585_PCYT1A.pdf", "Melting_Curves/meltCurve_P49585_PCYT1A.pdf")</f>
        <v>Melting_Curves/meltCurve_P49585_PCYT1A.pdf</v>
      </c>
    </row>
    <row r="2462" spans="1:28" x14ac:dyDescent="0.25">
      <c r="A2462" t="s">
        <v>2466</v>
      </c>
      <c r="B2462">
        <v>0.99996721820229495</v>
      </c>
      <c r="C2462">
        <v>0.93999407639980403</v>
      </c>
      <c r="D2462">
        <v>1.0335208079201299</v>
      </c>
      <c r="E2462">
        <v>0.87275831469848897</v>
      </c>
      <c r="F2462">
        <v>0.41503116152772501</v>
      </c>
      <c r="G2462">
        <v>0.27850782165503801</v>
      </c>
      <c r="H2462">
        <v>0.182257692522443</v>
      </c>
      <c r="I2462">
        <v>0.119254056162438</v>
      </c>
      <c r="J2462">
        <v>8.4159929218031906E-2</v>
      </c>
      <c r="K2462">
        <v>6.9597487301043995E-2</v>
      </c>
      <c r="L2462">
        <v>1636.35640401756</v>
      </c>
      <c r="M2462">
        <v>31.298050391315702</v>
      </c>
      <c r="N2462">
        <v>52.769405111243103</v>
      </c>
      <c r="O2462">
        <v>52.070962980795898</v>
      </c>
      <c r="P2462">
        <v>-0.131438628764523</v>
      </c>
      <c r="Q2462">
        <v>0.12530039274358601</v>
      </c>
      <c r="R2462">
        <v>0.98285785722705499</v>
      </c>
      <c r="S2462" t="s">
        <v>8288</v>
      </c>
      <c r="T2462" t="s">
        <v>11650</v>
      </c>
      <c r="U2462" t="s">
        <v>11650</v>
      </c>
      <c r="V2462" t="s">
        <v>11650</v>
      </c>
      <c r="W2462" t="s">
        <v>14071</v>
      </c>
      <c r="X2462">
        <v>39</v>
      </c>
      <c r="Y2462" t="s">
        <v>19787</v>
      </c>
      <c r="Z2462" t="s">
        <v>25524</v>
      </c>
      <c r="AA2462">
        <v>0.48859332640058911</v>
      </c>
      <c r="AB2462" t="str">
        <f>HYPERLINK("Melting_Curves/meltCurve_P49588_AARS.pdf", "Melting_Curves/meltCurve_P49588_AARS.pdf")</f>
        <v>Melting_Curves/meltCurve_P49588_AARS.pdf</v>
      </c>
    </row>
    <row r="2463" spans="1:28" x14ac:dyDescent="0.25">
      <c r="A2463" t="s">
        <v>2467</v>
      </c>
      <c r="B2463">
        <v>0.99996721820229495</v>
      </c>
      <c r="C2463">
        <v>0.98091757383506795</v>
      </c>
      <c r="D2463">
        <v>1.1115508075893299</v>
      </c>
      <c r="E2463">
        <v>1.56293817785615</v>
      </c>
      <c r="F2463">
        <v>1.1190430372379201</v>
      </c>
      <c r="G2463">
        <v>0.44589220077796399</v>
      </c>
      <c r="H2463">
        <v>0.243850197335061</v>
      </c>
      <c r="I2463">
        <v>0.147539316138867</v>
      </c>
      <c r="J2463">
        <v>0.11010968399102</v>
      </c>
      <c r="K2463">
        <v>0.100802212097046</v>
      </c>
      <c r="L2463">
        <v>9474.3071877309194</v>
      </c>
      <c r="M2463">
        <v>166.84517534510999</v>
      </c>
      <c r="N2463">
        <v>56.907235438619303</v>
      </c>
      <c r="O2463">
        <v>56.776865812570897</v>
      </c>
      <c r="P2463">
        <v>-0.62403481716123999</v>
      </c>
      <c r="Q2463">
        <v>0.15057200170844201</v>
      </c>
      <c r="R2463">
        <v>0.85957961289943596</v>
      </c>
      <c r="S2463" t="s">
        <v>8289</v>
      </c>
      <c r="T2463" t="s">
        <v>11650</v>
      </c>
      <c r="U2463" t="s">
        <v>11650</v>
      </c>
      <c r="V2463" t="s">
        <v>11650</v>
      </c>
      <c r="W2463" t="s">
        <v>14072</v>
      </c>
      <c r="X2463">
        <v>35</v>
      </c>
      <c r="Y2463" t="s">
        <v>19788</v>
      </c>
      <c r="Z2463" t="s">
        <v>25525</v>
      </c>
      <c r="AA2463">
        <v>0.62601774005923938</v>
      </c>
      <c r="AB2463" t="str">
        <f>HYPERLINK("Melting_Curves/meltCurve_P49589_3_CARS.pdf", "Melting_Curves/meltCurve_P49589_3_CARS.pdf")</f>
        <v>Melting_Curves/meltCurve_P49589_3_CARS.pdf</v>
      </c>
    </row>
    <row r="2464" spans="1:28" x14ac:dyDescent="0.25">
      <c r="A2464" t="s">
        <v>2468</v>
      </c>
      <c r="B2464">
        <v>0.99996721820229495</v>
      </c>
      <c r="C2464">
        <v>1.0079317193453901</v>
      </c>
      <c r="D2464">
        <v>1.17527250838858</v>
      </c>
      <c r="E2464">
        <v>1.4923399481412001</v>
      </c>
      <c r="F2464">
        <v>0.89774142838875703</v>
      </c>
      <c r="G2464">
        <v>0.436739505121993</v>
      </c>
      <c r="H2464">
        <v>0.196450926867868</v>
      </c>
      <c r="I2464">
        <v>0.131838087782917</v>
      </c>
      <c r="J2464">
        <v>9.9516890047797596E-2</v>
      </c>
      <c r="K2464">
        <v>7.1777843867779106E-2</v>
      </c>
      <c r="L2464">
        <v>2401.3543589173801</v>
      </c>
      <c r="M2464">
        <v>42.655981391071997</v>
      </c>
      <c r="N2464">
        <v>56.638684134014497</v>
      </c>
      <c r="O2464">
        <v>56.172519042029599</v>
      </c>
      <c r="P2464">
        <v>-0.16824328019221499</v>
      </c>
      <c r="Q2464">
        <v>0.113780912765698</v>
      </c>
      <c r="R2464">
        <v>0.88429733774361396</v>
      </c>
      <c r="S2464" t="s">
        <v>8290</v>
      </c>
      <c r="T2464" t="s">
        <v>11650</v>
      </c>
      <c r="U2464" t="s">
        <v>11650</v>
      </c>
      <c r="V2464" t="s">
        <v>11650</v>
      </c>
      <c r="W2464" t="s">
        <v>14073</v>
      </c>
      <c r="X2464">
        <v>21</v>
      </c>
      <c r="Y2464" t="s">
        <v>19789</v>
      </c>
      <c r="Z2464" t="s">
        <v>25526</v>
      </c>
      <c r="AA2464">
        <v>0.59818539566305884</v>
      </c>
      <c r="AB2464" t="str">
        <f>HYPERLINK("Melting_Curves/meltCurve_P49591_SARS.pdf", "Melting_Curves/meltCurve_P49591_SARS.pdf")</f>
        <v>Melting_Curves/meltCurve_P49591_SARS.pdf</v>
      </c>
    </row>
    <row r="2465" spans="1:28" x14ac:dyDescent="0.25">
      <c r="A2465" t="s">
        <v>2469</v>
      </c>
      <c r="B2465">
        <v>0.99996721820229495</v>
      </c>
      <c r="C2465">
        <v>0.88977579113611005</v>
      </c>
      <c r="D2465">
        <v>0.80296394537205495</v>
      </c>
      <c r="E2465">
        <v>0.62301906034567101</v>
      </c>
      <c r="F2465">
        <v>0.37628181157086998</v>
      </c>
      <c r="G2465">
        <v>0.25469504302436902</v>
      </c>
      <c r="H2465">
        <v>0.15942726235378801</v>
      </c>
      <c r="I2465">
        <v>0.124312410244758</v>
      </c>
      <c r="J2465">
        <v>0.119612790376655</v>
      </c>
      <c r="K2465">
        <v>9.5570588608517304E-2</v>
      </c>
      <c r="L2465">
        <v>669.03118759899303</v>
      </c>
      <c r="M2465">
        <v>13.182743949425999</v>
      </c>
      <c r="N2465">
        <v>51.357962969121601</v>
      </c>
      <c r="O2465">
        <v>49.625318557995399</v>
      </c>
      <c r="P2465">
        <v>-6.1627729994136397E-2</v>
      </c>
      <c r="Q2465">
        <v>7.2185784005134701E-2</v>
      </c>
      <c r="R2465">
        <v>0.99563336035097605</v>
      </c>
      <c r="S2465" t="s">
        <v>8291</v>
      </c>
      <c r="T2465" t="s">
        <v>11650</v>
      </c>
      <c r="U2465" t="s">
        <v>11650</v>
      </c>
      <c r="V2465" t="s">
        <v>11650</v>
      </c>
      <c r="W2465" t="s">
        <v>14074</v>
      </c>
      <c r="X2465">
        <v>15</v>
      </c>
      <c r="Y2465" t="s">
        <v>19790</v>
      </c>
      <c r="Z2465" t="s">
        <v>25527</v>
      </c>
      <c r="AA2465">
        <v>0.43131494434078838</v>
      </c>
      <c r="AB2465" t="str">
        <f>HYPERLINK("Melting_Curves/meltCurve_P49662_CASP4.pdf", "Melting_Curves/meltCurve_P49662_CASP4.pdf")</f>
        <v>Melting_Curves/meltCurve_P49662_CASP4.pdf</v>
      </c>
    </row>
    <row r="2466" spans="1:28" x14ac:dyDescent="0.25">
      <c r="A2466" t="s">
        <v>2470</v>
      </c>
      <c r="B2466">
        <v>0.99996721820229495</v>
      </c>
      <c r="C2466">
        <v>0.929274656798876</v>
      </c>
      <c r="D2466">
        <v>1.1481633387805801</v>
      </c>
      <c r="E2466">
        <v>1.9942111588451801</v>
      </c>
      <c r="F2466">
        <v>2.5792352159896499</v>
      </c>
      <c r="G2466">
        <v>1.89376646074854</v>
      </c>
      <c r="H2466">
        <v>0.73701923739804298</v>
      </c>
      <c r="I2466">
        <v>0.51255747291753795</v>
      </c>
      <c r="J2466">
        <v>0.156998940135088</v>
      </c>
      <c r="K2466">
        <v>0.41831084322363299</v>
      </c>
      <c r="L2466">
        <v>3613.64195889761</v>
      </c>
      <c r="M2466">
        <v>58.264424519794801</v>
      </c>
      <c r="N2466">
        <v>63.116473439888601</v>
      </c>
      <c r="O2466">
        <v>61.9484773187881</v>
      </c>
      <c r="P2466">
        <v>-0.160348648636498</v>
      </c>
      <c r="Q2466">
        <v>0.31805041550179902</v>
      </c>
      <c r="R2466">
        <v>0.20210205156477901</v>
      </c>
      <c r="S2466" t="s">
        <v>8292</v>
      </c>
      <c r="T2466" t="s">
        <v>11650</v>
      </c>
      <c r="U2466" t="s">
        <v>11650</v>
      </c>
      <c r="V2466" t="s">
        <v>11650</v>
      </c>
      <c r="W2466" t="s">
        <v>14075</v>
      </c>
      <c r="X2466">
        <v>6</v>
      </c>
      <c r="Y2466" t="s">
        <v>19791</v>
      </c>
      <c r="Z2466" t="s">
        <v>25528</v>
      </c>
      <c r="AA2466">
        <v>0.81996356746836774</v>
      </c>
      <c r="AB2466" t="str">
        <f>HYPERLINK("Melting_Curves/meltCurve_P49721_PSMB2.pdf", "Melting_Curves/meltCurve_P49721_PSMB2.pdf")</f>
        <v>Melting_Curves/meltCurve_P49721_PSMB2.pdf</v>
      </c>
    </row>
    <row r="2467" spans="1:28" x14ac:dyDescent="0.25">
      <c r="A2467" t="s">
        <v>2471</v>
      </c>
      <c r="B2467">
        <v>0.99996721820229495</v>
      </c>
      <c r="C2467">
        <v>1.0548444997806601</v>
      </c>
      <c r="D2467">
        <v>1.1833291659268901</v>
      </c>
      <c r="E2467">
        <v>1.3930831355923601</v>
      </c>
      <c r="F2467">
        <v>1.3759441326278901</v>
      </c>
      <c r="G2467">
        <v>1.0527849192937699</v>
      </c>
      <c r="H2467">
        <v>0.39332632440760301</v>
      </c>
      <c r="I2467">
        <v>0.188779188883233</v>
      </c>
      <c r="J2467">
        <v>0.13969593449367701</v>
      </c>
      <c r="K2467">
        <v>0.10244639162107</v>
      </c>
      <c r="L2467">
        <v>6249.9543105615203</v>
      </c>
      <c r="M2467">
        <v>103.33427215596301</v>
      </c>
      <c r="N2467">
        <v>60.6796468508185</v>
      </c>
      <c r="O2467">
        <v>60.4602371357769</v>
      </c>
      <c r="P2467">
        <v>-0.36645459597067798</v>
      </c>
      <c r="Q2467">
        <v>0.142358871111359</v>
      </c>
      <c r="R2467">
        <v>0.86219989840650102</v>
      </c>
      <c r="S2467" t="s">
        <v>8293</v>
      </c>
      <c r="T2467" t="s">
        <v>11650</v>
      </c>
      <c r="U2467" t="s">
        <v>11650</v>
      </c>
      <c r="V2467" t="s">
        <v>11650</v>
      </c>
      <c r="W2467" t="s">
        <v>14076</v>
      </c>
      <c r="X2467">
        <v>26</v>
      </c>
      <c r="Y2467" t="s">
        <v>19792</v>
      </c>
      <c r="Z2467" t="s">
        <v>25529</v>
      </c>
      <c r="AA2467">
        <v>0.72845759781628161</v>
      </c>
      <c r="AB2467" t="str">
        <f>HYPERLINK("Melting_Curves/meltCurve_P49748_2_ACADVL.pdf", "Melting_Curves/meltCurve_P49748_2_ACADVL.pdf")</f>
        <v>Melting_Curves/meltCurve_P49748_2_ACADVL.pdf</v>
      </c>
    </row>
    <row r="2468" spans="1:28" x14ac:dyDescent="0.25">
      <c r="A2468" t="s">
        <v>2472</v>
      </c>
      <c r="B2468">
        <v>0.99996721820229495</v>
      </c>
      <c r="C2468">
        <v>1.0663298336632601</v>
      </c>
      <c r="D2468">
        <v>0.94321753275148601</v>
      </c>
      <c r="E2468">
        <v>0.97213518173726599</v>
      </c>
      <c r="F2468">
        <v>0.89567337004227598</v>
      </c>
      <c r="G2468">
        <v>0.92556201216633704</v>
      </c>
      <c r="H2468">
        <v>0.55783405161715005</v>
      </c>
      <c r="I2468">
        <v>0.50175458156337904</v>
      </c>
      <c r="J2468">
        <v>0.38842880257618501</v>
      </c>
      <c r="K2468">
        <v>0.299088375373181</v>
      </c>
      <c r="L2468">
        <v>1188.9600993251499</v>
      </c>
      <c r="M2468">
        <v>19.5243923150279</v>
      </c>
      <c r="N2468">
        <v>63.327302651561901</v>
      </c>
      <c r="O2468">
        <v>60.268090727196302</v>
      </c>
      <c r="P2468">
        <v>-5.9634062407062399E-2</v>
      </c>
      <c r="Q2468">
        <v>0.26371012149803602</v>
      </c>
      <c r="R2468">
        <v>0.96623464807680304</v>
      </c>
      <c r="S2468" t="s">
        <v>8294</v>
      </c>
      <c r="T2468" t="s">
        <v>11650</v>
      </c>
      <c r="U2468" t="s">
        <v>11650</v>
      </c>
      <c r="V2468" t="s">
        <v>11650</v>
      </c>
      <c r="W2468" t="s">
        <v>14077</v>
      </c>
      <c r="X2468">
        <v>8</v>
      </c>
      <c r="Y2468" t="s">
        <v>19793</v>
      </c>
      <c r="Z2468" t="s">
        <v>25530</v>
      </c>
      <c r="AA2468">
        <v>0.78114903572244054</v>
      </c>
      <c r="AB2468" t="str">
        <f>HYPERLINK("Melting_Curves/meltCurve_P49750_4_YLPM1.pdf", "Melting_Curves/meltCurve_P49750_4_YLPM1.pdf")</f>
        <v>Melting_Curves/meltCurve_P49750_4_YLPM1.pdf</v>
      </c>
    </row>
    <row r="2469" spans="1:28" x14ac:dyDescent="0.25">
      <c r="A2469" t="s">
        <v>2473</v>
      </c>
      <c r="B2469">
        <v>0.99996721820229495</v>
      </c>
      <c r="C2469">
        <v>1.0620222446574299</v>
      </c>
      <c r="D2469">
        <v>1.0177509195991601</v>
      </c>
      <c r="E2469">
        <v>0.75934628964009598</v>
      </c>
      <c r="F2469">
        <v>0.53241378795671102</v>
      </c>
      <c r="G2469">
        <v>0.52037285533418098</v>
      </c>
      <c r="H2469">
        <v>0.32184449911273999</v>
      </c>
      <c r="I2469">
        <v>4.71278984076796E-2</v>
      </c>
      <c r="J2469">
        <v>5.3391452063719098E-2</v>
      </c>
      <c r="K2469">
        <v>3.0317949477684E-2</v>
      </c>
      <c r="L2469">
        <v>725.86855509093198</v>
      </c>
      <c r="M2469">
        <v>13.105432108609801</v>
      </c>
      <c r="N2469">
        <v>55.386824328719499</v>
      </c>
      <c r="O2469">
        <v>54.144855152930504</v>
      </c>
      <c r="P2469">
        <v>-6.0521335290583803E-2</v>
      </c>
      <c r="Q2469">
        <v>0</v>
      </c>
      <c r="R2469">
        <v>0.96031883922976202</v>
      </c>
      <c r="S2469" t="s">
        <v>8295</v>
      </c>
      <c r="T2469" t="s">
        <v>11650</v>
      </c>
      <c r="U2469" t="s">
        <v>11650</v>
      </c>
      <c r="V2469" t="s">
        <v>11650</v>
      </c>
      <c r="W2469" t="s">
        <v>14078</v>
      </c>
      <c r="X2469">
        <v>20</v>
      </c>
      <c r="Y2469" t="s">
        <v>19794</v>
      </c>
      <c r="Z2469" t="s">
        <v>25531</v>
      </c>
      <c r="AA2469">
        <v>0.53394351734720968</v>
      </c>
      <c r="AB2469" t="str">
        <f>HYPERLINK("Melting_Curves/meltCurve_P49753_ACOT2.pdf", "Melting_Curves/meltCurve_P49753_ACOT2.pdf")</f>
        <v>Melting_Curves/meltCurve_P49753_ACOT2.pdf</v>
      </c>
    </row>
    <row r="2470" spans="1:28" x14ac:dyDescent="0.25">
      <c r="A2470" t="s">
        <v>2474</v>
      </c>
      <c r="B2470">
        <v>0.99996721820229495</v>
      </c>
      <c r="C2470">
        <v>0.72986540299956304</v>
      </c>
      <c r="D2470">
        <v>1.04798251124905</v>
      </c>
      <c r="E2470">
        <v>1.12411536106483</v>
      </c>
      <c r="F2470">
        <v>1.1889361398898599</v>
      </c>
      <c r="G2470">
        <v>0.69152625516635902</v>
      </c>
      <c r="H2470">
        <v>0.249412300076019</v>
      </c>
      <c r="I2470">
        <v>0.14839369061632399</v>
      </c>
      <c r="J2470">
        <v>0.1122215716976</v>
      </c>
      <c r="K2470">
        <v>8.83318801609424E-2</v>
      </c>
      <c r="L2470">
        <v>2541.7644191662798</v>
      </c>
      <c r="M2470">
        <v>43.809651252916701</v>
      </c>
      <c r="N2470">
        <v>58.381817474093097</v>
      </c>
      <c r="O2470">
        <v>57.897868681564397</v>
      </c>
      <c r="P2470">
        <v>-0.16659056435846401</v>
      </c>
      <c r="Q2470">
        <v>0.11935160978746499</v>
      </c>
      <c r="R2470">
        <v>0.925436505630575</v>
      </c>
      <c r="S2470" t="s">
        <v>8296</v>
      </c>
      <c r="T2470" t="s">
        <v>11650</v>
      </c>
      <c r="U2470" t="s">
        <v>11650</v>
      </c>
      <c r="V2470" t="s">
        <v>11650</v>
      </c>
      <c r="W2470" t="s">
        <v>14079</v>
      </c>
      <c r="X2470">
        <v>12</v>
      </c>
      <c r="Y2470" t="s">
        <v>19795</v>
      </c>
      <c r="Z2470" t="s">
        <v>25532</v>
      </c>
      <c r="AA2470">
        <v>0.65118730197279606</v>
      </c>
      <c r="AB2470" t="str">
        <f>HYPERLINK("Melting_Curves/meltCurve_P49755_TMED10.pdf", "Melting_Curves/meltCurve_P49755_TMED10.pdf")</f>
        <v>Melting_Curves/meltCurve_P49755_TMED10.pdf</v>
      </c>
    </row>
    <row r="2471" spans="1:28" x14ac:dyDescent="0.25">
      <c r="A2471" t="s">
        <v>2475</v>
      </c>
      <c r="B2471">
        <v>0.99996721820229495</v>
      </c>
      <c r="C2471">
        <v>1.22869235599446</v>
      </c>
      <c r="D2471">
        <v>1.2143380485800701</v>
      </c>
      <c r="E2471">
        <v>1.29902176741886</v>
      </c>
      <c r="F2471">
        <v>0.97886397148972004</v>
      </c>
      <c r="G2471">
        <v>0.87686424939969199</v>
      </c>
      <c r="H2471">
        <v>0.58926779151345399</v>
      </c>
      <c r="I2471">
        <v>0.41688065686826498</v>
      </c>
      <c r="J2471">
        <v>0.28977307465671398</v>
      </c>
      <c r="K2471">
        <v>0.225219415227847</v>
      </c>
      <c r="L2471">
        <v>1555.20869125745</v>
      </c>
      <c r="M2471">
        <v>25.500968947268799</v>
      </c>
      <c r="N2471">
        <v>62.332280261323</v>
      </c>
      <c r="O2471">
        <v>60.614930182984601</v>
      </c>
      <c r="P2471">
        <v>-8.2909273537129E-2</v>
      </c>
      <c r="Q2471">
        <v>0.21171974902160601</v>
      </c>
      <c r="R2471">
        <v>0.86969529042351001</v>
      </c>
      <c r="S2471" t="s">
        <v>8297</v>
      </c>
      <c r="T2471" t="s">
        <v>11650</v>
      </c>
      <c r="U2471" t="s">
        <v>11650</v>
      </c>
      <c r="V2471" t="s">
        <v>11650</v>
      </c>
      <c r="W2471" t="s">
        <v>14080</v>
      </c>
      <c r="X2471">
        <v>10</v>
      </c>
      <c r="Y2471" t="s">
        <v>19796</v>
      </c>
      <c r="Z2471" t="s">
        <v>25533</v>
      </c>
      <c r="AA2471">
        <v>0.76807301790609184</v>
      </c>
      <c r="AB2471" t="str">
        <f>HYPERLINK("Melting_Curves/meltCurve_P49756_RBM25.pdf", "Melting_Curves/meltCurve_P49756_RBM25.pdf")</f>
        <v>Melting_Curves/meltCurve_P49756_RBM25.pdf</v>
      </c>
    </row>
    <row r="2472" spans="1:28" x14ac:dyDescent="0.25">
      <c r="A2472" t="s">
        <v>2476</v>
      </c>
      <c r="B2472">
        <v>0.99996721820229495</v>
      </c>
      <c r="C2472">
        <v>1.06732834989129</v>
      </c>
      <c r="D2472">
        <v>1.01114507717288</v>
      </c>
      <c r="E2472">
        <v>0.98965788111983799</v>
      </c>
      <c r="F2472">
        <v>0.95759436162986</v>
      </c>
      <c r="G2472">
        <v>0.72070342269373799</v>
      </c>
      <c r="H2472">
        <v>0.45331119738550002</v>
      </c>
      <c r="I2472">
        <v>0.305344961215888</v>
      </c>
      <c r="J2472">
        <v>0.26206182432206698</v>
      </c>
      <c r="K2472">
        <v>0.18723634338287001</v>
      </c>
      <c r="L2472">
        <v>1286.0379478032301</v>
      </c>
      <c r="M2472">
        <v>21.816935732185001</v>
      </c>
      <c r="N2472">
        <v>60.206844885787099</v>
      </c>
      <c r="O2472">
        <v>58.4582275354446</v>
      </c>
      <c r="P2472">
        <v>-7.62024795174224E-2</v>
      </c>
      <c r="Q2472">
        <v>0.18328418715261799</v>
      </c>
      <c r="R2472">
        <v>0.99424640943840503</v>
      </c>
      <c r="S2472" t="s">
        <v>8298</v>
      </c>
      <c r="T2472" t="s">
        <v>11650</v>
      </c>
      <c r="U2472" t="s">
        <v>11650</v>
      </c>
      <c r="V2472" t="s">
        <v>11650</v>
      </c>
      <c r="W2472" t="s">
        <v>14081</v>
      </c>
      <c r="X2472">
        <v>6</v>
      </c>
      <c r="Y2472" t="s">
        <v>19797</v>
      </c>
      <c r="Z2472" t="s">
        <v>25534</v>
      </c>
      <c r="AA2472">
        <v>0.70683550561436026</v>
      </c>
      <c r="AB2472" t="str">
        <f>HYPERLINK("Melting_Curves/meltCurve_P49757_4_NUMB.pdf", "Melting_Curves/meltCurve_P49757_4_NUMB.pdf")</f>
        <v>Melting_Curves/meltCurve_P49757_4_NUMB.pdf</v>
      </c>
    </row>
    <row r="2473" spans="1:28" x14ac:dyDescent="0.25">
      <c r="A2473" t="s">
        <v>2477</v>
      </c>
      <c r="B2473">
        <v>0.99996721820229495</v>
      </c>
      <c r="C2473">
        <v>1.0394122295527399</v>
      </c>
      <c r="D2473">
        <v>1.0417534852580901</v>
      </c>
      <c r="E2473">
        <v>1.2307537932396999</v>
      </c>
      <c r="F2473">
        <v>1.1141652262677</v>
      </c>
      <c r="G2473">
        <v>0.52220526416132096</v>
      </c>
      <c r="H2473">
        <v>0.25078120527777498</v>
      </c>
      <c r="I2473">
        <v>0.18014648033874001</v>
      </c>
      <c r="J2473">
        <v>0.13548571602982201</v>
      </c>
      <c r="K2473">
        <v>0.106122938902226</v>
      </c>
      <c r="L2473">
        <v>6144.7535285771301</v>
      </c>
      <c r="M2473">
        <v>108.09988253207899</v>
      </c>
      <c r="N2473">
        <v>57.059339815281596</v>
      </c>
      <c r="O2473">
        <v>56.823848378926201</v>
      </c>
      <c r="P2473">
        <v>-0.39571984147223899</v>
      </c>
      <c r="Q2473">
        <v>0.167942721798157</v>
      </c>
      <c r="R2473">
        <v>0.95792430694019404</v>
      </c>
      <c r="S2473" t="s">
        <v>8299</v>
      </c>
      <c r="T2473" t="s">
        <v>11650</v>
      </c>
      <c r="U2473" t="s">
        <v>11650</v>
      </c>
      <c r="V2473" t="s">
        <v>11650</v>
      </c>
      <c r="W2473" t="s">
        <v>14082</v>
      </c>
      <c r="X2473">
        <v>12</v>
      </c>
      <c r="Y2473" t="s">
        <v>19798</v>
      </c>
      <c r="Z2473" t="s">
        <v>25535</v>
      </c>
      <c r="AA2473">
        <v>0.63553997841895993</v>
      </c>
      <c r="AB2473" t="str">
        <f>HYPERLINK("Melting_Curves/meltCurve_P49770_EIF2B2.pdf", "Melting_Curves/meltCurve_P49770_EIF2B2.pdf")</f>
        <v>Melting_Curves/meltCurve_P49770_EIF2B2.pdf</v>
      </c>
    </row>
    <row r="2474" spans="1:28" x14ac:dyDescent="0.25">
      <c r="A2474" t="s">
        <v>2478</v>
      </c>
      <c r="B2474">
        <v>0.99996721820229495</v>
      </c>
      <c r="C2474">
        <v>1.0292616317438199</v>
      </c>
      <c r="D2474">
        <v>0.94543065545171001</v>
      </c>
      <c r="E2474">
        <v>0.86684952355133504</v>
      </c>
      <c r="F2474">
        <v>1.07207962081208</v>
      </c>
      <c r="G2474">
        <v>1.0573255265595101</v>
      </c>
      <c r="H2474">
        <v>0.54437524083667899</v>
      </c>
      <c r="I2474">
        <v>0.35544725339334798</v>
      </c>
      <c r="J2474">
        <v>0.277672513738627</v>
      </c>
      <c r="K2474">
        <v>0.197870982940417</v>
      </c>
      <c r="L2474">
        <v>3602.8203084001002</v>
      </c>
      <c r="M2474">
        <v>59.444086986124198</v>
      </c>
      <c r="N2474">
        <v>61.3760869071182</v>
      </c>
      <c r="O2474">
        <v>60.540065821782697</v>
      </c>
      <c r="P2474">
        <v>-0.18109972686947401</v>
      </c>
      <c r="Q2474">
        <v>0.26224542268209</v>
      </c>
      <c r="R2474">
        <v>0.96332393099056601</v>
      </c>
      <c r="S2474" t="s">
        <v>8300</v>
      </c>
      <c r="T2474" t="s">
        <v>11650</v>
      </c>
      <c r="U2474" t="s">
        <v>11650</v>
      </c>
      <c r="V2474" t="s">
        <v>11650</v>
      </c>
      <c r="W2474" t="s">
        <v>14083</v>
      </c>
      <c r="X2474">
        <v>10</v>
      </c>
      <c r="Y2474" t="s">
        <v>19799</v>
      </c>
      <c r="Z2474" t="s">
        <v>25536</v>
      </c>
      <c r="AA2474">
        <v>0.77042848957362187</v>
      </c>
      <c r="AB2474" t="str">
        <f>HYPERLINK("Melting_Curves/meltCurve_P49773_HINT1.pdf", "Melting_Curves/meltCurve_P49773_HINT1.pdf")</f>
        <v>Melting_Curves/meltCurve_P49773_HINT1.pdf</v>
      </c>
    </row>
    <row r="2475" spans="1:28" x14ac:dyDescent="0.25">
      <c r="A2475" t="s">
        <v>2479</v>
      </c>
      <c r="B2475">
        <v>0.99996721820229495</v>
      </c>
      <c r="C2475">
        <v>0.99108495974655098</v>
      </c>
      <c r="D2475">
        <v>0.97120058171972301</v>
      </c>
      <c r="E2475">
        <v>1.16716759305372</v>
      </c>
      <c r="F2475">
        <v>1.4924575675799701</v>
      </c>
      <c r="G2475">
        <v>1.14720629898444</v>
      </c>
      <c r="H2475">
        <v>0.74701757108226097</v>
      </c>
      <c r="I2475">
        <v>0.60655074207177495</v>
      </c>
      <c r="J2475">
        <v>0.46425502158614901</v>
      </c>
      <c r="K2475">
        <v>0.36237558264952402</v>
      </c>
      <c r="L2475">
        <v>2265.6168810853201</v>
      </c>
      <c r="M2475">
        <v>36.279259298191697</v>
      </c>
      <c r="N2475">
        <v>65.145011118512997</v>
      </c>
      <c r="O2475">
        <v>62.260536496331</v>
      </c>
      <c r="P2475">
        <v>-8.9070589482317705E-2</v>
      </c>
      <c r="Q2475">
        <v>0.388569023312341</v>
      </c>
      <c r="R2475">
        <v>0.71818260792182897</v>
      </c>
      <c r="S2475" t="s">
        <v>8301</v>
      </c>
      <c r="T2475" t="s">
        <v>11650</v>
      </c>
      <c r="U2475" t="s">
        <v>11650</v>
      </c>
      <c r="V2475" t="s">
        <v>11650</v>
      </c>
      <c r="W2475" t="s">
        <v>14084</v>
      </c>
      <c r="X2475">
        <v>13</v>
      </c>
      <c r="Y2475" t="s">
        <v>19800</v>
      </c>
      <c r="Z2475" t="s">
        <v>25537</v>
      </c>
      <c r="AA2475">
        <v>0.84839427955910651</v>
      </c>
      <c r="AB2475" t="str">
        <f>HYPERLINK("Melting_Curves/meltCurve_P49790_NUP153.pdf", "Melting_Curves/meltCurve_P49790_NUP153.pdf")</f>
        <v>Melting_Curves/meltCurve_P49790_NUP153.pdf</v>
      </c>
    </row>
    <row r="2476" spans="1:28" x14ac:dyDescent="0.25">
      <c r="A2476" t="s">
        <v>2480</v>
      </c>
      <c r="B2476">
        <v>0.99996721820229495</v>
      </c>
      <c r="C2476">
        <v>1.03558141444915</v>
      </c>
      <c r="D2476">
        <v>0.795051845250899</v>
      </c>
      <c r="E2476">
        <v>0.67965875969441103</v>
      </c>
      <c r="F2476">
        <v>0.83424515962524703</v>
      </c>
      <c r="G2476">
        <v>0.88266255109678704</v>
      </c>
      <c r="H2476">
        <v>0.55771586763754499</v>
      </c>
      <c r="I2476">
        <v>0.43234578161062998</v>
      </c>
      <c r="J2476">
        <v>0.36248791367470101</v>
      </c>
      <c r="K2476">
        <v>0.230930607285425</v>
      </c>
      <c r="L2476">
        <v>481.53799058778299</v>
      </c>
      <c r="M2476">
        <v>7.6995710954484498</v>
      </c>
      <c r="N2476">
        <v>62.540884087369498</v>
      </c>
      <c r="O2476">
        <v>58.741589087042001</v>
      </c>
      <c r="P2476">
        <v>-3.2811559733885901E-2</v>
      </c>
      <c r="Q2476">
        <v>0</v>
      </c>
      <c r="R2476">
        <v>0.83635265578199003</v>
      </c>
      <c r="S2476" t="s">
        <v>8302</v>
      </c>
      <c r="T2476" t="s">
        <v>11650</v>
      </c>
      <c r="U2476" t="s">
        <v>11650</v>
      </c>
      <c r="V2476" t="s">
        <v>11650</v>
      </c>
      <c r="W2476" t="s">
        <v>14085</v>
      </c>
      <c r="X2476">
        <v>14</v>
      </c>
      <c r="Y2476" t="s">
        <v>19801</v>
      </c>
      <c r="Z2476" t="s">
        <v>25538</v>
      </c>
      <c r="AA2476">
        <v>0.70497854415618755</v>
      </c>
      <c r="AB2476" t="str">
        <f>HYPERLINK("Melting_Curves/meltCurve_P49792_RANBP2.pdf", "Melting_Curves/meltCurve_P49792_RANBP2.pdf")</f>
        <v>Melting_Curves/meltCurve_P49792_RANBP2.pdf</v>
      </c>
    </row>
    <row r="2477" spans="1:28" x14ac:dyDescent="0.25">
      <c r="A2477" t="s">
        <v>2481</v>
      </c>
      <c r="B2477">
        <v>0.99996721820229495</v>
      </c>
      <c r="C2477">
        <v>1.34261214396095</v>
      </c>
      <c r="D2477">
        <v>1.09094370808547</v>
      </c>
      <c r="E2477">
        <v>1.0220164193201899</v>
      </c>
      <c r="F2477">
        <v>1.0238106787008801</v>
      </c>
      <c r="G2477">
        <v>1.0028553323709299</v>
      </c>
      <c r="H2477">
        <v>0.59773154819140695</v>
      </c>
      <c r="I2477">
        <v>0.45581173787907497</v>
      </c>
      <c r="J2477">
        <v>0.28857099809159797</v>
      </c>
      <c r="K2477">
        <v>0.28636281955060799</v>
      </c>
      <c r="L2477">
        <v>2247.68095970387</v>
      </c>
      <c r="M2477">
        <v>36.878528716611498</v>
      </c>
      <c r="N2477">
        <v>62.418388803536203</v>
      </c>
      <c r="O2477">
        <v>60.769845251375401</v>
      </c>
      <c r="P2477">
        <v>-0.107681843186665</v>
      </c>
      <c r="Q2477">
        <v>0.290233050491362</v>
      </c>
      <c r="R2477">
        <v>0.89054833806877698</v>
      </c>
      <c r="S2477" t="s">
        <v>8303</v>
      </c>
      <c r="T2477" t="s">
        <v>11650</v>
      </c>
      <c r="U2477" t="s">
        <v>11650</v>
      </c>
      <c r="V2477" t="s">
        <v>11650</v>
      </c>
      <c r="W2477" t="s">
        <v>14086</v>
      </c>
      <c r="X2477">
        <v>1</v>
      </c>
      <c r="Y2477" t="s">
        <v>19802</v>
      </c>
      <c r="Z2477" t="s">
        <v>25539</v>
      </c>
      <c r="AA2477">
        <v>0.78890319582619151</v>
      </c>
      <c r="AB2477" t="str">
        <f>HYPERLINK("Melting_Curves/meltCurve_P49796_1_RGS3.pdf", "Melting_Curves/meltCurve_P49796_1_RGS3.pdf")</f>
        <v>Melting_Curves/meltCurve_P49796_1_RGS3.pdf</v>
      </c>
    </row>
    <row r="2478" spans="1:28" x14ac:dyDescent="0.25">
      <c r="A2478" t="s">
        <v>2482</v>
      </c>
      <c r="B2478">
        <v>0.99996721820229495</v>
      </c>
      <c r="C2478">
        <v>1.0993103481664299</v>
      </c>
      <c r="D2478">
        <v>0.97100056893213804</v>
      </c>
      <c r="E2478">
        <v>0.80617911689195298</v>
      </c>
      <c r="F2478">
        <v>0.63357256674165097</v>
      </c>
      <c r="G2478">
        <v>0.43566181761495998</v>
      </c>
      <c r="H2478">
        <v>0.21587045539140301</v>
      </c>
      <c r="I2478">
        <v>0.12109284688954999</v>
      </c>
      <c r="J2478">
        <v>0.10312759593658299</v>
      </c>
      <c r="K2478">
        <v>8.0624558452030995E-2</v>
      </c>
      <c r="L2478">
        <v>830.919686056518</v>
      </c>
      <c r="M2478">
        <v>15.085912990880599</v>
      </c>
      <c r="N2478">
        <v>55.368745739825997</v>
      </c>
      <c r="O2478">
        <v>54.1385525843856</v>
      </c>
      <c r="P2478">
        <v>-6.7027590158543093E-2</v>
      </c>
      <c r="Q2478">
        <v>3.7932165197932903E-2</v>
      </c>
      <c r="R2478">
        <v>0.98928527582126602</v>
      </c>
      <c r="S2478" t="s">
        <v>8304</v>
      </c>
      <c r="T2478" t="s">
        <v>11650</v>
      </c>
      <c r="U2478" t="s">
        <v>11650</v>
      </c>
      <c r="V2478" t="s">
        <v>11650</v>
      </c>
      <c r="W2478" t="s">
        <v>14087</v>
      </c>
      <c r="X2478">
        <v>10</v>
      </c>
      <c r="Y2478" t="s">
        <v>19803</v>
      </c>
      <c r="Z2478" t="s">
        <v>25540</v>
      </c>
      <c r="AA2478">
        <v>0.53984018005837098</v>
      </c>
      <c r="AB2478" t="str">
        <f>HYPERLINK("Melting_Curves/meltCurve_P49840_GSK3A.pdf", "Melting_Curves/meltCurve_P49840_GSK3A.pdf")</f>
        <v>Melting_Curves/meltCurve_P49840_GSK3A.pdf</v>
      </c>
    </row>
    <row r="2479" spans="1:28" x14ac:dyDescent="0.25">
      <c r="A2479" t="s">
        <v>2483</v>
      </c>
      <c r="B2479">
        <v>0.99996721820229495</v>
      </c>
      <c r="C2479">
        <v>1.0279316787691799</v>
      </c>
      <c r="D2479">
        <v>0.92747961845748905</v>
      </c>
      <c r="E2479">
        <v>0.78104666811317203</v>
      </c>
      <c r="F2479">
        <v>0.46609914115561901</v>
      </c>
      <c r="G2479">
        <v>0.228025436328153</v>
      </c>
      <c r="H2479">
        <v>0.108218444996641</v>
      </c>
      <c r="I2479">
        <v>9.3391289478960304E-2</v>
      </c>
      <c r="J2479">
        <v>5.2726962682482503E-2</v>
      </c>
      <c r="K2479">
        <v>4.4732650672753602E-2</v>
      </c>
      <c r="L2479">
        <v>1073.08983637393</v>
      </c>
      <c r="M2479">
        <v>20.396004741420001</v>
      </c>
      <c r="N2479">
        <v>52.893952636746803</v>
      </c>
      <c r="O2479">
        <v>52.114818811746503</v>
      </c>
      <c r="P2479">
        <v>-9.2817456910286297E-2</v>
      </c>
      <c r="Q2479">
        <v>5.1379192635860299E-2</v>
      </c>
      <c r="R2479">
        <v>0.99752910738983702</v>
      </c>
      <c r="S2479" t="s">
        <v>8305</v>
      </c>
      <c r="T2479" t="s">
        <v>11650</v>
      </c>
      <c r="U2479" t="s">
        <v>11650</v>
      </c>
      <c r="V2479" t="s">
        <v>11650</v>
      </c>
      <c r="W2479" t="s">
        <v>14088</v>
      </c>
      <c r="X2479">
        <v>10</v>
      </c>
      <c r="Y2479" t="s">
        <v>19804</v>
      </c>
      <c r="Z2479" t="s">
        <v>25541</v>
      </c>
      <c r="AA2479">
        <v>0.46284711839108822</v>
      </c>
      <c r="AB2479" t="str">
        <f>HYPERLINK("Melting_Curves/meltCurve_P49841_GSK3B.pdf", "Melting_Curves/meltCurve_P49841_GSK3B.pdf")</f>
        <v>Melting_Curves/meltCurve_P49841_GSK3B.pdf</v>
      </c>
    </row>
    <row r="2480" spans="1:28" x14ac:dyDescent="0.25">
      <c r="A2480" t="s">
        <v>2484</v>
      </c>
      <c r="B2480">
        <v>0.99996721820229495</v>
      </c>
      <c r="C2480">
        <v>1.00019642998903</v>
      </c>
      <c r="D2480">
        <v>1.16752089397268</v>
      </c>
      <c r="E2480">
        <v>1.70350075493655</v>
      </c>
      <c r="F2480">
        <v>2.27666868898759</v>
      </c>
      <c r="G2480">
        <v>2.99812230589712</v>
      </c>
      <c r="H2480">
        <v>1.3401349030590499</v>
      </c>
      <c r="I2480">
        <v>0.32114202436848899</v>
      </c>
      <c r="J2480">
        <v>0.233347756292731</v>
      </c>
      <c r="K2480">
        <v>0.18121800425402301</v>
      </c>
      <c r="L2480">
        <v>15000</v>
      </c>
      <c r="M2480">
        <v>236.15823853822201</v>
      </c>
      <c r="N2480">
        <v>63.6610073457543</v>
      </c>
      <c r="O2480">
        <v>63.512178906311298</v>
      </c>
      <c r="P2480">
        <v>-0.736950178817804</v>
      </c>
      <c r="Q2480">
        <v>0.20722119527822899</v>
      </c>
      <c r="R2480">
        <v>0.16349232447218301</v>
      </c>
      <c r="S2480" t="s">
        <v>8306</v>
      </c>
      <c r="T2480" t="s">
        <v>11650</v>
      </c>
      <c r="U2480" t="s">
        <v>11650</v>
      </c>
      <c r="V2480" t="s">
        <v>11650</v>
      </c>
      <c r="W2480" t="s">
        <v>14089</v>
      </c>
      <c r="X2480">
        <v>18</v>
      </c>
      <c r="Y2480" t="s">
        <v>19805</v>
      </c>
      <c r="Z2480" t="s">
        <v>25542</v>
      </c>
      <c r="AA2480">
        <v>0.82877250616707987</v>
      </c>
      <c r="AB2480" t="str">
        <f>HYPERLINK("Melting_Curves/meltCurve_P49902_NT5C2.pdf", "Melting_Curves/meltCurve_P49902_NT5C2.pdf")</f>
        <v>Melting_Curves/meltCurve_P49902_NT5C2.pdf</v>
      </c>
    </row>
    <row r="2481" spans="1:28" x14ac:dyDescent="0.25">
      <c r="A2481" t="s">
        <v>2485</v>
      </c>
      <c r="B2481">
        <v>0.99996721820229495</v>
      </c>
      <c r="C2481">
        <v>1.00749010159407</v>
      </c>
      <c r="D2481">
        <v>1.04378453090749</v>
      </c>
      <c r="E2481">
        <v>1.1737463317477901</v>
      </c>
      <c r="F2481">
        <v>1.5327664133668599</v>
      </c>
      <c r="G2481">
        <v>1.80502225289463</v>
      </c>
      <c r="H2481">
        <v>1.2735263262346199</v>
      </c>
      <c r="I2481">
        <v>1.00130539433148</v>
      </c>
      <c r="J2481">
        <v>0.67650383221100596</v>
      </c>
      <c r="K2481">
        <v>0.59306890393538902</v>
      </c>
      <c r="L2481">
        <v>15000</v>
      </c>
      <c r="M2481">
        <v>225.23561144487101</v>
      </c>
      <c r="O2481">
        <v>66.591678611134597</v>
      </c>
      <c r="P2481">
        <v>-0.34410121731269599</v>
      </c>
      <c r="Q2481">
        <v>0.59306119529601697</v>
      </c>
      <c r="R2481">
        <v>0.124444008810715</v>
      </c>
      <c r="S2481" t="s">
        <v>8307</v>
      </c>
      <c r="T2481" t="s">
        <v>11650</v>
      </c>
      <c r="U2481" t="s">
        <v>11650</v>
      </c>
      <c r="V2481" t="s">
        <v>11650</v>
      </c>
      <c r="W2481" t="s">
        <v>14090</v>
      </c>
      <c r="X2481">
        <v>10</v>
      </c>
      <c r="Y2481" t="s">
        <v>19806</v>
      </c>
      <c r="Z2481" t="s">
        <v>25543</v>
      </c>
      <c r="AA2481">
        <v>0.95389713012796562</v>
      </c>
      <c r="AB2481" t="str">
        <f>HYPERLINK("Melting_Curves/meltCurve_P49903_SEPHS1.pdf", "Melting_Curves/meltCurve_P49903_SEPHS1.pdf")</f>
        <v>Melting_Curves/meltCurve_P49903_SEPHS1.pdf</v>
      </c>
    </row>
    <row r="2482" spans="1:28" x14ac:dyDescent="0.25">
      <c r="A2482" t="s">
        <v>2486</v>
      </c>
      <c r="B2482">
        <v>0.99996721820229495</v>
      </c>
      <c r="C2482">
        <v>0.75228301463591096</v>
      </c>
      <c r="D2482">
        <v>0.60013202894056505</v>
      </c>
      <c r="E2482">
        <v>0.55997030311099305</v>
      </c>
      <c r="F2482">
        <v>0.28670066154139301</v>
      </c>
      <c r="G2482">
        <v>0.232253395680837</v>
      </c>
      <c r="H2482">
        <v>0.144377662941652</v>
      </c>
      <c r="I2482">
        <v>7.6736336378717199E-2</v>
      </c>
      <c r="J2482">
        <v>5.5629798335637602E-2</v>
      </c>
      <c r="K2482">
        <v>6.02194791198759E-2</v>
      </c>
      <c r="L2482">
        <v>476.28648657257497</v>
      </c>
      <c r="M2482">
        <v>9.6680291794892099</v>
      </c>
      <c r="N2482">
        <v>49.264072124434797</v>
      </c>
      <c r="O2482">
        <v>47.294864631379703</v>
      </c>
      <c r="P2482">
        <v>-5.11333440675307E-2</v>
      </c>
      <c r="Q2482">
        <v>0</v>
      </c>
      <c r="R2482">
        <v>0.97037181096734504</v>
      </c>
      <c r="S2482" t="s">
        <v>8308</v>
      </c>
      <c r="T2482" t="s">
        <v>11650</v>
      </c>
      <c r="U2482" t="s">
        <v>11650</v>
      </c>
      <c r="V2482" t="s">
        <v>11650</v>
      </c>
      <c r="W2482" t="s">
        <v>14091</v>
      </c>
      <c r="X2482">
        <v>5</v>
      </c>
      <c r="Y2482" t="s">
        <v>19807</v>
      </c>
      <c r="Z2482" t="s">
        <v>25544</v>
      </c>
      <c r="AA2482">
        <v>0.35910380294238559</v>
      </c>
      <c r="AB2482" t="str">
        <f>HYPERLINK("Melting_Curves/meltCurve_P49914_MTHFS.pdf", "Melting_Curves/meltCurve_P49914_MTHFS.pdf")</f>
        <v>Melting_Curves/meltCurve_P49914_MTHFS.pdf</v>
      </c>
    </row>
    <row r="2483" spans="1:28" x14ac:dyDescent="0.25">
      <c r="A2483" t="s">
        <v>2487</v>
      </c>
      <c r="B2483">
        <v>0.99996721820229495</v>
      </c>
      <c r="C2483">
        <v>0.96566053945402297</v>
      </c>
      <c r="D2483">
        <v>0.93980271501617396</v>
      </c>
      <c r="E2483">
        <v>0.86283925477344403</v>
      </c>
      <c r="F2483">
        <v>0.29595301261934798</v>
      </c>
      <c r="G2483">
        <v>0.203214583098657</v>
      </c>
      <c r="H2483">
        <v>0.121649508255131</v>
      </c>
      <c r="I2483">
        <v>8.1351776190125402E-2</v>
      </c>
      <c r="J2483">
        <v>5.9481943855771401E-2</v>
      </c>
      <c r="K2483">
        <v>5.4887819897381097E-2</v>
      </c>
      <c r="L2483">
        <v>2478.69544492363</v>
      </c>
      <c r="M2483">
        <v>47.956364866906199</v>
      </c>
      <c r="N2483">
        <v>51.927896344474497</v>
      </c>
      <c r="O2483">
        <v>51.596841004309702</v>
      </c>
      <c r="P2483">
        <v>-0.20914400700222699</v>
      </c>
      <c r="Q2483">
        <v>9.9918554667643197E-2</v>
      </c>
      <c r="R2483">
        <v>0.98886196020039596</v>
      </c>
      <c r="S2483" t="s">
        <v>8309</v>
      </c>
      <c r="T2483" t="s">
        <v>11650</v>
      </c>
      <c r="U2483" t="s">
        <v>11650</v>
      </c>
      <c r="V2483" t="s">
        <v>11650</v>
      </c>
      <c r="W2483" t="s">
        <v>14092</v>
      </c>
      <c r="X2483">
        <v>25</v>
      </c>
      <c r="Y2483" t="s">
        <v>19808</v>
      </c>
      <c r="Z2483" t="s">
        <v>25545</v>
      </c>
      <c r="AA2483">
        <v>0.45277614700904328</v>
      </c>
      <c r="AB2483" t="str">
        <f>HYPERLINK("Melting_Curves/meltCurve_P49915_GMPS.pdf", "Melting_Curves/meltCurve_P49915_GMPS.pdf")</f>
        <v>Melting_Curves/meltCurve_P49915_GMPS.pdf</v>
      </c>
    </row>
    <row r="2484" spans="1:28" x14ac:dyDescent="0.25">
      <c r="A2484" t="s">
        <v>2488</v>
      </c>
      <c r="B2484">
        <v>0.99996721820229495</v>
      </c>
      <c r="C2484">
        <v>0.84964525631693999</v>
      </c>
      <c r="D2484">
        <v>0.77095235630256898</v>
      </c>
      <c r="E2484">
        <v>0.96438447432320096</v>
      </c>
      <c r="F2484">
        <v>1.11299885164669</v>
      </c>
      <c r="G2484">
        <v>0.71552998772711496</v>
      </c>
      <c r="H2484">
        <v>0.44277420994425298</v>
      </c>
      <c r="I2484">
        <v>0.29932091555840901</v>
      </c>
      <c r="J2484">
        <v>0.15367963295289999</v>
      </c>
      <c r="K2484">
        <v>0.140374756577897</v>
      </c>
      <c r="L2484">
        <v>1458.3316225032199</v>
      </c>
      <c r="M2484">
        <v>24.507625491920098</v>
      </c>
      <c r="N2484">
        <v>60.217212203134302</v>
      </c>
      <c r="O2484">
        <v>59.113262410138098</v>
      </c>
      <c r="P2484">
        <v>-9.0611197134673804E-2</v>
      </c>
      <c r="Q2484">
        <v>0.12578287697316701</v>
      </c>
      <c r="R2484">
        <v>0.90948603908486203</v>
      </c>
      <c r="S2484" t="s">
        <v>8310</v>
      </c>
      <c r="T2484" t="s">
        <v>11650</v>
      </c>
      <c r="U2484" t="s">
        <v>11650</v>
      </c>
      <c r="V2484" t="s">
        <v>11650</v>
      </c>
      <c r="W2484" t="s">
        <v>14093</v>
      </c>
      <c r="X2484">
        <v>8</v>
      </c>
      <c r="Y2484" t="s">
        <v>19809</v>
      </c>
      <c r="Z2484" t="s">
        <v>25546</v>
      </c>
      <c r="AA2484">
        <v>0.70117257292971868</v>
      </c>
      <c r="AB2484" t="str">
        <f>HYPERLINK("Melting_Curves/meltCurve_P49959_MRE11A.pdf", "Melting_Curves/meltCurve_P49959_MRE11A.pdf")</f>
        <v>Melting_Curves/meltCurve_P49959_MRE11A.pdf</v>
      </c>
    </row>
    <row r="2485" spans="1:28" x14ac:dyDescent="0.25">
      <c r="A2485" t="s">
        <v>2489</v>
      </c>
      <c r="B2485">
        <v>0.99996721820229495</v>
      </c>
      <c r="C2485">
        <v>0.89080269697069603</v>
      </c>
      <c r="D2485">
        <v>0.78448890489235601</v>
      </c>
      <c r="E2485">
        <v>0.89862662466625798</v>
      </c>
      <c r="F2485">
        <v>0.45803706476339301</v>
      </c>
      <c r="G2485">
        <v>0.17874664666005399</v>
      </c>
      <c r="H2485">
        <v>8.5041102984310404E-2</v>
      </c>
      <c r="I2485">
        <v>5.7128316144697301E-2</v>
      </c>
      <c r="J2485">
        <v>4.4148876787080099E-2</v>
      </c>
      <c r="K2485">
        <v>3.6437891770546599E-2</v>
      </c>
      <c r="L2485">
        <v>1291.76224510414</v>
      </c>
      <c r="M2485">
        <v>24.459351946315302</v>
      </c>
      <c r="N2485">
        <v>52.993640090766498</v>
      </c>
      <c r="O2485">
        <v>52.463390246043303</v>
      </c>
      <c r="P2485">
        <v>-0.111884590609077</v>
      </c>
      <c r="Q2485">
        <v>4.0079454777809699E-2</v>
      </c>
      <c r="R2485">
        <v>0.96158255405839199</v>
      </c>
      <c r="S2485" t="s">
        <v>8311</v>
      </c>
      <c r="T2485" t="s">
        <v>11650</v>
      </c>
      <c r="U2485" t="s">
        <v>11650</v>
      </c>
      <c r="V2485" t="s">
        <v>11650</v>
      </c>
      <c r="W2485" t="s">
        <v>14094</v>
      </c>
      <c r="X2485">
        <v>11</v>
      </c>
      <c r="Y2485" t="s">
        <v>19810</v>
      </c>
      <c r="Z2485" t="s">
        <v>25547</v>
      </c>
      <c r="AA2485">
        <v>0.4592455250436614</v>
      </c>
      <c r="AB2485" t="str">
        <f>HYPERLINK("Melting_Curves/meltCurve_P50135_HNMT.pdf", "Melting_Curves/meltCurve_P50135_HNMT.pdf")</f>
        <v>Melting_Curves/meltCurve_P50135_HNMT.pdf</v>
      </c>
    </row>
    <row r="2486" spans="1:28" x14ac:dyDescent="0.25">
      <c r="A2486" t="s">
        <v>2490</v>
      </c>
      <c r="B2486">
        <v>0.99996721820229495</v>
      </c>
      <c r="C2486">
        <v>0.73683919294482203</v>
      </c>
      <c r="D2486">
        <v>0.829131528557425</v>
      </c>
      <c r="E2486">
        <v>1.0325655384065699</v>
      </c>
      <c r="F2486">
        <v>1.4230836218838601</v>
      </c>
      <c r="G2486">
        <v>0.79704993290985904</v>
      </c>
      <c r="H2486">
        <v>0.22041421091658001</v>
      </c>
      <c r="I2486">
        <v>0.14939362171889001</v>
      </c>
      <c r="J2486">
        <v>0.10498765275267501</v>
      </c>
      <c r="K2486">
        <v>0.10076949765311601</v>
      </c>
      <c r="L2486">
        <v>3172.49552106907</v>
      </c>
      <c r="M2486">
        <v>54.313100832258499</v>
      </c>
      <c r="N2486">
        <v>58.709702020222998</v>
      </c>
      <c r="O2486">
        <v>58.332213673391898</v>
      </c>
      <c r="P2486">
        <v>-0.20469250475489001</v>
      </c>
      <c r="Q2486">
        <v>0.120642390630273</v>
      </c>
      <c r="R2486">
        <v>0.855448383787627</v>
      </c>
      <c r="S2486" t="s">
        <v>8312</v>
      </c>
      <c r="T2486" t="s">
        <v>11650</v>
      </c>
      <c r="U2486" t="s">
        <v>11650</v>
      </c>
      <c r="V2486" t="s">
        <v>11650</v>
      </c>
      <c r="W2486" t="s">
        <v>14095</v>
      </c>
      <c r="X2486">
        <v>17</v>
      </c>
      <c r="Y2486" t="s">
        <v>19811</v>
      </c>
      <c r="Z2486" t="s">
        <v>25548</v>
      </c>
      <c r="AA2486">
        <v>0.66222376319450871</v>
      </c>
      <c r="AB2486" t="str">
        <f>HYPERLINK("Melting_Curves/meltCurve_P50148_GNAQ.pdf", "Melting_Curves/meltCurve_P50148_GNAQ.pdf")</f>
        <v>Melting_Curves/meltCurve_P50148_GNAQ.pdf</v>
      </c>
    </row>
    <row r="2487" spans="1:28" x14ac:dyDescent="0.25">
      <c r="A2487" t="s">
        <v>2491</v>
      </c>
      <c r="B2487">
        <v>0.99996721820229495</v>
      </c>
      <c r="C2487">
        <v>0.91389250153651103</v>
      </c>
      <c r="D2487">
        <v>1.01775860039012</v>
      </c>
      <c r="E2487">
        <v>1.0722965994106799</v>
      </c>
      <c r="F2487">
        <v>1.36791517351683</v>
      </c>
      <c r="G2487">
        <v>1.67970230144844</v>
      </c>
      <c r="H2487">
        <v>1.1914917241662599</v>
      </c>
      <c r="I2487">
        <v>1.1229804788530999</v>
      </c>
      <c r="J2487">
        <v>1.08361832544748</v>
      </c>
      <c r="K2487">
        <v>0.69740877069941598</v>
      </c>
      <c r="L2487">
        <v>15000</v>
      </c>
      <c r="M2487">
        <v>213.45066991450699</v>
      </c>
      <c r="Q2487">
        <v>0</v>
      </c>
      <c r="R2487">
        <v>-6.3602233159702107E-2</v>
      </c>
      <c r="S2487" t="s">
        <v>8313</v>
      </c>
      <c r="T2487" t="s">
        <v>11650</v>
      </c>
      <c r="U2487" t="s">
        <v>11650</v>
      </c>
      <c r="V2487" t="s">
        <v>11650</v>
      </c>
      <c r="W2487" t="s">
        <v>14096</v>
      </c>
      <c r="X2487">
        <v>6</v>
      </c>
      <c r="Y2487" t="s">
        <v>19812</v>
      </c>
      <c r="Z2487" t="s">
        <v>25549</v>
      </c>
      <c r="AA2487">
        <v>0.99611548505286851</v>
      </c>
      <c r="AB2487" t="str">
        <f>HYPERLINK("Melting_Curves/meltCurve_P50151_GNG10.pdf", "Melting_Curves/meltCurve_P50151_GNG10.pdf")</f>
        <v>Melting_Curves/meltCurve_P50151_GNG10.pdf</v>
      </c>
    </row>
    <row r="2488" spans="1:28" x14ac:dyDescent="0.25">
      <c r="A2488" t="s">
        <v>2492</v>
      </c>
      <c r="B2488">
        <v>0.99996721820229495</v>
      </c>
      <c r="C2488">
        <v>1.0243838106740599</v>
      </c>
      <c r="D2488">
        <v>1.0392646854312</v>
      </c>
      <c r="E2488">
        <v>1.1158919233629501</v>
      </c>
      <c r="F2488">
        <v>1.5946979915225401</v>
      </c>
      <c r="G2488">
        <v>0.90293828864582004</v>
      </c>
      <c r="H2488">
        <v>0.34879986840669602</v>
      </c>
      <c r="I2488">
        <v>0.19131062041281699</v>
      </c>
      <c r="J2488">
        <v>0.14978751208236299</v>
      </c>
      <c r="K2488">
        <v>0.12727638850742201</v>
      </c>
      <c r="L2488">
        <v>3062.5716977168499</v>
      </c>
      <c r="M2488">
        <v>51.385235687275902</v>
      </c>
      <c r="N2488">
        <v>60.0060110626723</v>
      </c>
      <c r="O2488">
        <v>59.510172614008503</v>
      </c>
      <c r="P2488">
        <v>-0.18418463306760599</v>
      </c>
      <c r="Q2488">
        <v>0.14677050327969901</v>
      </c>
      <c r="R2488">
        <v>0.83909054425755103</v>
      </c>
      <c r="S2488" t="s">
        <v>8314</v>
      </c>
      <c r="T2488" t="s">
        <v>11650</v>
      </c>
      <c r="U2488" t="s">
        <v>11650</v>
      </c>
      <c r="V2488" t="s">
        <v>11650</v>
      </c>
      <c r="W2488" t="s">
        <v>14097</v>
      </c>
      <c r="X2488">
        <v>18</v>
      </c>
      <c r="Y2488" t="s">
        <v>19813</v>
      </c>
      <c r="Z2488" t="s">
        <v>25550</v>
      </c>
      <c r="AA2488">
        <v>0.70632032701346481</v>
      </c>
      <c r="AB2488" t="str">
        <f>HYPERLINK("Melting_Curves/meltCurve_P50213_IDH3A.pdf", "Melting_Curves/meltCurve_P50213_IDH3A.pdf")</f>
        <v>Melting_Curves/meltCurve_P50213_IDH3A.pdf</v>
      </c>
    </row>
    <row r="2489" spans="1:28" x14ac:dyDescent="0.25">
      <c r="A2489" t="s">
        <v>2493</v>
      </c>
      <c r="B2489">
        <v>0.99996721820229495</v>
      </c>
      <c r="C2489">
        <v>1.12124410847418</v>
      </c>
      <c r="D2489">
        <v>0.82071472050502703</v>
      </c>
      <c r="E2489">
        <v>0.44802733552100399</v>
      </c>
      <c r="F2489">
        <v>0.423875726379704</v>
      </c>
      <c r="G2489">
        <v>0.21900460633534299</v>
      </c>
      <c r="H2489">
        <v>0.119500944687915</v>
      </c>
      <c r="I2489">
        <v>7.4698400511315793E-2</v>
      </c>
      <c r="J2489">
        <v>5.3463804733368397E-2</v>
      </c>
      <c r="K2489">
        <v>4.87582969912006E-2</v>
      </c>
      <c r="L2489">
        <v>826.29434820916197</v>
      </c>
      <c r="M2489">
        <v>16.408374928102301</v>
      </c>
      <c r="N2489">
        <v>50.746364368861698</v>
      </c>
      <c r="O2489">
        <v>49.6279314747987</v>
      </c>
      <c r="P2489">
        <v>-7.7786333140258998E-2</v>
      </c>
      <c r="Q2489">
        <v>5.8992574704897403E-2</v>
      </c>
      <c r="R2489">
        <v>0.96651900588949902</v>
      </c>
      <c r="S2489" t="s">
        <v>8315</v>
      </c>
      <c r="T2489" t="s">
        <v>11650</v>
      </c>
      <c r="U2489" t="s">
        <v>11650</v>
      </c>
      <c r="V2489" t="s">
        <v>11650</v>
      </c>
      <c r="W2489" t="s">
        <v>14098</v>
      </c>
      <c r="X2489">
        <v>6</v>
      </c>
      <c r="Y2489" t="s">
        <v>19814</v>
      </c>
      <c r="Z2489" t="s">
        <v>25551</v>
      </c>
      <c r="AA2489">
        <v>0.40282611621766368</v>
      </c>
      <c r="AB2489" t="str">
        <f>HYPERLINK("Melting_Curves/meltCurve_P50224_SULT1A3.pdf", "Melting_Curves/meltCurve_P50224_SULT1A3.pdf")</f>
        <v>Melting_Curves/meltCurve_P50224_SULT1A3.pdf</v>
      </c>
    </row>
    <row r="2490" spans="1:28" x14ac:dyDescent="0.25">
      <c r="A2490" t="s">
        <v>2494</v>
      </c>
      <c r="B2490">
        <v>0.99996721820229495</v>
      </c>
      <c r="C2490">
        <v>0.94768091951962197</v>
      </c>
      <c r="D2490">
        <v>0.85398393496247904</v>
      </c>
      <c r="E2490">
        <v>0.46865694860227403</v>
      </c>
      <c r="F2490">
        <v>0.34297085790649201</v>
      </c>
      <c r="G2490">
        <v>0.35982577917908898</v>
      </c>
      <c r="H2490">
        <v>0.188677118203847</v>
      </c>
      <c r="I2490">
        <v>0.150713391126332</v>
      </c>
      <c r="J2490">
        <v>0.10166871477016901</v>
      </c>
      <c r="K2490">
        <v>7.9851044401449398E-2</v>
      </c>
      <c r="L2490">
        <v>733.54012633549996</v>
      </c>
      <c r="M2490">
        <v>14.717062178073601</v>
      </c>
      <c r="N2490">
        <v>50.742077718982202</v>
      </c>
      <c r="O2490">
        <v>48.949708349148501</v>
      </c>
      <c r="P2490">
        <v>-6.6543543026999094E-2</v>
      </c>
      <c r="Q2490">
        <v>0.114787323406344</v>
      </c>
      <c r="R2490">
        <v>0.97358966516011702</v>
      </c>
      <c r="S2490" t="s">
        <v>8316</v>
      </c>
      <c r="T2490" t="s">
        <v>11650</v>
      </c>
      <c r="U2490" t="s">
        <v>11650</v>
      </c>
      <c r="V2490" t="s">
        <v>11650</v>
      </c>
      <c r="W2490" t="s">
        <v>14099</v>
      </c>
      <c r="X2490">
        <v>5</v>
      </c>
      <c r="Y2490" t="s">
        <v>19815</v>
      </c>
      <c r="Z2490" t="s">
        <v>25552</v>
      </c>
      <c r="AA2490">
        <v>0.42716992416236571</v>
      </c>
      <c r="AB2490" t="str">
        <f>HYPERLINK("Melting_Curves/meltCurve_P50225_SULT1A1.pdf", "Melting_Curves/meltCurve_P50225_SULT1A1.pdf")</f>
        <v>Melting_Curves/meltCurve_P50225_SULT1A1.pdf</v>
      </c>
    </row>
    <row r="2491" spans="1:28" x14ac:dyDescent="0.25">
      <c r="A2491" t="s">
        <v>2495</v>
      </c>
      <c r="B2491">
        <v>0.99996721820229495</v>
      </c>
      <c r="C2491">
        <v>0.96495979348056404</v>
      </c>
      <c r="D2491">
        <v>0.87086692990021997</v>
      </c>
      <c r="E2491">
        <v>0.87911376586246803</v>
      </c>
      <c r="F2491">
        <v>1.0280764279438801</v>
      </c>
      <c r="G2491">
        <v>1.10229348905226</v>
      </c>
      <c r="H2491">
        <v>0.81443510920788897</v>
      </c>
      <c r="I2491">
        <v>0.77594962562845204</v>
      </c>
      <c r="J2491">
        <v>0.63164095602513104</v>
      </c>
      <c r="K2491">
        <v>0.46432489699603002</v>
      </c>
      <c r="L2491">
        <v>1321.0940987747899</v>
      </c>
      <c r="M2491">
        <v>19.9368271963369</v>
      </c>
      <c r="N2491">
        <v>69.364292455757194</v>
      </c>
      <c r="O2491">
        <v>65.608135874167303</v>
      </c>
      <c r="P2491">
        <v>-5.3568070773604003E-2</v>
      </c>
      <c r="Q2491">
        <v>0.29489574301593302</v>
      </c>
      <c r="R2491">
        <v>0.83064773574781503</v>
      </c>
      <c r="S2491" t="s">
        <v>8317</v>
      </c>
      <c r="T2491" t="s">
        <v>11650</v>
      </c>
      <c r="U2491" t="s">
        <v>11650</v>
      </c>
      <c r="V2491" t="s">
        <v>11650</v>
      </c>
      <c r="W2491" t="s">
        <v>14100</v>
      </c>
      <c r="X2491">
        <v>5</v>
      </c>
      <c r="Y2491" t="s">
        <v>19816</v>
      </c>
      <c r="Z2491" t="s">
        <v>25553</v>
      </c>
      <c r="AA2491">
        <v>0.89614657511843321</v>
      </c>
      <c r="AB2491" t="str">
        <f>HYPERLINK("Melting_Curves/meltCurve_P50238_CRIP1.pdf", "Melting_Curves/meltCurve_P50238_CRIP1.pdf")</f>
        <v>Melting_Curves/meltCurve_P50238_CRIP1.pdf</v>
      </c>
    </row>
    <row r="2492" spans="1:28" x14ac:dyDescent="0.25">
      <c r="A2492" t="s">
        <v>2496</v>
      </c>
      <c r="B2492">
        <v>0.99996721820229495</v>
      </c>
      <c r="C2492">
        <v>0.82024260335740296</v>
      </c>
      <c r="D2492">
        <v>0.85331891456700804</v>
      </c>
      <c r="E2492">
        <v>1.00658335481318</v>
      </c>
      <c r="F2492">
        <v>1.20240214971854</v>
      </c>
      <c r="G2492">
        <v>0.99465169825797894</v>
      </c>
      <c r="H2492">
        <v>0.51157301231076002</v>
      </c>
      <c r="I2492">
        <v>0.31536158862438002</v>
      </c>
      <c r="J2492">
        <v>0.27987441004264302</v>
      </c>
      <c r="K2492">
        <v>0.204601018616104</v>
      </c>
      <c r="L2492">
        <v>3383.95925956886</v>
      </c>
      <c r="M2492">
        <v>56.059251453607203</v>
      </c>
      <c r="N2492">
        <v>61.135384367679599</v>
      </c>
      <c r="O2492">
        <v>60.287305562788902</v>
      </c>
      <c r="P2492">
        <v>-0.17353033432633599</v>
      </c>
      <c r="Q2492">
        <v>0.25352762463120199</v>
      </c>
      <c r="R2492">
        <v>0.91444548326211506</v>
      </c>
      <c r="S2492" t="s">
        <v>8318</v>
      </c>
      <c r="T2492" t="s">
        <v>11650</v>
      </c>
      <c r="U2492" t="s">
        <v>11650</v>
      </c>
      <c r="V2492" t="s">
        <v>11650</v>
      </c>
      <c r="W2492" t="s">
        <v>14101</v>
      </c>
      <c r="X2492">
        <v>17</v>
      </c>
      <c r="Y2492" t="s">
        <v>19817</v>
      </c>
      <c r="Z2492" t="s">
        <v>25554</v>
      </c>
      <c r="AA2492">
        <v>0.7617950594609314</v>
      </c>
      <c r="AB2492" t="str">
        <f>HYPERLINK("Melting_Curves/meltCurve_P50281_MMP14.pdf", "Melting_Curves/meltCurve_P50281_MMP14.pdf")</f>
        <v>Melting_Curves/meltCurve_P50281_MMP14.pdf</v>
      </c>
    </row>
    <row r="2493" spans="1:28" x14ac:dyDescent="0.25">
      <c r="A2493" t="s">
        <v>2497</v>
      </c>
      <c r="B2493">
        <v>0.99996721820229495</v>
      </c>
      <c r="C2493">
        <v>0.83787105818907504</v>
      </c>
      <c r="D2493">
        <v>0.81403124779040104</v>
      </c>
      <c r="E2493">
        <v>0.78379105793590198</v>
      </c>
      <c r="F2493">
        <v>0.39188050569911298</v>
      </c>
      <c r="G2493">
        <v>0.298840341327201</v>
      </c>
      <c r="H2493">
        <v>0.20478904514211099</v>
      </c>
      <c r="I2493">
        <v>0.16329993050320399</v>
      </c>
      <c r="J2493">
        <v>0.14145395435181601</v>
      </c>
      <c r="K2493">
        <v>0.10445762333907201</v>
      </c>
      <c r="L2493">
        <v>624.35479397399001</v>
      </c>
      <c r="M2493">
        <v>11.99845337148</v>
      </c>
      <c r="N2493">
        <v>52.669916214081702</v>
      </c>
      <c r="O2493">
        <v>50.654022319519498</v>
      </c>
      <c r="P2493">
        <v>-5.5251197010427397E-2</v>
      </c>
      <c r="Q2493">
        <v>6.7206271179732296E-2</v>
      </c>
      <c r="R2493">
        <v>0.96450818270123395</v>
      </c>
      <c r="S2493" t="s">
        <v>8319</v>
      </c>
      <c r="T2493" t="s">
        <v>11650</v>
      </c>
      <c r="U2493" t="s">
        <v>11650</v>
      </c>
      <c r="V2493" t="s">
        <v>11650</v>
      </c>
      <c r="W2493" t="s">
        <v>14102</v>
      </c>
      <c r="X2493">
        <v>9</v>
      </c>
      <c r="Y2493" t="s">
        <v>19818</v>
      </c>
      <c r="Z2493" t="s">
        <v>25555</v>
      </c>
      <c r="AA2493">
        <v>0.46993337940267521</v>
      </c>
      <c r="AB2493" t="str">
        <f>HYPERLINK("Melting_Curves/meltCurve_P50336_PPOX.pdf", "Melting_Curves/meltCurve_P50336_PPOX.pdf")</f>
        <v>Melting_Curves/meltCurve_P50336_PPOX.pdf</v>
      </c>
    </row>
    <row r="2494" spans="1:28" x14ac:dyDescent="0.25">
      <c r="A2494" t="s">
        <v>2498</v>
      </c>
      <c r="B2494">
        <v>0.99996721820229495</v>
      </c>
      <c r="C2494">
        <v>0.94456824966631503</v>
      </c>
      <c r="D2494">
        <v>0.97216270029541596</v>
      </c>
      <c r="E2494">
        <v>0.97248320488114004</v>
      </c>
      <c r="F2494">
        <v>0.89035864554323696</v>
      </c>
      <c r="G2494">
        <v>0.96505880432520197</v>
      </c>
      <c r="H2494">
        <v>0.73960184507267002</v>
      </c>
      <c r="I2494">
        <v>0.65958018920615302</v>
      </c>
      <c r="J2494">
        <v>0.60991551411496103</v>
      </c>
      <c r="K2494">
        <v>0.52539292935329196</v>
      </c>
      <c r="L2494">
        <v>765.58199326799695</v>
      </c>
      <c r="M2494">
        <v>11.9590708882135</v>
      </c>
      <c r="O2494">
        <v>62.305640775944603</v>
      </c>
      <c r="P2494">
        <v>-3.0931464854581099E-2</v>
      </c>
      <c r="Q2494">
        <v>0.35555740919128498</v>
      </c>
      <c r="R2494">
        <v>0.94399861123601603</v>
      </c>
      <c r="S2494" t="s">
        <v>8320</v>
      </c>
      <c r="T2494" t="s">
        <v>11650</v>
      </c>
      <c r="U2494" t="s">
        <v>11650</v>
      </c>
      <c r="V2494" t="s">
        <v>11650</v>
      </c>
      <c r="W2494" t="s">
        <v>14103</v>
      </c>
      <c r="X2494">
        <v>12</v>
      </c>
      <c r="Y2494" t="s">
        <v>19819</v>
      </c>
      <c r="Z2494" t="s">
        <v>25556</v>
      </c>
      <c r="AA2494">
        <v>0.85240959231394742</v>
      </c>
      <c r="AB2494" t="str">
        <f>HYPERLINK("Melting_Curves/meltCurve_P50402_EMD.pdf", "Melting_Curves/meltCurve_P50402_EMD.pdf")</f>
        <v>Melting_Curves/meltCurve_P50402_EMD.pdf</v>
      </c>
    </row>
    <row r="2495" spans="1:28" x14ac:dyDescent="0.25">
      <c r="A2495" t="s">
        <v>2499</v>
      </c>
      <c r="B2495">
        <v>0.99996721820229495</v>
      </c>
      <c r="C2495">
        <v>0.92355450597211097</v>
      </c>
      <c r="D2495">
        <v>0.95064961200751696</v>
      </c>
      <c r="E2495">
        <v>0.72145614800881497</v>
      </c>
      <c r="F2495">
        <v>0.65789497194720903</v>
      </c>
      <c r="G2495">
        <v>0.54108281021931204</v>
      </c>
      <c r="H2495">
        <v>0.40223898012797599</v>
      </c>
      <c r="I2495">
        <v>0.30044691210041302</v>
      </c>
      <c r="J2495">
        <v>0.23339980352756501</v>
      </c>
      <c r="K2495">
        <v>0.19132666421983799</v>
      </c>
      <c r="L2495">
        <v>476.14530498285598</v>
      </c>
      <c r="M2495">
        <v>8.2914340736496897</v>
      </c>
      <c r="N2495">
        <v>57.558334958580303</v>
      </c>
      <c r="O2495">
        <v>54.376569940314702</v>
      </c>
      <c r="P2495">
        <v>-3.77983712413359E-2</v>
      </c>
      <c r="Q2495">
        <v>9.4284671124420707E-3</v>
      </c>
      <c r="R2495">
        <v>0.98936982519671501</v>
      </c>
      <c r="S2495" t="s">
        <v>8321</v>
      </c>
      <c r="T2495" t="s">
        <v>11650</v>
      </c>
      <c r="U2495" t="s">
        <v>11650</v>
      </c>
      <c r="V2495" t="s">
        <v>11650</v>
      </c>
      <c r="W2495" t="s">
        <v>14104</v>
      </c>
      <c r="X2495">
        <v>8</v>
      </c>
      <c r="Y2495" t="s">
        <v>19820</v>
      </c>
      <c r="Z2495" t="s">
        <v>25557</v>
      </c>
      <c r="AA2495">
        <v>0.59419299906614609</v>
      </c>
      <c r="AB2495" t="str">
        <f>HYPERLINK("Melting_Curves/meltCurve_P50416_CPT1A.pdf", "Melting_Curves/meltCurve_P50416_CPT1A.pdf")</f>
        <v>Melting_Curves/meltCurve_P50416_CPT1A.pdf</v>
      </c>
    </row>
    <row r="2496" spans="1:28" x14ac:dyDescent="0.25">
      <c r="A2496" t="s">
        <v>2500</v>
      </c>
      <c r="B2496">
        <v>0.99996721820229495</v>
      </c>
      <c r="C2496">
        <v>0.95895087271561597</v>
      </c>
      <c r="D2496">
        <v>0.94474948293684402</v>
      </c>
      <c r="E2496">
        <v>0.85974485963254399</v>
      </c>
      <c r="F2496">
        <v>1.1939951786445899</v>
      </c>
      <c r="G2496">
        <v>1.4463877351130301</v>
      </c>
      <c r="H2496">
        <v>0.74630742024976204</v>
      </c>
      <c r="I2496">
        <v>0.25329247004924099</v>
      </c>
      <c r="J2496">
        <v>0.156074509210823</v>
      </c>
      <c r="K2496">
        <v>0.11133065777414999</v>
      </c>
      <c r="L2496">
        <v>4069.1174055961701</v>
      </c>
      <c r="M2496">
        <v>65.723676993895097</v>
      </c>
      <c r="N2496">
        <v>62.2216544826003</v>
      </c>
      <c r="O2496">
        <v>61.855260515217999</v>
      </c>
      <c r="P2496">
        <v>-0.22863333100514699</v>
      </c>
      <c r="Q2496">
        <v>0.139295251655461</v>
      </c>
      <c r="R2496">
        <v>0.85573213837491002</v>
      </c>
      <c r="S2496" t="s">
        <v>8322</v>
      </c>
      <c r="T2496" t="s">
        <v>11650</v>
      </c>
      <c r="U2496" t="s">
        <v>11650</v>
      </c>
      <c r="V2496" t="s">
        <v>11650</v>
      </c>
      <c r="W2496" t="s">
        <v>14105</v>
      </c>
      <c r="X2496">
        <v>19</v>
      </c>
      <c r="Y2496" t="s">
        <v>19821</v>
      </c>
      <c r="Z2496" t="s">
        <v>25558</v>
      </c>
      <c r="AA2496">
        <v>0.76930762236243855</v>
      </c>
      <c r="AB2496" t="str">
        <f>HYPERLINK("Melting_Curves/meltCurve_P50452_SERPINB8.pdf", "Melting_Curves/meltCurve_P50452_SERPINB8.pdf")</f>
        <v>Melting_Curves/meltCurve_P50452_SERPINB8.pdf</v>
      </c>
    </row>
    <row r="2497" spans="1:28" x14ac:dyDescent="0.25">
      <c r="A2497" t="s">
        <v>2501</v>
      </c>
      <c r="B2497">
        <v>0.99996721820229495</v>
      </c>
      <c r="C2497">
        <v>1.05076903142218</v>
      </c>
      <c r="D2497">
        <v>1.0019143464590801</v>
      </c>
      <c r="E2497">
        <v>0.92265693652286296</v>
      </c>
      <c r="F2497">
        <v>1.0853128330816799</v>
      </c>
      <c r="G2497">
        <v>0.848376840930812</v>
      </c>
      <c r="H2497">
        <v>0.29526711719997001</v>
      </c>
      <c r="I2497">
        <v>0.17451229653273501</v>
      </c>
      <c r="J2497">
        <v>0.12592132402886599</v>
      </c>
      <c r="K2497">
        <v>0.104811431432198</v>
      </c>
      <c r="L2497">
        <v>2596.0067376795901</v>
      </c>
      <c r="M2497">
        <v>43.9364393864739</v>
      </c>
      <c r="N2497">
        <v>59.4647161862381</v>
      </c>
      <c r="O2497">
        <v>58.963495861035497</v>
      </c>
      <c r="P2497">
        <v>-0.16352665392707499</v>
      </c>
      <c r="Q2497">
        <v>0.122178348404413</v>
      </c>
      <c r="R2497">
        <v>0.98915893387017695</v>
      </c>
      <c r="S2497" t="s">
        <v>8323</v>
      </c>
      <c r="T2497" t="s">
        <v>11650</v>
      </c>
      <c r="U2497" t="s">
        <v>11650</v>
      </c>
      <c r="V2497" t="s">
        <v>11650</v>
      </c>
      <c r="W2497" t="s">
        <v>14106</v>
      </c>
      <c r="X2497">
        <v>14</v>
      </c>
      <c r="Y2497" t="s">
        <v>19822</v>
      </c>
      <c r="Z2497" t="s">
        <v>25559</v>
      </c>
      <c r="AA2497">
        <v>0.68353999445749225</v>
      </c>
      <c r="AB2497" t="str">
        <f>HYPERLINK("Melting_Curves/meltCurve_P50453_SERPINB9.pdf", "Melting_Curves/meltCurve_P50453_SERPINB9.pdf")</f>
        <v>Melting_Curves/meltCurve_P50453_SERPINB9.pdf</v>
      </c>
    </row>
    <row r="2498" spans="1:28" x14ac:dyDescent="0.25">
      <c r="A2498" t="s">
        <v>2502</v>
      </c>
      <c r="B2498">
        <v>0.99996721820229495</v>
      </c>
      <c r="C2498">
        <v>0.60025852557850201</v>
      </c>
      <c r="D2498">
        <v>0.68886393137143798</v>
      </c>
      <c r="E2498">
        <v>0.421531865352406</v>
      </c>
      <c r="F2498">
        <v>0.50693642858931898</v>
      </c>
      <c r="G2498">
        <v>0.30733538471240301</v>
      </c>
      <c r="H2498">
        <v>0.204820585154388</v>
      </c>
      <c r="I2498">
        <v>0.18282215309768199</v>
      </c>
      <c r="J2498">
        <v>0.157586965817577</v>
      </c>
      <c r="K2498">
        <v>0.109430101732827</v>
      </c>
      <c r="L2498">
        <v>346.27510895308598</v>
      </c>
      <c r="M2498">
        <v>6.9174352219632897</v>
      </c>
      <c r="N2498">
        <v>50.079622105925402</v>
      </c>
      <c r="O2498">
        <v>46.376842939257699</v>
      </c>
      <c r="P2498">
        <v>-3.7306562112352101E-2</v>
      </c>
      <c r="Q2498">
        <v>1.4698118619343699E-3</v>
      </c>
      <c r="R2498">
        <v>0.90800604436979304</v>
      </c>
      <c r="S2498" t="s">
        <v>8324</v>
      </c>
      <c r="T2498" t="s">
        <v>11650</v>
      </c>
      <c r="U2498" t="s">
        <v>11650</v>
      </c>
      <c r="V2498" t="s">
        <v>11650</v>
      </c>
      <c r="W2498" t="s">
        <v>12180</v>
      </c>
      <c r="X2498">
        <v>29</v>
      </c>
      <c r="Y2498" t="s">
        <v>17943</v>
      </c>
      <c r="Z2498" t="s">
        <v>25560</v>
      </c>
      <c r="AA2498">
        <v>0.40508941804651522</v>
      </c>
      <c r="AB2498" t="str">
        <f>HYPERLINK("Melting_Curves/meltCurve_P50454_SERPINH1.pdf", "Melting_Curves/meltCurve_P50454_SERPINH1.pdf")</f>
        <v>Melting_Curves/meltCurve_P50454_SERPINH1.pdf</v>
      </c>
    </row>
    <row r="2499" spans="1:28" x14ac:dyDescent="0.25">
      <c r="A2499" t="s">
        <v>2503</v>
      </c>
      <c r="B2499">
        <v>0.99996721820229495</v>
      </c>
      <c r="C2499">
        <v>0.99807168012983505</v>
      </c>
      <c r="D2499">
        <v>0.85100877387155505</v>
      </c>
      <c r="E2499">
        <v>0.69493356443351495</v>
      </c>
      <c r="F2499">
        <v>0.52528594102534598</v>
      </c>
      <c r="G2499">
        <v>0.441105082754084</v>
      </c>
      <c r="H2499">
        <v>0.28127247881947298</v>
      </c>
      <c r="I2499">
        <v>0.237628587140089</v>
      </c>
      <c r="J2499">
        <v>0.239746957524545</v>
      </c>
      <c r="K2499">
        <v>0.20147891844799901</v>
      </c>
      <c r="L2499">
        <v>650.82717282800604</v>
      </c>
      <c r="M2499">
        <v>12.4601568904249</v>
      </c>
      <c r="N2499">
        <v>54.128962640046304</v>
      </c>
      <c r="O2499">
        <v>50.9420114993178</v>
      </c>
      <c r="P2499">
        <v>-5.0344634848497098E-2</v>
      </c>
      <c r="Q2499">
        <v>0.176856985386773</v>
      </c>
      <c r="R2499">
        <v>0.99234706759909896</v>
      </c>
      <c r="S2499" t="s">
        <v>8325</v>
      </c>
      <c r="T2499" t="s">
        <v>11650</v>
      </c>
      <c r="U2499" t="s">
        <v>11650</v>
      </c>
      <c r="V2499" t="s">
        <v>11650</v>
      </c>
      <c r="W2499" t="s">
        <v>14107</v>
      </c>
      <c r="X2499">
        <v>23</v>
      </c>
      <c r="Y2499" t="s">
        <v>19823</v>
      </c>
      <c r="Z2499" t="s">
        <v>25561</v>
      </c>
      <c r="AA2499">
        <v>0.53613724948967245</v>
      </c>
      <c r="AB2499" t="str">
        <f>HYPERLINK("Melting_Curves/meltCurve_P50479_PDLIM4.pdf", "Melting_Curves/meltCurve_P50479_PDLIM4.pdf")</f>
        <v>Melting_Curves/meltCurve_P50479_PDLIM4.pdf</v>
      </c>
    </row>
    <row r="2500" spans="1:28" x14ac:dyDescent="0.25">
      <c r="A2500" t="s">
        <v>2504</v>
      </c>
      <c r="B2500">
        <v>0.99996721820229495</v>
      </c>
      <c r="C2500">
        <v>1.07071620229647</v>
      </c>
      <c r="D2500">
        <v>1.0368885473245399</v>
      </c>
      <c r="E2500">
        <v>1.12992389718041</v>
      </c>
      <c r="F2500">
        <v>0.69728535740936703</v>
      </c>
      <c r="G2500">
        <v>0.40605353145913597</v>
      </c>
      <c r="H2500">
        <v>0.242456151441308</v>
      </c>
      <c r="I2500">
        <v>0.17898657776393201</v>
      </c>
      <c r="J2500">
        <v>0.14721249024871</v>
      </c>
      <c r="K2500">
        <v>0.110538853525497</v>
      </c>
      <c r="L2500">
        <v>1542.8494476656199</v>
      </c>
      <c r="M2500">
        <v>28.041293248947799</v>
      </c>
      <c r="N2500">
        <v>55.738067295688701</v>
      </c>
      <c r="O2500">
        <v>54.743085953312402</v>
      </c>
      <c r="P2500">
        <v>-0.108660025163024</v>
      </c>
      <c r="Q2500">
        <v>0.15148934255182001</v>
      </c>
      <c r="R2500">
        <v>0.96980187011287</v>
      </c>
      <c r="S2500" t="s">
        <v>8326</v>
      </c>
      <c r="T2500" t="s">
        <v>11650</v>
      </c>
      <c r="U2500" t="s">
        <v>11650</v>
      </c>
      <c r="V2500" t="s">
        <v>11650</v>
      </c>
      <c r="W2500" t="s">
        <v>14108</v>
      </c>
      <c r="X2500">
        <v>19</v>
      </c>
      <c r="Y2500" t="s">
        <v>19824</v>
      </c>
      <c r="Z2500" t="s">
        <v>25562</v>
      </c>
      <c r="AA2500">
        <v>0.58271316798459094</v>
      </c>
      <c r="AB2500" t="str">
        <f>HYPERLINK("Melting_Curves/meltCurve_P50502_ST13.pdf", "Melting_Curves/meltCurve_P50502_ST13.pdf")</f>
        <v>Melting_Curves/meltCurve_P50502_ST13.pdf</v>
      </c>
    </row>
    <row r="2501" spans="1:28" x14ac:dyDescent="0.25">
      <c r="A2501" t="s">
        <v>2505</v>
      </c>
      <c r="B2501">
        <v>0.99996721820229495</v>
      </c>
      <c r="C2501">
        <v>0.99323788590516404</v>
      </c>
      <c r="D2501">
        <v>0.95005051254726502</v>
      </c>
      <c r="E2501">
        <v>0.77254871149581295</v>
      </c>
      <c r="F2501">
        <v>0.47459746528931801</v>
      </c>
      <c r="G2501">
        <v>0.37517152190910102</v>
      </c>
      <c r="H2501">
        <v>0.21614194700150399</v>
      </c>
      <c r="I2501">
        <v>0.180531300317439</v>
      </c>
      <c r="J2501">
        <v>0.157542726424417</v>
      </c>
      <c r="K2501">
        <v>0.12612949376240801</v>
      </c>
      <c r="L2501">
        <v>889.74426185033701</v>
      </c>
      <c r="M2501">
        <v>16.916676711309499</v>
      </c>
      <c r="N2501">
        <v>53.606284513738203</v>
      </c>
      <c r="O2501">
        <v>51.8772138431192</v>
      </c>
      <c r="P2501">
        <v>-7.0396770730322106E-2</v>
      </c>
      <c r="Q2501">
        <v>0.136530628390229</v>
      </c>
      <c r="R2501">
        <v>0.99251641656613099</v>
      </c>
      <c r="S2501" t="s">
        <v>8327</v>
      </c>
      <c r="T2501" t="s">
        <v>11650</v>
      </c>
      <c r="U2501" t="s">
        <v>11650</v>
      </c>
      <c r="V2501" t="s">
        <v>11650</v>
      </c>
      <c r="W2501" t="s">
        <v>14109</v>
      </c>
      <c r="X2501">
        <v>25</v>
      </c>
      <c r="Y2501" t="s">
        <v>19825</v>
      </c>
      <c r="Z2501" t="s">
        <v>25563</v>
      </c>
      <c r="AA2501">
        <v>0.51480372800038277</v>
      </c>
      <c r="AB2501" t="str">
        <f>HYPERLINK("Melting_Curves/meltCurve_P50552_VASP.pdf", "Melting_Curves/meltCurve_P50552_VASP.pdf")</f>
        <v>Melting_Curves/meltCurve_P50552_VASP.pdf</v>
      </c>
    </row>
    <row r="2502" spans="1:28" x14ac:dyDescent="0.25">
      <c r="A2502" t="s">
        <v>2506</v>
      </c>
      <c r="B2502">
        <v>0.99996721820229495</v>
      </c>
      <c r="C2502">
        <v>0.96941753970687505</v>
      </c>
      <c r="D2502">
        <v>0.93444142587018897</v>
      </c>
      <c r="E2502">
        <v>0.83807338407797105</v>
      </c>
      <c r="F2502">
        <v>0.91455517791076402</v>
      </c>
      <c r="G2502">
        <v>1.27876202439908</v>
      </c>
      <c r="H2502">
        <v>1.0312148663746099</v>
      </c>
      <c r="I2502">
        <v>0.53857954831467103</v>
      </c>
      <c r="J2502">
        <v>0.39118972877265901</v>
      </c>
      <c r="K2502">
        <v>0.22587248667638599</v>
      </c>
      <c r="L2502">
        <v>8304.0867389708801</v>
      </c>
      <c r="M2502">
        <v>130.43668426668299</v>
      </c>
      <c r="N2502">
        <v>64.1334163160994</v>
      </c>
      <c r="O2502">
        <v>63.648775184484897</v>
      </c>
      <c r="P2502">
        <v>-0.35471214665643003</v>
      </c>
      <c r="Q2502">
        <v>0.30764896861401703</v>
      </c>
      <c r="R2502">
        <v>0.86167058809392505</v>
      </c>
      <c r="S2502" t="s">
        <v>8328</v>
      </c>
      <c r="T2502" t="s">
        <v>11650</v>
      </c>
      <c r="U2502" t="s">
        <v>11650</v>
      </c>
      <c r="V2502" t="s">
        <v>11650</v>
      </c>
      <c r="W2502" t="s">
        <v>14110</v>
      </c>
      <c r="X2502">
        <v>15</v>
      </c>
      <c r="Y2502" t="s">
        <v>18078</v>
      </c>
      <c r="Z2502" t="s">
        <v>25564</v>
      </c>
      <c r="AA2502">
        <v>0.85405361958737902</v>
      </c>
      <c r="AB2502" t="str">
        <f>HYPERLINK("Melting_Curves/meltCurve_P50579_METAP2.pdf", "Melting_Curves/meltCurve_P50579_METAP2.pdf")</f>
        <v>Melting_Curves/meltCurve_P50579_METAP2.pdf</v>
      </c>
    </row>
    <row r="2503" spans="1:28" x14ac:dyDescent="0.25">
      <c r="A2503" t="s">
        <v>2507</v>
      </c>
      <c r="B2503">
        <v>0.99996721820229495</v>
      </c>
      <c r="C2503">
        <v>1.12430636903984</v>
      </c>
      <c r="D2503">
        <v>0.84009336685568303</v>
      </c>
      <c r="E2503">
        <v>0.45016233764410102</v>
      </c>
      <c r="F2503">
        <v>0.29969776210988203</v>
      </c>
      <c r="G2503">
        <v>0.25577300366074901</v>
      </c>
      <c r="H2503">
        <v>0.17846535763993199</v>
      </c>
      <c r="I2503">
        <v>8.0936290956835896E-2</v>
      </c>
      <c r="J2503">
        <v>5.8746507166464401E-2</v>
      </c>
      <c r="K2503">
        <v>4.1495933274478002E-2</v>
      </c>
      <c r="L2503">
        <v>1031.9860499404499</v>
      </c>
      <c r="M2503">
        <v>20.844362047782401</v>
      </c>
      <c r="N2503">
        <v>50.057689540588299</v>
      </c>
      <c r="O2503">
        <v>49.060183783307799</v>
      </c>
      <c r="P2503">
        <v>-9.5375243725345796E-2</v>
      </c>
      <c r="Q2503">
        <v>0.10210747338199</v>
      </c>
      <c r="R2503">
        <v>0.96724430303174003</v>
      </c>
      <c r="S2503" t="s">
        <v>8329</v>
      </c>
      <c r="T2503" t="s">
        <v>11650</v>
      </c>
      <c r="U2503" t="s">
        <v>11650</v>
      </c>
      <c r="V2503" t="s">
        <v>11650</v>
      </c>
      <c r="W2503" t="s">
        <v>14111</v>
      </c>
      <c r="X2503">
        <v>5</v>
      </c>
      <c r="Y2503" t="s">
        <v>19826</v>
      </c>
      <c r="Z2503" t="s">
        <v>25565</v>
      </c>
      <c r="AA2503">
        <v>0.39824929651394758</v>
      </c>
      <c r="AB2503" t="str">
        <f>HYPERLINK("Melting_Curves/meltCurve_P50583_NUDT2.pdf", "Melting_Curves/meltCurve_P50583_NUDT2.pdf")</f>
        <v>Melting_Curves/meltCurve_P50583_NUDT2.pdf</v>
      </c>
    </row>
    <row r="2504" spans="1:28" x14ac:dyDescent="0.25">
      <c r="A2504" t="s">
        <v>2508</v>
      </c>
      <c r="B2504">
        <v>0.99996721820229495</v>
      </c>
      <c r="C2504">
        <v>1.04129569679865</v>
      </c>
      <c r="D2504">
        <v>1.0615112052110101</v>
      </c>
      <c r="E2504">
        <v>1.37404405133788</v>
      </c>
      <c r="F2504">
        <v>1.4133891926229201</v>
      </c>
      <c r="G2504">
        <v>0.65601108561337396</v>
      </c>
      <c r="H2504">
        <v>0.16986101337439</v>
      </c>
      <c r="I2504">
        <v>4.7896943477805903E-2</v>
      </c>
      <c r="J2504">
        <v>5.0866730446359698E-2</v>
      </c>
      <c r="K2504">
        <v>0</v>
      </c>
      <c r="L2504">
        <v>3417.02135786499</v>
      </c>
      <c r="M2504">
        <v>59.284654339856203</v>
      </c>
      <c r="N2504">
        <v>57.752608783022801</v>
      </c>
      <c r="O2504">
        <v>57.572065695743703</v>
      </c>
      <c r="P2504">
        <v>-0.24309629855862899</v>
      </c>
      <c r="Q2504">
        <v>5.5705087169991098E-2</v>
      </c>
      <c r="R2504">
        <v>0.88657211579525597</v>
      </c>
      <c r="S2504" t="s">
        <v>8330</v>
      </c>
      <c r="T2504" t="s">
        <v>11650</v>
      </c>
      <c r="U2504" t="s">
        <v>11650</v>
      </c>
      <c r="V2504" t="s">
        <v>11650</v>
      </c>
      <c r="W2504" t="s">
        <v>14112</v>
      </c>
      <c r="X2504">
        <v>4</v>
      </c>
      <c r="Y2504" t="s">
        <v>19827</v>
      </c>
      <c r="Z2504" t="s">
        <v>25566</v>
      </c>
      <c r="AA2504">
        <v>0.61257650367418859</v>
      </c>
      <c r="AB2504" t="str">
        <f>HYPERLINK("Melting_Curves/meltCurve_P50613_CDK7.pdf", "Melting_Curves/meltCurve_P50613_CDK7.pdf")</f>
        <v>Melting_Curves/meltCurve_P50613_CDK7.pdf</v>
      </c>
    </row>
    <row r="2505" spans="1:28" x14ac:dyDescent="0.25">
      <c r="A2505" t="s">
        <v>2509</v>
      </c>
      <c r="B2505">
        <v>0.99996721820229495</v>
      </c>
      <c r="C2505">
        <v>0.98080003991736997</v>
      </c>
      <c r="D2505">
        <v>0.85306801250985798</v>
      </c>
      <c r="E2505">
        <v>0.60155698920411804</v>
      </c>
      <c r="F2505">
        <v>0.46375119449003799</v>
      </c>
      <c r="G2505">
        <v>0.34693194152850099</v>
      </c>
      <c r="H2505">
        <v>0.209901033586672</v>
      </c>
      <c r="I2505">
        <v>0.14071587148845099</v>
      </c>
      <c r="J2505">
        <v>8.7813556032270396E-2</v>
      </c>
      <c r="K2505">
        <v>7.9545538662436605E-2</v>
      </c>
      <c r="L2505">
        <v>620.06565857052999</v>
      </c>
      <c r="M2505">
        <v>11.867582217726</v>
      </c>
      <c r="N2505">
        <v>52.652233356506201</v>
      </c>
      <c r="O2505">
        <v>50.831393374087803</v>
      </c>
      <c r="P2505">
        <v>-5.5844137267818901E-2</v>
      </c>
      <c r="Q2505">
        <v>4.3471169164588097E-2</v>
      </c>
      <c r="R2505">
        <v>0.99313952296223196</v>
      </c>
      <c r="S2505" t="s">
        <v>8331</v>
      </c>
      <c r="T2505" t="s">
        <v>11650</v>
      </c>
      <c r="U2505" t="s">
        <v>11650</v>
      </c>
      <c r="V2505" t="s">
        <v>11650</v>
      </c>
      <c r="W2505" t="s">
        <v>14113</v>
      </c>
      <c r="X2505">
        <v>9</v>
      </c>
      <c r="Y2505" t="s">
        <v>19828</v>
      </c>
      <c r="Z2505" t="s">
        <v>25567</v>
      </c>
      <c r="AA2505">
        <v>0.46319060537325962</v>
      </c>
      <c r="AB2505" t="str">
        <f>HYPERLINK("Melting_Curves/meltCurve_P50747_HLCS.pdf", "Melting_Curves/meltCurve_P50747_HLCS.pdf")</f>
        <v>Melting_Curves/meltCurve_P50747_HLCS.pdf</v>
      </c>
    </row>
    <row r="2506" spans="1:28" x14ac:dyDescent="0.25">
      <c r="A2506" t="s">
        <v>2510</v>
      </c>
      <c r="B2506">
        <v>0.99996721820229495</v>
      </c>
      <c r="C2506">
        <v>0.89084513693132905</v>
      </c>
      <c r="D2506">
        <v>0.51819157236594504</v>
      </c>
      <c r="E2506">
        <v>0.148226901985336</v>
      </c>
      <c r="F2506">
        <v>0.101395972395771</v>
      </c>
      <c r="G2506">
        <v>9.1340882503499296E-2</v>
      </c>
      <c r="H2506">
        <v>8.7975027352217697E-2</v>
      </c>
      <c r="I2506">
        <v>4.7374547810550102E-2</v>
      </c>
      <c r="J2506">
        <v>3.1050867104650499E-2</v>
      </c>
      <c r="K2506">
        <v>1.9219127851852601E-2</v>
      </c>
      <c r="L2506">
        <v>1265.05647895684</v>
      </c>
      <c r="M2506">
        <v>27.5209294689346</v>
      </c>
      <c r="N2506">
        <v>46.1716039104953</v>
      </c>
      <c r="O2506">
        <v>45.726423439602002</v>
      </c>
      <c r="P2506">
        <v>-0.14183248068021401</v>
      </c>
      <c r="Q2506">
        <v>5.7381769261777599E-2</v>
      </c>
      <c r="R2506">
        <v>0.996225103693264</v>
      </c>
      <c r="S2506" t="s">
        <v>8332</v>
      </c>
      <c r="T2506" t="s">
        <v>11650</v>
      </c>
      <c r="U2506" t="s">
        <v>11650</v>
      </c>
      <c r="V2506" t="s">
        <v>11650</v>
      </c>
      <c r="W2506" t="s">
        <v>14114</v>
      </c>
      <c r="X2506">
        <v>1</v>
      </c>
      <c r="Y2506" t="s">
        <v>19829</v>
      </c>
      <c r="Z2506" t="s">
        <v>25568</v>
      </c>
      <c r="AA2506">
        <v>0.25186485808450459</v>
      </c>
      <c r="AB2506" t="str">
        <f>HYPERLINK("Melting_Curves/meltCurve_P50748_KNTC1.pdf", "Melting_Curves/meltCurve_P50748_KNTC1.pdf")</f>
        <v>Melting_Curves/meltCurve_P50748_KNTC1.pdf</v>
      </c>
    </row>
    <row r="2507" spans="1:28" x14ac:dyDescent="0.25">
      <c r="A2507" t="s">
        <v>2511</v>
      </c>
      <c r="B2507">
        <v>0.99996721820229495</v>
      </c>
      <c r="C2507">
        <v>0.94110732534146802</v>
      </c>
      <c r="D2507">
        <v>0.67572517833941104</v>
      </c>
      <c r="E2507">
        <v>0.22741456129613399</v>
      </c>
      <c r="F2507">
        <v>0.205267395561294</v>
      </c>
      <c r="G2507">
        <v>0.14027384737179599</v>
      </c>
      <c r="H2507">
        <v>7.3666571136812395E-2</v>
      </c>
      <c r="I2507">
        <v>4.1965352114382397E-2</v>
      </c>
      <c r="J2507">
        <v>3.1632352629026202E-2</v>
      </c>
      <c r="K2507">
        <v>2.9422906908643999E-2</v>
      </c>
      <c r="L2507">
        <v>1071.29540306336</v>
      </c>
      <c r="M2507">
        <v>22.653408528811301</v>
      </c>
      <c r="N2507">
        <v>47.572548949619303</v>
      </c>
      <c r="O2507">
        <v>46.926797095725298</v>
      </c>
      <c r="P2507">
        <v>-0.11310794040172301</v>
      </c>
      <c r="Q2507">
        <v>6.2800949503241596E-2</v>
      </c>
      <c r="R2507">
        <v>0.98962243632201696</v>
      </c>
      <c r="S2507" t="s">
        <v>8333</v>
      </c>
      <c r="T2507" t="s">
        <v>11650</v>
      </c>
      <c r="U2507" t="s">
        <v>11650</v>
      </c>
      <c r="V2507" t="s">
        <v>11650</v>
      </c>
      <c r="W2507" t="s">
        <v>14115</v>
      </c>
      <c r="X2507">
        <v>11</v>
      </c>
      <c r="Y2507" t="s">
        <v>19830</v>
      </c>
      <c r="Z2507" t="s">
        <v>25569</v>
      </c>
      <c r="AA2507">
        <v>0.3008932699084757</v>
      </c>
      <c r="AB2507" t="str">
        <f>HYPERLINK("Melting_Curves/meltCurve_P50749_RASSF2.pdf", "Melting_Curves/meltCurve_P50749_RASSF2.pdf")</f>
        <v>Melting_Curves/meltCurve_P50749_RASSF2.pdf</v>
      </c>
    </row>
    <row r="2508" spans="1:28" x14ac:dyDescent="0.25">
      <c r="A2508" t="s">
        <v>2512</v>
      </c>
      <c r="B2508">
        <v>0.99996721820229495</v>
      </c>
      <c r="C2508">
        <v>0.91064053313424198</v>
      </c>
      <c r="D2508">
        <v>1.07103490112197</v>
      </c>
      <c r="E2508">
        <v>1.1888873029032601</v>
      </c>
      <c r="F2508">
        <v>1.4922086526434699</v>
      </c>
      <c r="G2508">
        <v>1.35880979450018</v>
      </c>
      <c r="H2508">
        <v>0.91249111684192197</v>
      </c>
      <c r="I2508">
        <v>0.54310870831098501</v>
      </c>
      <c r="J2508">
        <v>0.36396389307066501</v>
      </c>
      <c r="K2508">
        <v>0.42384364448529499</v>
      </c>
      <c r="L2508">
        <v>4143.9162637622103</v>
      </c>
      <c r="M2508">
        <v>65.939354032203497</v>
      </c>
      <c r="N2508">
        <v>64.3378937831516</v>
      </c>
      <c r="O2508">
        <v>62.786647827160103</v>
      </c>
      <c r="P2508">
        <v>-0.15968257375408901</v>
      </c>
      <c r="Q2508">
        <v>0.39180915211254702</v>
      </c>
      <c r="R2508">
        <v>0.67924355998104402</v>
      </c>
      <c r="S2508" t="s">
        <v>8334</v>
      </c>
      <c r="T2508" t="s">
        <v>11650</v>
      </c>
      <c r="U2508" t="s">
        <v>11650</v>
      </c>
      <c r="V2508" t="s">
        <v>11650</v>
      </c>
      <c r="W2508" t="s">
        <v>14116</v>
      </c>
      <c r="X2508">
        <v>15</v>
      </c>
      <c r="Y2508" t="s">
        <v>19831</v>
      </c>
      <c r="Z2508" t="s">
        <v>25570</v>
      </c>
      <c r="AA2508">
        <v>0.85587118642592486</v>
      </c>
      <c r="AB2508" t="str">
        <f>HYPERLINK("Melting_Curves/meltCurve_P50895_BCAM.pdf", "Melting_Curves/meltCurve_P50895_BCAM.pdf")</f>
        <v>Melting_Curves/meltCurve_P50895_BCAM.pdf</v>
      </c>
    </row>
    <row r="2509" spans="1:28" x14ac:dyDescent="0.25">
      <c r="A2509" t="s">
        <v>2513</v>
      </c>
      <c r="B2509">
        <v>0.99996721820229495</v>
      </c>
      <c r="C2509">
        <v>0.94565252800479105</v>
      </c>
      <c r="D2509">
        <v>0.98379330043625102</v>
      </c>
      <c r="E2509">
        <v>0.958401083713879</v>
      </c>
      <c r="F2509">
        <v>1.1027579581918501</v>
      </c>
      <c r="G2509">
        <v>1.26163280877413</v>
      </c>
      <c r="H2509">
        <v>0.543397488012207</v>
      </c>
      <c r="I2509">
        <v>0.33431751484825001</v>
      </c>
      <c r="J2509">
        <v>0.253471473439216</v>
      </c>
      <c r="K2509">
        <v>0.155040950221047</v>
      </c>
      <c r="L2509">
        <v>6179.5866005410799</v>
      </c>
      <c r="M2509">
        <v>101.712954067186</v>
      </c>
      <c r="N2509">
        <v>61.161049541387499</v>
      </c>
      <c r="O2509">
        <v>60.731697887152102</v>
      </c>
      <c r="P2509">
        <v>-0.31593919518553798</v>
      </c>
      <c r="Q2509">
        <v>0.24542480550859799</v>
      </c>
      <c r="R2509">
        <v>0.92873147496798003</v>
      </c>
      <c r="S2509" t="s">
        <v>8335</v>
      </c>
      <c r="T2509" t="s">
        <v>11650</v>
      </c>
      <c r="U2509" t="s">
        <v>11650</v>
      </c>
      <c r="V2509" t="s">
        <v>11650</v>
      </c>
      <c r="W2509" t="s">
        <v>14117</v>
      </c>
      <c r="X2509">
        <v>12</v>
      </c>
      <c r="Y2509" t="s">
        <v>19832</v>
      </c>
      <c r="Z2509" t="s">
        <v>25571</v>
      </c>
      <c r="AA2509">
        <v>0.76795562276218776</v>
      </c>
      <c r="AB2509" t="str">
        <f>HYPERLINK("Melting_Curves/meltCurve_P50897_PPT1.pdf", "Melting_Curves/meltCurve_P50897_PPT1.pdf")</f>
        <v>Melting_Curves/meltCurve_P50897_PPT1.pdf</v>
      </c>
    </row>
    <row r="2510" spans="1:28" x14ac:dyDescent="0.25">
      <c r="A2510" t="s">
        <v>2514</v>
      </c>
      <c r="B2510">
        <v>0.99996721820229495</v>
      </c>
      <c r="C2510">
        <v>1.0504920531498201</v>
      </c>
      <c r="D2510">
        <v>1.0661124551388801</v>
      </c>
      <c r="E2510">
        <v>1.5673360966777401</v>
      </c>
      <c r="F2510">
        <v>1.9496747946225499</v>
      </c>
      <c r="G2510">
        <v>1.53128575413617</v>
      </c>
      <c r="H2510">
        <v>1.0548540090585901</v>
      </c>
      <c r="I2510">
        <v>0.64530524089825403</v>
      </c>
      <c r="J2510">
        <v>0.45599950870393402</v>
      </c>
      <c r="K2510">
        <v>0.55492931865313599</v>
      </c>
      <c r="L2510">
        <v>15000</v>
      </c>
      <c r="M2510">
        <v>235.30568884466001</v>
      </c>
      <c r="O2510">
        <v>63.742278220879498</v>
      </c>
      <c r="P2510">
        <v>-0.45639969738925501</v>
      </c>
      <c r="Q2510">
        <v>0.50546119863460104</v>
      </c>
      <c r="R2510">
        <v>0.26138638211797899</v>
      </c>
      <c r="S2510" t="s">
        <v>8336</v>
      </c>
      <c r="T2510" t="s">
        <v>11650</v>
      </c>
      <c r="U2510" t="s">
        <v>11650</v>
      </c>
      <c r="V2510" t="s">
        <v>11650</v>
      </c>
      <c r="W2510" t="s">
        <v>14118</v>
      </c>
      <c r="X2510">
        <v>2</v>
      </c>
      <c r="Y2510" t="s">
        <v>19833</v>
      </c>
      <c r="Z2510" t="s">
        <v>25572</v>
      </c>
      <c r="AA2510">
        <v>0.89698185906996009</v>
      </c>
      <c r="AB2510" t="str">
        <f>HYPERLINK("Melting_Curves/meltCurve_P50914_RPL14.pdf", "Melting_Curves/meltCurve_P50914_RPL14.pdf")</f>
        <v>Melting_Curves/meltCurve_P50914_RPL14.pdf</v>
      </c>
    </row>
    <row r="2511" spans="1:28" x14ac:dyDescent="0.25">
      <c r="A2511" t="s">
        <v>2515</v>
      </c>
      <c r="B2511">
        <v>0.99996721820229495</v>
      </c>
      <c r="C2511">
        <v>1.0223126605953201</v>
      </c>
      <c r="D2511">
        <v>0.99301725081400105</v>
      </c>
      <c r="E2511">
        <v>1.12029406906504</v>
      </c>
      <c r="F2511">
        <v>1.38467616164234</v>
      </c>
      <c r="G2511">
        <v>2.6116041473606701</v>
      </c>
      <c r="H2511">
        <v>1.72340131846543</v>
      </c>
      <c r="I2511">
        <v>0.50290791055924999</v>
      </c>
      <c r="J2511">
        <v>0.147360428829061</v>
      </c>
      <c r="K2511">
        <v>0.108570482649703</v>
      </c>
      <c r="L2511">
        <v>15000</v>
      </c>
      <c r="M2511">
        <v>234.65677163594199</v>
      </c>
      <c r="N2511">
        <v>64.003778630918504</v>
      </c>
      <c r="O2511">
        <v>63.918511496981402</v>
      </c>
      <c r="P2511">
        <v>-0.80036514505566103</v>
      </c>
      <c r="Q2511">
        <v>0.127949393706001</v>
      </c>
      <c r="R2511">
        <v>0.34504456200496803</v>
      </c>
      <c r="S2511" t="s">
        <v>8337</v>
      </c>
      <c r="T2511" t="s">
        <v>11650</v>
      </c>
      <c r="U2511" t="s">
        <v>11650</v>
      </c>
      <c r="V2511" t="s">
        <v>11650</v>
      </c>
      <c r="W2511" t="s">
        <v>14119</v>
      </c>
      <c r="X2511">
        <v>44</v>
      </c>
      <c r="Y2511" t="s">
        <v>19834</v>
      </c>
      <c r="Z2511" t="s">
        <v>25573</v>
      </c>
      <c r="AA2511">
        <v>0.82346701953346024</v>
      </c>
      <c r="AB2511" t="str">
        <f>HYPERLINK("Melting_Curves/meltCurve_P50990_CCT8.pdf", "Melting_Curves/meltCurve_P50990_CCT8.pdf")</f>
        <v>Melting_Curves/meltCurve_P50990_CCT8.pdf</v>
      </c>
    </row>
    <row r="2512" spans="1:28" x14ac:dyDescent="0.25">
      <c r="A2512" t="s">
        <v>2516</v>
      </c>
      <c r="B2512">
        <v>0.99996721820229495</v>
      </c>
      <c r="C2512">
        <v>0.91990100666494901</v>
      </c>
      <c r="D2512">
        <v>0.91400973379870198</v>
      </c>
      <c r="E2512">
        <v>1.20874496904678</v>
      </c>
      <c r="F2512">
        <v>1.4569803830260999</v>
      </c>
      <c r="G2512">
        <v>1.69262663461458</v>
      </c>
      <c r="H2512">
        <v>0.58838049125882197</v>
      </c>
      <c r="I2512">
        <v>0.29075139994350901</v>
      </c>
      <c r="J2512">
        <v>0.17106606862010501</v>
      </c>
      <c r="K2512">
        <v>0.13725149846291099</v>
      </c>
      <c r="L2512">
        <v>6666.8238528192796</v>
      </c>
      <c r="M2512">
        <v>109.327233557955</v>
      </c>
      <c r="N2512">
        <v>61.262096285242599</v>
      </c>
      <c r="O2512">
        <v>60.960036845322499</v>
      </c>
      <c r="P2512">
        <v>-0.35979682288841203</v>
      </c>
      <c r="Q2512">
        <v>0.19751988751218999</v>
      </c>
      <c r="R2512">
        <v>0.70676854981372195</v>
      </c>
      <c r="S2512" t="s">
        <v>8338</v>
      </c>
      <c r="T2512" t="s">
        <v>11650</v>
      </c>
      <c r="U2512" t="s">
        <v>11650</v>
      </c>
      <c r="V2512" t="s">
        <v>11650</v>
      </c>
      <c r="W2512" t="s">
        <v>14120</v>
      </c>
      <c r="X2512">
        <v>23</v>
      </c>
      <c r="Y2512" t="s">
        <v>19835</v>
      </c>
      <c r="Z2512" t="s">
        <v>25574</v>
      </c>
      <c r="AA2512">
        <v>0.75918248871706218</v>
      </c>
      <c r="AB2512" t="str">
        <f>HYPERLINK("Melting_Curves/meltCurve_P50991_CCT4.pdf", "Melting_Curves/meltCurve_P50991_CCT4.pdf")</f>
        <v>Melting_Curves/meltCurve_P50991_CCT4.pdf</v>
      </c>
    </row>
    <row r="2513" spans="1:28" x14ac:dyDescent="0.25">
      <c r="A2513" t="s">
        <v>2517</v>
      </c>
      <c r="B2513">
        <v>0.99996721820229495</v>
      </c>
      <c r="C2513">
        <v>0.94726627653801398</v>
      </c>
      <c r="D2513">
        <v>0.91357683188510397</v>
      </c>
      <c r="E2513">
        <v>0.67859002176285699</v>
      </c>
      <c r="F2513">
        <v>0.51608379668975801</v>
      </c>
      <c r="G2513">
        <v>0.57629171162100101</v>
      </c>
      <c r="H2513">
        <v>0.399098356074439</v>
      </c>
      <c r="I2513">
        <v>0.17818046565343301</v>
      </c>
      <c r="J2513">
        <v>0.16321102038862401</v>
      </c>
      <c r="K2513">
        <v>0.12918798880896901</v>
      </c>
      <c r="L2513">
        <v>487.48658546365999</v>
      </c>
      <c r="M2513">
        <v>8.7285724679395695</v>
      </c>
      <c r="N2513">
        <v>55.849520323317698</v>
      </c>
      <c r="O2513">
        <v>53.150543247034101</v>
      </c>
      <c r="P2513">
        <v>-4.1089368876561998E-2</v>
      </c>
      <c r="Q2513">
        <v>0</v>
      </c>
      <c r="R2513">
        <v>0.95759959739623302</v>
      </c>
      <c r="S2513" t="s">
        <v>8339</v>
      </c>
      <c r="T2513" t="s">
        <v>11650</v>
      </c>
      <c r="U2513" t="s">
        <v>11650</v>
      </c>
      <c r="V2513" t="s">
        <v>11650</v>
      </c>
      <c r="W2513" t="s">
        <v>14121</v>
      </c>
      <c r="X2513">
        <v>4</v>
      </c>
      <c r="Y2513" t="s">
        <v>19836</v>
      </c>
      <c r="Z2513" t="s">
        <v>25575</v>
      </c>
      <c r="AA2513">
        <v>0.54989609671168982</v>
      </c>
      <c r="AB2513" t="str">
        <f>HYPERLINK("Melting_Curves/meltCurve_P51116_FXR2.pdf", "Melting_Curves/meltCurve_P51116_FXR2.pdf")</f>
        <v>Melting_Curves/meltCurve_P51116_FXR2.pdf</v>
      </c>
    </row>
    <row r="2514" spans="1:28" x14ac:dyDescent="0.25">
      <c r="A2514" t="s">
        <v>2518</v>
      </c>
      <c r="B2514">
        <v>0.99996721820229495</v>
      </c>
      <c r="C2514">
        <v>0.92715674582412</v>
      </c>
      <c r="D2514">
        <v>0.97637749129426399</v>
      </c>
      <c r="E2514">
        <v>1.10128905945501</v>
      </c>
      <c r="F2514">
        <v>1.35238996930705</v>
      </c>
      <c r="G2514">
        <v>1.3440112937915401</v>
      </c>
      <c r="H2514">
        <v>0.92351171285116596</v>
      </c>
      <c r="I2514">
        <v>0.57677070146253695</v>
      </c>
      <c r="J2514">
        <v>0.248513700861208</v>
      </c>
      <c r="K2514">
        <v>0.13195235473448899</v>
      </c>
      <c r="L2514">
        <v>3112.5384268401199</v>
      </c>
      <c r="M2514">
        <v>48.549398578946203</v>
      </c>
      <c r="N2514">
        <v>64.520484341608196</v>
      </c>
      <c r="O2514">
        <v>64.002260415080599</v>
      </c>
      <c r="P2514">
        <v>-0.16448273312651801</v>
      </c>
      <c r="Q2514">
        <v>0.13265607104035301</v>
      </c>
      <c r="R2514">
        <v>0.83285908343145398</v>
      </c>
      <c r="S2514" t="s">
        <v>8340</v>
      </c>
      <c r="T2514" t="s">
        <v>11650</v>
      </c>
      <c r="U2514" t="s">
        <v>11650</v>
      </c>
      <c r="V2514" t="s">
        <v>11650</v>
      </c>
      <c r="W2514" t="s">
        <v>14122</v>
      </c>
      <c r="X2514">
        <v>16</v>
      </c>
      <c r="Y2514" t="s">
        <v>19837</v>
      </c>
      <c r="Z2514" t="s">
        <v>25576</v>
      </c>
      <c r="AA2514">
        <v>0.83153913820623016</v>
      </c>
      <c r="AB2514" t="str">
        <f>HYPERLINK("Melting_Curves/meltCurve_P51148_RAB5C.pdf", "Melting_Curves/meltCurve_P51148_RAB5C.pdf")</f>
        <v>Melting_Curves/meltCurve_P51148_RAB5C.pdf</v>
      </c>
    </row>
    <row r="2515" spans="1:28" x14ac:dyDescent="0.25">
      <c r="A2515" t="s">
        <v>2519</v>
      </c>
      <c r="B2515">
        <v>0.99996721820229495</v>
      </c>
      <c r="C2515">
        <v>0.90392790910439802</v>
      </c>
      <c r="D2515">
        <v>0.98135038446423195</v>
      </c>
      <c r="E2515">
        <v>0.903335953831509</v>
      </c>
      <c r="F2515">
        <v>0.89403021232931201</v>
      </c>
      <c r="G2515">
        <v>0.86386328868271001</v>
      </c>
      <c r="H2515">
        <v>0.58853853010688195</v>
      </c>
      <c r="I2515">
        <v>0.41889339096257899</v>
      </c>
      <c r="J2515">
        <v>0.25878284194282097</v>
      </c>
      <c r="K2515">
        <v>0.145850806694278</v>
      </c>
      <c r="L2515">
        <v>961.67456194014403</v>
      </c>
      <c r="M2515">
        <v>15.381827540507301</v>
      </c>
      <c r="N2515">
        <v>62.520175861409598</v>
      </c>
      <c r="O2515">
        <v>61.492055507138502</v>
      </c>
      <c r="P2515">
        <v>-6.2541563559580904E-2</v>
      </c>
      <c r="Q2515">
        <v>0</v>
      </c>
      <c r="R2515">
        <v>0.97816716204989895</v>
      </c>
      <c r="S2515" t="s">
        <v>8341</v>
      </c>
      <c r="T2515" t="s">
        <v>11650</v>
      </c>
      <c r="U2515" t="s">
        <v>11650</v>
      </c>
      <c r="V2515" t="s">
        <v>11650</v>
      </c>
      <c r="W2515" t="s">
        <v>14123</v>
      </c>
      <c r="X2515">
        <v>24</v>
      </c>
      <c r="Y2515" t="s">
        <v>19838</v>
      </c>
      <c r="Z2515" t="s">
        <v>25577</v>
      </c>
      <c r="AA2515">
        <v>0.7455432834001986</v>
      </c>
      <c r="AB2515" t="str">
        <f>HYPERLINK("Melting_Curves/meltCurve_P51149_RAB7A.pdf", "Melting_Curves/meltCurve_P51149_RAB7A.pdf")</f>
        <v>Melting_Curves/meltCurve_P51149_RAB7A.pdf</v>
      </c>
    </row>
    <row r="2516" spans="1:28" x14ac:dyDescent="0.25">
      <c r="A2516" t="s">
        <v>2520</v>
      </c>
      <c r="B2516">
        <v>0.99996721820229495</v>
      </c>
      <c r="C2516">
        <v>0.936410727431783</v>
      </c>
      <c r="D2516">
        <v>0.92349954909716903</v>
      </c>
      <c r="E2516">
        <v>0.84309191021004803</v>
      </c>
      <c r="F2516">
        <v>0.72829605395580999</v>
      </c>
      <c r="G2516">
        <v>0.53541445005369404</v>
      </c>
      <c r="H2516">
        <v>0.25886687597859398</v>
      </c>
      <c r="I2516">
        <v>0.15223365216704501</v>
      </c>
      <c r="J2516">
        <v>0.104225438419573</v>
      </c>
      <c r="K2516">
        <v>8.4880577921140593E-2</v>
      </c>
      <c r="L2516">
        <v>763.742863062879</v>
      </c>
      <c r="M2516">
        <v>13.4515236057869</v>
      </c>
      <c r="N2516">
        <v>56.777415231354603</v>
      </c>
      <c r="O2516">
        <v>55.566649332499999</v>
      </c>
      <c r="P2516">
        <v>-6.0529131565862003E-2</v>
      </c>
      <c r="Q2516">
        <v>0</v>
      </c>
      <c r="R2516">
        <v>0.99359009369279705</v>
      </c>
      <c r="S2516" t="s">
        <v>8342</v>
      </c>
      <c r="T2516" t="s">
        <v>11650</v>
      </c>
      <c r="U2516" t="s">
        <v>11650</v>
      </c>
      <c r="V2516" t="s">
        <v>11650</v>
      </c>
      <c r="W2516" t="s">
        <v>14124</v>
      </c>
      <c r="X2516">
        <v>7</v>
      </c>
      <c r="Y2516" t="s">
        <v>19839</v>
      </c>
      <c r="Z2516" t="s">
        <v>25578</v>
      </c>
      <c r="AA2516">
        <v>0.57646263617030813</v>
      </c>
      <c r="AB2516" t="str">
        <f>HYPERLINK("Melting_Curves/meltCurve_P51151_RAB9A.pdf", "Melting_Curves/meltCurve_P51151_RAB9A.pdf")</f>
        <v>Melting_Curves/meltCurve_P51151_RAB9A.pdf</v>
      </c>
    </row>
    <row r="2517" spans="1:28" x14ac:dyDescent="0.25">
      <c r="A2517" t="s">
        <v>2521</v>
      </c>
      <c r="B2517">
        <v>0.99996721820229495</v>
      </c>
      <c r="C2517">
        <v>0.88648527267648702</v>
      </c>
      <c r="D2517">
        <v>0.81480717755852905</v>
      </c>
      <c r="E2517">
        <v>0.72162734868419898</v>
      </c>
      <c r="F2517">
        <v>0.56982308273881799</v>
      </c>
      <c r="G2517">
        <v>0.36238642672455701</v>
      </c>
      <c r="H2517">
        <v>0.23449061052669201</v>
      </c>
      <c r="I2517">
        <v>0.14170417636959701</v>
      </c>
      <c r="J2517">
        <v>9.3797263576045703E-2</v>
      </c>
      <c r="K2517">
        <v>7.9352845529703897E-2</v>
      </c>
      <c r="L2517">
        <v>561.95752789861297</v>
      </c>
      <c r="M2517">
        <v>10.4222870122047</v>
      </c>
      <c r="N2517">
        <v>53.918830298546901</v>
      </c>
      <c r="O2517">
        <v>52.047157030879603</v>
      </c>
      <c r="P2517">
        <v>-5.00825321241311E-2</v>
      </c>
      <c r="Q2517">
        <v>0</v>
      </c>
      <c r="R2517">
        <v>0.99348204994654798</v>
      </c>
      <c r="S2517" t="s">
        <v>8343</v>
      </c>
      <c r="T2517" t="s">
        <v>11650</v>
      </c>
      <c r="U2517" t="s">
        <v>11650</v>
      </c>
      <c r="V2517" t="s">
        <v>11650</v>
      </c>
      <c r="W2517" t="s">
        <v>14125</v>
      </c>
      <c r="X2517">
        <v>10</v>
      </c>
      <c r="Y2517" t="s">
        <v>19840</v>
      </c>
      <c r="Z2517" t="s">
        <v>25579</v>
      </c>
      <c r="AA2517">
        <v>0.49360689564896809</v>
      </c>
      <c r="AB2517" t="str">
        <f>HYPERLINK("Melting_Curves/meltCurve_P51153_RAB13.pdf", "Melting_Curves/meltCurve_P51153_RAB13.pdf")</f>
        <v>Melting_Curves/meltCurve_P51153_RAB13.pdf</v>
      </c>
    </row>
    <row r="2518" spans="1:28" x14ac:dyDescent="0.25">
      <c r="A2518" t="s">
        <v>2522</v>
      </c>
      <c r="B2518">
        <v>0.99996721820229495</v>
      </c>
      <c r="C2518">
        <v>1.0345431077309299</v>
      </c>
      <c r="D2518">
        <v>0.76737060682428404</v>
      </c>
      <c r="E2518">
        <v>0.39114485447077701</v>
      </c>
      <c r="F2518">
        <v>0.33990876165981998</v>
      </c>
      <c r="G2518">
        <v>0.30110429005664802</v>
      </c>
      <c r="H2518">
        <v>0.21085094830568099</v>
      </c>
      <c r="I2518">
        <v>0.13516728616566601</v>
      </c>
      <c r="J2518">
        <v>8.0188442647099401E-2</v>
      </c>
      <c r="K2518">
        <v>7.2777008880066898E-2</v>
      </c>
      <c r="L2518">
        <v>865.92088875026695</v>
      </c>
      <c r="M2518">
        <v>17.7594994030127</v>
      </c>
      <c r="N2518">
        <v>49.629855365490101</v>
      </c>
      <c r="O2518">
        <v>48.152572953745299</v>
      </c>
      <c r="P2518">
        <v>-7.9854971703126901E-2</v>
      </c>
      <c r="Q2518">
        <v>0.13397954138334101</v>
      </c>
      <c r="R2518">
        <v>0.965844835528332</v>
      </c>
      <c r="S2518" t="s">
        <v>8344</v>
      </c>
      <c r="T2518" t="s">
        <v>11650</v>
      </c>
      <c r="U2518" t="s">
        <v>11650</v>
      </c>
      <c r="V2518" t="s">
        <v>11650</v>
      </c>
      <c r="W2518" t="s">
        <v>14126</v>
      </c>
      <c r="X2518">
        <v>8</v>
      </c>
      <c r="Y2518" t="s">
        <v>19841</v>
      </c>
      <c r="Z2518" t="s">
        <v>25580</v>
      </c>
      <c r="AA2518">
        <v>0.40229151746238773</v>
      </c>
      <c r="AB2518" t="str">
        <f>HYPERLINK("Melting_Curves/meltCurve_P51157_RAB28.pdf", "Melting_Curves/meltCurve_P51157_RAB28.pdf")</f>
        <v>Melting_Curves/meltCurve_P51157_RAB28.pdf</v>
      </c>
    </row>
    <row r="2519" spans="1:28" x14ac:dyDescent="0.25">
      <c r="A2519" t="s">
        <v>2523</v>
      </c>
      <c r="B2519">
        <v>0.99996721820229495</v>
      </c>
      <c r="C2519">
        <v>0.87278423431584295</v>
      </c>
      <c r="D2519">
        <v>0.84227070135013804</v>
      </c>
      <c r="E2519">
        <v>0.82901674264342695</v>
      </c>
      <c r="F2519">
        <v>0.805411831495492</v>
      </c>
      <c r="G2519">
        <v>0.86721255049729096</v>
      </c>
      <c r="H2519">
        <v>0.53565187604620701</v>
      </c>
      <c r="I2519">
        <v>0.23679215860009301</v>
      </c>
      <c r="J2519">
        <v>0.120459729858577</v>
      </c>
      <c r="K2519">
        <v>0.15058913601228599</v>
      </c>
      <c r="L2519">
        <v>1009.87380745593</v>
      </c>
      <c r="M2519">
        <v>16.593605846634599</v>
      </c>
      <c r="N2519">
        <v>60.8592139688283</v>
      </c>
      <c r="O2519">
        <v>59.995911067223403</v>
      </c>
      <c r="P2519">
        <v>-6.9149411025817203E-2</v>
      </c>
      <c r="Q2519">
        <v>0</v>
      </c>
      <c r="R2519">
        <v>0.90289915937006104</v>
      </c>
      <c r="S2519" t="s">
        <v>8345</v>
      </c>
      <c r="T2519" t="s">
        <v>11650</v>
      </c>
      <c r="U2519" t="s">
        <v>11650</v>
      </c>
      <c r="V2519" t="s">
        <v>11650</v>
      </c>
      <c r="W2519" t="s">
        <v>14127</v>
      </c>
      <c r="X2519">
        <v>6</v>
      </c>
      <c r="Y2519" t="s">
        <v>19842</v>
      </c>
      <c r="Z2519" t="s">
        <v>25581</v>
      </c>
      <c r="AA2519">
        <v>0.70014394065704899</v>
      </c>
      <c r="AB2519" t="str">
        <f>HYPERLINK("Melting_Curves/meltCurve_P51159_2_RAB27A.pdf", "Melting_Curves/meltCurve_P51159_2_RAB27A.pdf")</f>
        <v>Melting_Curves/meltCurve_P51159_2_RAB27A.pdf</v>
      </c>
    </row>
    <row r="2520" spans="1:28" x14ac:dyDescent="0.25">
      <c r="A2520" t="s">
        <v>2524</v>
      </c>
      <c r="B2520">
        <v>0.99996721820229495</v>
      </c>
      <c r="C2520">
        <v>0.94565179153548495</v>
      </c>
      <c r="D2520">
        <v>0.9388817851997</v>
      </c>
      <c r="E2520">
        <v>0.69688501124712099</v>
      </c>
      <c r="F2520">
        <v>0.33052802581238899</v>
      </c>
      <c r="G2520">
        <v>0.29320561747165802</v>
      </c>
      <c r="H2520">
        <v>0.163835555158238</v>
      </c>
      <c r="I2520">
        <v>0.115264188051064</v>
      </c>
      <c r="J2520">
        <v>9.0080087326480304E-2</v>
      </c>
      <c r="K2520">
        <v>6.8628638836402994E-2</v>
      </c>
      <c r="L2520">
        <v>990.74247144604897</v>
      </c>
      <c r="M2520">
        <v>19.304237349940699</v>
      </c>
      <c r="N2520">
        <v>51.909806722041097</v>
      </c>
      <c r="O2520">
        <v>50.781306942163198</v>
      </c>
      <c r="P2520">
        <v>-8.5716440462007701E-2</v>
      </c>
      <c r="Q2520">
        <v>9.8098531910244396E-2</v>
      </c>
      <c r="R2520">
        <v>0.98603614979413901</v>
      </c>
      <c r="S2520" t="s">
        <v>8346</v>
      </c>
      <c r="T2520" t="s">
        <v>11650</v>
      </c>
      <c r="U2520" t="s">
        <v>11650</v>
      </c>
      <c r="V2520" t="s">
        <v>11650</v>
      </c>
      <c r="W2520" t="s">
        <v>14128</v>
      </c>
      <c r="X2520">
        <v>16</v>
      </c>
      <c r="Y2520" t="s">
        <v>19843</v>
      </c>
      <c r="Z2520" t="s">
        <v>25582</v>
      </c>
      <c r="AA2520">
        <v>0.45184154904465768</v>
      </c>
      <c r="AB2520" t="str">
        <f>HYPERLINK("Melting_Curves/meltCurve_P51178_PLCD1.pdf", "Melting_Curves/meltCurve_P51178_PLCD1.pdf")</f>
        <v>Melting_Curves/meltCurve_P51178_PLCD1.pdf</v>
      </c>
    </row>
    <row r="2521" spans="1:28" x14ac:dyDescent="0.25">
      <c r="A2521" t="s">
        <v>2525</v>
      </c>
      <c r="B2521">
        <v>0.99996721820229495</v>
      </c>
      <c r="C2521">
        <v>0.83843967925528895</v>
      </c>
      <c r="D2521">
        <v>0.72797492809997599</v>
      </c>
      <c r="E2521">
        <v>0.86163273616013303</v>
      </c>
      <c r="F2521">
        <v>1.2149045969089001</v>
      </c>
      <c r="G2521">
        <v>1.29531456390459</v>
      </c>
      <c r="H2521">
        <v>1.14792460706084</v>
      </c>
      <c r="I2521">
        <v>1.23020532483635</v>
      </c>
      <c r="J2521">
        <v>1.2594090167774199</v>
      </c>
      <c r="K2521">
        <v>1.21387735169619</v>
      </c>
      <c r="L2521">
        <v>13106.9561397176</v>
      </c>
      <c r="M2521">
        <v>250</v>
      </c>
      <c r="O2521">
        <v>52.424469549329999</v>
      </c>
      <c r="P2521">
        <v>0.27342731649635499</v>
      </c>
      <c r="Q2521">
        <v>1.22934851207032</v>
      </c>
      <c r="R2521">
        <v>0.65264104930101297</v>
      </c>
      <c r="S2521" t="s">
        <v>8347</v>
      </c>
      <c r="T2521" t="s">
        <v>11650</v>
      </c>
      <c r="U2521" t="s">
        <v>11650</v>
      </c>
      <c r="V2521" t="s">
        <v>11650</v>
      </c>
      <c r="W2521" t="s">
        <v>14129</v>
      </c>
      <c r="X2521">
        <v>3</v>
      </c>
      <c r="Y2521" t="s">
        <v>19844</v>
      </c>
      <c r="Z2521" t="s">
        <v>25583</v>
      </c>
      <c r="AA2521">
        <v>1.134317307348425</v>
      </c>
      <c r="AB2521" t="str">
        <f>HYPERLINK("Melting_Curves/meltCurve_P51397_DAP.pdf", "Melting_Curves/meltCurve_P51397_DAP.pdf")</f>
        <v>Melting_Curves/meltCurve_P51397_DAP.pdf</v>
      </c>
    </row>
    <row r="2522" spans="1:28" x14ac:dyDescent="0.25">
      <c r="A2522" t="s">
        <v>2526</v>
      </c>
      <c r="B2522">
        <v>0.99996721820229495</v>
      </c>
      <c r="C2522">
        <v>1.0860965503837801</v>
      </c>
      <c r="D2522">
        <v>1.01179541861611</v>
      </c>
      <c r="E2522">
        <v>0.809365232655609</v>
      </c>
      <c r="F2522">
        <v>0.45654021427046598</v>
      </c>
      <c r="G2522">
        <v>0.33733812137670199</v>
      </c>
      <c r="H2522">
        <v>0.17938818419194499</v>
      </c>
      <c r="I2522">
        <v>0.106673960478278</v>
      </c>
      <c r="J2522">
        <v>7.1489285719100196E-2</v>
      </c>
      <c r="K2522">
        <v>5.9151015288858098E-2</v>
      </c>
      <c r="L2522">
        <v>1027.2412452327801</v>
      </c>
      <c r="M2522">
        <v>19.370525788017702</v>
      </c>
      <c r="N2522">
        <v>53.501596811340697</v>
      </c>
      <c r="O2522">
        <v>52.475654356388702</v>
      </c>
      <c r="P2522">
        <v>-8.5060016999848498E-2</v>
      </c>
      <c r="Q2522">
        <v>7.8307884705832498E-2</v>
      </c>
      <c r="R2522">
        <v>0.98292983158724601</v>
      </c>
      <c r="S2522" t="s">
        <v>8348</v>
      </c>
      <c r="T2522" t="s">
        <v>11650</v>
      </c>
      <c r="U2522" t="s">
        <v>11650</v>
      </c>
      <c r="V2522" t="s">
        <v>11650</v>
      </c>
      <c r="W2522" t="s">
        <v>14130</v>
      </c>
      <c r="X2522">
        <v>8</v>
      </c>
      <c r="Y2522" t="s">
        <v>19845</v>
      </c>
      <c r="Z2522" t="s">
        <v>25584</v>
      </c>
      <c r="AA2522">
        <v>0.49204137071312493</v>
      </c>
      <c r="AB2522" t="str">
        <f>HYPERLINK("Melting_Curves/meltCurve_P51452_DUSP3.pdf", "Melting_Curves/meltCurve_P51452_DUSP3.pdf")</f>
        <v>Melting_Curves/meltCurve_P51452_DUSP3.pdf</v>
      </c>
    </row>
    <row r="2523" spans="1:28" x14ac:dyDescent="0.25">
      <c r="A2523" t="s">
        <v>2527</v>
      </c>
      <c r="B2523">
        <v>0.99996721820229495</v>
      </c>
      <c r="C2523">
        <v>0.90433830345392796</v>
      </c>
      <c r="D2523">
        <v>0.66410414131333995</v>
      </c>
      <c r="E2523">
        <v>0.41169620207859497</v>
      </c>
      <c r="F2523">
        <v>0.188841983805937</v>
      </c>
      <c r="G2523">
        <v>7.1697363184702698E-2</v>
      </c>
      <c r="H2523">
        <v>2.9640003498488599E-2</v>
      </c>
      <c r="I2523">
        <v>0</v>
      </c>
      <c r="J2523">
        <v>0</v>
      </c>
      <c r="K2523">
        <v>0</v>
      </c>
      <c r="L2523">
        <v>790.47528886385396</v>
      </c>
      <c r="M2523">
        <v>16.319481846439398</v>
      </c>
      <c r="N2523">
        <v>48.437523651048203</v>
      </c>
      <c r="O2523">
        <v>47.727731284767202</v>
      </c>
      <c r="P2523">
        <v>-8.5488382392974099E-2</v>
      </c>
      <c r="Q2523">
        <v>0</v>
      </c>
      <c r="R2523">
        <v>0.99667102390625295</v>
      </c>
      <c r="S2523" t="s">
        <v>8349</v>
      </c>
      <c r="T2523" t="s">
        <v>11650</v>
      </c>
      <c r="U2523" t="s">
        <v>11650</v>
      </c>
      <c r="V2523" t="s">
        <v>11650</v>
      </c>
      <c r="W2523" t="s">
        <v>14131</v>
      </c>
      <c r="X2523">
        <v>4</v>
      </c>
      <c r="Y2523" t="s">
        <v>19846</v>
      </c>
      <c r="Z2523" t="s">
        <v>25585</v>
      </c>
      <c r="AA2523">
        <v>0.3026282787370404</v>
      </c>
      <c r="AB2523" t="str">
        <f>HYPERLINK("Melting_Curves/meltCurve_P51513_4_NOVA1.pdf", "Melting_Curves/meltCurve_P51513_4_NOVA1.pdf")</f>
        <v>Melting_Curves/meltCurve_P51513_4_NOVA1.pdf</v>
      </c>
    </row>
    <row r="2524" spans="1:28" x14ac:dyDescent="0.25">
      <c r="A2524" t="s">
        <v>2528</v>
      </c>
      <c r="B2524">
        <v>0.99996721820229495</v>
      </c>
      <c r="C2524">
        <v>0.95639442507532602</v>
      </c>
      <c r="D2524">
        <v>1.0068692293574</v>
      </c>
      <c r="E2524">
        <v>0.86767112940749802</v>
      </c>
      <c r="F2524">
        <v>1.36992836857155</v>
      </c>
      <c r="G2524">
        <v>0.90651046457089302</v>
      </c>
      <c r="H2524">
        <v>0.54795839242781896</v>
      </c>
      <c r="I2524">
        <v>0.55566223219673205</v>
      </c>
      <c r="J2524">
        <v>0.39275921833657701</v>
      </c>
      <c r="K2524">
        <v>0.24061935487965</v>
      </c>
      <c r="L2524">
        <v>1693.1210473389899</v>
      </c>
      <c r="M2524">
        <v>27.808644204903199</v>
      </c>
      <c r="N2524">
        <v>63.001000939593702</v>
      </c>
      <c r="O2524">
        <v>60.572474544371197</v>
      </c>
      <c r="P2524">
        <v>-7.9936552854083104E-2</v>
      </c>
      <c r="Q2524">
        <v>0.30353865624793502</v>
      </c>
      <c r="R2524">
        <v>0.81574710578129594</v>
      </c>
      <c r="S2524" t="s">
        <v>8350</v>
      </c>
      <c r="T2524" t="s">
        <v>11650</v>
      </c>
      <c r="U2524" t="s">
        <v>11650</v>
      </c>
      <c r="V2524" t="s">
        <v>11650</v>
      </c>
      <c r="W2524" t="s">
        <v>14132</v>
      </c>
      <c r="X2524">
        <v>2</v>
      </c>
      <c r="Y2524" t="s">
        <v>19847</v>
      </c>
      <c r="Z2524" t="s">
        <v>25586</v>
      </c>
      <c r="AA2524">
        <v>0.79256668464827629</v>
      </c>
      <c r="AB2524" t="str">
        <f>HYPERLINK("Melting_Curves/meltCurve_P51531_2_SMARCA2.pdf", "Melting_Curves/meltCurve_P51531_2_SMARCA2.pdf")</f>
        <v>Melting_Curves/meltCurve_P51531_2_SMARCA2.pdf</v>
      </c>
    </row>
    <row r="2525" spans="1:28" x14ac:dyDescent="0.25">
      <c r="A2525" t="s">
        <v>2529</v>
      </c>
      <c r="B2525">
        <v>0.99996721820229495</v>
      </c>
      <c r="C2525">
        <v>1.0237380416858799</v>
      </c>
      <c r="D2525">
        <v>1.0590755106462599</v>
      </c>
      <c r="E2525">
        <v>1.17593960426102</v>
      </c>
      <c r="F2525">
        <v>1.36264009164793</v>
      </c>
      <c r="G2525">
        <v>0.83878512884567602</v>
      </c>
      <c r="H2525">
        <v>0.28873066165387701</v>
      </c>
      <c r="I2525">
        <v>0.13327302054197501</v>
      </c>
      <c r="J2525">
        <v>7.9855474338634297E-2</v>
      </c>
      <c r="K2525">
        <v>6.7215598616800307E-2</v>
      </c>
      <c r="L2525">
        <v>2663.3773464662499</v>
      </c>
      <c r="M2525">
        <v>44.939103596660502</v>
      </c>
      <c r="N2525">
        <v>59.502244264520897</v>
      </c>
      <c r="O2525">
        <v>59.149365029069997</v>
      </c>
      <c r="P2525">
        <v>-0.174442853870765</v>
      </c>
      <c r="Q2525">
        <v>8.1586435521668596E-2</v>
      </c>
      <c r="R2525">
        <v>0.92492149620387998</v>
      </c>
      <c r="S2525" t="s">
        <v>8351</v>
      </c>
      <c r="T2525" t="s">
        <v>11650</v>
      </c>
      <c r="U2525" t="s">
        <v>11650</v>
      </c>
      <c r="V2525" t="s">
        <v>11650</v>
      </c>
      <c r="W2525" t="s">
        <v>14133</v>
      </c>
      <c r="X2525">
        <v>8</v>
      </c>
      <c r="Y2525" t="s">
        <v>19848</v>
      </c>
      <c r="Z2525" t="s">
        <v>25587</v>
      </c>
      <c r="AA2525">
        <v>0.67431849935600319</v>
      </c>
      <c r="AB2525" t="str">
        <f>HYPERLINK("Melting_Curves/meltCurve_P51553_IDH3G.pdf", "Melting_Curves/meltCurve_P51553_IDH3G.pdf")</f>
        <v>Melting_Curves/meltCurve_P51553_IDH3G.pdf</v>
      </c>
    </row>
    <row r="2526" spans="1:28" x14ac:dyDescent="0.25">
      <c r="A2526" t="s">
        <v>2530</v>
      </c>
      <c r="B2526">
        <v>0.99996721820229495</v>
      </c>
      <c r="C2526">
        <v>0.94572408279379205</v>
      </c>
      <c r="D2526">
        <v>0.86139369735235205</v>
      </c>
      <c r="E2526">
        <v>0.74571317395087899</v>
      </c>
      <c r="F2526">
        <v>0.403659460039276</v>
      </c>
      <c r="G2526">
        <v>0.236877416686924</v>
      </c>
      <c r="H2526">
        <v>0.14246695663685099</v>
      </c>
      <c r="I2526">
        <v>8.4235407400682097E-2</v>
      </c>
      <c r="J2526">
        <v>5.71400762564995E-2</v>
      </c>
      <c r="K2526">
        <v>5.5288430707289601E-2</v>
      </c>
      <c r="L2526">
        <v>843.70973291060898</v>
      </c>
      <c r="M2526">
        <v>16.189776595775498</v>
      </c>
      <c r="N2526">
        <v>52.385754671185602</v>
      </c>
      <c r="O2526">
        <v>51.338103840666797</v>
      </c>
      <c r="P2526">
        <v>-7.5666254952614406E-2</v>
      </c>
      <c r="Q2526">
        <v>4.0315324621133998E-2</v>
      </c>
      <c r="R2526">
        <v>0.99287055463642804</v>
      </c>
      <c r="S2526" t="s">
        <v>8352</v>
      </c>
      <c r="T2526" t="s">
        <v>11650</v>
      </c>
      <c r="U2526" t="s">
        <v>11650</v>
      </c>
      <c r="V2526" t="s">
        <v>11650</v>
      </c>
      <c r="W2526" t="s">
        <v>14134</v>
      </c>
      <c r="X2526">
        <v>22</v>
      </c>
      <c r="Y2526" t="s">
        <v>19849</v>
      </c>
      <c r="Z2526" t="s">
        <v>25588</v>
      </c>
      <c r="AA2526">
        <v>0.44680792755734089</v>
      </c>
      <c r="AB2526" t="str">
        <f>HYPERLINK("Melting_Curves/meltCurve_P51570_GALK1.pdf", "Melting_Curves/meltCurve_P51570_GALK1.pdf")</f>
        <v>Melting_Curves/meltCurve_P51570_GALK1.pdf</v>
      </c>
    </row>
    <row r="2527" spans="1:28" x14ac:dyDescent="0.25">
      <c r="A2527" t="s">
        <v>2531</v>
      </c>
      <c r="B2527">
        <v>0.99996721820229495</v>
      </c>
      <c r="C2527">
        <v>0.85648407576505403</v>
      </c>
      <c r="D2527">
        <v>1.1064278987113301</v>
      </c>
      <c r="E2527">
        <v>1.2735058722415999</v>
      </c>
      <c r="F2527">
        <v>1.6437127428256</v>
      </c>
      <c r="G2527">
        <v>1.92088684838958</v>
      </c>
      <c r="H2527">
        <v>0.83969583218590604</v>
      </c>
      <c r="I2527">
        <v>0.22579056395730199</v>
      </c>
      <c r="J2527">
        <v>0.13627418373610201</v>
      </c>
      <c r="K2527">
        <v>0.101270861764128</v>
      </c>
      <c r="L2527">
        <v>4832.8805959907204</v>
      </c>
      <c r="M2527">
        <v>77.628173724460794</v>
      </c>
      <c r="N2527">
        <v>62.479317042381602</v>
      </c>
      <c r="O2527">
        <v>62.2155216719325</v>
      </c>
      <c r="P2527">
        <v>-0.27425777410742302</v>
      </c>
      <c r="Q2527">
        <v>0.12077880135114</v>
      </c>
      <c r="R2527">
        <v>0.60458316930766398</v>
      </c>
      <c r="S2527" t="s">
        <v>8353</v>
      </c>
      <c r="T2527" t="s">
        <v>11650</v>
      </c>
      <c r="U2527" t="s">
        <v>11650</v>
      </c>
      <c r="V2527" t="s">
        <v>11650</v>
      </c>
      <c r="W2527" t="s">
        <v>14135</v>
      </c>
      <c r="X2527">
        <v>9</v>
      </c>
      <c r="Y2527" t="s">
        <v>19850</v>
      </c>
      <c r="Z2527" t="s">
        <v>25589</v>
      </c>
      <c r="AA2527">
        <v>0.77405942303619979</v>
      </c>
      <c r="AB2527" t="str">
        <f>HYPERLINK("Melting_Curves/meltCurve_P51571_SSR4.pdf", "Melting_Curves/meltCurve_P51571_SSR4.pdf")</f>
        <v>Melting_Curves/meltCurve_P51571_SSR4.pdf</v>
      </c>
    </row>
    <row r="2528" spans="1:28" x14ac:dyDescent="0.25">
      <c r="A2528" t="s">
        <v>2532</v>
      </c>
      <c r="B2528">
        <v>0.99996721820229495</v>
      </c>
      <c r="C2528">
        <v>0.92719696182109201</v>
      </c>
      <c r="D2528">
        <v>1.25390145222368</v>
      </c>
      <c r="E2528">
        <v>1.90891683140664</v>
      </c>
      <c r="F2528">
        <v>2.3082889051397699</v>
      </c>
      <c r="G2528">
        <v>2.7751775827028</v>
      </c>
      <c r="H2528">
        <v>1.94546080650842</v>
      </c>
      <c r="I2528">
        <v>1.21319795645909</v>
      </c>
      <c r="J2528">
        <v>0.51542614711533796</v>
      </c>
      <c r="K2528">
        <v>1.11322623744523</v>
      </c>
      <c r="L2528">
        <v>11498.564149562601</v>
      </c>
      <c r="M2528">
        <v>250</v>
      </c>
      <c r="O2528">
        <v>45.991313295588199</v>
      </c>
      <c r="P2528">
        <v>0.67947614047370997</v>
      </c>
      <c r="Q2528">
        <v>1.5</v>
      </c>
      <c r="R2528">
        <v>0.141197123905724</v>
      </c>
      <c r="S2528" t="s">
        <v>8354</v>
      </c>
      <c r="T2528" t="s">
        <v>11650</v>
      </c>
      <c r="U2528" t="s">
        <v>11650</v>
      </c>
      <c r="V2528" t="s">
        <v>11650</v>
      </c>
      <c r="W2528" t="s">
        <v>14136</v>
      </c>
      <c r="X2528">
        <v>21</v>
      </c>
      <c r="Y2528" t="s">
        <v>19851</v>
      </c>
      <c r="Z2528" t="s">
        <v>25590</v>
      </c>
      <c r="AA2528">
        <v>1.4000553637602431</v>
      </c>
      <c r="AB2528" t="str">
        <f>HYPERLINK("Melting_Curves/meltCurve_P51572_BCAP31.pdf", "Melting_Curves/meltCurve_P51572_BCAP31.pdf")</f>
        <v>Melting_Curves/meltCurve_P51572_BCAP31.pdf</v>
      </c>
    </row>
    <row r="2529" spans="1:28" x14ac:dyDescent="0.25">
      <c r="A2529" t="s">
        <v>2533</v>
      </c>
      <c r="B2529">
        <v>0.99996721820229495</v>
      </c>
      <c r="C2529">
        <v>1.1025417611928701</v>
      </c>
      <c r="D2529">
        <v>1.06096210326007</v>
      </c>
      <c r="E2529">
        <v>0.90129981377703505</v>
      </c>
      <c r="F2529">
        <v>0.83013529671398101</v>
      </c>
      <c r="G2529">
        <v>0.47737295098867999</v>
      </c>
      <c r="H2529">
        <v>0.18327295943772101</v>
      </c>
      <c r="I2529">
        <v>0.106158739335674</v>
      </c>
      <c r="J2529">
        <v>9.19664183400387E-2</v>
      </c>
      <c r="K2529">
        <v>5.0154028327369399E-2</v>
      </c>
      <c r="L2529">
        <v>1262.7961697097001</v>
      </c>
      <c r="M2529">
        <v>22.3757751714219</v>
      </c>
      <c r="N2529">
        <v>56.680323545518199</v>
      </c>
      <c r="O2529">
        <v>55.990903438961801</v>
      </c>
      <c r="P2529">
        <v>-9.5314518344307306E-2</v>
      </c>
      <c r="Q2529">
        <v>4.5997918054199297E-2</v>
      </c>
      <c r="R2529">
        <v>0.98962228190118295</v>
      </c>
      <c r="S2529" t="s">
        <v>8355</v>
      </c>
      <c r="T2529" t="s">
        <v>11650</v>
      </c>
      <c r="U2529" t="s">
        <v>11650</v>
      </c>
      <c r="V2529" t="s">
        <v>11650</v>
      </c>
      <c r="W2529" t="s">
        <v>14137</v>
      </c>
      <c r="X2529">
        <v>15</v>
      </c>
      <c r="Y2529" t="s">
        <v>19852</v>
      </c>
      <c r="Z2529" t="s">
        <v>25591</v>
      </c>
      <c r="AA2529">
        <v>0.57898186005572683</v>
      </c>
      <c r="AB2529" t="str">
        <f>HYPERLINK("Melting_Curves/meltCurve_P51580_TPMT.pdf", "Melting_Curves/meltCurve_P51580_TPMT.pdf")</f>
        <v>Melting_Curves/meltCurve_P51580_TPMT.pdf</v>
      </c>
    </row>
    <row r="2530" spans="1:28" x14ac:dyDescent="0.25">
      <c r="A2530" t="s">
        <v>2534</v>
      </c>
      <c r="B2530">
        <v>0.99996721820229495</v>
      </c>
      <c r="C2530">
        <v>1.16918725251498</v>
      </c>
      <c r="D2530">
        <v>1.0989615588196899</v>
      </c>
      <c r="E2530">
        <v>1.0124330818566301</v>
      </c>
      <c r="F2530">
        <v>1.2052221492086299</v>
      </c>
      <c r="G2530">
        <v>1.2950163808073301</v>
      </c>
      <c r="H2530">
        <v>0.84736597929007595</v>
      </c>
      <c r="I2530">
        <v>0.71578284444648599</v>
      </c>
      <c r="J2530">
        <v>0.52718511473563701</v>
      </c>
      <c r="K2530">
        <v>0.46974258161567201</v>
      </c>
      <c r="L2530">
        <v>2484.3068616150599</v>
      </c>
      <c r="M2530">
        <v>39.100552437010798</v>
      </c>
      <c r="N2530">
        <v>68.055879988878203</v>
      </c>
      <c r="O2530">
        <v>63.370850789869301</v>
      </c>
      <c r="P2530">
        <v>-8.2874482329833105E-2</v>
      </c>
      <c r="Q2530">
        <v>0.46273756136557798</v>
      </c>
      <c r="R2530">
        <v>0.75981740059039105</v>
      </c>
      <c r="S2530" t="s">
        <v>8356</v>
      </c>
      <c r="T2530" t="s">
        <v>11650</v>
      </c>
      <c r="U2530" t="s">
        <v>11650</v>
      </c>
      <c r="V2530" t="s">
        <v>11650</v>
      </c>
      <c r="W2530" t="s">
        <v>14138</v>
      </c>
      <c r="X2530">
        <v>1</v>
      </c>
      <c r="Y2530" t="s">
        <v>19853</v>
      </c>
      <c r="Z2530" t="s">
        <v>25592</v>
      </c>
      <c r="AA2530">
        <v>0.88571441039040844</v>
      </c>
      <c r="AB2530" t="str">
        <f>HYPERLINK("Melting_Curves/meltCurve_P51608_MECP2.pdf", "Melting_Curves/meltCurve_P51608_MECP2.pdf")</f>
        <v>Melting_Curves/meltCurve_P51608_MECP2.pdf</v>
      </c>
    </row>
    <row r="2531" spans="1:28" x14ac:dyDescent="0.25">
      <c r="A2531" t="s">
        <v>2535</v>
      </c>
      <c r="B2531">
        <v>0.99996721820229495</v>
      </c>
      <c r="C2531">
        <v>0.93619045496321895</v>
      </c>
      <c r="D2531">
        <v>0.93294250554216696</v>
      </c>
      <c r="E2531">
        <v>1.3398092367886401</v>
      </c>
      <c r="F2531">
        <v>1.4581271170166601</v>
      </c>
      <c r="G2531">
        <v>1.5225632293975999</v>
      </c>
      <c r="H2531">
        <v>0.81469964873869705</v>
      </c>
      <c r="I2531">
        <v>0.393195911888787</v>
      </c>
      <c r="J2531">
        <v>0.28651369465165499</v>
      </c>
      <c r="K2531">
        <v>0</v>
      </c>
      <c r="L2531">
        <v>2801.0832374341298</v>
      </c>
      <c r="M2531">
        <v>44.302406941936702</v>
      </c>
      <c r="N2531">
        <v>63.5021570811288</v>
      </c>
      <c r="O2531">
        <v>63.098015061917401</v>
      </c>
      <c r="P2531">
        <v>-0.16017244438189199</v>
      </c>
      <c r="Q2531">
        <v>8.7494333539463204E-2</v>
      </c>
      <c r="R2531">
        <v>0.72560097451248196</v>
      </c>
      <c r="S2531" t="s">
        <v>8357</v>
      </c>
      <c r="T2531" t="s">
        <v>11650</v>
      </c>
      <c r="U2531" t="s">
        <v>11650</v>
      </c>
      <c r="V2531" t="s">
        <v>11650</v>
      </c>
      <c r="W2531" t="s">
        <v>14139</v>
      </c>
      <c r="X2531">
        <v>24</v>
      </c>
      <c r="Y2531" t="s">
        <v>17439</v>
      </c>
      <c r="Z2531" t="s">
        <v>25593</v>
      </c>
      <c r="AA2531">
        <v>0.79645010798170723</v>
      </c>
      <c r="AB2531" t="str">
        <f>HYPERLINK("Melting_Curves/meltCurve_P51610_2_HCFC1.pdf", "Melting_Curves/meltCurve_P51610_2_HCFC1.pdf")</f>
        <v>Melting_Curves/meltCurve_P51610_2_HCFC1.pdf</v>
      </c>
    </row>
    <row r="2532" spans="1:28" x14ac:dyDescent="0.25">
      <c r="A2532" t="s">
        <v>2536</v>
      </c>
      <c r="B2532">
        <v>0.99996721820229495</v>
      </c>
      <c r="C2532">
        <v>1.0073425038894099</v>
      </c>
      <c r="D2532">
        <v>1.04034537787508</v>
      </c>
      <c r="E2532">
        <v>1.2703068531239701</v>
      </c>
      <c r="F2532">
        <v>1.1607213362506501</v>
      </c>
      <c r="G2532">
        <v>0.61904820321443199</v>
      </c>
      <c r="H2532">
        <v>0.29215191857119699</v>
      </c>
      <c r="I2532">
        <v>0.18558989678705801</v>
      </c>
      <c r="J2532">
        <v>0.130187824662827</v>
      </c>
      <c r="K2532">
        <v>0.106739761080045</v>
      </c>
      <c r="L2532">
        <v>2584.9744021869401</v>
      </c>
      <c r="M2532">
        <v>44.9728257538736</v>
      </c>
      <c r="N2532">
        <v>57.965519040468202</v>
      </c>
      <c r="O2532">
        <v>57.3652834284606</v>
      </c>
      <c r="P2532">
        <v>-0.16516119941961899</v>
      </c>
      <c r="Q2532">
        <v>0.15731274978885501</v>
      </c>
      <c r="R2532">
        <v>0.93919481457546505</v>
      </c>
      <c r="S2532" t="s">
        <v>8358</v>
      </c>
      <c r="T2532" t="s">
        <v>11650</v>
      </c>
      <c r="U2532" t="s">
        <v>11650</v>
      </c>
      <c r="V2532" t="s">
        <v>11650</v>
      </c>
      <c r="W2532" t="s">
        <v>14140</v>
      </c>
      <c r="X2532">
        <v>23</v>
      </c>
      <c r="Y2532" t="s">
        <v>19854</v>
      </c>
      <c r="Z2532" t="s">
        <v>25594</v>
      </c>
      <c r="AA2532">
        <v>0.65090512978790516</v>
      </c>
      <c r="AB2532" t="str">
        <f>HYPERLINK("Melting_Curves/meltCurve_P51659_HSD17B4.pdf", "Melting_Curves/meltCurve_P51659_HSD17B4.pdf")</f>
        <v>Melting_Curves/meltCurve_P51659_HSD17B4.pdf</v>
      </c>
    </row>
    <row r="2533" spans="1:28" x14ac:dyDescent="0.25">
      <c r="A2533" t="s">
        <v>2537</v>
      </c>
      <c r="B2533">
        <v>0.99996721820229495</v>
      </c>
      <c r="C2533">
        <v>0.99973138572924303</v>
      </c>
      <c r="D2533">
        <v>1.0108379763276401</v>
      </c>
      <c r="E2533">
        <v>1.1731199333121101</v>
      </c>
      <c r="F2533">
        <v>1.02053882257035</v>
      </c>
      <c r="G2533">
        <v>1.30345984598475</v>
      </c>
      <c r="H2533">
        <v>0.61257258354518496</v>
      </c>
      <c r="I2533">
        <v>0.38048115372680802</v>
      </c>
      <c r="J2533">
        <v>0.20748944192284799</v>
      </c>
      <c r="K2533">
        <v>0.17549311292255401</v>
      </c>
      <c r="L2533">
        <v>3500.2149598537098</v>
      </c>
      <c r="M2533">
        <v>57.147410272420103</v>
      </c>
      <c r="N2533">
        <v>61.894127221840201</v>
      </c>
      <c r="O2533">
        <v>61.174016551403298</v>
      </c>
      <c r="P2533">
        <v>-0.18113118109339901</v>
      </c>
      <c r="Q2533">
        <v>0.22442565588939001</v>
      </c>
      <c r="R2533">
        <v>0.90555574176251796</v>
      </c>
      <c r="S2533" t="s">
        <v>8359</v>
      </c>
      <c r="T2533" t="s">
        <v>11650</v>
      </c>
      <c r="U2533" t="s">
        <v>11650</v>
      </c>
      <c r="V2533" t="s">
        <v>11650</v>
      </c>
      <c r="W2533" t="s">
        <v>14141</v>
      </c>
      <c r="X2533">
        <v>3</v>
      </c>
      <c r="Y2533" t="s">
        <v>19855</v>
      </c>
      <c r="Z2533" t="s">
        <v>25595</v>
      </c>
      <c r="AA2533">
        <v>0.77533403444338023</v>
      </c>
      <c r="AB2533" t="str">
        <f>HYPERLINK("Melting_Curves/meltCurve_P51665_PSMD7.pdf", "Melting_Curves/meltCurve_P51665_PSMD7.pdf")</f>
        <v>Melting_Curves/meltCurve_P51665_PSMD7.pdf</v>
      </c>
    </row>
    <row r="2534" spans="1:28" x14ac:dyDescent="0.25">
      <c r="A2534" t="s">
        <v>2538</v>
      </c>
      <c r="B2534">
        <v>0.99996721820229495</v>
      </c>
      <c r="C2534">
        <v>1.04975949715099</v>
      </c>
      <c r="D2534">
        <v>0.95624985565452603</v>
      </c>
      <c r="E2534">
        <v>0.64325279261922597</v>
      </c>
      <c r="F2534">
        <v>0.242433909401123</v>
      </c>
      <c r="G2534">
        <v>0.15460178403769601</v>
      </c>
      <c r="H2534">
        <v>7.4880558001275896E-2</v>
      </c>
      <c r="I2534">
        <v>5.3475206714120697E-2</v>
      </c>
      <c r="J2534">
        <v>3.7661785191835898E-2</v>
      </c>
      <c r="K2534">
        <v>2.94260389707376E-2</v>
      </c>
      <c r="L2534">
        <v>1505.4802127442999</v>
      </c>
      <c r="M2534">
        <v>29.651028758325999</v>
      </c>
      <c r="N2534">
        <v>50.982339909759602</v>
      </c>
      <c r="O2534">
        <v>50.544015601058298</v>
      </c>
      <c r="P2534">
        <v>-0.138265580497341</v>
      </c>
      <c r="Q2534">
        <v>5.7240013988570301E-2</v>
      </c>
      <c r="R2534">
        <v>0.99489723161090404</v>
      </c>
      <c r="S2534" t="s">
        <v>8360</v>
      </c>
      <c r="T2534" t="s">
        <v>11650</v>
      </c>
      <c r="U2534" t="s">
        <v>11650</v>
      </c>
      <c r="V2534" t="s">
        <v>11650</v>
      </c>
      <c r="W2534" t="s">
        <v>14142</v>
      </c>
      <c r="X2534">
        <v>3</v>
      </c>
      <c r="Y2534" t="s">
        <v>19856</v>
      </c>
      <c r="Z2534" t="s">
        <v>25596</v>
      </c>
      <c r="AA2534">
        <v>0.40183997558928453</v>
      </c>
      <c r="AB2534" t="str">
        <f>HYPERLINK("Melting_Curves/meltCurve_P51668_UBE2D1.pdf", "Melting_Curves/meltCurve_P51668_UBE2D1.pdf")</f>
        <v>Melting_Curves/meltCurve_P51668_UBE2D1.pdf</v>
      </c>
    </row>
    <row r="2535" spans="1:28" x14ac:dyDescent="0.25">
      <c r="A2535" t="s">
        <v>2539</v>
      </c>
      <c r="B2535">
        <v>0.99996721820229495</v>
      </c>
      <c r="C2535">
        <v>1.0034667211659301</v>
      </c>
      <c r="D2535">
        <v>1.0727840156544599</v>
      </c>
      <c r="E2535">
        <v>1.0765233711577999</v>
      </c>
      <c r="F2535">
        <v>1.31059892375916</v>
      </c>
      <c r="G2535">
        <v>1.13748701974611</v>
      </c>
      <c r="H2535">
        <v>0.452414382952609</v>
      </c>
      <c r="I2535">
        <v>0.245473751460034</v>
      </c>
      <c r="J2535">
        <v>0.16696485920022799</v>
      </c>
      <c r="K2535">
        <v>0.142012026504169</v>
      </c>
      <c r="L2535">
        <v>6976.1809285714498</v>
      </c>
      <c r="M2535">
        <v>115.07064233439399</v>
      </c>
      <c r="N2535">
        <v>60.867806561061201</v>
      </c>
      <c r="O2535">
        <v>60.606889585495502</v>
      </c>
      <c r="P2535">
        <v>-0.38735220709861301</v>
      </c>
      <c r="Q2535">
        <v>0.18393730411074799</v>
      </c>
      <c r="R2535">
        <v>0.92862369737066797</v>
      </c>
      <c r="S2535" t="s">
        <v>8361</v>
      </c>
      <c r="T2535" t="s">
        <v>11650</v>
      </c>
      <c r="U2535" t="s">
        <v>11650</v>
      </c>
      <c r="V2535" t="s">
        <v>11650</v>
      </c>
      <c r="W2535" t="s">
        <v>14143</v>
      </c>
      <c r="X2535">
        <v>7</v>
      </c>
      <c r="Y2535" t="s">
        <v>19857</v>
      </c>
      <c r="Z2535" t="s">
        <v>25597</v>
      </c>
      <c r="AA2535">
        <v>0.74539606199180897</v>
      </c>
      <c r="AB2535" t="str">
        <f>HYPERLINK("Melting_Curves/meltCurve_P51687_SUOX.pdf", "Melting_Curves/meltCurve_P51687_SUOX.pdf")</f>
        <v>Melting_Curves/meltCurve_P51687_SUOX.pdf</v>
      </c>
    </row>
    <row r="2536" spans="1:28" x14ac:dyDescent="0.25">
      <c r="A2536" t="s">
        <v>2540</v>
      </c>
      <c r="B2536">
        <v>0.99996721820229495</v>
      </c>
      <c r="C2536">
        <v>0.87519158217453197</v>
      </c>
      <c r="D2536">
        <v>0.93328046855147995</v>
      </c>
      <c r="E2536">
        <v>1.12776046302725</v>
      </c>
      <c r="F2536">
        <v>1.17211852309914</v>
      </c>
      <c r="G2536">
        <v>1.1196343393439201</v>
      </c>
      <c r="H2536">
        <v>0.82804854268114003</v>
      </c>
      <c r="I2536">
        <v>0.58526932180392</v>
      </c>
      <c r="J2536">
        <v>0.35966309124455098</v>
      </c>
      <c r="K2536">
        <v>0.45133188987823097</v>
      </c>
      <c r="L2536">
        <v>2941.7269246682099</v>
      </c>
      <c r="M2536">
        <v>47.065473025368398</v>
      </c>
      <c r="N2536">
        <v>64.751310270922801</v>
      </c>
      <c r="O2536">
        <v>62.390339326768398</v>
      </c>
      <c r="P2536">
        <v>-0.11269240177876801</v>
      </c>
      <c r="Q2536">
        <v>0.40245711354306801</v>
      </c>
      <c r="R2536">
        <v>0.87999873348631297</v>
      </c>
      <c r="S2536" t="s">
        <v>8362</v>
      </c>
      <c r="T2536" t="s">
        <v>11650</v>
      </c>
      <c r="U2536" t="s">
        <v>11650</v>
      </c>
      <c r="V2536" t="s">
        <v>11650</v>
      </c>
      <c r="W2536" t="s">
        <v>14144</v>
      </c>
      <c r="X2536">
        <v>8</v>
      </c>
      <c r="Y2536" t="s">
        <v>19858</v>
      </c>
      <c r="Z2536" t="s">
        <v>25598</v>
      </c>
      <c r="AA2536">
        <v>0.85230706231783993</v>
      </c>
      <c r="AB2536" t="str">
        <f>HYPERLINK("Melting_Curves/meltCurve_P51688_SGSH.pdf", "Melting_Curves/meltCurve_P51688_SGSH.pdf")</f>
        <v>Melting_Curves/meltCurve_P51688_SGSH.pdf</v>
      </c>
    </row>
    <row r="2537" spans="1:28" x14ac:dyDescent="0.25">
      <c r="A2537" t="s">
        <v>2541</v>
      </c>
      <c r="B2537">
        <v>0.99996721820229495</v>
      </c>
      <c r="C2537">
        <v>1.0393508236270099</v>
      </c>
      <c r="D2537">
        <v>0.77498165851099099</v>
      </c>
      <c r="E2537">
        <v>0.197277309637305</v>
      </c>
      <c r="F2537">
        <v>0.18847141190834699</v>
      </c>
      <c r="G2537">
        <v>0.15343555311925</v>
      </c>
      <c r="H2537">
        <v>0.13134567812922501</v>
      </c>
      <c r="I2537">
        <v>0.108839020976009</v>
      </c>
      <c r="J2537">
        <v>7.3226777185845596E-2</v>
      </c>
      <c r="K2537">
        <v>5.8572157995388001E-2</v>
      </c>
      <c r="L2537">
        <v>1904.1818938528299</v>
      </c>
      <c r="M2537">
        <v>40.285380990300197</v>
      </c>
      <c r="N2537">
        <v>47.578251175461403</v>
      </c>
      <c r="O2537">
        <v>47.151294108897297</v>
      </c>
      <c r="P2537">
        <v>-0.18887637314228301</v>
      </c>
      <c r="Q2537">
        <v>0.11573407386576701</v>
      </c>
      <c r="R2537">
        <v>0.99057101439900097</v>
      </c>
      <c r="S2537" t="s">
        <v>8363</v>
      </c>
      <c r="T2537" t="s">
        <v>11650</v>
      </c>
      <c r="U2537" t="s">
        <v>11650</v>
      </c>
      <c r="V2537" t="s">
        <v>11650</v>
      </c>
      <c r="W2537" t="s">
        <v>14145</v>
      </c>
      <c r="X2537">
        <v>10</v>
      </c>
      <c r="Y2537" t="s">
        <v>19859</v>
      </c>
      <c r="Z2537" t="s">
        <v>25599</v>
      </c>
      <c r="AA2537">
        <v>0.33280649786311528</v>
      </c>
      <c r="AB2537" t="str">
        <f>HYPERLINK("Melting_Curves/meltCurve_P51692_STAT5B.pdf", "Melting_Curves/meltCurve_P51692_STAT5B.pdf")</f>
        <v>Melting_Curves/meltCurve_P51692_STAT5B.pdf</v>
      </c>
    </row>
    <row r="2538" spans="1:28" x14ac:dyDescent="0.25">
      <c r="A2538" t="s">
        <v>2542</v>
      </c>
      <c r="B2538">
        <v>0.99996721820229495</v>
      </c>
      <c r="C2538">
        <v>0.71002797108581395</v>
      </c>
      <c r="D2538">
        <v>0.79438639232150199</v>
      </c>
      <c r="E2538">
        <v>0.93176018270652805</v>
      </c>
      <c r="F2538">
        <v>0.92788455415026505</v>
      </c>
      <c r="G2538">
        <v>0.84856452979823505</v>
      </c>
      <c r="H2538">
        <v>0.467385804745094</v>
      </c>
      <c r="I2538">
        <v>0.263507845499103</v>
      </c>
      <c r="J2538">
        <v>0.18990000432974499</v>
      </c>
      <c r="K2538">
        <v>0.146781315961068</v>
      </c>
      <c r="L2538">
        <v>1537.73065304737</v>
      </c>
      <c r="M2538">
        <v>25.613247596305602</v>
      </c>
      <c r="N2538">
        <v>60.7124880087176</v>
      </c>
      <c r="O2538">
        <v>59.674157553482402</v>
      </c>
      <c r="P2538">
        <v>-9.3993924072418106E-2</v>
      </c>
      <c r="Q2538">
        <v>0.124056454129574</v>
      </c>
      <c r="R2538">
        <v>0.86503758404657405</v>
      </c>
      <c r="S2538" t="s">
        <v>8364</v>
      </c>
      <c r="T2538" t="s">
        <v>11650</v>
      </c>
      <c r="U2538" t="s">
        <v>11650</v>
      </c>
      <c r="V2538" t="s">
        <v>11650</v>
      </c>
      <c r="W2538" t="s">
        <v>14146</v>
      </c>
      <c r="X2538">
        <v>2</v>
      </c>
      <c r="Y2538" t="s">
        <v>19860</v>
      </c>
      <c r="Z2538" t="s">
        <v>25600</v>
      </c>
      <c r="AA2538">
        <v>0.71541652907585263</v>
      </c>
      <c r="AB2538" t="str">
        <f>HYPERLINK("Melting_Curves/meltCurve_P51790_4_CLCN3.pdf", "Melting_Curves/meltCurve_P51790_4_CLCN3.pdf")</f>
        <v>Melting_Curves/meltCurve_P51790_4_CLCN3.pdf</v>
      </c>
    </row>
    <row r="2539" spans="1:28" x14ac:dyDescent="0.25">
      <c r="A2539" t="s">
        <v>2543</v>
      </c>
      <c r="B2539">
        <v>0.99996721820229495</v>
      </c>
      <c r="C2539">
        <v>0.94152754786949899</v>
      </c>
      <c r="D2539">
        <v>0.77316886591095602</v>
      </c>
      <c r="E2539">
        <v>0.11833464792109601</v>
      </c>
      <c r="F2539">
        <v>0.45160237939453102</v>
      </c>
      <c r="G2539">
        <v>6.8517627042378904E-2</v>
      </c>
      <c r="H2539">
        <v>5.7329682659931602E-2</v>
      </c>
      <c r="I2539">
        <v>3.8146712900115502E-2</v>
      </c>
      <c r="J2539">
        <v>3.2055691812881801E-2</v>
      </c>
      <c r="K2539">
        <v>1.3135832563307E-2</v>
      </c>
      <c r="L2539">
        <v>978.72848254077303</v>
      </c>
      <c r="M2539">
        <v>20.456526199317601</v>
      </c>
      <c r="N2539">
        <v>48.118159297591497</v>
      </c>
      <c r="O2539">
        <v>47.394142872732097</v>
      </c>
      <c r="P2539">
        <v>-0.10198000660583199</v>
      </c>
      <c r="Q2539">
        <v>5.4949787666299502E-2</v>
      </c>
      <c r="R2539">
        <v>0.910340914532483</v>
      </c>
      <c r="S2539" t="s">
        <v>8365</v>
      </c>
      <c r="T2539" t="s">
        <v>11650</v>
      </c>
      <c r="U2539" t="s">
        <v>11650</v>
      </c>
      <c r="V2539" t="s">
        <v>11650</v>
      </c>
      <c r="W2539" t="s">
        <v>14147</v>
      </c>
      <c r="X2539">
        <v>1</v>
      </c>
      <c r="Y2539" t="s">
        <v>19861</v>
      </c>
      <c r="Z2539" t="s">
        <v>25601</v>
      </c>
      <c r="AA2539">
        <v>0.31490070685686161</v>
      </c>
      <c r="AB2539" t="str">
        <f>HYPERLINK("Melting_Curves/meltCurve_P51795_CLCN5.pdf", "Melting_Curves/meltCurve_P51795_CLCN5.pdf")</f>
        <v>Melting_Curves/meltCurve_P51795_CLCN5.pdf</v>
      </c>
    </row>
    <row r="2540" spans="1:28" x14ac:dyDescent="0.25">
      <c r="A2540" t="s">
        <v>2544</v>
      </c>
      <c r="B2540">
        <v>0.99996721820229495</v>
      </c>
      <c r="C2540">
        <v>0.89898502521450496</v>
      </c>
      <c r="D2540">
        <v>1.18657506223139</v>
      </c>
      <c r="E2540">
        <v>1.6177104793628601</v>
      </c>
      <c r="F2540">
        <v>0.72372319314446198</v>
      </c>
      <c r="G2540">
        <v>0.56813445077639901</v>
      </c>
      <c r="H2540">
        <v>0.31511038871156799</v>
      </c>
      <c r="I2540">
        <v>0.15702541809260601</v>
      </c>
      <c r="J2540">
        <v>8.1738292244760397E-2</v>
      </c>
      <c r="K2540">
        <v>0.11462204331284601</v>
      </c>
      <c r="L2540">
        <v>1551.8012673748501</v>
      </c>
      <c r="M2540">
        <v>27.104998767941598</v>
      </c>
      <c r="N2540">
        <v>57.771613926848701</v>
      </c>
      <c r="O2540">
        <v>56.942570920452702</v>
      </c>
      <c r="P2540">
        <v>-0.106118211550681</v>
      </c>
      <c r="Q2540">
        <v>0.108270052388021</v>
      </c>
      <c r="R2540">
        <v>0.79475995731805704</v>
      </c>
      <c r="S2540" t="s">
        <v>8366</v>
      </c>
      <c r="T2540" t="s">
        <v>11650</v>
      </c>
      <c r="U2540" t="s">
        <v>11650</v>
      </c>
      <c r="V2540" t="s">
        <v>11650</v>
      </c>
      <c r="W2540" t="s">
        <v>14148</v>
      </c>
      <c r="X2540">
        <v>4</v>
      </c>
      <c r="Y2540" t="s">
        <v>19862</v>
      </c>
      <c r="Z2540" t="s">
        <v>25602</v>
      </c>
      <c r="AA2540">
        <v>0.62808694935736398</v>
      </c>
      <c r="AB2540" t="str">
        <f>HYPERLINK("Melting_Curves/meltCurve_P51805_PLXNA3.pdf", "Melting_Curves/meltCurve_P51805_PLXNA3.pdf")</f>
        <v>Melting_Curves/meltCurve_P51805_PLXNA3.pdf</v>
      </c>
    </row>
    <row r="2541" spans="1:28" x14ac:dyDescent="0.25">
      <c r="A2541" t="s">
        <v>2545</v>
      </c>
      <c r="B2541">
        <v>0.99996721820229495</v>
      </c>
      <c r="C2541">
        <v>0.92895799688446901</v>
      </c>
      <c r="D2541">
        <v>0.96478593995411099</v>
      </c>
      <c r="E2541">
        <v>0.89523266722778805</v>
      </c>
      <c r="F2541">
        <v>0.81166090866420604</v>
      </c>
      <c r="G2541">
        <v>0.455262957547591</v>
      </c>
      <c r="H2541">
        <v>0.225114758207942</v>
      </c>
      <c r="I2541">
        <v>0.145234397246261</v>
      </c>
      <c r="J2541">
        <v>0.10266125050974501</v>
      </c>
      <c r="K2541">
        <v>7.8788523576150002E-2</v>
      </c>
      <c r="L2541">
        <v>1093.9889636688899</v>
      </c>
      <c r="M2541">
        <v>19.4589090073266</v>
      </c>
      <c r="N2541">
        <v>56.594779243987198</v>
      </c>
      <c r="O2541">
        <v>55.636810579252298</v>
      </c>
      <c r="P2541">
        <v>-8.2160373395907205E-2</v>
      </c>
      <c r="Q2541">
        <v>6.0384046051072698E-2</v>
      </c>
      <c r="R2541">
        <v>0.99481581481220105</v>
      </c>
      <c r="S2541" t="s">
        <v>8367</v>
      </c>
      <c r="T2541" t="s">
        <v>11650</v>
      </c>
      <c r="U2541" t="s">
        <v>11650</v>
      </c>
      <c r="V2541" t="s">
        <v>11650</v>
      </c>
      <c r="W2541" t="s">
        <v>14149</v>
      </c>
      <c r="X2541">
        <v>8</v>
      </c>
      <c r="Y2541" t="s">
        <v>19863</v>
      </c>
      <c r="Z2541" t="s">
        <v>25603</v>
      </c>
      <c r="AA2541">
        <v>0.58084313620349326</v>
      </c>
      <c r="AB2541" t="str">
        <f>HYPERLINK("Melting_Curves/meltCurve_P51809_VAMP7.pdf", "Melting_Curves/meltCurve_P51809_VAMP7.pdf")</f>
        <v>Melting_Curves/meltCurve_P51809_VAMP7.pdf</v>
      </c>
    </row>
    <row r="2542" spans="1:28" x14ac:dyDescent="0.25">
      <c r="A2542" t="s">
        <v>2546</v>
      </c>
      <c r="B2542">
        <v>0.99996721820229495</v>
      </c>
      <c r="C2542">
        <v>0.966513309791173</v>
      </c>
      <c r="D2542">
        <v>0.94009167892906698</v>
      </c>
      <c r="E2542">
        <v>0.75869121914402804</v>
      </c>
      <c r="F2542">
        <v>0.37042540568763099</v>
      </c>
      <c r="G2542">
        <v>0.32824164299898201</v>
      </c>
      <c r="H2542">
        <v>0.21508356280445401</v>
      </c>
      <c r="I2542">
        <v>0.14584252142918699</v>
      </c>
      <c r="J2542">
        <v>0.120931435880595</v>
      </c>
      <c r="K2542">
        <v>0.10988062017995399</v>
      </c>
      <c r="L2542">
        <v>1025.7710907354699</v>
      </c>
      <c r="M2542">
        <v>19.848252549456799</v>
      </c>
      <c r="N2542">
        <v>52.519876543684902</v>
      </c>
      <c r="O2542">
        <v>51.164645866010602</v>
      </c>
      <c r="P2542">
        <v>-8.3806224856968203E-2</v>
      </c>
      <c r="Q2542">
        <v>0.13588927094492101</v>
      </c>
      <c r="R2542">
        <v>0.98390092352487701</v>
      </c>
      <c r="S2542" t="s">
        <v>8368</v>
      </c>
      <c r="T2542" t="s">
        <v>11650</v>
      </c>
      <c r="U2542" t="s">
        <v>11650</v>
      </c>
      <c r="V2542" t="s">
        <v>11650</v>
      </c>
      <c r="W2542" t="s">
        <v>14150</v>
      </c>
      <c r="X2542">
        <v>23</v>
      </c>
      <c r="Y2542" t="s">
        <v>19864</v>
      </c>
      <c r="Z2542" t="s">
        <v>25604</v>
      </c>
      <c r="AA2542">
        <v>0.48447497690903679</v>
      </c>
      <c r="AB2542" t="str">
        <f>HYPERLINK("Melting_Curves/meltCurve_P51812_RPS6KA3.pdf", "Melting_Curves/meltCurve_P51812_RPS6KA3.pdf")</f>
        <v>Melting_Curves/meltCurve_P51812_RPS6KA3.pdf</v>
      </c>
    </row>
    <row r="2543" spans="1:28" x14ac:dyDescent="0.25">
      <c r="A2543" t="s">
        <v>2547</v>
      </c>
      <c r="B2543">
        <v>0.99996721820229495</v>
      </c>
      <c r="C2543">
        <v>0.79992921523550797</v>
      </c>
      <c r="D2543">
        <v>0.665038299567555</v>
      </c>
      <c r="E2543">
        <v>0.343708965533286</v>
      </c>
      <c r="F2543">
        <v>0.30865118073204301</v>
      </c>
      <c r="G2543">
        <v>0.19321285832948501</v>
      </c>
      <c r="H2543">
        <v>0.16019656273916999</v>
      </c>
      <c r="I2543">
        <v>0.129101751480275</v>
      </c>
      <c r="J2543">
        <v>8.0841277158657299E-2</v>
      </c>
      <c r="K2543">
        <v>6.5587005165458206E-2</v>
      </c>
      <c r="L2543">
        <v>648.28462117969298</v>
      </c>
      <c r="M2543">
        <v>13.6302244999907</v>
      </c>
      <c r="N2543">
        <v>48.252329498633401</v>
      </c>
      <c r="O2543">
        <v>46.573542653146802</v>
      </c>
      <c r="P2543">
        <v>-6.6696024022523295E-2</v>
      </c>
      <c r="Q2543">
        <v>8.8551034964215097E-2</v>
      </c>
      <c r="R2543">
        <v>0.98668413312413705</v>
      </c>
      <c r="S2543" t="s">
        <v>8369</v>
      </c>
      <c r="T2543" t="s">
        <v>11650</v>
      </c>
      <c r="U2543" t="s">
        <v>11650</v>
      </c>
      <c r="V2543" t="s">
        <v>11650</v>
      </c>
      <c r="W2543" t="s">
        <v>14151</v>
      </c>
      <c r="X2543">
        <v>2</v>
      </c>
      <c r="Y2543" t="s">
        <v>19865</v>
      </c>
      <c r="Z2543" t="s">
        <v>25605</v>
      </c>
      <c r="AA2543">
        <v>0.34727271100585078</v>
      </c>
      <c r="AB2543" t="str">
        <f>HYPERLINK("Melting_Curves/meltCurve_P51857_2_AKR1D1.pdf", "Melting_Curves/meltCurve_P51857_2_AKR1D1.pdf")</f>
        <v>Melting_Curves/meltCurve_P51857_2_AKR1D1.pdf</v>
      </c>
    </row>
    <row r="2544" spans="1:28" x14ac:dyDescent="0.25">
      <c r="A2544" t="s">
        <v>2548</v>
      </c>
      <c r="B2544">
        <v>0.99996721820229495</v>
      </c>
      <c r="C2544">
        <v>1.1489115428155501</v>
      </c>
      <c r="D2544">
        <v>1.05664621766726</v>
      </c>
      <c r="E2544">
        <v>0.96858252660927202</v>
      </c>
      <c r="F2544">
        <v>1.00400570784913</v>
      </c>
      <c r="G2544">
        <v>1.00206220776149</v>
      </c>
      <c r="H2544">
        <v>0.61686510842825604</v>
      </c>
      <c r="I2544">
        <v>0.53951845794318198</v>
      </c>
      <c r="J2544">
        <v>0.51605239267839997</v>
      </c>
      <c r="K2544">
        <v>0.385396631557272</v>
      </c>
      <c r="L2544">
        <v>3354.6954821572499</v>
      </c>
      <c r="M2544">
        <v>55.8328661647272</v>
      </c>
      <c r="N2544">
        <v>63.3024788012995</v>
      </c>
      <c r="O2544">
        <v>60.007689720292099</v>
      </c>
      <c r="P2544">
        <v>-0.12311122325033</v>
      </c>
      <c r="Q2544">
        <v>0.470733723700546</v>
      </c>
      <c r="R2544">
        <v>0.94290495581551104</v>
      </c>
      <c r="S2544" t="s">
        <v>8370</v>
      </c>
      <c r="T2544" t="s">
        <v>11650</v>
      </c>
      <c r="U2544" t="s">
        <v>11650</v>
      </c>
      <c r="V2544" t="s">
        <v>11650</v>
      </c>
      <c r="W2544" t="s">
        <v>14152</v>
      </c>
      <c r="X2544">
        <v>21</v>
      </c>
      <c r="Y2544" t="s">
        <v>19866</v>
      </c>
      <c r="Z2544" t="s">
        <v>25606</v>
      </c>
      <c r="AA2544">
        <v>0.82618427541166362</v>
      </c>
      <c r="AB2544" t="str">
        <f>HYPERLINK("Melting_Curves/meltCurve_P51858_HDGF.pdf", "Melting_Curves/meltCurve_P51858_HDGF.pdf")</f>
        <v>Melting_Curves/meltCurve_P51858_HDGF.pdf</v>
      </c>
    </row>
    <row r="2545" spans="1:28" x14ac:dyDescent="0.25">
      <c r="A2545" t="s">
        <v>2549</v>
      </c>
      <c r="B2545">
        <v>0.99996721820229495</v>
      </c>
      <c r="C2545">
        <v>1.0508144639308401</v>
      </c>
      <c r="D2545">
        <v>0.99827395381409301</v>
      </c>
      <c r="E2545">
        <v>0.63568223679201596</v>
      </c>
      <c r="F2545">
        <v>0.56783629707737104</v>
      </c>
      <c r="G2545">
        <v>0.41206389524195097</v>
      </c>
      <c r="H2545">
        <v>0.25575637825547198</v>
      </c>
      <c r="I2545">
        <v>0.171274688566249</v>
      </c>
      <c r="J2545">
        <v>0.134385754067115</v>
      </c>
      <c r="K2545">
        <v>0.12581565795389699</v>
      </c>
      <c r="L2545">
        <v>730.41077486020595</v>
      </c>
      <c r="M2545">
        <v>13.700594872642901</v>
      </c>
      <c r="N2545">
        <v>54.193996654665099</v>
      </c>
      <c r="O2545">
        <v>52.215007151859602</v>
      </c>
      <c r="P2545">
        <v>-5.9052487336084702E-2</v>
      </c>
      <c r="Q2545">
        <v>9.98979516696957E-2</v>
      </c>
      <c r="R2545">
        <v>0.976725161374978</v>
      </c>
      <c r="S2545" t="s">
        <v>8371</v>
      </c>
      <c r="T2545" t="s">
        <v>11650</v>
      </c>
      <c r="U2545" t="s">
        <v>11650</v>
      </c>
      <c r="V2545" t="s">
        <v>11650</v>
      </c>
      <c r="W2545" t="s">
        <v>14153</v>
      </c>
      <c r="X2545">
        <v>8</v>
      </c>
      <c r="Y2545" t="s">
        <v>19867</v>
      </c>
      <c r="Z2545" t="s">
        <v>25607</v>
      </c>
      <c r="AA2545">
        <v>0.52078591975152211</v>
      </c>
      <c r="AB2545" t="str">
        <f>HYPERLINK("Melting_Curves/meltCurve_P51884_LUM.pdf", "Melting_Curves/meltCurve_P51884_LUM.pdf")</f>
        <v>Melting_Curves/meltCurve_P51884_LUM.pdf</v>
      </c>
    </row>
    <row r="2546" spans="1:28" x14ac:dyDescent="0.25">
      <c r="A2546" t="s">
        <v>2550</v>
      </c>
      <c r="B2546">
        <v>0.99996721820229495</v>
      </c>
      <c r="C2546">
        <v>1.0265747620438199</v>
      </c>
      <c r="D2546">
        <v>0.89374685992671299</v>
      </c>
      <c r="E2546">
        <v>0.72817787317515703</v>
      </c>
      <c r="F2546">
        <v>0.71829578098710201</v>
      </c>
      <c r="G2546">
        <v>0.58648894529650697</v>
      </c>
      <c r="H2546">
        <v>0.42748910462265399</v>
      </c>
      <c r="I2546">
        <v>0.44824419270525601</v>
      </c>
      <c r="J2546">
        <v>0.47465079707456098</v>
      </c>
      <c r="K2546">
        <v>0.33585220710026198</v>
      </c>
      <c r="L2546">
        <v>594.00831128854998</v>
      </c>
      <c r="M2546">
        <v>11.1408028694813</v>
      </c>
      <c r="N2546">
        <v>59.655578560299602</v>
      </c>
      <c r="O2546">
        <v>51.686889526976302</v>
      </c>
      <c r="P2546">
        <v>-3.5204354696043001E-2</v>
      </c>
      <c r="Q2546">
        <v>0.346898330783038</v>
      </c>
      <c r="R2546">
        <v>0.96345698625527998</v>
      </c>
      <c r="S2546" t="s">
        <v>8372</v>
      </c>
      <c r="T2546" t="s">
        <v>11650</v>
      </c>
      <c r="U2546" t="s">
        <v>11650</v>
      </c>
      <c r="V2546" t="s">
        <v>11650</v>
      </c>
      <c r="W2546" t="s">
        <v>14154</v>
      </c>
      <c r="X2546">
        <v>17</v>
      </c>
      <c r="Y2546" t="s">
        <v>19868</v>
      </c>
      <c r="Z2546" t="s">
        <v>25608</v>
      </c>
      <c r="AA2546">
        <v>0.65637612730876971</v>
      </c>
      <c r="AB2546" t="str">
        <f>HYPERLINK("Melting_Curves/meltCurve_P51911_CNN1.pdf", "Melting_Curves/meltCurve_P51911_CNN1.pdf")</f>
        <v>Melting_Curves/meltCurve_P51911_CNN1.pdf</v>
      </c>
    </row>
    <row r="2547" spans="1:28" x14ac:dyDescent="0.25">
      <c r="A2547" t="s">
        <v>2551</v>
      </c>
      <c r="B2547">
        <v>0.99996721820229495</v>
      </c>
      <c r="C2547">
        <v>0.98759624321343198</v>
      </c>
      <c r="D2547">
        <v>1.0389697253424599</v>
      </c>
      <c r="E2547">
        <v>1.51004763024098</v>
      </c>
      <c r="F2547">
        <v>1.43723775515104</v>
      </c>
      <c r="G2547">
        <v>1.13160345396023</v>
      </c>
      <c r="H2547">
        <v>0.657360305938685</v>
      </c>
      <c r="I2547">
        <v>0.45067915431771799</v>
      </c>
      <c r="J2547">
        <v>0.37745012287403101</v>
      </c>
      <c r="K2547">
        <v>0.34048917299188097</v>
      </c>
      <c r="L2547">
        <v>4564.2105909289803</v>
      </c>
      <c r="M2547">
        <v>74.988280135968793</v>
      </c>
      <c r="N2547">
        <v>62.064436018818199</v>
      </c>
      <c r="O2547">
        <v>60.822408175609297</v>
      </c>
      <c r="P2547">
        <v>-0.19032036925819101</v>
      </c>
      <c r="Q2547">
        <v>0.38253064860528702</v>
      </c>
      <c r="R2547">
        <v>0.70208734892429303</v>
      </c>
      <c r="S2547" t="s">
        <v>8373</v>
      </c>
      <c r="T2547" t="s">
        <v>11650</v>
      </c>
      <c r="U2547" t="s">
        <v>11650</v>
      </c>
      <c r="V2547" t="s">
        <v>11650</v>
      </c>
      <c r="W2547" t="s">
        <v>14155</v>
      </c>
      <c r="X2547">
        <v>6</v>
      </c>
      <c r="Y2547" t="s">
        <v>19869</v>
      </c>
      <c r="Z2547" t="s">
        <v>25609</v>
      </c>
      <c r="AA2547">
        <v>0.8127274601119362</v>
      </c>
      <c r="AB2547" t="str">
        <f>HYPERLINK("Melting_Curves/meltCurve_P51948_2_MNAT1.pdf", "Melting_Curves/meltCurve_P51948_2_MNAT1.pdf")</f>
        <v>Melting_Curves/meltCurve_P51948_2_MNAT1.pdf</v>
      </c>
    </row>
    <row r="2548" spans="1:28" x14ac:dyDescent="0.25">
      <c r="A2548" t="s">
        <v>2552</v>
      </c>
      <c r="B2548">
        <v>0.99996721820229495</v>
      </c>
      <c r="C2548">
        <v>0.78001957733328298</v>
      </c>
      <c r="D2548">
        <v>0.81293272166611297</v>
      </c>
      <c r="E2548">
        <v>0.76290599691799199</v>
      </c>
      <c r="F2548">
        <v>0.884865935077365</v>
      </c>
      <c r="G2548">
        <v>0.53599891895851604</v>
      </c>
      <c r="H2548">
        <v>0.32985346310584701</v>
      </c>
      <c r="I2548">
        <v>0.49148784358395697</v>
      </c>
      <c r="J2548">
        <v>0.26080920744243302</v>
      </c>
      <c r="K2548">
        <v>0.17492343544910999</v>
      </c>
      <c r="L2548">
        <v>426.193186754789</v>
      </c>
      <c r="M2548">
        <v>7.2329499716509504</v>
      </c>
      <c r="N2548">
        <v>58.9238416076088</v>
      </c>
      <c r="O2548">
        <v>54.919787961889398</v>
      </c>
      <c r="P2548">
        <v>-3.2979186153009599E-2</v>
      </c>
      <c r="Q2548">
        <v>0</v>
      </c>
      <c r="R2548">
        <v>0.85786451110958795</v>
      </c>
      <c r="S2548" t="s">
        <v>8374</v>
      </c>
      <c r="T2548" t="s">
        <v>11650</v>
      </c>
      <c r="U2548" t="s">
        <v>11650</v>
      </c>
      <c r="V2548" t="s">
        <v>11650</v>
      </c>
      <c r="W2548" t="s">
        <v>14156</v>
      </c>
      <c r="X2548">
        <v>3</v>
      </c>
      <c r="Y2548" t="s">
        <v>19870</v>
      </c>
      <c r="Z2548" t="s">
        <v>25610</v>
      </c>
      <c r="AA2548">
        <v>0.62117848189260061</v>
      </c>
      <c r="AB2548" t="str">
        <f>HYPERLINK("Melting_Curves/meltCurve_P51970_NDUFA8.pdf", "Melting_Curves/meltCurve_P51970_NDUFA8.pdf")</f>
        <v>Melting_Curves/meltCurve_P51970_NDUFA8.pdf</v>
      </c>
    </row>
    <row r="2549" spans="1:28" x14ac:dyDescent="0.25">
      <c r="A2549" t="s">
        <v>2553</v>
      </c>
      <c r="B2549">
        <v>0.99996721820229495</v>
      </c>
      <c r="C2549">
        <v>1.1229529151469</v>
      </c>
      <c r="D2549">
        <v>1.2150120595562901</v>
      </c>
      <c r="E2549">
        <v>1.3310585851024801</v>
      </c>
      <c r="F2549">
        <v>0.84102018129221001</v>
      </c>
      <c r="G2549">
        <v>0.98498494815585702</v>
      </c>
      <c r="H2549">
        <v>0.62153881776584596</v>
      </c>
      <c r="I2549">
        <v>0.69213767761600797</v>
      </c>
      <c r="J2549">
        <v>0.53751896812933597</v>
      </c>
      <c r="K2549">
        <v>0.426022889071138</v>
      </c>
      <c r="L2549">
        <v>1266.3401437651801</v>
      </c>
      <c r="M2549">
        <v>20.598679999980199</v>
      </c>
      <c r="N2549">
        <v>67.765088139010601</v>
      </c>
      <c r="O2549">
        <v>60.906153758590598</v>
      </c>
      <c r="P2549">
        <v>-4.8527796821189302E-2</v>
      </c>
      <c r="Q2549">
        <v>0.426068881140509</v>
      </c>
      <c r="R2549">
        <v>0.729561371347761</v>
      </c>
      <c r="S2549" t="s">
        <v>8375</v>
      </c>
      <c r="T2549" t="s">
        <v>11650</v>
      </c>
      <c r="U2549" t="s">
        <v>11650</v>
      </c>
      <c r="V2549" t="s">
        <v>11650</v>
      </c>
      <c r="W2549" t="s">
        <v>14157</v>
      </c>
      <c r="X2549">
        <v>3</v>
      </c>
      <c r="Y2549" t="s">
        <v>19871</v>
      </c>
      <c r="Z2549" t="s">
        <v>25611</v>
      </c>
      <c r="AA2549">
        <v>0.83979148371532542</v>
      </c>
      <c r="AB2549" t="str">
        <f>HYPERLINK("Melting_Curves/meltCurve_P51991_HNRNPA3.pdf", "Melting_Curves/meltCurve_P51991_HNRNPA3.pdf")</f>
        <v>Melting_Curves/meltCurve_P51991_HNRNPA3.pdf</v>
      </c>
    </row>
    <row r="2550" spans="1:28" x14ac:dyDescent="0.25">
      <c r="A2550" t="s">
        <v>2554</v>
      </c>
      <c r="B2550">
        <v>0.99996721820229495</v>
      </c>
      <c r="C2550">
        <v>0.92567122335465601</v>
      </c>
      <c r="D2550">
        <v>0.60789875099292601</v>
      </c>
      <c r="E2550">
        <v>0.38777702877745901</v>
      </c>
      <c r="F2550">
        <v>0.40744574561782598</v>
      </c>
      <c r="G2550">
        <v>0.34141649883556302</v>
      </c>
      <c r="H2550">
        <v>0.22458816267317</v>
      </c>
      <c r="I2550">
        <v>0.22136876765494601</v>
      </c>
      <c r="J2550">
        <v>0.165266233473712</v>
      </c>
      <c r="K2550">
        <v>0.131005554585095</v>
      </c>
      <c r="L2550">
        <v>676.39787503657499</v>
      </c>
      <c r="M2550">
        <v>14.272427217677301</v>
      </c>
      <c r="N2550">
        <v>49.019487511460298</v>
      </c>
      <c r="O2550">
        <v>46.4906788700155</v>
      </c>
      <c r="P2550">
        <v>-6.2273392710654699E-2</v>
      </c>
      <c r="Q2550">
        <v>0.18870799454483</v>
      </c>
      <c r="R2550">
        <v>0.95808066930041402</v>
      </c>
      <c r="S2550" t="s">
        <v>8376</v>
      </c>
      <c r="T2550" t="s">
        <v>11650</v>
      </c>
      <c r="U2550" t="s">
        <v>11650</v>
      </c>
      <c r="V2550" t="s">
        <v>11650</v>
      </c>
      <c r="W2550" t="s">
        <v>14158</v>
      </c>
      <c r="X2550">
        <v>16</v>
      </c>
      <c r="Y2550" t="s">
        <v>19872</v>
      </c>
      <c r="Z2550" t="s">
        <v>25612</v>
      </c>
      <c r="AA2550">
        <v>0.41240974771694078</v>
      </c>
      <c r="AB2550" t="str">
        <f>HYPERLINK("Melting_Curves/meltCurve_P52272_2_HNRNPM.pdf", "Melting_Curves/meltCurve_P52272_2_HNRNPM.pdf")</f>
        <v>Melting_Curves/meltCurve_P52272_2_HNRNPM.pdf</v>
      </c>
    </row>
    <row r="2551" spans="1:28" x14ac:dyDescent="0.25">
      <c r="A2551" t="s">
        <v>2555</v>
      </c>
      <c r="B2551">
        <v>0.99996721820229495</v>
      </c>
      <c r="C2551">
        <v>0.79040998921837602</v>
      </c>
      <c r="D2551">
        <v>0.32976837866577102</v>
      </c>
      <c r="E2551">
        <v>0.12419687554829199</v>
      </c>
      <c r="F2551">
        <v>0.100202133709746</v>
      </c>
      <c r="G2551">
        <v>7.1985235906026401E-2</v>
      </c>
      <c r="H2551">
        <v>3.6771999274512399E-2</v>
      </c>
      <c r="I2551">
        <v>2.5100960435483401E-2</v>
      </c>
      <c r="J2551">
        <v>1.4967566936956601E-2</v>
      </c>
      <c r="K2551">
        <v>8.47108973162259E-3</v>
      </c>
      <c r="L2551">
        <v>1278.1109715749801</v>
      </c>
      <c r="M2551">
        <v>28.550468203751301</v>
      </c>
      <c r="N2551">
        <v>44.912315547584399</v>
      </c>
      <c r="O2551">
        <v>44.548826271687297</v>
      </c>
      <c r="P2551">
        <v>-0.15313911958294399</v>
      </c>
      <c r="Q2551">
        <v>4.42028684834469E-2</v>
      </c>
      <c r="R2551">
        <v>0.99325418131024201</v>
      </c>
      <c r="S2551" t="s">
        <v>8377</v>
      </c>
      <c r="T2551" t="s">
        <v>11650</v>
      </c>
      <c r="U2551" t="s">
        <v>11650</v>
      </c>
      <c r="V2551" t="s">
        <v>11650</v>
      </c>
      <c r="W2551" t="s">
        <v>14159</v>
      </c>
      <c r="X2551">
        <v>5</v>
      </c>
      <c r="Y2551" t="s">
        <v>19873</v>
      </c>
      <c r="Z2551" t="s">
        <v>25613</v>
      </c>
      <c r="AA2551">
        <v>0.20315445469158019</v>
      </c>
      <c r="AB2551" t="str">
        <f>HYPERLINK("Melting_Curves/meltCurve_P52292_KPNA2.pdf", "Melting_Curves/meltCurve_P52292_KPNA2.pdf")</f>
        <v>Melting_Curves/meltCurve_P52292_KPNA2.pdf</v>
      </c>
    </row>
    <row r="2552" spans="1:28" x14ac:dyDescent="0.25">
      <c r="A2552" t="s">
        <v>2556</v>
      </c>
      <c r="B2552">
        <v>0.99996721820229495</v>
      </c>
      <c r="C2552">
        <v>0.87778918884184298</v>
      </c>
      <c r="D2552">
        <v>0.736686115560657</v>
      </c>
      <c r="E2552">
        <v>0.54039854161259704</v>
      </c>
      <c r="F2552">
        <v>0.52008737810260297</v>
      </c>
      <c r="G2552">
        <v>0.42305956491632102</v>
      </c>
      <c r="H2552">
        <v>0.36574656282366402</v>
      </c>
      <c r="I2552">
        <v>0.22216169205384301</v>
      </c>
      <c r="J2552">
        <v>0.16876296992227199</v>
      </c>
      <c r="K2552">
        <v>0.14643730058695301</v>
      </c>
      <c r="L2552">
        <v>393.89647720928002</v>
      </c>
      <c r="M2552">
        <v>7.4253186645161504</v>
      </c>
      <c r="N2552">
        <v>53.407525744197699</v>
      </c>
      <c r="O2552">
        <v>49.608095073135502</v>
      </c>
      <c r="P2552">
        <v>-3.6561519434526298E-2</v>
      </c>
      <c r="Q2552">
        <v>2.4394632203859699E-2</v>
      </c>
      <c r="R2552">
        <v>0.97245471448552601</v>
      </c>
      <c r="S2552" t="s">
        <v>8378</v>
      </c>
      <c r="T2552" t="s">
        <v>11650</v>
      </c>
      <c r="U2552" t="s">
        <v>11650</v>
      </c>
      <c r="V2552" t="s">
        <v>11650</v>
      </c>
      <c r="W2552" t="s">
        <v>14160</v>
      </c>
      <c r="X2552">
        <v>11</v>
      </c>
      <c r="Y2552" t="s">
        <v>19874</v>
      </c>
      <c r="Z2552" t="s">
        <v>25614</v>
      </c>
      <c r="AA2552">
        <v>0.49001357599593798</v>
      </c>
      <c r="AB2552" t="str">
        <f>HYPERLINK("Melting_Curves/meltCurve_P52294_KPNA1.pdf", "Melting_Curves/meltCurve_P52294_KPNA1.pdf")</f>
        <v>Melting_Curves/meltCurve_P52294_KPNA1.pdf</v>
      </c>
    </row>
    <row r="2553" spans="1:28" x14ac:dyDescent="0.25">
      <c r="A2553" t="s">
        <v>2557</v>
      </c>
      <c r="B2553">
        <v>0.99996721820229495</v>
      </c>
      <c r="C2553">
        <v>1.13056330512995</v>
      </c>
      <c r="D2553">
        <v>1.22048866272339</v>
      </c>
      <c r="E2553">
        <v>0.919322420139145</v>
      </c>
      <c r="F2553">
        <v>0.324086116374458</v>
      </c>
      <c r="G2553">
        <v>0.24099068812798199</v>
      </c>
      <c r="H2553">
        <v>0.119877108931273</v>
      </c>
      <c r="I2553">
        <v>5.6878435911651003E-2</v>
      </c>
      <c r="J2553">
        <v>4.0006567391072299E-2</v>
      </c>
      <c r="K2553">
        <v>3.5742569481381402E-2</v>
      </c>
      <c r="L2553">
        <v>2838.5422323867601</v>
      </c>
      <c r="M2553">
        <v>54.575644389787797</v>
      </c>
      <c r="N2553">
        <v>52.213821694805098</v>
      </c>
      <c r="O2553">
        <v>51.941458348559102</v>
      </c>
      <c r="P2553">
        <v>-0.23760619948689901</v>
      </c>
      <c r="Q2553">
        <v>9.5449563821137298E-2</v>
      </c>
      <c r="R2553">
        <v>0.95743889711948005</v>
      </c>
      <c r="S2553" t="s">
        <v>8379</v>
      </c>
      <c r="T2553" t="s">
        <v>11650</v>
      </c>
      <c r="U2553" t="s">
        <v>11650</v>
      </c>
      <c r="V2553" t="s">
        <v>11650</v>
      </c>
      <c r="W2553" t="s">
        <v>14161</v>
      </c>
      <c r="X2553">
        <v>27</v>
      </c>
      <c r="Y2553" t="s">
        <v>19875</v>
      </c>
      <c r="Z2553" t="s">
        <v>25615</v>
      </c>
      <c r="AA2553">
        <v>0.45934628449729648</v>
      </c>
      <c r="AB2553" t="str">
        <f>HYPERLINK("Melting_Curves/meltCurve_P52306_RAP1GDS1.pdf", "Melting_Curves/meltCurve_P52306_RAP1GDS1.pdf")</f>
        <v>Melting_Curves/meltCurve_P52306_RAP1GDS1.pdf</v>
      </c>
    </row>
    <row r="2554" spans="1:28" x14ac:dyDescent="0.25">
      <c r="A2554" t="s">
        <v>2558</v>
      </c>
      <c r="B2554">
        <v>0.99996721820229495</v>
      </c>
      <c r="C2554">
        <v>1.01605241825795</v>
      </c>
      <c r="D2554">
        <v>1.0633223055992</v>
      </c>
      <c r="E2554">
        <v>0.52128167566324801</v>
      </c>
      <c r="F2554">
        <v>0.32233490523242803</v>
      </c>
      <c r="G2554">
        <v>0.276622792211483</v>
      </c>
      <c r="H2554">
        <v>0.174187706214294</v>
      </c>
      <c r="I2554">
        <v>0.102800404881967</v>
      </c>
      <c r="J2554">
        <v>6.1290766909931203E-2</v>
      </c>
      <c r="K2554">
        <v>5.2655381485182499E-2</v>
      </c>
      <c r="L2554">
        <v>1367.6438147408201</v>
      </c>
      <c r="M2554">
        <v>27.208622461167</v>
      </c>
      <c r="N2554">
        <v>50.792506734818602</v>
      </c>
      <c r="O2554">
        <v>49.995924975117902</v>
      </c>
      <c r="P2554">
        <v>-0.11931220752284399</v>
      </c>
      <c r="Q2554">
        <v>0.12306237315433401</v>
      </c>
      <c r="R2554">
        <v>0.96870797023930999</v>
      </c>
      <c r="S2554" t="s">
        <v>8380</v>
      </c>
      <c r="T2554" t="s">
        <v>11650</v>
      </c>
      <c r="U2554" t="s">
        <v>11650</v>
      </c>
      <c r="V2554" t="s">
        <v>11650</v>
      </c>
      <c r="W2554" t="s">
        <v>14162</v>
      </c>
      <c r="X2554">
        <v>27</v>
      </c>
      <c r="Y2554" t="s">
        <v>19875</v>
      </c>
      <c r="Z2554" t="s">
        <v>25616</v>
      </c>
      <c r="AA2554">
        <v>0.42975594755409702</v>
      </c>
      <c r="AB2554" t="str">
        <f>HYPERLINK("Melting_Curves/meltCurve_P52306_4_RAP1GDS1.pdf", "Melting_Curves/meltCurve_P52306_4_RAP1GDS1.pdf")</f>
        <v>Melting_Curves/meltCurve_P52306_4_RAP1GDS1.pdf</v>
      </c>
    </row>
    <row r="2555" spans="1:28" x14ac:dyDescent="0.25">
      <c r="A2555" t="s">
        <v>2559</v>
      </c>
      <c r="B2555">
        <v>0.99996721820229495</v>
      </c>
      <c r="C2555">
        <v>1.0765796022208001</v>
      </c>
      <c r="D2555">
        <v>0.99102033857676297</v>
      </c>
      <c r="E2555">
        <v>0.910425423952548</v>
      </c>
      <c r="F2555">
        <v>0.48608567461228303</v>
      </c>
      <c r="G2555">
        <v>0.280780857347949</v>
      </c>
      <c r="H2555">
        <v>0.14358144586295801</v>
      </c>
      <c r="I2555">
        <v>9.2644563147710093E-2</v>
      </c>
      <c r="J2555">
        <v>6.6272035394104201E-2</v>
      </c>
      <c r="K2555">
        <v>5.4911451559668902E-2</v>
      </c>
      <c r="L2555">
        <v>1349.5033484414</v>
      </c>
      <c r="M2555">
        <v>25.393284375932801</v>
      </c>
      <c r="N2555">
        <v>53.525008132713403</v>
      </c>
      <c r="O2555">
        <v>52.8178039760258</v>
      </c>
      <c r="P2555">
        <v>-0.110259016112304</v>
      </c>
      <c r="Q2555">
        <v>8.2660531222623193E-2</v>
      </c>
      <c r="R2555">
        <v>0.98775091142285798</v>
      </c>
      <c r="S2555" t="s">
        <v>8381</v>
      </c>
      <c r="T2555" t="s">
        <v>11650</v>
      </c>
      <c r="U2555" t="s">
        <v>11650</v>
      </c>
      <c r="V2555" t="s">
        <v>11650</v>
      </c>
      <c r="W2555" t="s">
        <v>14163</v>
      </c>
      <c r="X2555">
        <v>19</v>
      </c>
      <c r="Y2555" t="s">
        <v>19876</v>
      </c>
      <c r="Z2555" t="s">
        <v>25617</v>
      </c>
      <c r="AA2555">
        <v>0.49279130082535272</v>
      </c>
      <c r="AB2555" t="str">
        <f>HYPERLINK("Melting_Curves/meltCurve_P52565_ARHGDIA.pdf", "Melting_Curves/meltCurve_P52565_ARHGDIA.pdf")</f>
        <v>Melting_Curves/meltCurve_P52565_ARHGDIA.pdf</v>
      </c>
    </row>
    <row r="2556" spans="1:28" x14ac:dyDescent="0.25">
      <c r="A2556" t="s">
        <v>2560</v>
      </c>
      <c r="B2556">
        <v>0.99996721820229495</v>
      </c>
      <c r="C2556">
        <v>1.11495795397207</v>
      </c>
      <c r="D2556">
        <v>0.95644055964942498</v>
      </c>
      <c r="E2556">
        <v>0.62498609425878304</v>
      </c>
      <c r="F2556">
        <v>0.37275913637129698</v>
      </c>
      <c r="G2556">
        <v>0.28008307766885499</v>
      </c>
      <c r="H2556">
        <v>0.159946744839809</v>
      </c>
      <c r="I2556">
        <v>0.113494885617501</v>
      </c>
      <c r="J2556">
        <v>7.9555700218441203E-2</v>
      </c>
      <c r="K2556">
        <v>6.4686310629802499E-2</v>
      </c>
      <c r="L2556">
        <v>1048.39454324499</v>
      </c>
      <c r="M2556">
        <v>20.480155118188801</v>
      </c>
      <c r="N2556">
        <v>51.763574681197703</v>
      </c>
      <c r="O2556">
        <v>50.710183327465799</v>
      </c>
      <c r="P2556">
        <v>-9.07318867944399E-2</v>
      </c>
      <c r="Q2556">
        <v>0.101394590722407</v>
      </c>
      <c r="R2556">
        <v>0.98048070567935997</v>
      </c>
      <c r="S2556" t="s">
        <v>8382</v>
      </c>
      <c r="T2556" t="s">
        <v>11650</v>
      </c>
      <c r="U2556" t="s">
        <v>11650</v>
      </c>
      <c r="V2556" t="s">
        <v>11650</v>
      </c>
      <c r="W2556" t="s">
        <v>14164</v>
      </c>
      <c r="X2556">
        <v>6</v>
      </c>
      <c r="Y2556" t="s">
        <v>19877</v>
      </c>
      <c r="Z2556" t="s">
        <v>25618</v>
      </c>
      <c r="AA2556">
        <v>0.44852568519475211</v>
      </c>
      <c r="AB2556" t="str">
        <f>HYPERLINK("Melting_Curves/meltCurve_P52597_HNRNPF.pdf", "Melting_Curves/meltCurve_P52597_HNRNPF.pdf")</f>
        <v>Melting_Curves/meltCurve_P52597_HNRNPF.pdf</v>
      </c>
    </row>
    <row r="2557" spans="1:28" x14ac:dyDescent="0.25">
      <c r="A2557" t="s">
        <v>2561</v>
      </c>
      <c r="B2557">
        <v>0.99996721820229495</v>
      </c>
      <c r="C2557">
        <v>0.97431891421111005</v>
      </c>
      <c r="D2557">
        <v>0.799378278618458</v>
      </c>
      <c r="E2557">
        <v>0.35111192657166101</v>
      </c>
      <c r="F2557">
        <v>0.28786768473277802</v>
      </c>
      <c r="G2557">
        <v>0.27385931910984801</v>
      </c>
      <c r="H2557">
        <v>0.14926109644680799</v>
      </c>
      <c r="I2557">
        <v>8.1041319749537294E-2</v>
      </c>
      <c r="J2557">
        <v>6.0495433903450198E-2</v>
      </c>
      <c r="K2557">
        <v>4.6520816846512401E-2</v>
      </c>
      <c r="L2557">
        <v>915.29430862702202</v>
      </c>
      <c r="M2557">
        <v>18.823901661970901</v>
      </c>
      <c r="N2557">
        <v>49.203852887938901</v>
      </c>
      <c r="O2557">
        <v>48.085256266625699</v>
      </c>
      <c r="P2557">
        <v>-8.8136257734310802E-2</v>
      </c>
      <c r="Q2557">
        <v>9.9468415103714306E-2</v>
      </c>
      <c r="R2557">
        <v>0.97480090016489696</v>
      </c>
      <c r="S2557" t="s">
        <v>8383</v>
      </c>
      <c r="T2557" t="s">
        <v>11650</v>
      </c>
      <c r="U2557" t="s">
        <v>11650</v>
      </c>
      <c r="V2557" t="s">
        <v>11650</v>
      </c>
      <c r="W2557" t="s">
        <v>14165</v>
      </c>
      <c r="X2557">
        <v>11</v>
      </c>
      <c r="Y2557" t="s">
        <v>19878</v>
      </c>
      <c r="Z2557" t="s">
        <v>25619</v>
      </c>
      <c r="AA2557">
        <v>0.37269086320796507</v>
      </c>
      <c r="AB2557" t="str">
        <f>HYPERLINK("Melting_Curves/meltCurve_P52630_4_STAT2.pdf", "Melting_Curves/meltCurve_P52630_4_STAT2.pdf")</f>
        <v>Melting_Curves/meltCurve_P52630_4_STAT2.pdf</v>
      </c>
    </row>
    <row r="2558" spans="1:28" x14ac:dyDescent="0.25">
      <c r="A2558" t="s">
        <v>2562</v>
      </c>
      <c r="B2558">
        <v>0.99996721820229495</v>
      </c>
      <c r="C2558">
        <v>1.23951210504966</v>
      </c>
      <c r="D2558">
        <v>1.13212643657296</v>
      </c>
      <c r="E2558">
        <v>1.2771488175832799</v>
      </c>
      <c r="F2558">
        <v>1.66955008223891</v>
      </c>
      <c r="G2558">
        <v>1.66998492232871</v>
      </c>
      <c r="H2558">
        <v>1.2295635842791599</v>
      </c>
      <c r="I2558">
        <v>0.99727488859439695</v>
      </c>
      <c r="J2558">
        <v>0.71343971639023196</v>
      </c>
      <c r="K2558">
        <v>0.44239448229541201</v>
      </c>
      <c r="L2558">
        <v>8228.6918586623906</v>
      </c>
      <c r="M2558">
        <v>122.86188469152501</v>
      </c>
      <c r="N2558">
        <v>68.147852232713007</v>
      </c>
      <c r="O2558">
        <v>66.957399691657798</v>
      </c>
      <c r="P2558">
        <v>-0.25705571554406997</v>
      </c>
      <c r="Q2558">
        <v>0.43963803167300802</v>
      </c>
      <c r="R2558">
        <v>0.156965537094438</v>
      </c>
      <c r="S2558" t="s">
        <v>8384</v>
      </c>
      <c r="T2558" t="s">
        <v>11650</v>
      </c>
      <c r="U2558" t="s">
        <v>11650</v>
      </c>
      <c r="V2558" t="s">
        <v>11650</v>
      </c>
      <c r="W2558" t="s">
        <v>14166</v>
      </c>
      <c r="X2558">
        <v>3</v>
      </c>
      <c r="Y2558" t="s">
        <v>19879</v>
      </c>
      <c r="Z2558" t="s">
        <v>25620</v>
      </c>
      <c r="AA2558">
        <v>0.94371650032050924</v>
      </c>
      <c r="AB2558" t="str">
        <f>HYPERLINK("Melting_Curves/meltCurve_P52655_GTF2A1.pdf", "Melting_Curves/meltCurve_P52655_GTF2A1.pdf")</f>
        <v>Melting_Curves/meltCurve_P52655_GTF2A1.pdf</v>
      </c>
    </row>
    <row r="2559" spans="1:28" x14ac:dyDescent="0.25">
      <c r="A2559" t="s">
        <v>2563</v>
      </c>
      <c r="B2559">
        <v>0.99996721820229495</v>
      </c>
      <c r="C2559">
        <v>0.93650178983319199</v>
      </c>
      <c r="D2559">
        <v>0.96622612356052295</v>
      </c>
      <c r="E2559">
        <v>0.85126495180754802</v>
      </c>
      <c r="F2559">
        <v>1.1821826354445599</v>
      </c>
      <c r="G2559">
        <v>1.2905878231936601</v>
      </c>
      <c r="H2559">
        <v>0.93726378915075903</v>
      </c>
      <c r="I2559">
        <v>1.01679978745435</v>
      </c>
      <c r="J2559">
        <v>0.65698238777558604</v>
      </c>
      <c r="K2559">
        <v>0.25533290033655098</v>
      </c>
      <c r="L2559">
        <v>15000</v>
      </c>
      <c r="M2559">
        <v>223.72264172506999</v>
      </c>
      <c r="N2559">
        <v>67.262107009852102</v>
      </c>
      <c r="O2559">
        <v>67.041941410954493</v>
      </c>
      <c r="P2559">
        <v>-0.62129852127477303</v>
      </c>
      <c r="Q2559">
        <v>0.25527319209785798</v>
      </c>
      <c r="R2559">
        <v>0.79820413221398201</v>
      </c>
      <c r="S2559" t="s">
        <v>8385</v>
      </c>
      <c r="T2559" t="s">
        <v>11650</v>
      </c>
      <c r="U2559" t="s">
        <v>11650</v>
      </c>
      <c r="V2559" t="s">
        <v>11650</v>
      </c>
      <c r="W2559" t="s">
        <v>14167</v>
      </c>
      <c r="X2559">
        <v>5</v>
      </c>
      <c r="Y2559" t="s">
        <v>19880</v>
      </c>
      <c r="Z2559" t="s">
        <v>25621</v>
      </c>
      <c r="AA2559">
        <v>0.926810384810136</v>
      </c>
      <c r="AB2559" t="str">
        <f>HYPERLINK("Melting_Curves/meltCurve_P52657_GTF2A2.pdf", "Melting_Curves/meltCurve_P52657_GTF2A2.pdf")</f>
        <v>Melting_Curves/meltCurve_P52657_GTF2A2.pdf</v>
      </c>
    </row>
    <row r="2560" spans="1:28" x14ac:dyDescent="0.25">
      <c r="A2560" t="s">
        <v>2564</v>
      </c>
      <c r="B2560">
        <v>0.99996721820229495</v>
      </c>
      <c r="C2560">
        <v>1.0237241912291499</v>
      </c>
      <c r="D2560">
        <v>0.93378212976627095</v>
      </c>
      <c r="E2560">
        <v>0.41865674770100197</v>
      </c>
      <c r="F2560">
        <v>0.25488031777171199</v>
      </c>
      <c r="G2560">
        <v>0.19159432755338601</v>
      </c>
      <c r="H2560">
        <v>0.118478935321211</v>
      </c>
      <c r="I2560">
        <v>7.7062647174452506E-2</v>
      </c>
      <c r="J2560">
        <v>6.5361914022186898E-2</v>
      </c>
      <c r="K2560">
        <v>5.7239590702868298E-2</v>
      </c>
      <c r="L2560">
        <v>1377.3556659609701</v>
      </c>
      <c r="M2560">
        <v>27.931049890839301</v>
      </c>
      <c r="N2560">
        <v>49.7069279538457</v>
      </c>
      <c r="O2560">
        <v>49.062025663519101</v>
      </c>
      <c r="P2560">
        <v>-0.12818690210706599</v>
      </c>
      <c r="Q2560">
        <v>9.9346101762662994E-2</v>
      </c>
      <c r="R2560">
        <v>0.98950415799174896</v>
      </c>
      <c r="S2560" t="s">
        <v>8386</v>
      </c>
      <c r="T2560" t="s">
        <v>11650</v>
      </c>
      <c r="U2560" t="s">
        <v>11650</v>
      </c>
      <c r="V2560" t="s">
        <v>11650</v>
      </c>
      <c r="W2560" t="s">
        <v>14168</v>
      </c>
      <c r="X2560">
        <v>13</v>
      </c>
      <c r="Y2560" t="s">
        <v>19881</v>
      </c>
      <c r="Z2560" t="s">
        <v>25622</v>
      </c>
      <c r="AA2560">
        <v>0.38530703491952811</v>
      </c>
      <c r="AB2560" t="str">
        <f>HYPERLINK("Melting_Curves/meltCurve_P52735_3_VAV2.pdf", "Melting_Curves/meltCurve_P52735_3_VAV2.pdf")</f>
        <v>Melting_Curves/meltCurve_P52735_3_VAV2.pdf</v>
      </c>
    </row>
    <row r="2561" spans="1:28" x14ac:dyDescent="0.25">
      <c r="A2561" t="s">
        <v>2565</v>
      </c>
      <c r="B2561">
        <v>0.99996721820229495</v>
      </c>
      <c r="C2561">
        <v>0.91555935227080998</v>
      </c>
      <c r="D2561">
        <v>0.91487395994071796</v>
      </c>
      <c r="E2561">
        <v>0.82604421318393695</v>
      </c>
      <c r="F2561">
        <v>1.04186397816851</v>
      </c>
      <c r="G2561">
        <v>1.00883710358347</v>
      </c>
      <c r="H2561">
        <v>0.778241862772448</v>
      </c>
      <c r="I2561">
        <v>0.88278743501931101</v>
      </c>
      <c r="J2561">
        <v>0.79328519672514097</v>
      </c>
      <c r="K2561">
        <v>0.58078300863784704</v>
      </c>
      <c r="L2561">
        <v>754.88974029467499</v>
      </c>
      <c r="M2561">
        <v>10.2534821270251</v>
      </c>
      <c r="Q2561">
        <v>0</v>
      </c>
      <c r="R2561">
        <v>0.581922944799939</v>
      </c>
      <c r="S2561" t="s">
        <v>8387</v>
      </c>
      <c r="T2561" t="s">
        <v>11650</v>
      </c>
      <c r="U2561" t="s">
        <v>11650</v>
      </c>
      <c r="V2561" t="s">
        <v>11650</v>
      </c>
      <c r="W2561" t="s">
        <v>14169</v>
      </c>
      <c r="X2561">
        <v>6</v>
      </c>
      <c r="Y2561" t="s">
        <v>19882</v>
      </c>
      <c r="Z2561" t="s">
        <v>25623</v>
      </c>
      <c r="AA2561">
        <v>0.91621605000472983</v>
      </c>
      <c r="AB2561" t="str">
        <f>HYPERLINK("Melting_Curves/meltCurve_P52758_HRSP12.pdf", "Melting_Curves/meltCurve_P52758_HRSP12.pdf")</f>
        <v>Melting_Curves/meltCurve_P52758_HRSP12.pdf</v>
      </c>
    </row>
    <row r="2562" spans="1:28" x14ac:dyDescent="0.25">
      <c r="A2562" t="s">
        <v>2566</v>
      </c>
      <c r="B2562">
        <v>0.99996721820229495</v>
      </c>
      <c r="C2562">
        <v>0.92247021370434701</v>
      </c>
      <c r="D2562">
        <v>0.98262338395068605</v>
      </c>
      <c r="E2562">
        <v>0.982775983896233</v>
      </c>
      <c r="F2562">
        <v>1.04961311138888</v>
      </c>
      <c r="G2562">
        <v>0.62535257384892695</v>
      </c>
      <c r="H2562">
        <v>0.17610944866787301</v>
      </c>
      <c r="I2562">
        <v>0.100467749231006</v>
      </c>
      <c r="J2562">
        <v>5.4145156102889197E-2</v>
      </c>
      <c r="K2562">
        <v>4.2877604318581203E-2</v>
      </c>
      <c r="L2562">
        <v>2335.0646720105101</v>
      </c>
      <c r="M2562">
        <v>40.483534414024497</v>
      </c>
      <c r="N2562">
        <v>57.872469830148702</v>
      </c>
      <c r="O2562">
        <v>57.539181844835298</v>
      </c>
      <c r="P2562">
        <v>-0.16478329571556</v>
      </c>
      <c r="Q2562">
        <v>6.31772252169754E-2</v>
      </c>
      <c r="R2562">
        <v>0.99226739910435602</v>
      </c>
      <c r="S2562" t="s">
        <v>8388</v>
      </c>
      <c r="T2562" t="s">
        <v>11650</v>
      </c>
      <c r="U2562" t="s">
        <v>11650</v>
      </c>
      <c r="V2562" t="s">
        <v>11650</v>
      </c>
      <c r="W2562" t="s">
        <v>11777</v>
      </c>
      <c r="X2562">
        <v>18</v>
      </c>
      <c r="Y2562" t="s">
        <v>17538</v>
      </c>
      <c r="Z2562" t="s">
        <v>25624</v>
      </c>
      <c r="AA2562">
        <v>0.61884886841795017</v>
      </c>
      <c r="AB2562" t="str">
        <f>HYPERLINK("Melting_Curves/meltCurve_P52788_SMS.pdf", "Melting_Curves/meltCurve_P52788_SMS.pdf")</f>
        <v>Melting_Curves/meltCurve_P52788_SMS.pdf</v>
      </c>
    </row>
    <row r="2563" spans="1:28" x14ac:dyDescent="0.25">
      <c r="A2563" t="s">
        <v>2567</v>
      </c>
      <c r="B2563">
        <v>0.99996721820229495</v>
      </c>
      <c r="C2563">
        <v>0.817592748235349</v>
      </c>
      <c r="D2563">
        <v>0.42960484855585401</v>
      </c>
      <c r="E2563">
        <v>0.303192634058574</v>
      </c>
      <c r="F2563">
        <v>0.28428982575832601</v>
      </c>
      <c r="G2563">
        <v>0.26626250091248299</v>
      </c>
      <c r="H2563">
        <v>0.17451203380689101</v>
      </c>
      <c r="I2563">
        <v>0.13081722787650801</v>
      </c>
      <c r="J2563">
        <v>0.110330733694378</v>
      </c>
      <c r="K2563">
        <v>7.5858644939762299E-2</v>
      </c>
      <c r="L2563">
        <v>900.09543285535403</v>
      </c>
      <c r="M2563">
        <v>19.9176184468812</v>
      </c>
      <c r="N2563">
        <v>46.092819182407297</v>
      </c>
      <c r="O2563">
        <v>44.7427739035369</v>
      </c>
      <c r="P2563">
        <v>-9.3332755289915206E-2</v>
      </c>
      <c r="Q2563">
        <v>0.16138002933102499</v>
      </c>
      <c r="R2563">
        <v>0.95633853913456801</v>
      </c>
      <c r="S2563" t="s">
        <v>8389</v>
      </c>
      <c r="T2563" t="s">
        <v>11650</v>
      </c>
      <c r="U2563" t="s">
        <v>11650</v>
      </c>
      <c r="V2563" t="s">
        <v>11650</v>
      </c>
      <c r="W2563" t="s">
        <v>14170</v>
      </c>
      <c r="X2563">
        <v>16</v>
      </c>
      <c r="Y2563" t="s">
        <v>19883</v>
      </c>
      <c r="Z2563" t="s">
        <v>25625</v>
      </c>
      <c r="AA2563">
        <v>0.32052697835411897</v>
      </c>
      <c r="AB2563" t="str">
        <f>HYPERLINK("Melting_Curves/meltCurve_P52789_HK2.pdf", "Melting_Curves/meltCurve_P52789_HK2.pdf")</f>
        <v>Melting_Curves/meltCurve_P52789_HK2.pdf</v>
      </c>
    </row>
    <row r="2564" spans="1:28" x14ac:dyDescent="0.25">
      <c r="A2564" t="s">
        <v>2568</v>
      </c>
      <c r="B2564">
        <v>0.99996721820229495</v>
      </c>
      <c r="C2564">
        <v>0.97423733860730599</v>
      </c>
      <c r="D2564">
        <v>1.0148439899395201</v>
      </c>
      <c r="E2564">
        <v>1.0200124086258999</v>
      </c>
      <c r="F2564">
        <v>0.99369161112232096</v>
      </c>
      <c r="G2564">
        <v>1.1660615310954301</v>
      </c>
      <c r="H2564">
        <v>0.78791233979239494</v>
      </c>
      <c r="I2564">
        <v>0.54936815181380705</v>
      </c>
      <c r="J2564">
        <v>0.372422189405966</v>
      </c>
      <c r="K2564">
        <v>0.36749797434647302</v>
      </c>
      <c r="L2564">
        <v>2722.8635605971099</v>
      </c>
      <c r="M2564">
        <v>43.649066878404803</v>
      </c>
      <c r="N2564">
        <v>64.255200842918995</v>
      </c>
      <c r="O2564">
        <v>62.250273203139798</v>
      </c>
      <c r="P2564">
        <v>-0.11218187952643199</v>
      </c>
      <c r="Q2564">
        <v>0.36004644282852799</v>
      </c>
      <c r="R2564">
        <v>0.95401496809432396</v>
      </c>
      <c r="S2564" t="s">
        <v>8390</v>
      </c>
      <c r="T2564" t="s">
        <v>11650</v>
      </c>
      <c r="U2564" t="s">
        <v>11650</v>
      </c>
      <c r="V2564" t="s">
        <v>11650</v>
      </c>
      <c r="W2564" t="s">
        <v>14171</v>
      </c>
      <c r="X2564">
        <v>4</v>
      </c>
      <c r="Y2564" t="s">
        <v>19884</v>
      </c>
      <c r="Z2564" t="s">
        <v>25626</v>
      </c>
      <c r="AA2564">
        <v>0.8394346522345445</v>
      </c>
      <c r="AB2564" t="str">
        <f>HYPERLINK("Melting_Curves/meltCurve_P52799_EFNB2.pdf", "Melting_Curves/meltCurve_P52799_EFNB2.pdf")</f>
        <v>Melting_Curves/meltCurve_P52799_EFNB2.pdf</v>
      </c>
    </row>
    <row r="2565" spans="1:28" x14ac:dyDescent="0.25">
      <c r="A2565" t="s">
        <v>2569</v>
      </c>
      <c r="B2565">
        <v>0.99996721820229495</v>
      </c>
      <c r="C2565">
        <v>1.12128849338314</v>
      </c>
      <c r="D2565">
        <v>0.98859133658652398</v>
      </c>
      <c r="E2565">
        <v>1.15625432725846</v>
      </c>
      <c r="F2565">
        <v>1.9117830924835799</v>
      </c>
      <c r="G2565">
        <v>1.3841871254957701</v>
      </c>
      <c r="H2565">
        <v>1.0194984557609801</v>
      </c>
      <c r="I2565">
        <v>0.78535352850991602</v>
      </c>
      <c r="J2565">
        <v>0.47748774274015299</v>
      </c>
      <c r="K2565">
        <v>0.43904221009757299</v>
      </c>
      <c r="L2565">
        <v>5252.57211739174</v>
      </c>
      <c r="M2565">
        <v>81.594707103614795</v>
      </c>
      <c r="N2565">
        <v>66.186477430243002</v>
      </c>
      <c r="O2565">
        <v>64.335301340100798</v>
      </c>
      <c r="P2565">
        <v>-0.17550487125233799</v>
      </c>
      <c r="Q2565">
        <v>0.44647604901680998</v>
      </c>
      <c r="R2565">
        <v>0.38027307525456999</v>
      </c>
      <c r="S2565" t="s">
        <v>8391</v>
      </c>
      <c r="T2565" t="s">
        <v>11650</v>
      </c>
      <c r="U2565" t="s">
        <v>11650</v>
      </c>
      <c r="V2565" t="s">
        <v>11650</v>
      </c>
      <c r="W2565" t="s">
        <v>14172</v>
      </c>
      <c r="X2565">
        <v>9</v>
      </c>
      <c r="Y2565" t="s">
        <v>19885</v>
      </c>
      <c r="Z2565" t="s">
        <v>25627</v>
      </c>
      <c r="AA2565">
        <v>0.89675761536559528</v>
      </c>
      <c r="AB2565" t="str">
        <f>HYPERLINK("Melting_Curves/meltCurve_P52815_MRPL12.pdf", "Melting_Curves/meltCurve_P52815_MRPL12.pdf")</f>
        <v>Melting_Curves/meltCurve_P52815_MRPL12.pdf</v>
      </c>
    </row>
    <row r="2566" spans="1:28" x14ac:dyDescent="0.25">
      <c r="A2566" t="s">
        <v>2570</v>
      </c>
      <c r="B2566">
        <v>0.99996721820229495</v>
      </c>
      <c r="C2566">
        <v>0.930854326620428</v>
      </c>
      <c r="D2566">
        <v>1.0384730414860099</v>
      </c>
      <c r="E2566">
        <v>1.0274758582715799</v>
      </c>
      <c r="F2566">
        <v>0.55729026797767001</v>
      </c>
      <c r="G2566">
        <v>0.42258328696719299</v>
      </c>
      <c r="H2566">
        <v>0.26296880171138098</v>
      </c>
      <c r="I2566">
        <v>0.16328618492039301</v>
      </c>
      <c r="J2566">
        <v>0.13782882218922399</v>
      </c>
      <c r="K2566">
        <v>9.2126492957026795E-2</v>
      </c>
      <c r="L2566">
        <v>1138.2479582026699</v>
      </c>
      <c r="M2566">
        <v>20.880286428254699</v>
      </c>
      <c r="N2566">
        <v>55.2880960040535</v>
      </c>
      <c r="O2566">
        <v>54.020427198137099</v>
      </c>
      <c r="P2566">
        <v>-8.4373129126045901E-2</v>
      </c>
      <c r="Q2566">
        <v>0.12688036199276001</v>
      </c>
      <c r="R2566">
        <v>0.96390402497960503</v>
      </c>
      <c r="S2566" t="s">
        <v>8392</v>
      </c>
      <c r="T2566" t="s">
        <v>11650</v>
      </c>
      <c r="U2566" t="s">
        <v>11650</v>
      </c>
      <c r="V2566" t="s">
        <v>11650</v>
      </c>
      <c r="W2566" t="s">
        <v>14173</v>
      </c>
      <c r="X2566">
        <v>10</v>
      </c>
      <c r="Y2566" t="s">
        <v>19886</v>
      </c>
      <c r="Z2566" t="s">
        <v>25628</v>
      </c>
      <c r="AA2566">
        <v>0.56025149825675868</v>
      </c>
      <c r="AB2566" t="str">
        <f>HYPERLINK("Melting_Curves/meltCurve_P52848_NDST1.pdf", "Melting_Curves/meltCurve_P52848_NDST1.pdf")</f>
        <v>Melting_Curves/meltCurve_P52848_NDST1.pdf</v>
      </c>
    </row>
    <row r="2567" spans="1:28" x14ac:dyDescent="0.25">
      <c r="A2567" t="s">
        <v>2571</v>
      </c>
      <c r="B2567">
        <v>0.99996721820229495</v>
      </c>
      <c r="C2567">
        <v>0.90143778056104695</v>
      </c>
      <c r="D2567">
        <v>0.88807677595898205</v>
      </c>
      <c r="E2567">
        <v>0.89079758994302605</v>
      </c>
      <c r="F2567">
        <v>1.0209449327853499</v>
      </c>
      <c r="G2567">
        <v>0.88919787969775599</v>
      </c>
      <c r="H2567">
        <v>0.54739750980908197</v>
      </c>
      <c r="I2567">
        <v>0.179697880464077</v>
      </c>
      <c r="J2567">
        <v>9.7253106275778697E-2</v>
      </c>
      <c r="K2567">
        <v>7.4804786273734103E-2</v>
      </c>
      <c r="L2567">
        <v>2087.6920469001102</v>
      </c>
      <c r="M2567">
        <v>34.236612865481497</v>
      </c>
      <c r="N2567">
        <v>61.174297194847703</v>
      </c>
      <c r="O2567">
        <v>60.771437466778202</v>
      </c>
      <c r="P2567">
        <v>-0.133528108468743</v>
      </c>
      <c r="Q2567">
        <v>5.1931564264131903E-2</v>
      </c>
      <c r="R2567">
        <v>0.972626751248863</v>
      </c>
      <c r="S2567" t="s">
        <v>8393</v>
      </c>
      <c r="T2567" t="s">
        <v>11650</v>
      </c>
      <c r="U2567" t="s">
        <v>11650</v>
      </c>
      <c r="V2567" t="s">
        <v>11650</v>
      </c>
      <c r="W2567" t="s">
        <v>14174</v>
      </c>
      <c r="X2567">
        <v>39</v>
      </c>
      <c r="Y2567" t="s">
        <v>19887</v>
      </c>
      <c r="Z2567" t="s">
        <v>25629</v>
      </c>
      <c r="AA2567">
        <v>0.71940823753311778</v>
      </c>
      <c r="AB2567" t="str">
        <f>HYPERLINK("Melting_Curves/meltCurve_P52888_THOP1.pdf", "Melting_Curves/meltCurve_P52888_THOP1.pdf")</f>
        <v>Melting_Curves/meltCurve_P52888_THOP1.pdf</v>
      </c>
    </row>
    <row r="2568" spans="1:28" x14ac:dyDescent="0.25">
      <c r="A2568" t="s">
        <v>2572</v>
      </c>
      <c r="B2568">
        <v>0.99996721820229495</v>
      </c>
      <c r="C2568">
        <v>1.0703329247733</v>
      </c>
      <c r="D2568">
        <v>1.09898329899049</v>
      </c>
      <c r="E2568">
        <v>1.24761179332487</v>
      </c>
      <c r="F2568">
        <v>1.3804690970073801</v>
      </c>
      <c r="G2568">
        <v>0.93663002932407202</v>
      </c>
      <c r="H2568">
        <v>0.43660902750365099</v>
      </c>
      <c r="I2568">
        <v>0.22945354308392901</v>
      </c>
      <c r="J2568">
        <v>0.14049798978403299</v>
      </c>
      <c r="K2568">
        <v>8.9927354603083806E-2</v>
      </c>
      <c r="L2568">
        <v>2680.1595707486599</v>
      </c>
      <c r="M2568">
        <v>44.4525272155024</v>
      </c>
      <c r="N2568">
        <v>60.6843224082143</v>
      </c>
      <c r="O2568">
        <v>60.170988979577999</v>
      </c>
      <c r="P2568">
        <v>-0.16165854958418799</v>
      </c>
      <c r="Q2568">
        <v>0.12471646183757699</v>
      </c>
      <c r="R2568">
        <v>0.89457269426721797</v>
      </c>
      <c r="S2568" t="s">
        <v>8394</v>
      </c>
      <c r="T2568" t="s">
        <v>11650</v>
      </c>
      <c r="U2568" t="s">
        <v>11650</v>
      </c>
      <c r="V2568" t="s">
        <v>11650</v>
      </c>
      <c r="W2568" t="s">
        <v>14175</v>
      </c>
      <c r="X2568">
        <v>21</v>
      </c>
      <c r="Y2568" t="s">
        <v>19888</v>
      </c>
      <c r="Z2568" t="s">
        <v>25630</v>
      </c>
      <c r="AA2568">
        <v>0.71960760902366083</v>
      </c>
      <c r="AB2568" t="str">
        <f>HYPERLINK("Melting_Curves/meltCurve_P52907_CAPZA1.pdf", "Melting_Curves/meltCurve_P52907_CAPZA1.pdf")</f>
        <v>Melting_Curves/meltCurve_P52907_CAPZA1.pdf</v>
      </c>
    </row>
    <row r="2569" spans="1:28" x14ac:dyDescent="0.25">
      <c r="A2569" t="s">
        <v>2573</v>
      </c>
      <c r="B2569">
        <v>0.99996721820229495</v>
      </c>
      <c r="C2569">
        <v>0.86453637643497105</v>
      </c>
      <c r="D2569">
        <v>0.78360574319554499</v>
      </c>
      <c r="E2569">
        <v>0.83536034161885597</v>
      </c>
      <c r="F2569">
        <v>0.97464594313000996</v>
      </c>
      <c r="G2569">
        <v>0.92036758769724503</v>
      </c>
      <c r="H2569">
        <v>0.60698121543586903</v>
      </c>
      <c r="I2569">
        <v>0.73748555181739495</v>
      </c>
      <c r="J2569">
        <v>0.67025088314096504</v>
      </c>
      <c r="K2569">
        <v>0.52346477474600195</v>
      </c>
      <c r="L2569">
        <v>276.09433350088102</v>
      </c>
      <c r="M2569">
        <v>3.5459217863056902</v>
      </c>
      <c r="O2569">
        <v>61.338630219281498</v>
      </c>
      <c r="P2569">
        <v>-1.4723548363912899E-2</v>
      </c>
      <c r="Q2569">
        <v>0</v>
      </c>
      <c r="R2569">
        <v>0.60449775026436403</v>
      </c>
      <c r="S2569" t="s">
        <v>8395</v>
      </c>
      <c r="T2569" t="s">
        <v>11650</v>
      </c>
      <c r="U2569" t="s">
        <v>11650</v>
      </c>
      <c r="V2569" t="s">
        <v>11650</v>
      </c>
      <c r="W2569" t="s">
        <v>14176</v>
      </c>
      <c r="X2569">
        <v>10</v>
      </c>
      <c r="Y2569" t="s">
        <v>19889</v>
      </c>
      <c r="Z2569" t="s">
        <v>25631</v>
      </c>
      <c r="AA2569">
        <v>0.80301954186898816</v>
      </c>
      <c r="AB2569" t="str">
        <f>HYPERLINK("Melting_Curves/meltCurve_P52943_CRIP2.pdf", "Melting_Curves/meltCurve_P52943_CRIP2.pdf")</f>
        <v>Melting_Curves/meltCurve_P52943_CRIP2.pdf</v>
      </c>
    </row>
    <row r="2570" spans="1:28" x14ac:dyDescent="0.25">
      <c r="A2570" t="s">
        <v>2574</v>
      </c>
      <c r="B2570">
        <v>0.99996721820229495</v>
      </c>
      <c r="C2570">
        <v>1.0844892869482901</v>
      </c>
      <c r="D2570">
        <v>1.0048037601530999</v>
      </c>
      <c r="E2570">
        <v>0.89544783822470198</v>
      </c>
      <c r="F2570">
        <v>0.69400891191856395</v>
      </c>
      <c r="G2570">
        <v>0.29585504448007799</v>
      </c>
      <c r="H2570">
        <v>0.158590702079109</v>
      </c>
      <c r="I2570">
        <v>9.9589384034017195E-2</v>
      </c>
      <c r="J2570">
        <v>7.7932268208784294E-2</v>
      </c>
      <c r="K2570">
        <v>5.2191086590819197E-2</v>
      </c>
      <c r="L2570">
        <v>1301.44857959044</v>
      </c>
      <c r="M2570">
        <v>23.872025454064701</v>
      </c>
      <c r="N2570">
        <v>54.847177249229098</v>
      </c>
      <c r="O2570">
        <v>54.139481748126599</v>
      </c>
      <c r="P2570">
        <v>-0.10287275906476499</v>
      </c>
      <c r="Q2570">
        <v>6.6792606883978506E-2</v>
      </c>
      <c r="R2570">
        <v>0.99482348902625894</v>
      </c>
      <c r="S2570" t="s">
        <v>8396</v>
      </c>
      <c r="T2570" t="s">
        <v>11650</v>
      </c>
      <c r="U2570" t="s">
        <v>11650</v>
      </c>
      <c r="V2570" t="s">
        <v>11650</v>
      </c>
      <c r="W2570" t="s">
        <v>14177</v>
      </c>
      <c r="X2570">
        <v>20</v>
      </c>
      <c r="Y2570" t="s">
        <v>19890</v>
      </c>
      <c r="Z2570" t="s">
        <v>25632</v>
      </c>
      <c r="AA2570">
        <v>0.52777019775008038</v>
      </c>
      <c r="AB2570" t="str">
        <f>HYPERLINK("Melting_Curves/meltCurve_P53004_BLVRA.pdf", "Melting_Curves/meltCurve_P53004_BLVRA.pdf")</f>
        <v>Melting_Curves/meltCurve_P53004_BLVRA.pdf</v>
      </c>
    </row>
    <row r="2571" spans="1:28" x14ac:dyDescent="0.25">
      <c r="A2571" t="s">
        <v>2575</v>
      </c>
      <c r="B2571">
        <v>0.99996721820229495</v>
      </c>
      <c r="C2571">
        <v>0.72859676703895504</v>
      </c>
      <c r="D2571">
        <v>0.87759480314813298</v>
      </c>
      <c r="E2571">
        <v>1.12529890738681</v>
      </c>
      <c r="F2571">
        <v>1.43536121503795</v>
      </c>
      <c r="G2571">
        <v>1.2376485916123701</v>
      </c>
      <c r="H2571">
        <v>1.0612313215686799</v>
      </c>
      <c r="I2571">
        <v>0.87483813441053404</v>
      </c>
      <c r="J2571">
        <v>0.48106388004473399</v>
      </c>
      <c r="K2571">
        <v>0.681932865079936</v>
      </c>
      <c r="L2571">
        <v>15000</v>
      </c>
      <c r="M2571">
        <v>233.52359700932399</v>
      </c>
      <c r="O2571">
        <v>64.228619407620698</v>
      </c>
      <c r="P2571">
        <v>-0.38040414180936</v>
      </c>
      <c r="Q2571">
        <v>0.58149264892548003</v>
      </c>
      <c r="R2571">
        <v>0.47694986613021501</v>
      </c>
      <c r="S2571" t="s">
        <v>8397</v>
      </c>
      <c r="T2571" t="s">
        <v>11650</v>
      </c>
      <c r="U2571" t="s">
        <v>11650</v>
      </c>
      <c r="V2571" t="s">
        <v>11650</v>
      </c>
      <c r="W2571" t="s">
        <v>14178</v>
      </c>
      <c r="X2571">
        <v>13</v>
      </c>
      <c r="Y2571" t="s">
        <v>19891</v>
      </c>
      <c r="Z2571" t="s">
        <v>25633</v>
      </c>
      <c r="AA2571">
        <v>0.9196077154338369</v>
      </c>
      <c r="AB2571" t="str">
        <f>HYPERLINK("Melting_Curves/meltCurve_P53007_SLC25A1.pdf", "Melting_Curves/meltCurve_P53007_SLC25A1.pdf")</f>
        <v>Melting_Curves/meltCurve_P53007_SLC25A1.pdf</v>
      </c>
    </row>
    <row r="2572" spans="1:28" x14ac:dyDescent="0.25">
      <c r="A2572" t="s">
        <v>2576</v>
      </c>
      <c r="B2572">
        <v>0.99996721820229495</v>
      </c>
      <c r="C2572">
        <v>1.0509046983102499</v>
      </c>
      <c r="D2572">
        <v>0.97331969593995604</v>
      </c>
      <c r="E2572">
        <v>0.74137186688545598</v>
      </c>
      <c r="F2572">
        <v>0.43258322725481102</v>
      </c>
      <c r="G2572">
        <v>0.32809598139911</v>
      </c>
      <c r="H2572">
        <v>0.187355889936895</v>
      </c>
      <c r="I2572">
        <v>0.13892270610199001</v>
      </c>
      <c r="J2572">
        <v>0.1149727630153</v>
      </c>
      <c r="K2572">
        <v>9.5466078078899994E-2</v>
      </c>
      <c r="L2572">
        <v>1008.40484383663</v>
      </c>
      <c r="M2572">
        <v>19.330748670995</v>
      </c>
      <c r="N2572">
        <v>52.900072754168797</v>
      </c>
      <c r="O2572">
        <v>51.6172026994387</v>
      </c>
      <c r="P2572">
        <v>-8.2612724145219599E-2</v>
      </c>
      <c r="Q2572">
        <v>0.117658809087356</v>
      </c>
      <c r="R2572">
        <v>0.98945280711338701</v>
      </c>
      <c r="S2572" t="s">
        <v>8398</v>
      </c>
      <c r="T2572" t="s">
        <v>11650</v>
      </c>
      <c r="U2572" t="s">
        <v>11650</v>
      </c>
      <c r="V2572" t="s">
        <v>11650</v>
      </c>
      <c r="W2572" t="s">
        <v>14179</v>
      </c>
      <c r="X2572">
        <v>13</v>
      </c>
      <c r="Y2572" t="s">
        <v>19892</v>
      </c>
      <c r="Z2572" t="s">
        <v>25634</v>
      </c>
      <c r="AA2572">
        <v>0.48842990716636953</v>
      </c>
      <c r="AB2572" t="str">
        <f>HYPERLINK("Melting_Curves/meltCurve_P53365_ARFIP2.pdf", "Melting_Curves/meltCurve_P53365_ARFIP2.pdf")</f>
        <v>Melting_Curves/meltCurve_P53365_ARFIP2.pdf</v>
      </c>
    </row>
    <row r="2573" spans="1:28" x14ac:dyDescent="0.25">
      <c r="A2573" t="s">
        <v>2577</v>
      </c>
      <c r="B2573">
        <v>0.99996721820229495</v>
      </c>
      <c r="C2573">
        <v>1.1112034182664701</v>
      </c>
      <c r="D2573">
        <v>1.0152624135845401</v>
      </c>
      <c r="E2573">
        <v>0.56816349995791604</v>
      </c>
      <c r="F2573">
        <v>0.26134440845281798</v>
      </c>
      <c r="G2573">
        <v>0.24572359289965701</v>
      </c>
      <c r="H2573">
        <v>0.15925448458764899</v>
      </c>
      <c r="I2573">
        <v>0.12696054769950399</v>
      </c>
      <c r="J2573">
        <v>0.116740340617443</v>
      </c>
      <c r="K2573">
        <v>9.0528708134269401E-2</v>
      </c>
      <c r="L2573">
        <v>1800.16903731824</v>
      </c>
      <c r="M2573">
        <v>35.9415895949736</v>
      </c>
      <c r="N2573">
        <v>50.5711147526441</v>
      </c>
      <c r="O2573">
        <v>49.931667655524699</v>
      </c>
      <c r="P2573">
        <v>-0.15371348683732999</v>
      </c>
      <c r="Q2573">
        <v>0.14582005113503399</v>
      </c>
      <c r="R2573">
        <v>0.98219863876679003</v>
      </c>
      <c r="S2573" t="s">
        <v>8399</v>
      </c>
      <c r="T2573" t="s">
        <v>11650</v>
      </c>
      <c r="U2573" t="s">
        <v>11650</v>
      </c>
      <c r="V2573" t="s">
        <v>11650</v>
      </c>
      <c r="W2573" t="s">
        <v>14180</v>
      </c>
      <c r="X2573">
        <v>16</v>
      </c>
      <c r="Y2573" t="s">
        <v>19893</v>
      </c>
      <c r="Z2573" t="s">
        <v>25635</v>
      </c>
      <c r="AA2573">
        <v>0.43666565956273162</v>
      </c>
      <c r="AB2573" t="str">
        <f>HYPERLINK("Melting_Curves/meltCurve_P53367_ARFIP1.pdf", "Melting_Curves/meltCurve_P53367_ARFIP1.pdf")</f>
        <v>Melting_Curves/meltCurve_P53367_ARFIP1.pdf</v>
      </c>
    </row>
    <row r="2574" spans="1:28" x14ac:dyDescent="0.25">
      <c r="A2574" t="s">
        <v>2578</v>
      </c>
      <c r="B2574">
        <v>0.99996721820229495</v>
      </c>
      <c r="C2574">
        <v>1.20986502810345</v>
      </c>
      <c r="D2574">
        <v>1.0582551148562001</v>
      </c>
      <c r="E2574">
        <v>0.67427332551315</v>
      </c>
      <c r="F2574">
        <v>0.38517306217938002</v>
      </c>
      <c r="G2574">
        <v>0.41444751790551898</v>
      </c>
      <c r="H2574">
        <v>0.29012428189570999</v>
      </c>
      <c r="I2574">
        <v>0.18496453094905399</v>
      </c>
      <c r="J2574">
        <v>0.11384404619963299</v>
      </c>
      <c r="K2574">
        <v>9.6079225233323698E-2</v>
      </c>
      <c r="L2574">
        <v>1177.6097508171899</v>
      </c>
      <c r="M2574">
        <v>22.938924772408502</v>
      </c>
      <c r="N2574">
        <v>52.390276349464301</v>
      </c>
      <c r="O2574">
        <v>50.951348145771497</v>
      </c>
      <c r="P2574">
        <v>-9.1758967069154707E-2</v>
      </c>
      <c r="Q2574">
        <v>0.18476447121140699</v>
      </c>
      <c r="R2574">
        <v>0.92861645183041097</v>
      </c>
      <c r="S2574" t="s">
        <v>8400</v>
      </c>
      <c r="T2574" t="s">
        <v>11650</v>
      </c>
      <c r="U2574" t="s">
        <v>11650</v>
      </c>
      <c r="V2574" t="s">
        <v>11650</v>
      </c>
      <c r="W2574" t="s">
        <v>14181</v>
      </c>
      <c r="X2574">
        <v>16</v>
      </c>
      <c r="Y2574" t="s">
        <v>19893</v>
      </c>
      <c r="Z2574" t="s">
        <v>25636</v>
      </c>
      <c r="AA2574">
        <v>0.50156745546000658</v>
      </c>
      <c r="AB2574" t="str">
        <f>HYPERLINK("Melting_Curves/meltCurve_P53367_2_ARFIP1.pdf", "Melting_Curves/meltCurve_P53367_2_ARFIP1.pdf")</f>
        <v>Melting_Curves/meltCurve_P53367_2_ARFIP1.pdf</v>
      </c>
    </row>
    <row r="2575" spans="1:28" x14ac:dyDescent="0.25">
      <c r="A2575" t="s">
        <v>2579</v>
      </c>
      <c r="B2575">
        <v>0.99996721820229495</v>
      </c>
      <c r="C2575">
        <v>0.87911839411491199</v>
      </c>
      <c r="D2575">
        <v>0.88983282983601097</v>
      </c>
      <c r="E2575">
        <v>0.75151432036288601</v>
      </c>
      <c r="F2575">
        <v>0.71275918118074799</v>
      </c>
      <c r="G2575">
        <v>0.39472403424249602</v>
      </c>
      <c r="H2575">
        <v>0.16315542911602199</v>
      </c>
      <c r="I2575">
        <v>8.6479645922213799E-2</v>
      </c>
      <c r="J2575">
        <v>3.0632353133176402E-2</v>
      </c>
      <c r="K2575">
        <v>2.3475172633476302E-2</v>
      </c>
      <c r="L2575">
        <v>801.24806007347797</v>
      </c>
      <c r="M2575">
        <v>14.575549068428201</v>
      </c>
      <c r="N2575">
        <v>54.972047805448099</v>
      </c>
      <c r="O2575">
        <v>53.968387556724302</v>
      </c>
      <c r="P2575">
        <v>-6.7526552850654994E-2</v>
      </c>
      <c r="Q2575">
        <v>0</v>
      </c>
      <c r="R2575">
        <v>0.98023254444012897</v>
      </c>
      <c r="S2575" t="s">
        <v>8401</v>
      </c>
      <c r="T2575" t="s">
        <v>11650</v>
      </c>
      <c r="U2575" t="s">
        <v>11650</v>
      </c>
      <c r="V2575" t="s">
        <v>11650</v>
      </c>
      <c r="W2575" t="s">
        <v>14182</v>
      </c>
      <c r="X2575">
        <v>2</v>
      </c>
      <c r="Y2575" t="s">
        <v>19894</v>
      </c>
      <c r="Z2575" t="s">
        <v>25637</v>
      </c>
      <c r="AA2575">
        <v>0.51897803713514234</v>
      </c>
      <c r="AB2575" t="str">
        <f>HYPERLINK("Melting_Curves/meltCurve_P53370_NUDT6.pdf", "Melting_Curves/meltCurve_P53370_NUDT6.pdf")</f>
        <v>Melting_Curves/meltCurve_P53370_NUDT6.pdf</v>
      </c>
    </row>
    <row r="2576" spans="1:28" x14ac:dyDescent="0.25">
      <c r="A2576" t="s">
        <v>2580</v>
      </c>
      <c r="B2576">
        <v>0.99996721820229495</v>
      </c>
      <c r="C2576">
        <v>1.1181239673184999</v>
      </c>
      <c r="D2576">
        <v>1.02102686874377</v>
      </c>
      <c r="E2576">
        <v>0.84722267840508603</v>
      </c>
      <c r="F2576">
        <v>0.521280417389962</v>
      </c>
      <c r="G2576">
        <v>0.35219854591285499</v>
      </c>
      <c r="H2576">
        <v>0.16136198797188001</v>
      </c>
      <c r="I2576">
        <v>0.104070967137857</v>
      </c>
      <c r="J2576">
        <v>7.5958718886110194E-2</v>
      </c>
      <c r="K2576">
        <v>5.0977209287605497E-2</v>
      </c>
      <c r="L2576">
        <v>1036.1558262925</v>
      </c>
      <c r="M2576">
        <v>19.278890123130701</v>
      </c>
      <c r="N2576">
        <v>54.123580699394303</v>
      </c>
      <c r="O2576">
        <v>53.177375221851698</v>
      </c>
      <c r="P2576">
        <v>-8.4929961857747996E-2</v>
      </c>
      <c r="Q2576">
        <v>6.2978884009758998E-2</v>
      </c>
      <c r="R2576">
        <v>0.98306204053880197</v>
      </c>
      <c r="S2576" t="s">
        <v>8402</v>
      </c>
      <c r="T2576" t="s">
        <v>11650</v>
      </c>
      <c r="U2576" t="s">
        <v>11650</v>
      </c>
      <c r="V2576" t="s">
        <v>11650</v>
      </c>
      <c r="W2576" t="s">
        <v>14183</v>
      </c>
      <c r="X2576">
        <v>7</v>
      </c>
      <c r="Y2576" t="s">
        <v>19895</v>
      </c>
      <c r="Z2576" t="s">
        <v>25638</v>
      </c>
      <c r="AA2576">
        <v>0.50587439378841526</v>
      </c>
      <c r="AB2576" t="str">
        <f>HYPERLINK("Melting_Curves/meltCurve_P53384_2_NUBP1.pdf", "Melting_Curves/meltCurve_P53384_2_NUBP1.pdf")</f>
        <v>Melting_Curves/meltCurve_P53384_2_NUBP1.pdf</v>
      </c>
    </row>
    <row r="2577" spans="1:28" x14ac:dyDescent="0.25">
      <c r="A2577" t="s">
        <v>2581</v>
      </c>
      <c r="B2577">
        <v>0.99996721820229495</v>
      </c>
      <c r="C2577">
        <v>1.17631268462926</v>
      </c>
      <c r="D2577">
        <v>1.61691370785632</v>
      </c>
      <c r="E2577">
        <v>3.4245482457732601</v>
      </c>
      <c r="F2577">
        <v>0.86087188904905498</v>
      </c>
      <c r="G2577">
        <v>0.68431885420701999</v>
      </c>
      <c r="H2577">
        <v>0.36464397395563902</v>
      </c>
      <c r="I2577">
        <v>0.23303308228841799</v>
      </c>
      <c r="J2577">
        <v>0.16690473711849901</v>
      </c>
      <c r="K2577">
        <v>0.14617502309382399</v>
      </c>
      <c r="L2577">
        <v>2186.3137280842602</v>
      </c>
      <c r="M2577">
        <v>37.6378321163834</v>
      </c>
      <c r="N2577">
        <v>58.810899201437103</v>
      </c>
      <c r="O2577">
        <v>57.924942026935597</v>
      </c>
      <c r="P2577">
        <v>-0.132366136112752</v>
      </c>
      <c r="Q2577">
        <v>0.18515173923004899</v>
      </c>
      <c r="R2577">
        <v>0.282674763323989</v>
      </c>
      <c r="S2577" t="s">
        <v>8403</v>
      </c>
      <c r="T2577" t="s">
        <v>11650</v>
      </c>
      <c r="U2577" t="s">
        <v>11650</v>
      </c>
      <c r="V2577" t="s">
        <v>11650</v>
      </c>
      <c r="W2577" t="s">
        <v>14184</v>
      </c>
      <c r="X2577">
        <v>37</v>
      </c>
      <c r="Y2577" t="s">
        <v>19896</v>
      </c>
      <c r="Z2577" t="s">
        <v>25639</v>
      </c>
      <c r="AA2577">
        <v>0.68004917876303173</v>
      </c>
      <c r="AB2577" t="str">
        <f>HYPERLINK("Melting_Curves/meltCurve_P53396_ACLY.pdf", "Melting_Curves/meltCurve_P53396_ACLY.pdf")</f>
        <v>Melting_Curves/meltCurve_P53396_ACLY.pdf</v>
      </c>
    </row>
    <row r="2578" spans="1:28" x14ac:dyDescent="0.25">
      <c r="A2578" t="s">
        <v>2582</v>
      </c>
      <c r="B2578">
        <v>0.99996721820229495</v>
      </c>
      <c r="C2578">
        <v>0.91894335344866496</v>
      </c>
      <c r="D2578">
        <v>0.53940284997106003</v>
      </c>
      <c r="E2578">
        <v>0.39856718337403901</v>
      </c>
      <c r="F2578">
        <v>0.37485257741809502</v>
      </c>
      <c r="G2578">
        <v>0.27824317838255802</v>
      </c>
      <c r="H2578">
        <v>0.14848651978421801</v>
      </c>
      <c r="I2578">
        <v>0.139195367204905</v>
      </c>
      <c r="J2578">
        <v>9.3650295582986598E-2</v>
      </c>
      <c r="K2578">
        <v>7.3494579471094196E-2</v>
      </c>
      <c r="L2578">
        <v>589.884639226947</v>
      </c>
      <c r="M2578">
        <v>12.304389845465799</v>
      </c>
      <c r="N2578">
        <v>48.774625824813697</v>
      </c>
      <c r="O2578">
        <v>46.727459780247003</v>
      </c>
      <c r="P2578">
        <v>-5.96008007009639E-2</v>
      </c>
      <c r="Q2578">
        <v>9.4832025648035695E-2</v>
      </c>
      <c r="R2578">
        <v>0.95787107920133996</v>
      </c>
      <c r="S2578" t="s">
        <v>8404</v>
      </c>
      <c r="T2578" t="s">
        <v>11650</v>
      </c>
      <c r="U2578" t="s">
        <v>11650</v>
      </c>
      <c r="V2578" t="s">
        <v>11650</v>
      </c>
      <c r="W2578" t="s">
        <v>14185</v>
      </c>
      <c r="X2578">
        <v>7</v>
      </c>
      <c r="Y2578" t="s">
        <v>19897</v>
      </c>
      <c r="Z2578" t="s">
        <v>25640</v>
      </c>
      <c r="AA2578">
        <v>0.3684359562907164</v>
      </c>
      <c r="AB2578" t="str">
        <f>HYPERLINK("Melting_Curves/meltCurve_P53582_METAP1.pdf", "Melting_Curves/meltCurve_P53582_METAP1.pdf")</f>
        <v>Melting_Curves/meltCurve_P53582_METAP1.pdf</v>
      </c>
    </row>
    <row r="2579" spans="1:28" x14ac:dyDescent="0.25">
      <c r="A2579" t="s">
        <v>2583</v>
      </c>
      <c r="B2579">
        <v>0.99996721820229495</v>
      </c>
      <c r="C2579">
        <v>0.95817671371638702</v>
      </c>
      <c r="D2579">
        <v>0.84749502083122397</v>
      </c>
      <c r="E2579">
        <v>0.84842798196876501</v>
      </c>
      <c r="F2579">
        <v>0.291826438351595</v>
      </c>
      <c r="G2579">
        <v>0.18858940556457801</v>
      </c>
      <c r="H2579">
        <v>0.11517234385996999</v>
      </c>
      <c r="I2579">
        <v>9.0198600246354593E-2</v>
      </c>
      <c r="J2579">
        <v>6.9066184376756296E-2</v>
      </c>
      <c r="K2579">
        <v>6.9714844501492998E-2</v>
      </c>
      <c r="L2579">
        <v>2359.79663791963</v>
      </c>
      <c r="M2579">
        <v>45.730568265001999</v>
      </c>
      <c r="N2579">
        <v>51.860190826112799</v>
      </c>
      <c r="O2579">
        <v>51.503785949280598</v>
      </c>
      <c r="P2579">
        <v>-0.19938958544715599</v>
      </c>
      <c r="Q2579">
        <v>0.101755659807809</v>
      </c>
      <c r="R2579">
        <v>0.97830474067387496</v>
      </c>
      <c r="S2579" t="s">
        <v>8405</v>
      </c>
      <c r="T2579" t="s">
        <v>11650</v>
      </c>
      <c r="U2579" t="s">
        <v>11650</v>
      </c>
      <c r="V2579" t="s">
        <v>11650</v>
      </c>
      <c r="W2579" t="s">
        <v>14186</v>
      </c>
      <c r="X2579">
        <v>12</v>
      </c>
      <c r="Y2579" t="s">
        <v>19898</v>
      </c>
      <c r="Z2579" t="s">
        <v>25641</v>
      </c>
      <c r="AA2579">
        <v>0.45158833154399081</v>
      </c>
      <c r="AB2579" t="str">
        <f>HYPERLINK("Melting_Curves/meltCurve_P53597_SUCLG1.pdf", "Melting_Curves/meltCurve_P53597_SUCLG1.pdf")</f>
        <v>Melting_Curves/meltCurve_P53597_SUCLG1.pdf</v>
      </c>
    </row>
    <row r="2580" spans="1:28" x14ac:dyDescent="0.25">
      <c r="A2580" t="s">
        <v>2584</v>
      </c>
      <c r="B2580">
        <v>0.99996721820229495</v>
      </c>
      <c r="C2580">
        <v>0.99776031514094699</v>
      </c>
      <c r="D2580">
        <v>0.97425698432157004</v>
      </c>
      <c r="E2580">
        <v>1.0172975214815401</v>
      </c>
      <c r="F2580">
        <v>0.62240106172078402</v>
      </c>
      <c r="G2580">
        <v>0.34346151815491499</v>
      </c>
      <c r="H2580">
        <v>0.189425809239162</v>
      </c>
      <c r="I2580">
        <v>0.12816009522850799</v>
      </c>
      <c r="J2580">
        <v>9.1196612454256407E-2</v>
      </c>
      <c r="K2580">
        <v>7.8362396346689303E-2</v>
      </c>
      <c r="L2580">
        <v>1362.2396156669299</v>
      </c>
      <c r="M2580">
        <v>25.044157254635898</v>
      </c>
      <c r="N2580">
        <v>54.886859427744497</v>
      </c>
      <c r="O2580">
        <v>54.050263142614398</v>
      </c>
      <c r="P2580">
        <v>-0.104164031967829</v>
      </c>
      <c r="Q2580">
        <v>0.10078541164188499</v>
      </c>
      <c r="R2580">
        <v>0.98774446421383999</v>
      </c>
      <c r="S2580" t="s">
        <v>8406</v>
      </c>
      <c r="T2580" t="s">
        <v>11650</v>
      </c>
      <c r="U2580" t="s">
        <v>11650</v>
      </c>
      <c r="V2580" t="s">
        <v>11650</v>
      </c>
      <c r="W2580" t="s">
        <v>14187</v>
      </c>
      <c r="X2580">
        <v>21</v>
      </c>
      <c r="Y2580" t="s">
        <v>19899</v>
      </c>
      <c r="Z2580" t="s">
        <v>25642</v>
      </c>
      <c r="AA2580">
        <v>0.54051407814023555</v>
      </c>
      <c r="AB2580" t="str">
        <f>HYPERLINK("Melting_Curves/meltCurve_P53602_MVD.pdf", "Melting_Curves/meltCurve_P53602_MVD.pdf")</f>
        <v>Melting_Curves/meltCurve_P53602_MVD.pdf</v>
      </c>
    </row>
    <row r="2581" spans="1:28" x14ac:dyDescent="0.25">
      <c r="A2581" t="s">
        <v>2585</v>
      </c>
      <c r="B2581">
        <v>0.99996721820229495</v>
      </c>
      <c r="C2581">
        <v>1.0026527474828599</v>
      </c>
      <c r="D2581">
        <v>0.97271221055722701</v>
      </c>
      <c r="E2581">
        <v>0.96323214689243297</v>
      </c>
      <c r="F2581">
        <v>0.918511431865488</v>
      </c>
      <c r="G2581">
        <v>0.61712806999481196</v>
      </c>
      <c r="H2581">
        <v>0.40464342140915499</v>
      </c>
      <c r="I2581">
        <v>0.24271634969695699</v>
      </c>
      <c r="J2581">
        <v>0.151464524901404</v>
      </c>
      <c r="K2581">
        <v>0.140953711673409</v>
      </c>
      <c r="L2581">
        <v>1100.6158120732</v>
      </c>
      <c r="M2581">
        <v>18.8355840901893</v>
      </c>
      <c r="N2581">
        <v>59.094499289583801</v>
      </c>
      <c r="O2581">
        <v>57.7861063034305</v>
      </c>
      <c r="P2581">
        <v>-7.3743864873952694E-2</v>
      </c>
      <c r="Q2581">
        <v>9.5075600456317494E-2</v>
      </c>
      <c r="R2581">
        <v>0.99681331903876502</v>
      </c>
      <c r="S2581" t="s">
        <v>8407</v>
      </c>
      <c r="T2581" t="s">
        <v>11650</v>
      </c>
      <c r="U2581" t="s">
        <v>11650</v>
      </c>
      <c r="V2581" t="s">
        <v>11650</v>
      </c>
      <c r="W2581" t="s">
        <v>14188</v>
      </c>
      <c r="X2581">
        <v>11</v>
      </c>
      <c r="Y2581" t="s">
        <v>19900</v>
      </c>
      <c r="Z2581" t="s">
        <v>25643</v>
      </c>
      <c r="AA2581">
        <v>0.66134276013859195</v>
      </c>
      <c r="AB2581" t="str">
        <f>HYPERLINK("Melting_Curves/meltCurve_P53609_PGGT1B.pdf", "Melting_Curves/meltCurve_P53609_PGGT1B.pdf")</f>
        <v>Melting_Curves/meltCurve_P53609_PGGT1B.pdf</v>
      </c>
    </row>
    <row r="2582" spans="1:28" x14ac:dyDescent="0.25">
      <c r="A2582" t="s">
        <v>2586</v>
      </c>
      <c r="B2582">
        <v>0.99996721820229495</v>
      </c>
      <c r="C2582">
        <v>1.2479341572137399</v>
      </c>
      <c r="D2582">
        <v>1.1704843809460199</v>
      </c>
      <c r="E2582">
        <v>1.00870189781387</v>
      </c>
      <c r="F2582">
        <v>0.76855462862758905</v>
      </c>
      <c r="G2582">
        <v>0.46126896008282697</v>
      </c>
      <c r="H2582">
        <v>0.18743165938649101</v>
      </c>
      <c r="I2582">
        <v>0.12946410766826699</v>
      </c>
      <c r="J2582">
        <v>0.105266876226233</v>
      </c>
      <c r="K2582">
        <v>8.3149294699917595E-2</v>
      </c>
      <c r="L2582">
        <v>1390.2692720457901</v>
      </c>
      <c r="M2582">
        <v>24.843060896723198</v>
      </c>
      <c r="N2582">
        <v>56.395108977778897</v>
      </c>
      <c r="O2582">
        <v>55.603249484347998</v>
      </c>
      <c r="P2582">
        <v>-0.102000088132954</v>
      </c>
      <c r="Q2582">
        <v>8.6834239980900799E-2</v>
      </c>
      <c r="R2582">
        <v>0.95149704282194203</v>
      </c>
      <c r="S2582" t="s">
        <v>8408</v>
      </c>
      <c r="T2582" t="s">
        <v>11650</v>
      </c>
      <c r="U2582" t="s">
        <v>11650</v>
      </c>
      <c r="V2582" t="s">
        <v>11650</v>
      </c>
      <c r="W2582" t="s">
        <v>14189</v>
      </c>
      <c r="X2582">
        <v>6</v>
      </c>
      <c r="Y2582" t="s">
        <v>19901</v>
      </c>
      <c r="Z2582" t="s">
        <v>25644</v>
      </c>
      <c r="AA2582">
        <v>0.58117637047488102</v>
      </c>
      <c r="AB2582" t="str">
        <f>HYPERLINK("Melting_Curves/meltCurve_P53611_RABGGTB.pdf", "Melting_Curves/meltCurve_P53611_RABGGTB.pdf")</f>
        <v>Melting_Curves/meltCurve_P53611_RABGGTB.pdf</v>
      </c>
    </row>
    <row r="2583" spans="1:28" x14ac:dyDescent="0.25">
      <c r="A2583" t="s">
        <v>2587</v>
      </c>
      <c r="B2583">
        <v>0.99996721820229495</v>
      </c>
      <c r="C2583">
        <v>1.03436556960279</v>
      </c>
      <c r="D2583">
        <v>1.17567351102731</v>
      </c>
      <c r="E2583">
        <v>1.9703980255443301</v>
      </c>
      <c r="F2583">
        <v>1.32061112385858</v>
      </c>
      <c r="G2583">
        <v>0.58987398031997895</v>
      </c>
      <c r="H2583">
        <v>0.27822578208044801</v>
      </c>
      <c r="I2583">
        <v>0.16388056211822</v>
      </c>
      <c r="J2583">
        <v>0.11287859799817999</v>
      </c>
      <c r="K2583">
        <v>9.5866078629615895E-2</v>
      </c>
      <c r="L2583">
        <v>6232.1408909327602</v>
      </c>
      <c r="M2583">
        <v>109.291212274069</v>
      </c>
      <c r="N2583">
        <v>57.228999082039799</v>
      </c>
      <c r="O2583">
        <v>57.004171817515498</v>
      </c>
      <c r="P2583">
        <v>-0.40144554539562399</v>
      </c>
      <c r="Q2583">
        <v>0.162455261185982</v>
      </c>
      <c r="R2583">
        <v>0.69184866164908099</v>
      </c>
      <c r="S2583" t="s">
        <v>8409</v>
      </c>
      <c r="T2583" t="s">
        <v>11650</v>
      </c>
      <c r="U2583" t="s">
        <v>11650</v>
      </c>
      <c r="V2583" t="s">
        <v>11650</v>
      </c>
      <c r="W2583" t="s">
        <v>13886</v>
      </c>
      <c r="X2583">
        <v>32</v>
      </c>
      <c r="Y2583" t="s">
        <v>19902</v>
      </c>
      <c r="Z2583" t="s">
        <v>25645</v>
      </c>
      <c r="AA2583">
        <v>0.63815222603222743</v>
      </c>
      <c r="AB2583" t="str">
        <f>HYPERLINK("Melting_Curves/meltCurve_P53618_COPB1.pdf", "Melting_Curves/meltCurve_P53618_COPB1.pdf")</f>
        <v>Melting_Curves/meltCurve_P53618_COPB1.pdf</v>
      </c>
    </row>
    <row r="2584" spans="1:28" x14ac:dyDescent="0.25">
      <c r="A2584" t="s">
        <v>2588</v>
      </c>
      <c r="B2584">
        <v>0.99996721820229495</v>
      </c>
      <c r="C2584">
        <v>1.02442403307009</v>
      </c>
      <c r="D2584">
        <v>1.2761465171858399</v>
      </c>
      <c r="E2584">
        <v>2.1190353306760299</v>
      </c>
      <c r="F2584">
        <v>1.0261896583527199</v>
      </c>
      <c r="G2584">
        <v>0.59139792960667703</v>
      </c>
      <c r="H2584">
        <v>0.32503889805874697</v>
      </c>
      <c r="I2584">
        <v>0.19280892849206599</v>
      </c>
      <c r="J2584">
        <v>0.13175599621563799</v>
      </c>
      <c r="K2584">
        <v>0.12729634336648901</v>
      </c>
      <c r="L2584">
        <v>2486.99343994843</v>
      </c>
      <c r="M2584">
        <v>43.421491872634498</v>
      </c>
      <c r="N2584">
        <v>57.841196769820598</v>
      </c>
      <c r="O2584">
        <v>57.1545465288334</v>
      </c>
      <c r="P2584">
        <v>-0.157077375871889</v>
      </c>
      <c r="Q2584">
        <v>0.17297423506586301</v>
      </c>
      <c r="R2584">
        <v>0.62926513529522599</v>
      </c>
      <c r="S2584" t="s">
        <v>8410</v>
      </c>
      <c r="T2584" t="s">
        <v>11650</v>
      </c>
      <c r="U2584" t="s">
        <v>11650</v>
      </c>
      <c r="V2584" t="s">
        <v>11650</v>
      </c>
      <c r="W2584" t="s">
        <v>14190</v>
      </c>
      <c r="X2584">
        <v>28</v>
      </c>
      <c r="Y2584" t="s">
        <v>19903</v>
      </c>
      <c r="Z2584" t="s">
        <v>25646</v>
      </c>
      <c r="AA2584">
        <v>0.65197479963992699</v>
      </c>
      <c r="AB2584" t="str">
        <f>HYPERLINK("Melting_Curves/meltCurve_P53621_COPA.pdf", "Melting_Curves/meltCurve_P53621_COPA.pdf")</f>
        <v>Melting_Curves/meltCurve_P53621_COPA.pdf</v>
      </c>
    </row>
    <row r="2585" spans="1:28" x14ac:dyDescent="0.25">
      <c r="A2585" t="s">
        <v>2589</v>
      </c>
      <c r="B2585">
        <v>0.99996721820229495</v>
      </c>
      <c r="C2585">
        <v>1.01485643840761</v>
      </c>
      <c r="D2585">
        <v>1.13633390547655</v>
      </c>
      <c r="E2585">
        <v>1.4292826978587501</v>
      </c>
      <c r="F2585">
        <v>1.9640610284879001</v>
      </c>
      <c r="G2585">
        <v>2.8065711345947499</v>
      </c>
      <c r="H2585">
        <v>2.0915926969253298</v>
      </c>
      <c r="I2585">
        <v>1.60267514450621</v>
      </c>
      <c r="J2585">
        <v>0.90351320553015302</v>
      </c>
      <c r="K2585">
        <v>0.60211152139235902</v>
      </c>
      <c r="L2585">
        <v>15000</v>
      </c>
      <c r="M2585">
        <v>222.740874921152</v>
      </c>
      <c r="O2585">
        <v>67.337397426341298</v>
      </c>
      <c r="P2585">
        <v>-0.329108605813071</v>
      </c>
      <c r="Q2585">
        <v>0.60202514350863401</v>
      </c>
      <c r="R2585">
        <v>-0.47029299492766702</v>
      </c>
      <c r="S2585" t="s">
        <v>8411</v>
      </c>
      <c r="T2585" t="s">
        <v>11650</v>
      </c>
      <c r="U2585" t="s">
        <v>11650</v>
      </c>
      <c r="V2585" t="s">
        <v>11650</v>
      </c>
      <c r="W2585" t="s">
        <v>14191</v>
      </c>
      <c r="X2585">
        <v>12</v>
      </c>
      <c r="Y2585" t="s">
        <v>19904</v>
      </c>
      <c r="Z2585" t="s">
        <v>25647</v>
      </c>
      <c r="AA2585">
        <v>0.96480871056047623</v>
      </c>
      <c r="AB2585" t="str">
        <f>HYPERLINK("Melting_Curves/meltCurve_P53634_CTSC.pdf", "Melting_Curves/meltCurve_P53634_CTSC.pdf")</f>
        <v>Melting_Curves/meltCurve_P53634_CTSC.pdf</v>
      </c>
    </row>
    <row r="2586" spans="1:28" x14ac:dyDescent="0.25">
      <c r="A2586" t="s">
        <v>2590</v>
      </c>
      <c r="B2586">
        <v>0.99996721820229495</v>
      </c>
      <c r="C2586">
        <v>1.10148344186348</v>
      </c>
      <c r="D2586">
        <v>1.4029735424548599</v>
      </c>
      <c r="E2586">
        <v>2.2385949071316098</v>
      </c>
      <c r="F2586">
        <v>0.68394874072756795</v>
      </c>
      <c r="G2586">
        <v>0.56802170544340003</v>
      </c>
      <c r="H2586">
        <v>0.31211820953742803</v>
      </c>
      <c r="I2586">
        <v>0.20932547333090901</v>
      </c>
      <c r="J2586">
        <v>0.26604553931309699</v>
      </c>
      <c r="K2586">
        <v>0.18870563712282601</v>
      </c>
      <c r="L2586">
        <v>2072.8819567106202</v>
      </c>
      <c r="M2586">
        <v>36.767399814253103</v>
      </c>
      <c r="N2586">
        <v>57.345268620484603</v>
      </c>
      <c r="O2586">
        <v>56.212259341995598</v>
      </c>
      <c r="P2586">
        <v>-0.125742451109981</v>
      </c>
      <c r="Q2586">
        <v>0.23103112714847601</v>
      </c>
      <c r="R2586">
        <v>0.53771733950865797</v>
      </c>
      <c r="S2586" t="s">
        <v>8412</v>
      </c>
      <c r="T2586" t="s">
        <v>11650</v>
      </c>
      <c r="U2586" t="s">
        <v>11650</v>
      </c>
      <c r="V2586" t="s">
        <v>11650</v>
      </c>
      <c r="W2586" t="s">
        <v>14192</v>
      </c>
      <c r="X2586">
        <v>19</v>
      </c>
      <c r="Y2586" t="s">
        <v>19905</v>
      </c>
      <c r="Z2586" t="s">
        <v>25648</v>
      </c>
      <c r="AA2586">
        <v>0.65434625354673837</v>
      </c>
      <c r="AB2586" t="str">
        <f>HYPERLINK("Melting_Curves/meltCurve_P53675_2_CLTCL1.pdf", "Melting_Curves/meltCurve_P53675_2_CLTCL1.pdf")</f>
        <v>Melting_Curves/meltCurve_P53675_2_CLTCL1.pdf</v>
      </c>
    </row>
    <row r="2587" spans="1:28" x14ac:dyDescent="0.25">
      <c r="A2587" t="s">
        <v>2591</v>
      </c>
      <c r="B2587">
        <v>0.99996721820229495</v>
      </c>
      <c r="C2587">
        <v>0.90237901375979201</v>
      </c>
      <c r="D2587">
        <v>0.91841764066221798</v>
      </c>
      <c r="E2587">
        <v>1.0906717029841999</v>
      </c>
      <c r="F2587">
        <v>1.3897009174652699</v>
      </c>
      <c r="G2587">
        <v>1.4635648534541299</v>
      </c>
      <c r="H2587">
        <v>0.83451803067728403</v>
      </c>
      <c r="I2587">
        <v>0.41447464635318099</v>
      </c>
      <c r="J2587">
        <v>0.22149420773863801</v>
      </c>
      <c r="K2587">
        <v>0.15331042240374801</v>
      </c>
      <c r="L2587">
        <v>3359.18816061591</v>
      </c>
      <c r="M2587">
        <v>53.421779429351197</v>
      </c>
      <c r="N2587">
        <v>63.380565367789004</v>
      </c>
      <c r="O2587">
        <v>62.792572519716302</v>
      </c>
      <c r="P2587">
        <v>-0.17611673315899901</v>
      </c>
      <c r="Q2587">
        <v>0.171962039049598</v>
      </c>
      <c r="R2587">
        <v>0.78282657882975004</v>
      </c>
      <c r="S2587" t="s">
        <v>8413</v>
      </c>
      <c r="T2587" t="s">
        <v>11650</v>
      </c>
      <c r="U2587" t="s">
        <v>11650</v>
      </c>
      <c r="V2587" t="s">
        <v>11650</v>
      </c>
      <c r="W2587" t="s">
        <v>14193</v>
      </c>
      <c r="X2587">
        <v>19</v>
      </c>
      <c r="Y2587" t="s">
        <v>19906</v>
      </c>
      <c r="Z2587" t="s">
        <v>25649</v>
      </c>
      <c r="AA2587">
        <v>0.80531997211997219</v>
      </c>
      <c r="AB2587" t="str">
        <f>HYPERLINK("Melting_Curves/meltCurve_P53701_HCCS.pdf", "Melting_Curves/meltCurve_P53701_HCCS.pdf")</f>
        <v>Melting_Curves/meltCurve_P53701_HCCS.pdf</v>
      </c>
    </row>
    <row r="2588" spans="1:28" x14ac:dyDescent="0.25">
      <c r="A2588" t="s">
        <v>2592</v>
      </c>
      <c r="B2588">
        <v>0.99996721820229495</v>
      </c>
      <c r="C2588">
        <v>0.91561234801783098</v>
      </c>
      <c r="D2588">
        <v>0.91196948997701699</v>
      </c>
      <c r="E2588">
        <v>0.777052551696227</v>
      </c>
      <c r="F2588">
        <v>0.59022760847251898</v>
      </c>
      <c r="G2588">
        <v>0.37051254104000197</v>
      </c>
      <c r="H2588">
        <v>0.21440559624806799</v>
      </c>
      <c r="I2588">
        <v>0.12985988402107099</v>
      </c>
      <c r="J2588">
        <v>7.7656404841797699E-2</v>
      </c>
      <c r="K2588">
        <v>7.4409947086122002E-2</v>
      </c>
      <c r="L2588">
        <v>681.94471253596203</v>
      </c>
      <c r="M2588">
        <v>12.4899233976379</v>
      </c>
      <c r="N2588">
        <v>54.599591234085501</v>
      </c>
      <c r="O2588">
        <v>53.256616980916299</v>
      </c>
      <c r="P2588">
        <v>-5.8642954511120102E-2</v>
      </c>
      <c r="Q2588">
        <v>0</v>
      </c>
      <c r="R2588">
        <v>0.99717876304132402</v>
      </c>
      <c r="S2588" t="s">
        <v>8414</v>
      </c>
      <c r="T2588" t="s">
        <v>11650</v>
      </c>
      <c r="U2588" t="s">
        <v>11650</v>
      </c>
      <c r="V2588" t="s">
        <v>11650</v>
      </c>
      <c r="W2588" t="s">
        <v>14194</v>
      </c>
      <c r="X2588">
        <v>10</v>
      </c>
      <c r="Y2588" t="s">
        <v>19907</v>
      </c>
      <c r="Z2588" t="s">
        <v>25650</v>
      </c>
      <c r="AA2588">
        <v>0.51042170356324834</v>
      </c>
      <c r="AB2588" t="str">
        <f>HYPERLINK("Melting_Curves/meltCurve_P53778_MAPK12.pdf", "Melting_Curves/meltCurve_P53778_MAPK12.pdf")</f>
        <v>Melting_Curves/meltCurve_P53778_MAPK12.pdf</v>
      </c>
    </row>
    <row r="2589" spans="1:28" x14ac:dyDescent="0.25">
      <c r="A2589" t="s">
        <v>2593</v>
      </c>
      <c r="B2589">
        <v>0.99996721820229495</v>
      </c>
      <c r="C2589">
        <v>1.0247456983007699</v>
      </c>
      <c r="D2589">
        <v>1.01521801330044</v>
      </c>
      <c r="E2589">
        <v>1.2218051767606799</v>
      </c>
      <c r="F2589">
        <v>1.32267760647018</v>
      </c>
      <c r="G2589">
        <v>1.50882925147348</v>
      </c>
      <c r="H2589">
        <v>0.86732772983331297</v>
      </c>
      <c r="I2589">
        <v>0.40910676335264601</v>
      </c>
      <c r="J2589">
        <v>0.26774491196595301</v>
      </c>
      <c r="K2589">
        <v>0.28851829715030902</v>
      </c>
      <c r="L2589">
        <v>4222.77119514695</v>
      </c>
      <c r="M2589">
        <v>67.586916500173004</v>
      </c>
      <c r="N2589">
        <v>63.237941069413097</v>
      </c>
      <c r="O2589">
        <v>62.424491345612502</v>
      </c>
      <c r="P2589">
        <v>-0.195482859510756</v>
      </c>
      <c r="Q2589">
        <v>0.27779424941837499</v>
      </c>
      <c r="R2589">
        <v>0.75690231634744598</v>
      </c>
      <c r="S2589" t="s">
        <v>8415</v>
      </c>
      <c r="T2589" t="s">
        <v>11650</v>
      </c>
      <c r="U2589" t="s">
        <v>11650</v>
      </c>
      <c r="V2589" t="s">
        <v>11650</v>
      </c>
      <c r="W2589" t="s">
        <v>14195</v>
      </c>
      <c r="X2589">
        <v>2</v>
      </c>
      <c r="Y2589" t="s">
        <v>19908</v>
      </c>
      <c r="Z2589" t="s">
        <v>25651</v>
      </c>
      <c r="AA2589">
        <v>0.82001221318621365</v>
      </c>
      <c r="AB2589" t="str">
        <f>HYPERLINK("Melting_Curves/meltCurve_P53794_SLC5A3.pdf", "Melting_Curves/meltCurve_P53794_SLC5A3.pdf")</f>
        <v>Melting_Curves/meltCurve_P53794_SLC5A3.pdf</v>
      </c>
    </row>
    <row r="2590" spans="1:28" x14ac:dyDescent="0.25">
      <c r="A2590" t="s">
        <v>2594</v>
      </c>
      <c r="B2590">
        <v>0.99996721820229495</v>
      </c>
      <c r="C2590">
        <v>0.93871644307102298</v>
      </c>
      <c r="D2590">
        <v>0.92826293896661005</v>
      </c>
      <c r="E2590">
        <v>0.94176046293666005</v>
      </c>
      <c r="F2590">
        <v>1.01416147219428</v>
      </c>
      <c r="G2590">
        <v>1.13391388055585</v>
      </c>
      <c r="H2590">
        <v>0.74068926696630899</v>
      </c>
      <c r="I2590">
        <v>0.461466342804143</v>
      </c>
      <c r="J2590">
        <v>0.37783256471034599</v>
      </c>
      <c r="K2590">
        <v>0.32573002586494698</v>
      </c>
      <c r="L2590">
        <v>3211.54175465037</v>
      </c>
      <c r="M2590">
        <v>52.109848086176797</v>
      </c>
      <c r="N2590">
        <v>63.124060290465998</v>
      </c>
      <c r="O2590">
        <v>61.539667642374603</v>
      </c>
      <c r="P2590">
        <v>-0.13668591106383199</v>
      </c>
      <c r="Q2590">
        <v>0.354317904229902</v>
      </c>
      <c r="R2590">
        <v>0.95448280538004504</v>
      </c>
      <c r="S2590" t="s">
        <v>8416</v>
      </c>
      <c r="T2590" t="s">
        <v>11650</v>
      </c>
      <c r="U2590" t="s">
        <v>11650</v>
      </c>
      <c r="V2590" t="s">
        <v>11650</v>
      </c>
      <c r="W2590" t="s">
        <v>14196</v>
      </c>
      <c r="X2590">
        <v>5</v>
      </c>
      <c r="Y2590" t="s">
        <v>19909</v>
      </c>
      <c r="Z2590" t="s">
        <v>25652</v>
      </c>
      <c r="AA2590">
        <v>0.82140731819021418</v>
      </c>
      <c r="AB2590" t="str">
        <f>HYPERLINK("Melting_Curves/meltCurve_P53801_PTTG1IP.pdf", "Melting_Curves/meltCurve_P53801_PTTG1IP.pdf")</f>
        <v>Melting_Curves/meltCurve_P53801_PTTG1IP.pdf</v>
      </c>
    </row>
    <row r="2591" spans="1:28" x14ac:dyDescent="0.25">
      <c r="A2591" t="s">
        <v>2595</v>
      </c>
      <c r="B2591">
        <v>0.99996721820229495</v>
      </c>
      <c r="C2591">
        <v>1.2168488313069901</v>
      </c>
      <c r="D2591">
        <v>1.2238410620617299</v>
      </c>
      <c r="E2591">
        <v>0.96198083160660497</v>
      </c>
      <c r="F2591">
        <v>1.1851032516739599</v>
      </c>
      <c r="G2591">
        <v>1.4810370967039701</v>
      </c>
      <c r="H2591">
        <v>1.11492904786231</v>
      </c>
      <c r="I2591">
        <v>0.87616643889331303</v>
      </c>
      <c r="J2591">
        <v>0.77883536747411697</v>
      </c>
      <c r="K2591">
        <v>0.48067040723767201</v>
      </c>
      <c r="L2591">
        <v>2509.9440762389399</v>
      </c>
      <c r="M2591">
        <v>36.725532810119603</v>
      </c>
      <c r="N2591">
        <v>69.792071165557402</v>
      </c>
      <c r="O2591">
        <v>68.141611265450507</v>
      </c>
      <c r="P2591">
        <v>-9.8802412401154602E-2</v>
      </c>
      <c r="Q2591">
        <v>0.266718769304857</v>
      </c>
      <c r="R2591">
        <v>0.45112177745046</v>
      </c>
      <c r="S2591" t="s">
        <v>8417</v>
      </c>
      <c r="T2591" t="s">
        <v>11650</v>
      </c>
      <c r="U2591" t="s">
        <v>11650</v>
      </c>
      <c r="V2591" t="s">
        <v>11650</v>
      </c>
      <c r="W2591" t="s">
        <v>14197</v>
      </c>
      <c r="X2591">
        <v>2</v>
      </c>
      <c r="Y2591" t="s">
        <v>19910</v>
      </c>
      <c r="Z2591" t="s">
        <v>25653</v>
      </c>
      <c r="AA2591">
        <v>0.94579668632530733</v>
      </c>
      <c r="AB2591" t="str">
        <f>HYPERLINK("Melting_Curves/meltCurve_P53803_POLR2K.pdf", "Melting_Curves/meltCurve_P53803_POLR2K.pdf")</f>
        <v>Melting_Curves/meltCurve_P53803_POLR2K.pdf</v>
      </c>
    </row>
    <row r="2592" spans="1:28" x14ac:dyDescent="0.25">
      <c r="A2592" t="s">
        <v>2596</v>
      </c>
      <c r="B2592">
        <v>0.99996721820229495</v>
      </c>
      <c r="C2592">
        <v>0.94153413290054899</v>
      </c>
      <c r="D2592">
        <v>0.79074997320942397</v>
      </c>
      <c r="E2592">
        <v>0.58916454653500305</v>
      </c>
      <c r="F2592">
        <v>0.60400280359592895</v>
      </c>
      <c r="G2592">
        <v>0.51616706449511796</v>
      </c>
      <c r="H2592">
        <v>0.35983591986618302</v>
      </c>
      <c r="I2592">
        <v>0.33029732541713802</v>
      </c>
      <c r="J2592">
        <v>0.30562965668637598</v>
      </c>
      <c r="K2592">
        <v>0.20575446948480999</v>
      </c>
      <c r="L2592">
        <v>425.80106552462399</v>
      </c>
      <c r="M2592">
        <v>7.9735862944453801</v>
      </c>
      <c r="N2592">
        <v>55.632707708366702</v>
      </c>
      <c r="O2592">
        <v>50.356301624458901</v>
      </c>
      <c r="P2592">
        <v>-3.42075763266938E-2</v>
      </c>
      <c r="Q2592">
        <v>0.13685177204389801</v>
      </c>
      <c r="R2592">
        <v>0.96904946066117004</v>
      </c>
      <c r="S2592" t="s">
        <v>8418</v>
      </c>
      <c r="T2592" t="s">
        <v>11650</v>
      </c>
      <c r="U2592" t="s">
        <v>11650</v>
      </c>
      <c r="V2592" t="s">
        <v>11650</v>
      </c>
      <c r="W2592" t="s">
        <v>14198</v>
      </c>
      <c r="X2592">
        <v>35</v>
      </c>
      <c r="Y2592" t="s">
        <v>19911</v>
      </c>
      <c r="Z2592" t="s">
        <v>25654</v>
      </c>
      <c r="AA2592">
        <v>0.55537879807692869</v>
      </c>
      <c r="AB2592" t="str">
        <f>HYPERLINK("Melting_Curves/meltCurve_P53814_5_SMTN.pdf", "Melting_Curves/meltCurve_P53814_5_SMTN.pdf")</f>
        <v>Melting_Curves/meltCurve_P53814_5_SMTN.pdf</v>
      </c>
    </row>
    <row r="2593" spans="1:28" x14ac:dyDescent="0.25">
      <c r="A2593" t="s">
        <v>2597</v>
      </c>
      <c r="B2593">
        <v>0.99996721820229495</v>
      </c>
      <c r="C2593">
        <v>0.73160312163172703</v>
      </c>
      <c r="D2593">
        <v>1.1484314208377899</v>
      </c>
      <c r="E2593">
        <v>1.5473298380954199</v>
      </c>
      <c r="F2593">
        <v>2.2668991681814199</v>
      </c>
      <c r="G2593">
        <v>4.0994825209346297</v>
      </c>
      <c r="H2593">
        <v>3.273471138523</v>
      </c>
      <c r="I2593">
        <v>1.77545916849432</v>
      </c>
      <c r="J2593">
        <v>0.83583778736660297</v>
      </c>
      <c r="K2593">
        <v>1.72899777095018</v>
      </c>
      <c r="L2593">
        <v>11539.6649637875</v>
      </c>
      <c r="M2593">
        <v>250</v>
      </c>
      <c r="O2593">
        <v>46.155719782983702</v>
      </c>
      <c r="P2593">
        <v>0.67705604997976598</v>
      </c>
      <c r="Q2593">
        <v>1.5</v>
      </c>
      <c r="R2593">
        <v>-2.4763382427645898E-2</v>
      </c>
      <c r="S2593" t="s">
        <v>8419</v>
      </c>
      <c r="T2593" t="s">
        <v>11650</v>
      </c>
      <c r="U2593" t="s">
        <v>11650</v>
      </c>
      <c r="V2593" t="s">
        <v>11650</v>
      </c>
      <c r="W2593" t="s">
        <v>14199</v>
      </c>
      <c r="X2593">
        <v>4</v>
      </c>
      <c r="Y2593" t="s">
        <v>19912</v>
      </c>
      <c r="Z2593" t="s">
        <v>25655</v>
      </c>
      <c r="AA2593">
        <v>1.3973151652160041</v>
      </c>
      <c r="AB2593" t="str">
        <f>HYPERLINK("Melting_Curves/meltCurve_P53985_SLC16A1.pdf", "Melting_Curves/meltCurve_P53985_SLC16A1.pdf")</f>
        <v>Melting_Curves/meltCurve_P53985_SLC16A1.pdf</v>
      </c>
    </row>
    <row r="2594" spans="1:28" x14ac:dyDescent="0.25">
      <c r="A2594" t="s">
        <v>2598</v>
      </c>
      <c r="B2594">
        <v>0.99996721820229495</v>
      </c>
      <c r="C2594">
        <v>0.96321817449143998</v>
      </c>
      <c r="D2594">
        <v>0.86405491169529802</v>
      </c>
      <c r="E2594">
        <v>0.76367880544034605</v>
      </c>
      <c r="F2594">
        <v>0.41011315932923098</v>
      </c>
      <c r="G2594">
        <v>0.33794181239173798</v>
      </c>
      <c r="H2594">
        <v>0.242196132099773</v>
      </c>
      <c r="I2594">
        <v>0.17387176239041599</v>
      </c>
      <c r="J2594">
        <v>0.13523154370410401</v>
      </c>
      <c r="K2594">
        <v>0.10860188614088</v>
      </c>
      <c r="L2594">
        <v>762.56621447900704</v>
      </c>
      <c r="M2594">
        <v>14.6362559078171</v>
      </c>
      <c r="N2594">
        <v>53.022925010457698</v>
      </c>
      <c r="O2594">
        <v>51.157557388984898</v>
      </c>
      <c r="P2594">
        <v>-6.3498544618473401E-2</v>
      </c>
      <c r="Q2594">
        <v>0.112322385070906</v>
      </c>
      <c r="R2594">
        <v>0.98485353181634006</v>
      </c>
      <c r="S2594" t="s">
        <v>8420</v>
      </c>
      <c r="T2594" t="s">
        <v>11650</v>
      </c>
      <c r="U2594" t="s">
        <v>11650</v>
      </c>
      <c r="V2594" t="s">
        <v>11650</v>
      </c>
      <c r="W2594" t="s">
        <v>14200</v>
      </c>
      <c r="X2594">
        <v>9</v>
      </c>
      <c r="Y2594" t="s">
        <v>19913</v>
      </c>
      <c r="Z2594" t="s">
        <v>25656</v>
      </c>
      <c r="AA2594">
        <v>0.49090485478011592</v>
      </c>
      <c r="AB2594" t="str">
        <f>HYPERLINK("Melting_Curves/meltCurve_P53990_2_IST1.pdf", "Melting_Curves/meltCurve_P53990_2_IST1.pdf")</f>
        <v>Melting_Curves/meltCurve_P53990_2_IST1.pdf</v>
      </c>
    </row>
    <row r="2595" spans="1:28" x14ac:dyDescent="0.25">
      <c r="A2595" t="s">
        <v>2599</v>
      </c>
      <c r="B2595">
        <v>0.99996721820229495</v>
      </c>
      <c r="C2595">
        <v>0.93912051562595</v>
      </c>
      <c r="D2595">
        <v>1.0222825602954499</v>
      </c>
      <c r="E2595">
        <v>0.94697331633746895</v>
      </c>
      <c r="F2595">
        <v>0.35782713156831297</v>
      </c>
      <c r="G2595">
        <v>0.32339623191661598</v>
      </c>
      <c r="H2595">
        <v>0.190333040897672</v>
      </c>
      <c r="I2595">
        <v>0.13495090386189501</v>
      </c>
      <c r="J2595">
        <v>0.105983857912353</v>
      </c>
      <c r="K2595">
        <v>8.2384201998987397E-2</v>
      </c>
      <c r="L2595">
        <v>3211.9788136689799</v>
      </c>
      <c r="M2595">
        <v>61.7544065109565</v>
      </c>
      <c r="N2595">
        <v>52.352754954058099</v>
      </c>
      <c r="O2595">
        <v>51.957683124216402</v>
      </c>
      <c r="P2595">
        <v>-0.24798053461386799</v>
      </c>
      <c r="Q2595">
        <v>0.165436806369442</v>
      </c>
      <c r="R2595">
        <v>0.97365229694941602</v>
      </c>
      <c r="S2595" t="s">
        <v>8421</v>
      </c>
      <c r="T2595" t="s">
        <v>11650</v>
      </c>
      <c r="U2595" t="s">
        <v>11650</v>
      </c>
      <c r="V2595" t="s">
        <v>11650</v>
      </c>
      <c r="W2595" t="s">
        <v>14201</v>
      </c>
      <c r="X2595">
        <v>20</v>
      </c>
      <c r="Y2595" t="s">
        <v>19914</v>
      </c>
      <c r="Z2595" t="s">
        <v>25657</v>
      </c>
      <c r="AA2595">
        <v>0.50085255084237557</v>
      </c>
      <c r="AB2595" t="str">
        <f>HYPERLINK("Melting_Curves/meltCurve_P53992_SEC24C.pdf", "Melting_Curves/meltCurve_P53992_SEC24C.pdf")</f>
        <v>Melting_Curves/meltCurve_P53992_SEC24C.pdf</v>
      </c>
    </row>
    <row r="2596" spans="1:28" x14ac:dyDescent="0.25">
      <c r="A2596" t="s">
        <v>2600</v>
      </c>
      <c r="B2596">
        <v>0.99996721820229495</v>
      </c>
      <c r="C2596">
        <v>1.10794476483035</v>
      </c>
      <c r="D2596">
        <v>1.0860326908454501</v>
      </c>
      <c r="E2596">
        <v>1.0710209891225</v>
      </c>
      <c r="F2596">
        <v>1.13089436676309</v>
      </c>
      <c r="G2596">
        <v>0.96704514997790902</v>
      </c>
      <c r="H2596">
        <v>0.53180735301687299</v>
      </c>
      <c r="I2596">
        <v>0.550785841115355</v>
      </c>
      <c r="J2596">
        <v>0.37741937900892403</v>
      </c>
      <c r="K2596">
        <v>0.29546901135807102</v>
      </c>
      <c r="L2596">
        <v>2249.1802768288098</v>
      </c>
      <c r="M2596">
        <v>37.432514940387499</v>
      </c>
      <c r="N2596">
        <v>62.295156564246398</v>
      </c>
      <c r="O2596">
        <v>59.9155549235333</v>
      </c>
      <c r="P2596">
        <v>-9.8804708195135399E-2</v>
      </c>
      <c r="Q2596">
        <v>0.36740313053451301</v>
      </c>
      <c r="R2596">
        <v>0.92987252360963202</v>
      </c>
      <c r="S2596" t="s">
        <v>8422</v>
      </c>
      <c r="T2596" t="s">
        <v>11650</v>
      </c>
      <c r="U2596" t="s">
        <v>11650</v>
      </c>
      <c r="V2596" t="s">
        <v>11650</v>
      </c>
      <c r="W2596" t="s">
        <v>14202</v>
      </c>
      <c r="X2596">
        <v>10</v>
      </c>
      <c r="Y2596" t="s">
        <v>19915</v>
      </c>
      <c r="Z2596" t="s">
        <v>25658</v>
      </c>
      <c r="AA2596">
        <v>0.79371421322194202</v>
      </c>
      <c r="AB2596" t="str">
        <f>HYPERLINK("Melting_Curves/meltCurve_P53999_SUB1.pdf", "Melting_Curves/meltCurve_P53999_SUB1.pdf")</f>
        <v>Melting_Curves/meltCurve_P53999_SUB1.pdf</v>
      </c>
    </row>
    <row r="2597" spans="1:28" x14ac:dyDescent="0.25">
      <c r="A2597" t="s">
        <v>2601</v>
      </c>
      <c r="B2597">
        <v>0.99996721820229495</v>
      </c>
      <c r="C2597">
        <v>1.1011005926083799</v>
      </c>
      <c r="D2597">
        <v>0.68977097605789195</v>
      </c>
      <c r="E2597">
        <v>0.22772021252512401</v>
      </c>
      <c r="F2597">
        <v>0.215924831543721</v>
      </c>
      <c r="G2597">
        <v>0.19644560321896901</v>
      </c>
      <c r="H2597">
        <v>0.115182736729806</v>
      </c>
      <c r="I2597">
        <v>7.4351683130535598E-2</v>
      </c>
      <c r="J2597">
        <v>5.43509746236433E-2</v>
      </c>
      <c r="K2597">
        <v>3.9380441865743299E-2</v>
      </c>
      <c r="L2597">
        <v>1573.5359738407899</v>
      </c>
      <c r="M2597">
        <v>33.407459436396501</v>
      </c>
      <c r="N2597">
        <v>47.458681778152197</v>
      </c>
      <c r="O2597">
        <v>46.933524613356802</v>
      </c>
      <c r="P2597">
        <v>-0.15816339140669899</v>
      </c>
      <c r="Q2597">
        <v>0.111200432361236</v>
      </c>
      <c r="R2597">
        <v>0.97095571323309204</v>
      </c>
      <c r="S2597" t="s">
        <v>8423</v>
      </c>
      <c r="T2597" t="s">
        <v>11650</v>
      </c>
      <c r="U2597" t="s">
        <v>11650</v>
      </c>
      <c r="V2597" t="s">
        <v>11650</v>
      </c>
      <c r="W2597" t="s">
        <v>14203</v>
      </c>
      <c r="X2597">
        <v>41</v>
      </c>
      <c r="Y2597" t="s">
        <v>19916</v>
      </c>
      <c r="Z2597" t="s">
        <v>25659</v>
      </c>
      <c r="AA2597">
        <v>0.32582943346210758</v>
      </c>
      <c r="AB2597" t="str">
        <f>HYPERLINK("Melting_Curves/meltCurve_P54136_RARS.pdf", "Melting_Curves/meltCurve_P54136_RARS.pdf")</f>
        <v>Melting_Curves/meltCurve_P54136_RARS.pdf</v>
      </c>
    </row>
    <row r="2598" spans="1:28" x14ac:dyDescent="0.25">
      <c r="A2598" t="s">
        <v>2602</v>
      </c>
      <c r="B2598">
        <v>0.99996721820229495</v>
      </c>
      <c r="C2598">
        <v>1.01656699912069</v>
      </c>
      <c r="D2598">
        <v>0.73225079908907797</v>
      </c>
      <c r="E2598">
        <v>0.18231330557561001</v>
      </c>
      <c r="F2598">
        <v>0.16823811582821499</v>
      </c>
      <c r="G2598">
        <v>0.102119023229907</v>
      </c>
      <c r="H2598">
        <v>5.8991029687408401E-2</v>
      </c>
      <c r="I2598">
        <v>3.9231172918357003E-2</v>
      </c>
      <c r="J2598">
        <v>2.0725578863602E-2</v>
      </c>
      <c r="K2598">
        <v>9.7918308685578607E-3</v>
      </c>
      <c r="L2598">
        <v>1511.2023179684199</v>
      </c>
      <c r="M2598">
        <v>31.894571898472499</v>
      </c>
      <c r="N2598">
        <v>47.560465775703399</v>
      </c>
      <c r="O2598">
        <v>47.196088676554197</v>
      </c>
      <c r="P2598">
        <v>-0.159378210225607</v>
      </c>
      <c r="Q2598">
        <v>5.6643460528156997E-2</v>
      </c>
      <c r="R2598">
        <v>0.99023885342305795</v>
      </c>
      <c r="S2598" t="s">
        <v>8424</v>
      </c>
      <c r="T2598" t="s">
        <v>11650</v>
      </c>
      <c r="U2598" t="s">
        <v>11650</v>
      </c>
      <c r="V2598" t="s">
        <v>11650</v>
      </c>
      <c r="W2598" t="s">
        <v>14204</v>
      </c>
      <c r="X2598">
        <v>36</v>
      </c>
      <c r="Y2598" t="s">
        <v>19916</v>
      </c>
      <c r="Z2598" t="s">
        <v>25660</v>
      </c>
      <c r="AA2598">
        <v>0.29371623773301958</v>
      </c>
      <c r="AB2598" t="str">
        <f>HYPERLINK("Melting_Curves/meltCurve_P54136_2_RARS.pdf", "Melting_Curves/meltCurve_P54136_2_RARS.pdf")</f>
        <v>Melting_Curves/meltCurve_P54136_2_RARS.pdf</v>
      </c>
    </row>
    <row r="2599" spans="1:28" x14ac:dyDescent="0.25">
      <c r="A2599" t="s">
        <v>2603</v>
      </c>
      <c r="B2599">
        <v>0.99996721820229495</v>
      </c>
      <c r="C2599">
        <v>1.02155176147004</v>
      </c>
      <c r="D2599">
        <v>0.98714662695647204</v>
      </c>
      <c r="E2599">
        <v>0.94386628758993896</v>
      </c>
      <c r="F2599">
        <v>1.0813599248828201</v>
      </c>
      <c r="G2599">
        <v>0.735439686289309</v>
      </c>
      <c r="H2599">
        <v>0.51491913860190897</v>
      </c>
      <c r="I2599">
        <v>0.34282941236237702</v>
      </c>
      <c r="J2599">
        <v>0.36501369518965399</v>
      </c>
      <c r="K2599">
        <v>0.30727067036118799</v>
      </c>
      <c r="L2599">
        <v>1736.38947607574</v>
      </c>
      <c r="M2599">
        <v>29.719481529244302</v>
      </c>
      <c r="N2599">
        <v>60.550822257706997</v>
      </c>
      <c r="O2599">
        <v>58.163352264927902</v>
      </c>
      <c r="P2599">
        <v>-8.6380952191732405E-2</v>
      </c>
      <c r="Q2599">
        <v>0.32378743165979101</v>
      </c>
      <c r="R2599">
        <v>0.97593854461393603</v>
      </c>
      <c r="S2599" t="s">
        <v>8425</v>
      </c>
      <c r="T2599" t="s">
        <v>11650</v>
      </c>
      <c r="U2599" t="s">
        <v>11650</v>
      </c>
      <c r="V2599" t="s">
        <v>11650</v>
      </c>
      <c r="W2599" t="s">
        <v>14205</v>
      </c>
      <c r="X2599">
        <v>1</v>
      </c>
      <c r="Y2599" t="s">
        <v>19917</v>
      </c>
      <c r="Z2599" t="s">
        <v>25661</v>
      </c>
      <c r="AA2599">
        <v>0.74359293325910114</v>
      </c>
      <c r="AB2599" t="str">
        <f>HYPERLINK("Melting_Curves/meltCurve_P54253_ATXN1.pdf", "Melting_Curves/meltCurve_P54253_ATXN1.pdf")</f>
        <v>Melting_Curves/meltCurve_P54253_ATXN1.pdf</v>
      </c>
    </row>
    <row r="2600" spans="1:28" x14ac:dyDescent="0.25">
      <c r="A2600" t="s">
        <v>2604</v>
      </c>
      <c r="B2600">
        <v>0.99996721820229495</v>
      </c>
      <c r="C2600">
        <v>1.03741741596286</v>
      </c>
      <c r="D2600">
        <v>1.14657138724259</v>
      </c>
      <c r="E2600">
        <v>1.0943076877138</v>
      </c>
      <c r="F2600">
        <v>1.45588122419791</v>
      </c>
      <c r="G2600">
        <v>1.7287968623847201</v>
      </c>
      <c r="H2600">
        <v>1.2892342622006701</v>
      </c>
      <c r="I2600">
        <v>0.96900383991195904</v>
      </c>
      <c r="J2600">
        <v>0.82432880906129902</v>
      </c>
      <c r="K2600">
        <v>0.59164948736874101</v>
      </c>
      <c r="L2600">
        <v>4604.1344511294601</v>
      </c>
      <c r="M2600">
        <v>68.320539467830997</v>
      </c>
      <c r="O2600">
        <v>67.332526432631298</v>
      </c>
      <c r="P2600">
        <v>-0.111640575278943</v>
      </c>
      <c r="Q2600">
        <v>0.55989573643432</v>
      </c>
      <c r="R2600">
        <v>7.4351254018248505E-2</v>
      </c>
      <c r="S2600" t="s">
        <v>8426</v>
      </c>
      <c r="T2600" t="s">
        <v>11650</v>
      </c>
      <c r="U2600" t="s">
        <v>11650</v>
      </c>
      <c r="V2600" t="s">
        <v>11650</v>
      </c>
      <c r="W2600" t="s">
        <v>14206</v>
      </c>
      <c r="X2600">
        <v>8</v>
      </c>
      <c r="Y2600" t="s">
        <v>19918</v>
      </c>
      <c r="Z2600" t="s">
        <v>25662</v>
      </c>
      <c r="AA2600">
        <v>0.96119739191553877</v>
      </c>
      <c r="AB2600" t="str">
        <f>HYPERLINK("Melting_Curves/meltCurve_P54259_ATN1.pdf", "Melting_Curves/meltCurve_P54259_ATN1.pdf")</f>
        <v>Melting_Curves/meltCurve_P54259_ATN1.pdf</v>
      </c>
    </row>
    <row r="2601" spans="1:28" x14ac:dyDescent="0.25">
      <c r="A2601" t="s">
        <v>2605</v>
      </c>
      <c r="B2601">
        <v>0.99996721820229495</v>
      </c>
      <c r="C2601">
        <v>1.0144691504029399</v>
      </c>
      <c r="D2601">
        <v>0.81473693566772099</v>
      </c>
      <c r="E2601">
        <v>0.30045096652018</v>
      </c>
      <c r="F2601">
        <v>0.27486471446605598</v>
      </c>
      <c r="G2601">
        <v>0.227114346780383</v>
      </c>
      <c r="H2601">
        <v>0.14847842373963399</v>
      </c>
      <c r="I2601">
        <v>0.111891657981388</v>
      </c>
      <c r="J2601">
        <v>8.2118710598469896E-2</v>
      </c>
      <c r="K2601">
        <v>6.5570051937073798E-2</v>
      </c>
      <c r="L2601">
        <v>1323.8495994176101</v>
      </c>
      <c r="M2601">
        <v>27.551004681456899</v>
      </c>
      <c r="N2601">
        <v>48.591009368337801</v>
      </c>
      <c r="O2601">
        <v>47.799854063082599</v>
      </c>
      <c r="P2601">
        <v>-0.12509018596743199</v>
      </c>
      <c r="Q2601">
        <v>0.13190274660699999</v>
      </c>
      <c r="R2601">
        <v>0.98023881494515497</v>
      </c>
      <c r="S2601" t="s">
        <v>8427</v>
      </c>
      <c r="T2601" t="s">
        <v>11650</v>
      </c>
      <c r="U2601" t="s">
        <v>11650</v>
      </c>
      <c r="V2601" t="s">
        <v>11650</v>
      </c>
      <c r="W2601" t="s">
        <v>14207</v>
      </c>
      <c r="X2601">
        <v>36</v>
      </c>
      <c r="Y2601" t="s">
        <v>19919</v>
      </c>
      <c r="Z2601" t="s">
        <v>25663</v>
      </c>
      <c r="AA2601">
        <v>0.37111548957677992</v>
      </c>
      <c r="AB2601" t="str">
        <f>HYPERLINK("Melting_Curves/meltCurve_P54577_YARS.pdf", "Melting_Curves/meltCurve_P54577_YARS.pdf")</f>
        <v>Melting_Curves/meltCurve_P54577_YARS.pdf</v>
      </c>
    </row>
    <row r="2602" spans="1:28" x14ac:dyDescent="0.25">
      <c r="A2602" t="s">
        <v>2606</v>
      </c>
      <c r="B2602">
        <v>0.99996721820229495</v>
      </c>
      <c r="C2602">
        <v>1.1299070604807799</v>
      </c>
      <c r="D2602">
        <v>1.0826266895516199</v>
      </c>
      <c r="E2602">
        <v>0.98440845830357504</v>
      </c>
      <c r="F2602">
        <v>0.42161991314721498</v>
      </c>
      <c r="G2602">
        <v>0.33405358820836301</v>
      </c>
      <c r="H2602">
        <v>0.21404926571729299</v>
      </c>
      <c r="I2602">
        <v>0.14213090121568001</v>
      </c>
      <c r="J2602">
        <v>0.109180949813116</v>
      </c>
      <c r="K2602">
        <v>7.9237762773551004E-2</v>
      </c>
      <c r="L2602">
        <v>3454.6195792677099</v>
      </c>
      <c r="M2602">
        <v>65.988435068323199</v>
      </c>
      <c r="N2602">
        <v>52.6934044512752</v>
      </c>
      <c r="O2602">
        <v>52.303877633006401</v>
      </c>
      <c r="P2602">
        <v>-0.26053185684163199</v>
      </c>
      <c r="Q2602">
        <v>0.173987228921229</v>
      </c>
      <c r="R2602">
        <v>0.963614715400404</v>
      </c>
      <c r="S2602" t="s">
        <v>8428</v>
      </c>
      <c r="T2602" t="s">
        <v>11650</v>
      </c>
      <c r="U2602" t="s">
        <v>11650</v>
      </c>
      <c r="V2602" t="s">
        <v>11650</v>
      </c>
      <c r="W2602" t="s">
        <v>14208</v>
      </c>
      <c r="X2602">
        <v>23</v>
      </c>
      <c r="Y2602" t="s">
        <v>19920</v>
      </c>
      <c r="Z2602" t="s">
        <v>25664</v>
      </c>
      <c r="AA2602">
        <v>0.51517382148294433</v>
      </c>
      <c r="AB2602" t="str">
        <f>HYPERLINK("Melting_Curves/meltCurve_P54578_USP14.pdf", "Melting_Curves/meltCurve_P54578_USP14.pdf")</f>
        <v>Melting_Curves/meltCurve_P54578_USP14.pdf</v>
      </c>
    </row>
    <row r="2603" spans="1:28" x14ac:dyDescent="0.25">
      <c r="A2603" t="s">
        <v>2607</v>
      </c>
      <c r="B2603">
        <v>0.99996721820229495</v>
      </c>
      <c r="C2603">
        <v>1.08984998886964</v>
      </c>
      <c r="D2603">
        <v>1.1688018531859601</v>
      </c>
      <c r="E2603">
        <v>1.2357193259877901</v>
      </c>
      <c r="F2603">
        <v>0.81860873145764801</v>
      </c>
      <c r="G2603">
        <v>0.52559091319193696</v>
      </c>
      <c r="H2603">
        <v>0.26076072848451698</v>
      </c>
      <c r="I2603">
        <v>0.14990055359887899</v>
      </c>
      <c r="J2603">
        <v>0.10646255360467501</v>
      </c>
      <c r="K2603">
        <v>0.109508131167672</v>
      </c>
      <c r="L2603">
        <v>1594.4056912638</v>
      </c>
      <c r="M2603">
        <v>28.0848804915701</v>
      </c>
      <c r="N2603">
        <v>57.295063924215903</v>
      </c>
      <c r="O2603">
        <v>56.485472838938399</v>
      </c>
      <c r="P2603">
        <v>-0.110221572802084</v>
      </c>
      <c r="Q2603">
        <v>0.11327877642441</v>
      </c>
      <c r="R2603">
        <v>0.94412737501991895</v>
      </c>
      <c r="S2603" t="s">
        <v>8429</v>
      </c>
      <c r="T2603" t="s">
        <v>11650</v>
      </c>
      <c r="U2603" t="s">
        <v>11650</v>
      </c>
      <c r="V2603" t="s">
        <v>11650</v>
      </c>
      <c r="W2603" t="s">
        <v>14209</v>
      </c>
      <c r="X2603">
        <v>7</v>
      </c>
      <c r="Y2603" t="s">
        <v>19921</v>
      </c>
      <c r="Z2603" t="s">
        <v>25665</v>
      </c>
      <c r="AA2603">
        <v>0.61561657767359546</v>
      </c>
      <c r="AB2603" t="str">
        <f>HYPERLINK("Melting_Curves/meltCurve_P54619_2_PRKAG1.pdf", "Melting_Curves/meltCurve_P54619_2_PRKAG1.pdf")</f>
        <v>Melting_Curves/meltCurve_P54619_2_PRKAG1.pdf</v>
      </c>
    </row>
    <row r="2604" spans="1:28" x14ac:dyDescent="0.25">
      <c r="A2604" t="s">
        <v>2608</v>
      </c>
      <c r="B2604">
        <v>0.99996721820229495</v>
      </c>
      <c r="C2604">
        <v>1.0349533797078501</v>
      </c>
      <c r="D2604">
        <v>1.1474556142346199</v>
      </c>
      <c r="E2604">
        <v>1.2433934043234001</v>
      </c>
      <c r="F2604">
        <v>1.0424521344617299</v>
      </c>
      <c r="G2604">
        <v>0.80191223891597196</v>
      </c>
      <c r="H2604">
        <v>0.481708934801024</v>
      </c>
      <c r="I2604">
        <v>0.34506365749346901</v>
      </c>
      <c r="J2604">
        <v>0.26182970747422601</v>
      </c>
      <c r="K2604">
        <v>0.20786304014658799</v>
      </c>
      <c r="L2604">
        <v>1721.9738274149499</v>
      </c>
      <c r="M2604">
        <v>28.921321072235401</v>
      </c>
      <c r="N2604">
        <v>60.797523697524703</v>
      </c>
      <c r="O2604">
        <v>59.257463561991699</v>
      </c>
      <c r="P2604">
        <v>-9.4549573816594804E-2</v>
      </c>
      <c r="Q2604">
        <v>0.22510792048109801</v>
      </c>
      <c r="R2604">
        <v>0.93547609442805701</v>
      </c>
      <c r="S2604" t="s">
        <v>8430</v>
      </c>
      <c r="T2604" t="s">
        <v>11650</v>
      </c>
      <c r="U2604" t="s">
        <v>11650</v>
      </c>
      <c r="V2604" t="s">
        <v>11650</v>
      </c>
      <c r="W2604" t="s">
        <v>14210</v>
      </c>
      <c r="X2604">
        <v>4</v>
      </c>
      <c r="Y2604" t="s">
        <v>19922</v>
      </c>
      <c r="Z2604" t="s">
        <v>25666</v>
      </c>
      <c r="AA2604">
        <v>0.73491206705877821</v>
      </c>
      <c r="AB2604" t="str">
        <f>HYPERLINK("Melting_Curves/meltCurve_P54646_PRKAA2.pdf", "Melting_Curves/meltCurve_P54646_PRKAA2.pdf")</f>
        <v>Melting_Curves/meltCurve_P54646_PRKAA2.pdf</v>
      </c>
    </row>
    <row r="2605" spans="1:28" x14ac:dyDescent="0.25">
      <c r="A2605" t="s">
        <v>2609</v>
      </c>
      <c r="B2605">
        <v>0.99996721820229495</v>
      </c>
      <c r="C2605">
        <v>0.95622714639963702</v>
      </c>
      <c r="D2605">
        <v>0.99145939491798396</v>
      </c>
      <c r="E2605">
        <v>0.905181094815939</v>
      </c>
      <c r="F2605">
        <v>0.54411824409250997</v>
      </c>
      <c r="G2605">
        <v>0.28761631821356398</v>
      </c>
      <c r="H2605">
        <v>0.14651225228891501</v>
      </c>
      <c r="I2605">
        <v>9.9213168351282896E-2</v>
      </c>
      <c r="J2605">
        <v>7.1447368385966006E-2</v>
      </c>
      <c r="K2605">
        <v>5.6428760355822602E-2</v>
      </c>
      <c r="L2605">
        <v>1239.6895835814901</v>
      </c>
      <c r="M2605">
        <v>23.133166311415799</v>
      </c>
      <c r="N2605">
        <v>53.960947854683504</v>
      </c>
      <c r="O2605">
        <v>53.1936333982501</v>
      </c>
      <c r="P2605">
        <v>-0.100716470940714</v>
      </c>
      <c r="Q2605">
        <v>7.36457031575211E-2</v>
      </c>
      <c r="R2605">
        <v>0.99420617954208901</v>
      </c>
      <c r="S2605" t="s">
        <v>8431</v>
      </c>
      <c r="T2605" t="s">
        <v>11650</v>
      </c>
      <c r="U2605" t="s">
        <v>11650</v>
      </c>
      <c r="V2605" t="s">
        <v>11650</v>
      </c>
      <c r="W2605" t="s">
        <v>14211</v>
      </c>
      <c r="X2605">
        <v>31</v>
      </c>
      <c r="Y2605" t="s">
        <v>19923</v>
      </c>
      <c r="Z2605" t="s">
        <v>25667</v>
      </c>
      <c r="AA2605">
        <v>0.50311729000965377</v>
      </c>
      <c r="AB2605" t="str">
        <f>HYPERLINK("Melting_Curves/meltCurve_P54652_HSPA2.pdf", "Melting_Curves/meltCurve_P54652_HSPA2.pdf")</f>
        <v>Melting_Curves/meltCurve_P54652_HSPA2.pdf</v>
      </c>
    </row>
    <row r="2606" spans="1:28" x14ac:dyDescent="0.25">
      <c r="A2606" t="s">
        <v>2610</v>
      </c>
      <c r="B2606">
        <v>0.99996721820229495</v>
      </c>
      <c r="C2606">
        <v>1.0822923358429699</v>
      </c>
      <c r="D2606">
        <v>1.1606616325168799</v>
      </c>
      <c r="E2606">
        <v>1.34057504511232</v>
      </c>
      <c r="F2606">
        <v>1.5498917007659501</v>
      </c>
      <c r="G2606">
        <v>2.4028223827577402</v>
      </c>
      <c r="H2606">
        <v>1.4287020650982001</v>
      </c>
      <c r="I2606">
        <v>0.45067766056687403</v>
      </c>
      <c r="J2606">
        <v>0.13833761667879199</v>
      </c>
      <c r="K2606">
        <v>7.0150213602526601E-2</v>
      </c>
      <c r="L2606">
        <v>15000</v>
      </c>
      <c r="M2606">
        <v>234.83580788727301</v>
      </c>
      <c r="N2606">
        <v>63.9380648039768</v>
      </c>
      <c r="O2606">
        <v>63.869783245910099</v>
      </c>
      <c r="P2606">
        <v>-0.82338993383868797</v>
      </c>
      <c r="Q2606">
        <v>0.10422968321684201</v>
      </c>
      <c r="R2606">
        <v>0.41755992594291702</v>
      </c>
      <c r="S2606" t="s">
        <v>8432</v>
      </c>
      <c r="T2606" t="s">
        <v>11650</v>
      </c>
      <c r="U2606" t="s">
        <v>11650</v>
      </c>
      <c r="V2606" t="s">
        <v>11650</v>
      </c>
      <c r="W2606" t="s">
        <v>14212</v>
      </c>
      <c r="X2606">
        <v>17</v>
      </c>
      <c r="Y2606" t="s">
        <v>19924</v>
      </c>
      <c r="Z2606" t="s">
        <v>25668</v>
      </c>
      <c r="AA2606">
        <v>0.81720991680917499</v>
      </c>
      <c r="AB2606" t="str">
        <f>HYPERLINK("Melting_Curves/meltCurve_P54687_BCAT1.pdf", "Melting_Curves/meltCurve_P54687_BCAT1.pdf")</f>
        <v>Melting_Curves/meltCurve_P54687_BCAT1.pdf</v>
      </c>
    </row>
    <row r="2607" spans="1:28" x14ac:dyDescent="0.25">
      <c r="A2607" t="s">
        <v>2611</v>
      </c>
      <c r="B2607">
        <v>0.99996721820229495</v>
      </c>
      <c r="C2607">
        <v>0.57791480049257304</v>
      </c>
      <c r="D2607">
        <v>0.71459065141441103</v>
      </c>
      <c r="E2607">
        <v>1.2662003850868599</v>
      </c>
      <c r="F2607">
        <v>1.8898608234190899</v>
      </c>
      <c r="G2607">
        <v>1.0757404939903901</v>
      </c>
      <c r="H2607">
        <v>0.29054326767314997</v>
      </c>
      <c r="I2607">
        <v>0.108853034649168</v>
      </c>
      <c r="J2607">
        <v>5.92713247290323E-2</v>
      </c>
      <c r="K2607">
        <v>4.07840357254865E-2</v>
      </c>
      <c r="L2607">
        <v>8902.58148814173</v>
      </c>
      <c r="M2607">
        <v>147.109392096845</v>
      </c>
      <c r="N2607">
        <v>60.578374410143098</v>
      </c>
      <c r="O2607">
        <v>60.505563877155801</v>
      </c>
      <c r="P2607">
        <v>-0.56558927304163897</v>
      </c>
      <c r="Q2607">
        <v>6.9500697850306895E-2</v>
      </c>
      <c r="R2607">
        <v>0.66200025842198995</v>
      </c>
      <c r="S2607" t="s">
        <v>8433</v>
      </c>
      <c r="T2607" t="s">
        <v>11650</v>
      </c>
      <c r="U2607" t="s">
        <v>11650</v>
      </c>
      <c r="V2607" t="s">
        <v>11650</v>
      </c>
      <c r="W2607" t="s">
        <v>14213</v>
      </c>
      <c r="X2607">
        <v>3</v>
      </c>
      <c r="Y2607" t="s">
        <v>19925</v>
      </c>
      <c r="Z2607" t="s">
        <v>25669</v>
      </c>
      <c r="AA2607">
        <v>0.70614677032607098</v>
      </c>
      <c r="AB2607" t="str">
        <f>HYPERLINK("Melting_Curves/meltCurve_P54707_ATP12A.pdf", "Melting_Curves/meltCurve_P54707_ATP12A.pdf")</f>
        <v>Melting_Curves/meltCurve_P54707_ATP12A.pdf</v>
      </c>
    </row>
    <row r="2608" spans="1:28" x14ac:dyDescent="0.25">
      <c r="A2608" t="s">
        <v>2612</v>
      </c>
      <c r="B2608">
        <v>0.99996721820229495</v>
      </c>
      <c r="C2608">
        <v>0.76709684830665803</v>
      </c>
      <c r="D2608">
        <v>0.90419726936995903</v>
      </c>
      <c r="E2608">
        <v>1.26912720737915</v>
      </c>
      <c r="F2608">
        <v>1.4266698320104301</v>
      </c>
      <c r="G2608">
        <v>1.3297228973164199</v>
      </c>
      <c r="H2608">
        <v>0.72299169030023702</v>
      </c>
      <c r="I2608">
        <v>0.47908714733284002</v>
      </c>
      <c r="J2608">
        <v>0.29770565768567198</v>
      </c>
      <c r="K2608">
        <v>0.378391420572179</v>
      </c>
      <c r="L2608">
        <v>3784.1747698747699</v>
      </c>
      <c r="M2608">
        <v>61.576022419754999</v>
      </c>
      <c r="N2608">
        <v>62.768635302927599</v>
      </c>
      <c r="O2608">
        <v>61.3906051263222</v>
      </c>
      <c r="P2608">
        <v>-0.15994728849250001</v>
      </c>
      <c r="Q2608">
        <v>0.36213755377982898</v>
      </c>
      <c r="R2608">
        <v>0.69662484001740499</v>
      </c>
      <c r="S2608" t="s">
        <v>8434</v>
      </c>
      <c r="T2608" t="s">
        <v>11650</v>
      </c>
      <c r="U2608" t="s">
        <v>11650</v>
      </c>
      <c r="V2608" t="s">
        <v>11650</v>
      </c>
      <c r="W2608" t="s">
        <v>14214</v>
      </c>
      <c r="X2608">
        <v>7</v>
      </c>
      <c r="Y2608" t="s">
        <v>19926</v>
      </c>
      <c r="Z2608" t="s">
        <v>25670</v>
      </c>
      <c r="AA2608">
        <v>0.81944488852106567</v>
      </c>
      <c r="AB2608" t="str">
        <f>HYPERLINK("Melting_Curves/meltCurve_P54709_ATP1B3.pdf", "Melting_Curves/meltCurve_P54709_ATP1B3.pdf")</f>
        <v>Melting_Curves/meltCurve_P54709_ATP1B3.pdf</v>
      </c>
    </row>
    <row r="2609" spans="1:28" x14ac:dyDescent="0.25">
      <c r="A2609" t="s">
        <v>2613</v>
      </c>
      <c r="B2609">
        <v>0.99996721820229495</v>
      </c>
      <c r="C2609">
        <v>0.90208470415854003</v>
      </c>
      <c r="D2609">
        <v>0.84733861300893698</v>
      </c>
      <c r="E2609">
        <v>0.84900717165426698</v>
      </c>
      <c r="F2609">
        <v>0.94010840021202902</v>
      </c>
      <c r="G2609">
        <v>0.908418694527934</v>
      </c>
      <c r="H2609">
        <v>0.70221564282791304</v>
      </c>
      <c r="I2609">
        <v>0.60286514423631399</v>
      </c>
      <c r="J2609">
        <v>0.44166549891467699</v>
      </c>
      <c r="K2609">
        <v>0.30875570999621199</v>
      </c>
      <c r="L2609">
        <v>742.02407486546804</v>
      </c>
      <c r="M2609">
        <v>11.280741574638</v>
      </c>
      <c r="N2609">
        <v>65.777941606703806</v>
      </c>
      <c r="O2609">
        <v>63.8125361084562</v>
      </c>
      <c r="P2609">
        <v>-4.4208380176952403E-2</v>
      </c>
      <c r="Q2609">
        <v>0</v>
      </c>
      <c r="R2609">
        <v>0.89545466928458906</v>
      </c>
      <c r="S2609" t="s">
        <v>8435</v>
      </c>
      <c r="T2609" t="s">
        <v>11650</v>
      </c>
      <c r="U2609" t="s">
        <v>11650</v>
      </c>
      <c r="V2609" t="s">
        <v>11650</v>
      </c>
      <c r="W2609" t="s">
        <v>14215</v>
      </c>
      <c r="X2609">
        <v>14</v>
      </c>
      <c r="Y2609" t="s">
        <v>19927</v>
      </c>
      <c r="Z2609" t="s">
        <v>25671</v>
      </c>
      <c r="AA2609">
        <v>0.80519916610617948</v>
      </c>
      <c r="AB2609" t="str">
        <f>HYPERLINK("Melting_Curves/meltCurve_P54725_RAD23A.pdf", "Melting_Curves/meltCurve_P54725_RAD23A.pdf")</f>
        <v>Melting_Curves/meltCurve_P54725_RAD23A.pdf</v>
      </c>
    </row>
    <row r="2610" spans="1:28" x14ac:dyDescent="0.25">
      <c r="A2610" t="s">
        <v>2614</v>
      </c>
      <c r="B2610">
        <v>0.99996721820229495</v>
      </c>
      <c r="C2610">
        <v>1.1500270077287</v>
      </c>
      <c r="D2610">
        <v>1.0560479084513701</v>
      </c>
      <c r="E2610">
        <v>1.0494475098387701</v>
      </c>
      <c r="F2610">
        <v>1.3330588057412101</v>
      </c>
      <c r="G2610">
        <v>1.34821402007465</v>
      </c>
      <c r="H2610">
        <v>1.06267947104119</v>
      </c>
      <c r="I2610">
        <v>1.2656583705456199</v>
      </c>
      <c r="J2610">
        <v>1.1098410942647901</v>
      </c>
      <c r="K2610">
        <v>0.80484351135087595</v>
      </c>
      <c r="L2610">
        <v>10260.472025069201</v>
      </c>
      <c r="M2610">
        <v>250</v>
      </c>
      <c r="O2610">
        <v>41.039251540246298</v>
      </c>
      <c r="P2610">
        <v>0.199642762381539</v>
      </c>
      <c r="Q2610">
        <v>1.13109106509544</v>
      </c>
      <c r="R2610">
        <v>6.29684854136838E-2</v>
      </c>
      <c r="S2610" t="s">
        <v>8436</v>
      </c>
      <c r="T2610" t="s">
        <v>11650</v>
      </c>
      <c r="U2610" t="s">
        <v>11650</v>
      </c>
      <c r="V2610" t="s">
        <v>11650</v>
      </c>
      <c r="W2610" t="s">
        <v>14216</v>
      </c>
      <c r="X2610">
        <v>20</v>
      </c>
      <c r="Y2610" t="s">
        <v>19928</v>
      </c>
      <c r="Z2610" t="s">
        <v>25672</v>
      </c>
      <c r="AA2610">
        <v>1.1265278783125749</v>
      </c>
      <c r="AB2610" t="str">
        <f>HYPERLINK("Melting_Curves/meltCurve_P54727_RAD23B.pdf", "Melting_Curves/meltCurve_P54727_RAD23B.pdf")</f>
        <v>Melting_Curves/meltCurve_P54727_RAD23B.pdf</v>
      </c>
    </row>
    <row r="2611" spans="1:28" x14ac:dyDescent="0.25">
      <c r="A2611" t="s">
        <v>2615</v>
      </c>
      <c r="B2611">
        <v>0.99996721820229495</v>
      </c>
      <c r="C2611">
        <v>0.85041934363337501</v>
      </c>
      <c r="D2611">
        <v>0.86068073469250905</v>
      </c>
      <c r="E2611">
        <v>1.1226329551682099</v>
      </c>
      <c r="F2611">
        <v>1.3029547842609901</v>
      </c>
      <c r="G2611">
        <v>1.4407629311604899</v>
      </c>
      <c r="H2611">
        <v>0.89255896137801305</v>
      </c>
      <c r="I2611">
        <v>0.392499473887371</v>
      </c>
      <c r="J2611">
        <v>0.23763477505470301</v>
      </c>
      <c r="K2611">
        <v>0.20061606975662799</v>
      </c>
      <c r="L2611">
        <v>4166.93152151909</v>
      </c>
      <c r="M2611">
        <v>66.347175760042305</v>
      </c>
      <c r="N2611">
        <v>63.335383005103701</v>
      </c>
      <c r="O2611">
        <v>62.7479830093326</v>
      </c>
      <c r="P2611">
        <v>-0.20799768110052599</v>
      </c>
      <c r="Q2611">
        <v>0.21314333738747099</v>
      </c>
      <c r="R2611">
        <v>0.79205596035888104</v>
      </c>
      <c r="S2611" t="s">
        <v>8437</v>
      </c>
      <c r="T2611" t="s">
        <v>11650</v>
      </c>
      <c r="U2611" t="s">
        <v>11650</v>
      </c>
      <c r="V2611" t="s">
        <v>11650</v>
      </c>
      <c r="W2611" t="s">
        <v>14217</v>
      </c>
      <c r="X2611">
        <v>12</v>
      </c>
      <c r="Y2611" t="s">
        <v>19929</v>
      </c>
      <c r="Z2611" t="s">
        <v>25673</v>
      </c>
      <c r="AA2611">
        <v>0.81248457263443596</v>
      </c>
      <c r="AB2611" t="str">
        <f>HYPERLINK("Melting_Curves/meltCurve_P54802_NAGLU.pdf", "Melting_Curves/meltCurve_P54802_NAGLU.pdf")</f>
        <v>Melting_Curves/meltCurve_P54802_NAGLU.pdf</v>
      </c>
    </row>
    <row r="2612" spans="1:28" x14ac:dyDescent="0.25">
      <c r="A2612" t="s">
        <v>2616</v>
      </c>
      <c r="B2612">
        <v>0.99996721820229495</v>
      </c>
      <c r="C2612">
        <v>1.0712512843526101</v>
      </c>
      <c r="D2612">
        <v>1.1484595032004501</v>
      </c>
      <c r="E2612">
        <v>1.0985584151447401</v>
      </c>
      <c r="F2612">
        <v>1.6484060779477301</v>
      </c>
      <c r="G2612">
        <v>1.6094073658786301</v>
      </c>
      <c r="H2612">
        <v>0.99771016988221195</v>
      </c>
      <c r="I2612">
        <v>0.77855780639308902</v>
      </c>
      <c r="J2612">
        <v>0.60342112445256502</v>
      </c>
      <c r="K2612">
        <v>0.399175575810163</v>
      </c>
      <c r="L2612">
        <v>2577.49377230761</v>
      </c>
      <c r="M2612">
        <v>39.2683172526948</v>
      </c>
      <c r="N2612">
        <v>67.927379484818104</v>
      </c>
      <c r="O2612">
        <v>65.468478482449896</v>
      </c>
      <c r="P2612">
        <v>-9.4934945241821306E-2</v>
      </c>
      <c r="Q2612">
        <v>0.36689609632348302</v>
      </c>
      <c r="R2612">
        <v>0.39558128086752398</v>
      </c>
      <c r="S2612" t="s">
        <v>8438</v>
      </c>
      <c r="T2612" t="s">
        <v>11650</v>
      </c>
      <c r="U2612" t="s">
        <v>11650</v>
      </c>
      <c r="V2612" t="s">
        <v>11650</v>
      </c>
      <c r="W2612" t="s">
        <v>14218</v>
      </c>
      <c r="X2612">
        <v>2</v>
      </c>
      <c r="Y2612" t="s">
        <v>19930</v>
      </c>
      <c r="Z2612" t="s">
        <v>25674</v>
      </c>
      <c r="AA2612">
        <v>0.90739682939924882</v>
      </c>
      <c r="AB2612" t="str">
        <f>HYPERLINK("Melting_Curves/meltCurve_P54803_GALC.pdf", "Melting_Curves/meltCurve_P54803_GALC.pdf")</f>
        <v>Melting_Curves/meltCurve_P54803_GALC.pdf</v>
      </c>
    </row>
    <row r="2613" spans="1:28" x14ac:dyDescent="0.25">
      <c r="A2613" t="s">
        <v>2617</v>
      </c>
      <c r="B2613">
        <v>0.99996721820229495</v>
      </c>
      <c r="C2613">
        <v>0.98688240437483798</v>
      </c>
      <c r="D2613">
        <v>0.91905001423414401</v>
      </c>
      <c r="E2613">
        <v>0.89664009373510001</v>
      </c>
      <c r="F2613">
        <v>1.20270571281839</v>
      </c>
      <c r="G2613">
        <v>1.2097357499510399</v>
      </c>
      <c r="H2613">
        <v>0.61276326018830596</v>
      </c>
      <c r="I2613">
        <v>0.25239375537069397</v>
      </c>
      <c r="J2613">
        <v>0.136657164939116</v>
      </c>
      <c r="K2613">
        <v>0.101693199466018</v>
      </c>
      <c r="L2613">
        <v>3672.75132891155</v>
      </c>
      <c r="M2613">
        <v>59.888631606750202</v>
      </c>
      <c r="N2613">
        <v>61.6530523480127</v>
      </c>
      <c r="O2613">
        <v>61.258085289567099</v>
      </c>
      <c r="P2613">
        <v>-0.211180632233022</v>
      </c>
      <c r="Q2613">
        <v>0.135961836224371</v>
      </c>
      <c r="R2613">
        <v>0.93262519067022898</v>
      </c>
      <c r="S2613" t="s">
        <v>8439</v>
      </c>
      <c r="T2613" t="s">
        <v>11650</v>
      </c>
      <c r="U2613" t="s">
        <v>11650</v>
      </c>
      <c r="V2613" t="s">
        <v>11650</v>
      </c>
      <c r="W2613" t="s">
        <v>14219</v>
      </c>
      <c r="X2613">
        <v>16</v>
      </c>
      <c r="Y2613" t="s">
        <v>19931</v>
      </c>
      <c r="Z2613" t="s">
        <v>25675</v>
      </c>
      <c r="AA2613">
        <v>0.75179040856592472</v>
      </c>
      <c r="AB2613" t="str">
        <f>HYPERLINK("Melting_Curves/meltCurve_P54819_AK2.pdf", "Melting_Curves/meltCurve_P54819_AK2.pdf")</f>
        <v>Melting_Curves/meltCurve_P54819_AK2.pdf</v>
      </c>
    </row>
    <row r="2614" spans="1:28" x14ac:dyDescent="0.25">
      <c r="A2614" t="s">
        <v>2618</v>
      </c>
      <c r="B2614">
        <v>0.99996721820229495</v>
      </c>
      <c r="C2614">
        <v>1.02823782436816</v>
      </c>
      <c r="D2614">
        <v>1.12671889152052</v>
      </c>
      <c r="E2614">
        <v>2.7580115943174799</v>
      </c>
      <c r="F2614">
        <v>0.55845819422959797</v>
      </c>
      <c r="G2614">
        <v>0.46174851441873799</v>
      </c>
      <c r="H2614">
        <v>0.23730786874096599</v>
      </c>
      <c r="I2614">
        <v>0.164945099315426</v>
      </c>
      <c r="J2614">
        <v>0.122541987356987</v>
      </c>
      <c r="K2614">
        <v>0.102316448591008</v>
      </c>
      <c r="L2614">
        <v>2203.85013587092</v>
      </c>
      <c r="M2614">
        <v>39.644989443661501</v>
      </c>
      <c r="N2614">
        <v>56.123554127827703</v>
      </c>
      <c r="O2614">
        <v>55.448749527811799</v>
      </c>
      <c r="P2614">
        <v>-0.15066661582645499</v>
      </c>
      <c r="Q2614">
        <v>0.15709323637186601</v>
      </c>
      <c r="R2614">
        <v>0.441540807619481</v>
      </c>
      <c r="S2614" t="s">
        <v>8440</v>
      </c>
      <c r="T2614" t="s">
        <v>11650</v>
      </c>
      <c r="U2614" t="s">
        <v>11650</v>
      </c>
      <c r="V2614" t="s">
        <v>11650</v>
      </c>
      <c r="W2614" t="s">
        <v>14220</v>
      </c>
      <c r="X2614">
        <v>20</v>
      </c>
      <c r="Y2614" t="s">
        <v>19932</v>
      </c>
      <c r="Z2614" t="s">
        <v>25676</v>
      </c>
      <c r="AA2614">
        <v>0.59839282042305131</v>
      </c>
      <c r="AB2614" t="str">
        <f>HYPERLINK("Melting_Curves/meltCurve_P54886_2_ALDH18A1.pdf", "Melting_Curves/meltCurve_P54886_2_ALDH18A1.pdf")</f>
        <v>Melting_Curves/meltCurve_P54886_2_ALDH18A1.pdf</v>
      </c>
    </row>
    <row r="2615" spans="1:28" x14ac:dyDescent="0.25">
      <c r="A2615" t="s">
        <v>2619</v>
      </c>
      <c r="B2615">
        <v>0.99996721820229495</v>
      </c>
      <c r="C2615">
        <v>1.0221306187457699</v>
      </c>
      <c r="D2615">
        <v>1.0243860375886999</v>
      </c>
      <c r="E2615">
        <v>0.99056038014398395</v>
      </c>
      <c r="F2615">
        <v>0.97242468146876304</v>
      </c>
      <c r="G2615">
        <v>0.65239464725900898</v>
      </c>
      <c r="H2615">
        <v>0.31344482963854298</v>
      </c>
      <c r="I2615">
        <v>0.15641428526972201</v>
      </c>
      <c r="J2615">
        <v>0.1006302133755</v>
      </c>
      <c r="K2615">
        <v>8.1826673724090193E-2</v>
      </c>
      <c r="L2615">
        <v>1529.5079775900001</v>
      </c>
      <c r="M2615">
        <v>26.221378929388901</v>
      </c>
      <c r="N2615">
        <v>58.688633322199202</v>
      </c>
      <c r="O2615">
        <v>57.994476085754599</v>
      </c>
      <c r="P2615">
        <v>-0.104679770545364</v>
      </c>
      <c r="Q2615">
        <v>7.3918893365291394E-2</v>
      </c>
      <c r="R2615">
        <v>0.99807072439361899</v>
      </c>
      <c r="S2615" t="s">
        <v>8441</v>
      </c>
      <c r="T2615" t="s">
        <v>11650</v>
      </c>
      <c r="U2615" t="s">
        <v>11650</v>
      </c>
      <c r="V2615" t="s">
        <v>11650</v>
      </c>
      <c r="W2615" t="s">
        <v>14221</v>
      </c>
      <c r="X2615">
        <v>24</v>
      </c>
      <c r="Y2615" t="s">
        <v>19933</v>
      </c>
      <c r="Z2615" t="s">
        <v>25677</v>
      </c>
      <c r="AA2615">
        <v>0.64719447750369641</v>
      </c>
      <c r="AB2615" t="str">
        <f>HYPERLINK("Melting_Curves/meltCurve_P54920_NAPA.pdf", "Melting_Curves/meltCurve_P54920_NAPA.pdf")</f>
        <v>Melting_Curves/meltCurve_P54920_NAPA.pdf</v>
      </c>
    </row>
    <row r="2616" spans="1:28" x14ac:dyDescent="0.25">
      <c r="A2616" t="s">
        <v>2620</v>
      </c>
      <c r="B2616">
        <v>0.99996721820229495</v>
      </c>
      <c r="C2616">
        <v>0.85357874168317305</v>
      </c>
      <c r="D2616">
        <v>0.72004876069003598</v>
      </c>
      <c r="E2616">
        <v>0.85013538913778797</v>
      </c>
      <c r="F2616">
        <v>0.442292865517875</v>
      </c>
      <c r="G2616">
        <v>0.29564172342420902</v>
      </c>
      <c r="H2616">
        <v>0.204193818010104</v>
      </c>
      <c r="I2616">
        <v>0.155759192460594</v>
      </c>
      <c r="J2616">
        <v>0.161184082969518</v>
      </c>
      <c r="K2616">
        <v>0.123420916249775</v>
      </c>
      <c r="L2616">
        <v>556.857156066534</v>
      </c>
      <c r="M2616">
        <v>10.5750771664725</v>
      </c>
      <c r="N2616">
        <v>53.097168948553502</v>
      </c>
      <c r="O2616">
        <v>50.879157724936</v>
      </c>
      <c r="P2616">
        <v>-4.9802951827213997E-2</v>
      </c>
      <c r="Q2616">
        <v>4.1921886914102598E-2</v>
      </c>
      <c r="R2616">
        <v>0.93892679196968198</v>
      </c>
      <c r="S2616" t="s">
        <v>8442</v>
      </c>
      <c r="T2616" t="s">
        <v>11650</v>
      </c>
      <c r="U2616" t="s">
        <v>11650</v>
      </c>
      <c r="V2616" t="s">
        <v>11650</v>
      </c>
      <c r="W2616" t="s">
        <v>14222</v>
      </c>
      <c r="X2616">
        <v>4</v>
      </c>
      <c r="Y2616" t="s">
        <v>19934</v>
      </c>
      <c r="Z2616" t="s">
        <v>25678</v>
      </c>
      <c r="AA2616">
        <v>0.47833364197878292</v>
      </c>
      <c r="AB2616" t="str">
        <f>HYPERLINK("Melting_Curves/meltCurve_P54922_ADPRH.pdf", "Melting_Curves/meltCurve_P54922_ADPRH.pdf")</f>
        <v>Melting_Curves/meltCurve_P54922_ADPRH.pdf</v>
      </c>
    </row>
    <row r="2617" spans="1:28" x14ac:dyDescent="0.25">
      <c r="A2617" t="s">
        <v>2621</v>
      </c>
      <c r="B2617">
        <v>0.99996721820229495</v>
      </c>
      <c r="C2617">
        <v>1.05853027272153</v>
      </c>
      <c r="D2617">
        <v>0.95769167001377797</v>
      </c>
      <c r="E2617">
        <v>0.74883292764582099</v>
      </c>
      <c r="F2617">
        <v>0.37257945201840997</v>
      </c>
      <c r="G2617">
        <v>0.32262740853264599</v>
      </c>
      <c r="H2617">
        <v>0.19500693376918299</v>
      </c>
      <c r="I2617">
        <v>0.127370259911503</v>
      </c>
      <c r="J2617">
        <v>9.7617884321310799E-2</v>
      </c>
      <c r="K2617">
        <v>8.4544957681944602E-2</v>
      </c>
      <c r="L2617">
        <v>1081.3924718743999</v>
      </c>
      <c r="M2617">
        <v>20.879798576898001</v>
      </c>
      <c r="N2617">
        <v>52.4776126280452</v>
      </c>
      <c r="O2617">
        <v>51.3232808098631</v>
      </c>
      <c r="P2617">
        <v>-8.9558107170039994E-2</v>
      </c>
      <c r="Q2617">
        <v>0.119476240493933</v>
      </c>
      <c r="R2617">
        <v>0.98253154810660603</v>
      </c>
      <c r="S2617" t="s">
        <v>8443</v>
      </c>
      <c r="T2617" t="s">
        <v>11650</v>
      </c>
      <c r="U2617" t="s">
        <v>11650</v>
      </c>
      <c r="V2617" t="s">
        <v>11650</v>
      </c>
      <c r="W2617" t="s">
        <v>14223</v>
      </c>
      <c r="X2617">
        <v>16</v>
      </c>
      <c r="Y2617" t="s">
        <v>19935</v>
      </c>
      <c r="Z2617" t="s">
        <v>25679</v>
      </c>
      <c r="AA2617">
        <v>0.47683526125776132</v>
      </c>
      <c r="AB2617" t="str">
        <f>HYPERLINK("Melting_Curves/meltCurve_P55010_EIF5.pdf", "Melting_Curves/meltCurve_P55010_EIF5.pdf")</f>
        <v>Melting_Curves/meltCurve_P55010_EIF5.pdf</v>
      </c>
    </row>
    <row r="2618" spans="1:28" x14ac:dyDescent="0.25">
      <c r="A2618" t="s">
        <v>2622</v>
      </c>
      <c r="B2618">
        <v>0.99996721820229495</v>
      </c>
      <c r="C2618">
        <v>0.97970287191170402</v>
      </c>
      <c r="D2618">
        <v>1.0694964544660599</v>
      </c>
      <c r="E2618">
        <v>1.10278480705497</v>
      </c>
      <c r="F2618">
        <v>1.1657410765876799</v>
      </c>
      <c r="G2618">
        <v>1.0401105450241299</v>
      </c>
      <c r="H2618">
        <v>0.68301104175303895</v>
      </c>
      <c r="I2618">
        <v>0.62246529470931899</v>
      </c>
      <c r="J2618">
        <v>0.50035354956145695</v>
      </c>
      <c r="K2618">
        <v>0.39453476203166798</v>
      </c>
      <c r="L2618">
        <v>1980.3233432926399</v>
      </c>
      <c r="M2618">
        <v>32.1858897913731</v>
      </c>
      <c r="N2618">
        <v>65.6570590497425</v>
      </c>
      <c r="O2618">
        <v>61.291628962771803</v>
      </c>
      <c r="P2618">
        <v>-7.4311778058049893E-2</v>
      </c>
      <c r="Q2618">
        <v>0.43395474133581802</v>
      </c>
      <c r="R2618">
        <v>0.90882098273383904</v>
      </c>
      <c r="S2618" t="s">
        <v>8444</v>
      </c>
      <c r="T2618" t="s">
        <v>11650</v>
      </c>
      <c r="U2618" t="s">
        <v>11650</v>
      </c>
      <c r="V2618" t="s">
        <v>11650</v>
      </c>
      <c r="W2618" t="s">
        <v>14224</v>
      </c>
      <c r="X2618">
        <v>5</v>
      </c>
      <c r="Y2618" t="s">
        <v>19936</v>
      </c>
      <c r="Z2618" t="s">
        <v>25680</v>
      </c>
      <c r="AA2618">
        <v>0.84286563172674378</v>
      </c>
      <c r="AB2618" t="str">
        <f>HYPERLINK("Melting_Curves/meltCurve_P55011_3_SLC12A2.pdf", "Melting_Curves/meltCurve_P55011_3_SLC12A2.pdf")</f>
        <v>Melting_Curves/meltCurve_P55011_3_SLC12A2.pdf</v>
      </c>
    </row>
    <row r="2619" spans="1:28" x14ac:dyDescent="0.25">
      <c r="A2619" t="s">
        <v>2623</v>
      </c>
      <c r="B2619">
        <v>0.99996721820229495</v>
      </c>
      <c r="C2619">
        <v>1.0038690732524</v>
      </c>
      <c r="D2619">
        <v>0.97803047553242295</v>
      </c>
      <c r="E2619">
        <v>1.06389546824326</v>
      </c>
      <c r="F2619">
        <v>1.3586536089147601</v>
      </c>
      <c r="G2619">
        <v>2.2616970243953798</v>
      </c>
      <c r="H2619">
        <v>1.1763782948150301</v>
      </c>
      <c r="I2619">
        <v>0.66320946263401903</v>
      </c>
      <c r="J2619">
        <v>0.54403514930859598</v>
      </c>
      <c r="K2619">
        <v>0.38265954214157899</v>
      </c>
      <c r="L2619">
        <v>15000</v>
      </c>
      <c r="M2619">
        <v>234.89664162445399</v>
      </c>
      <c r="N2619">
        <v>64.576199435236504</v>
      </c>
      <c r="O2619">
        <v>63.853244589835299</v>
      </c>
      <c r="P2619">
        <v>-0.4935539964365</v>
      </c>
      <c r="Q2619">
        <v>0.46333802341742902</v>
      </c>
      <c r="R2619">
        <v>0.27489205047454301</v>
      </c>
      <c r="S2619" t="s">
        <v>8445</v>
      </c>
      <c r="T2619" t="s">
        <v>11650</v>
      </c>
      <c r="U2619" t="s">
        <v>11650</v>
      </c>
      <c r="V2619" t="s">
        <v>11650</v>
      </c>
      <c r="W2619" t="s">
        <v>14225</v>
      </c>
      <c r="X2619">
        <v>12</v>
      </c>
      <c r="Y2619" t="s">
        <v>19937</v>
      </c>
      <c r="Z2619" t="s">
        <v>25681</v>
      </c>
      <c r="AA2619">
        <v>0.89019326804070575</v>
      </c>
      <c r="AB2619" t="str">
        <f>HYPERLINK("Melting_Curves/meltCurve_P55036_PSMD4.pdf", "Melting_Curves/meltCurve_P55036_PSMD4.pdf")</f>
        <v>Melting_Curves/meltCurve_P55036_PSMD4.pdf</v>
      </c>
    </row>
    <row r="2620" spans="1:28" x14ac:dyDescent="0.25">
      <c r="A2620" t="s">
        <v>2624</v>
      </c>
      <c r="B2620">
        <v>0.99996721820229495</v>
      </c>
      <c r="C2620">
        <v>1.07323053846337</v>
      </c>
      <c r="D2620">
        <v>0.96638621596822105</v>
      </c>
      <c r="E2620">
        <v>0.79035392912596203</v>
      </c>
      <c r="F2620">
        <v>0.48455929827302002</v>
      </c>
      <c r="G2620">
        <v>0.21596310734642499</v>
      </c>
      <c r="H2620">
        <v>0.12552163739563901</v>
      </c>
      <c r="I2620">
        <v>7.7198364230325597E-2</v>
      </c>
      <c r="J2620">
        <v>5.4339397875359699E-2</v>
      </c>
      <c r="K2620">
        <v>3.9575292455079597E-2</v>
      </c>
      <c r="L2620">
        <v>1164.6149313523199</v>
      </c>
      <c r="M2620">
        <v>22.084008599671499</v>
      </c>
      <c r="N2620">
        <v>53.015171885222003</v>
      </c>
      <c r="O2620">
        <v>52.3089815983164</v>
      </c>
      <c r="P2620">
        <v>-9.9748064986456803E-2</v>
      </c>
      <c r="Q2620">
        <v>5.4953568036694898E-2</v>
      </c>
      <c r="R2620">
        <v>0.99536834441413102</v>
      </c>
      <c r="S2620" t="s">
        <v>8446</v>
      </c>
      <c r="T2620" t="s">
        <v>11650</v>
      </c>
      <c r="U2620" t="s">
        <v>11650</v>
      </c>
      <c r="V2620" t="s">
        <v>11650</v>
      </c>
      <c r="W2620" t="s">
        <v>14226</v>
      </c>
      <c r="X2620">
        <v>18</v>
      </c>
      <c r="Y2620" t="s">
        <v>19938</v>
      </c>
      <c r="Z2620" t="s">
        <v>25682</v>
      </c>
      <c r="AA2620">
        <v>0.46707408330287059</v>
      </c>
      <c r="AB2620" t="str">
        <f>HYPERLINK("Melting_Curves/meltCurve_P55039_DRG2.pdf", "Melting_Curves/meltCurve_P55039_DRG2.pdf")</f>
        <v>Melting_Curves/meltCurve_P55039_DRG2.pdf</v>
      </c>
    </row>
    <row r="2621" spans="1:28" x14ac:dyDescent="0.25">
      <c r="A2621" t="s">
        <v>2625</v>
      </c>
      <c r="B2621">
        <v>0.99996721820229495</v>
      </c>
      <c r="C2621">
        <v>0.99430902598785997</v>
      </c>
      <c r="D2621">
        <v>0.86116096116134599</v>
      </c>
      <c r="E2621">
        <v>0.65898138934866302</v>
      </c>
      <c r="F2621">
        <v>0.47682599634521899</v>
      </c>
      <c r="G2621">
        <v>0.30202864603052998</v>
      </c>
      <c r="H2621">
        <v>0.18232599504835001</v>
      </c>
      <c r="I2621">
        <v>9.7565022584305702E-2</v>
      </c>
      <c r="J2621">
        <v>7.5509190548002203E-2</v>
      </c>
      <c r="K2621">
        <v>7.2576533613391794E-2</v>
      </c>
      <c r="L2621">
        <v>695.47669135948399</v>
      </c>
      <c r="M2621">
        <v>13.250211006634</v>
      </c>
      <c r="N2621">
        <v>52.764252612523698</v>
      </c>
      <c r="O2621">
        <v>51.335631888298302</v>
      </c>
      <c r="P2621">
        <v>-6.2375010038764701E-2</v>
      </c>
      <c r="Q2621">
        <v>3.35140050073513E-2</v>
      </c>
      <c r="R2621">
        <v>0.99744535656289102</v>
      </c>
      <c r="S2621" t="s">
        <v>8447</v>
      </c>
      <c r="T2621" t="s">
        <v>11650</v>
      </c>
      <c r="U2621" t="s">
        <v>11650</v>
      </c>
      <c r="V2621" t="s">
        <v>11650</v>
      </c>
      <c r="W2621" t="s">
        <v>14227</v>
      </c>
      <c r="X2621">
        <v>4</v>
      </c>
      <c r="Y2621" t="s">
        <v>19939</v>
      </c>
      <c r="Z2621" t="s">
        <v>25683</v>
      </c>
      <c r="AA2621">
        <v>0.46105827440641911</v>
      </c>
      <c r="AB2621" t="str">
        <f>HYPERLINK("Melting_Curves/meltCurve_P55040_GEM.pdf", "Melting_Curves/meltCurve_P55040_GEM.pdf")</f>
        <v>Melting_Curves/meltCurve_P55040_GEM.pdf</v>
      </c>
    </row>
    <row r="2622" spans="1:28" x14ac:dyDescent="0.25">
      <c r="A2622" t="s">
        <v>2626</v>
      </c>
      <c r="B2622">
        <v>0.99996721820229495</v>
      </c>
      <c r="C2622">
        <v>0.869173553002629</v>
      </c>
      <c r="D2622">
        <v>0.774200711469898</v>
      </c>
      <c r="E2622">
        <v>0.82192745501618303</v>
      </c>
      <c r="F2622">
        <v>0.67834571652825104</v>
      </c>
      <c r="G2622">
        <v>0.63882939848451903</v>
      </c>
      <c r="H2622">
        <v>0.35720978692751199</v>
      </c>
      <c r="I2622">
        <v>0.18661166244566599</v>
      </c>
      <c r="J2622">
        <v>0.124078620197415</v>
      </c>
      <c r="K2622">
        <v>0.11428033991455799</v>
      </c>
      <c r="L2622">
        <v>564.31266043654603</v>
      </c>
      <c r="M2622">
        <v>9.8904844908624696</v>
      </c>
      <c r="N2622">
        <v>57.056119263828499</v>
      </c>
      <c r="O2622">
        <v>54.870534600343703</v>
      </c>
      <c r="P2622">
        <v>-4.5085681481054803E-2</v>
      </c>
      <c r="Q2622">
        <v>0</v>
      </c>
      <c r="R2622">
        <v>0.94231694156602597</v>
      </c>
      <c r="S2622" t="s">
        <v>8448</v>
      </c>
      <c r="T2622" t="s">
        <v>11650</v>
      </c>
      <c r="U2622" t="s">
        <v>11650</v>
      </c>
      <c r="V2622" t="s">
        <v>11650</v>
      </c>
      <c r="W2622" t="s">
        <v>14228</v>
      </c>
      <c r="X2622">
        <v>3</v>
      </c>
      <c r="Y2622" t="s">
        <v>19940</v>
      </c>
      <c r="Z2622" t="s">
        <v>25684</v>
      </c>
      <c r="AA2622">
        <v>0.58390143472233302</v>
      </c>
      <c r="AB2622" t="str">
        <f>HYPERLINK("Melting_Curves/meltCurve_P55042_RRAD.pdf", "Melting_Curves/meltCurve_P55042_RRAD.pdf")</f>
        <v>Melting_Curves/meltCurve_P55042_RRAD.pdf</v>
      </c>
    </row>
    <row r="2623" spans="1:28" x14ac:dyDescent="0.25">
      <c r="A2623" t="s">
        <v>2627</v>
      </c>
      <c r="B2623">
        <v>0.99996721820229495</v>
      </c>
      <c r="C2623">
        <v>1.06972891260453</v>
      </c>
      <c r="D2623">
        <v>1.09046097415716</v>
      </c>
      <c r="E2623">
        <v>0.99648655234386196</v>
      </c>
      <c r="F2623">
        <v>0.28961282351360801</v>
      </c>
      <c r="G2623">
        <v>0.260242292475866</v>
      </c>
      <c r="H2623">
        <v>0.153938184147347</v>
      </c>
      <c r="I2623">
        <v>0.105751745408095</v>
      </c>
      <c r="J2623">
        <v>7.2365624890300795E-2</v>
      </c>
      <c r="K2623">
        <v>7.1880244465528098E-2</v>
      </c>
      <c r="L2623">
        <v>5725.4861678936004</v>
      </c>
      <c r="M2623">
        <v>109.537051325715</v>
      </c>
      <c r="N2623">
        <v>52.417546861794399</v>
      </c>
      <c r="O2623">
        <v>52.252442523850704</v>
      </c>
      <c r="P2623">
        <v>-0.45448827310161699</v>
      </c>
      <c r="Q2623">
        <v>0.132782152678913</v>
      </c>
      <c r="R2623">
        <v>0.98022051962823697</v>
      </c>
      <c r="S2623" t="s">
        <v>8449</v>
      </c>
      <c r="T2623" t="s">
        <v>11650</v>
      </c>
      <c r="U2623" t="s">
        <v>11650</v>
      </c>
      <c r="V2623" t="s">
        <v>11650</v>
      </c>
      <c r="W2623" t="s">
        <v>14229</v>
      </c>
      <c r="X2623">
        <v>30</v>
      </c>
      <c r="Y2623" t="s">
        <v>19941</v>
      </c>
      <c r="Z2623" t="s">
        <v>25685</v>
      </c>
      <c r="AA2623">
        <v>0.48788493854170067</v>
      </c>
      <c r="AB2623" t="str">
        <f>HYPERLINK("Melting_Curves/meltCurve_P55060_3_CSE1L.pdf", "Melting_Curves/meltCurve_P55060_3_CSE1L.pdf")</f>
        <v>Melting_Curves/meltCurve_P55060_3_CSE1L.pdf</v>
      </c>
    </row>
    <row r="2624" spans="1:28" x14ac:dyDescent="0.25">
      <c r="A2624" t="s">
        <v>2628</v>
      </c>
      <c r="B2624">
        <v>0.99996721820229495</v>
      </c>
      <c r="C2624">
        <v>0.98607261882326702</v>
      </c>
      <c r="D2624">
        <v>1.0615696899098299</v>
      </c>
      <c r="E2624">
        <v>1.48914951521422</v>
      </c>
      <c r="F2624">
        <v>2.4742284490821702</v>
      </c>
      <c r="G2624">
        <v>3.8447732020536498</v>
      </c>
      <c r="H2624">
        <v>3.4312244981776301</v>
      </c>
      <c r="I2624">
        <v>1.55717684605405</v>
      </c>
      <c r="J2624">
        <v>0.474981590270314</v>
      </c>
      <c r="K2624">
        <v>0.44074863206515502</v>
      </c>
      <c r="L2624">
        <v>15000</v>
      </c>
      <c r="M2624">
        <v>226.451136322303</v>
      </c>
      <c r="N2624">
        <v>66.856278702119496</v>
      </c>
      <c r="O2624">
        <v>66.234290671473701</v>
      </c>
      <c r="P2624">
        <v>-0.48026769755756299</v>
      </c>
      <c r="Q2624">
        <v>0.43810942806297198</v>
      </c>
      <c r="R2624">
        <v>-0.31228469214482801</v>
      </c>
      <c r="S2624" t="s">
        <v>8450</v>
      </c>
      <c r="T2624" t="s">
        <v>11650</v>
      </c>
      <c r="U2624" t="s">
        <v>11650</v>
      </c>
      <c r="V2624" t="s">
        <v>11650</v>
      </c>
      <c r="W2624" t="s">
        <v>14230</v>
      </c>
      <c r="X2624">
        <v>49</v>
      </c>
      <c r="Y2624" t="s">
        <v>19942</v>
      </c>
      <c r="Z2624" t="s">
        <v>25686</v>
      </c>
      <c r="AA2624">
        <v>0.9296457686740589</v>
      </c>
      <c r="AB2624" t="str">
        <f>HYPERLINK("Melting_Curves/meltCurve_P55072_VCP.pdf", "Melting_Curves/meltCurve_P55072_VCP.pdf")</f>
        <v>Melting_Curves/meltCurve_P55072_VCP.pdf</v>
      </c>
    </row>
    <row r="2625" spans="1:28" x14ac:dyDescent="0.25">
      <c r="A2625" t="s">
        <v>2629</v>
      </c>
      <c r="B2625">
        <v>0.99996721820229495</v>
      </c>
      <c r="C2625">
        <v>0.86613984820647305</v>
      </c>
      <c r="D2625">
        <v>0.87214669375715603</v>
      </c>
      <c r="E2625">
        <v>1.51882108129534</v>
      </c>
      <c r="F2625">
        <v>2.3334583685712098</v>
      </c>
      <c r="G2625">
        <v>2.2166012523625902</v>
      </c>
      <c r="H2625">
        <v>2.0435931720084</v>
      </c>
      <c r="I2625">
        <v>1.97895166089967</v>
      </c>
      <c r="J2625">
        <v>1.6823882385764699</v>
      </c>
      <c r="K2625">
        <v>1.93041607985479</v>
      </c>
      <c r="L2625">
        <v>12026.9675328126</v>
      </c>
      <c r="M2625">
        <v>250</v>
      </c>
      <c r="O2625">
        <v>48.104791561040102</v>
      </c>
      <c r="P2625">
        <v>0.64962343733100802</v>
      </c>
      <c r="Q2625">
        <v>1.5</v>
      </c>
      <c r="R2625">
        <v>0.28806614345049503</v>
      </c>
      <c r="S2625" t="s">
        <v>8451</v>
      </c>
      <c r="T2625" t="s">
        <v>11650</v>
      </c>
      <c r="U2625" t="s">
        <v>11650</v>
      </c>
      <c r="V2625" t="s">
        <v>11650</v>
      </c>
      <c r="W2625" t="s">
        <v>14231</v>
      </c>
      <c r="X2625">
        <v>19</v>
      </c>
      <c r="Y2625" t="s">
        <v>19943</v>
      </c>
      <c r="Z2625" t="s">
        <v>25687</v>
      </c>
      <c r="AA2625">
        <v>1.3648266168641641</v>
      </c>
      <c r="AB2625" t="str">
        <f>HYPERLINK("Melting_Curves/meltCurve_P55081_MFAP1.pdf", "Melting_Curves/meltCurve_P55081_MFAP1.pdf")</f>
        <v>Melting_Curves/meltCurve_P55081_MFAP1.pdf</v>
      </c>
    </row>
    <row r="2626" spans="1:28" x14ac:dyDescent="0.25">
      <c r="A2626" t="s">
        <v>2630</v>
      </c>
      <c r="B2626">
        <v>0.99996721820229495</v>
      </c>
      <c r="C2626">
        <v>0.91547737991056399</v>
      </c>
      <c r="D2626">
        <v>0.93089218485254399</v>
      </c>
      <c r="E2626">
        <v>0.80297820747627802</v>
      </c>
      <c r="F2626">
        <v>1.1344984105496401</v>
      </c>
      <c r="G2626">
        <v>0.99573320283593503</v>
      </c>
      <c r="H2626">
        <v>0.53452700016996801</v>
      </c>
      <c r="I2626">
        <v>0.26948209849494098</v>
      </c>
      <c r="J2626">
        <v>8.0706896825001401E-2</v>
      </c>
      <c r="K2626">
        <v>8.2624776187100499E-2</v>
      </c>
      <c r="L2626">
        <v>2360.38733183776</v>
      </c>
      <c r="M2626">
        <v>38.569165526292998</v>
      </c>
      <c r="N2626">
        <v>61.465172119068399</v>
      </c>
      <c r="O2626">
        <v>61.034993155612</v>
      </c>
      <c r="P2626">
        <v>-0.14582235674535901</v>
      </c>
      <c r="Q2626">
        <v>7.6957465048974993E-2</v>
      </c>
      <c r="R2626">
        <v>0.94764153016483998</v>
      </c>
      <c r="S2626" t="s">
        <v>8452</v>
      </c>
      <c r="T2626" t="s">
        <v>11650</v>
      </c>
      <c r="U2626" t="s">
        <v>11650</v>
      </c>
      <c r="V2626" t="s">
        <v>11650</v>
      </c>
      <c r="W2626" t="s">
        <v>14232</v>
      </c>
      <c r="X2626">
        <v>2</v>
      </c>
      <c r="Y2626" t="s">
        <v>19944</v>
      </c>
      <c r="Z2626" t="s">
        <v>25688</v>
      </c>
      <c r="AA2626">
        <v>0.73287727995734142</v>
      </c>
      <c r="AB2626" t="str">
        <f>HYPERLINK("Melting_Curves/meltCurve_P55082_2_MFAP3.pdf", "Melting_Curves/meltCurve_P55082_2_MFAP3.pdf")</f>
        <v>Melting_Curves/meltCurve_P55082_2_MFAP3.pdf</v>
      </c>
    </row>
    <row r="2627" spans="1:28" x14ac:dyDescent="0.25">
      <c r="A2627" t="s">
        <v>2631</v>
      </c>
      <c r="B2627">
        <v>0.99996721820229495</v>
      </c>
      <c r="C2627">
        <v>1.06015934112788</v>
      </c>
      <c r="D2627">
        <v>1.0261015606902499</v>
      </c>
      <c r="E2627">
        <v>1.01700622321657</v>
      </c>
      <c r="F2627">
        <v>1.3987751753848101</v>
      </c>
      <c r="G2627">
        <v>1.6556884239948</v>
      </c>
      <c r="H2627">
        <v>1.3017029835507199</v>
      </c>
      <c r="I2627">
        <v>1.1772472955994799</v>
      </c>
      <c r="J2627">
        <v>1.2056301099526801</v>
      </c>
      <c r="K2627">
        <v>0.79104763046729198</v>
      </c>
      <c r="L2627">
        <v>12631.8774523956</v>
      </c>
      <c r="M2627">
        <v>250</v>
      </c>
      <c r="O2627">
        <v>50.524283292299998</v>
      </c>
      <c r="P2627">
        <v>0.31546124882592802</v>
      </c>
      <c r="Q2627">
        <v>1.2550152209618299</v>
      </c>
      <c r="R2627">
        <v>0.23116899058430401</v>
      </c>
      <c r="S2627" t="s">
        <v>8453</v>
      </c>
      <c r="T2627" t="s">
        <v>11650</v>
      </c>
      <c r="U2627" t="s">
        <v>11650</v>
      </c>
      <c r="V2627" t="s">
        <v>11650</v>
      </c>
      <c r="W2627" t="s">
        <v>14233</v>
      </c>
      <c r="X2627">
        <v>20</v>
      </c>
      <c r="Y2627" t="s">
        <v>19945</v>
      </c>
      <c r="Z2627" t="s">
        <v>25689</v>
      </c>
      <c r="AA2627">
        <v>1.165503432813195</v>
      </c>
      <c r="AB2627" t="str">
        <f>HYPERLINK("Melting_Curves/meltCurve_P55145_MANF.pdf", "Melting_Curves/meltCurve_P55145_MANF.pdf")</f>
        <v>Melting_Curves/meltCurve_P55145_MANF.pdf</v>
      </c>
    </row>
    <row r="2628" spans="1:28" x14ac:dyDescent="0.25">
      <c r="A2628" t="s">
        <v>2632</v>
      </c>
      <c r="B2628">
        <v>0.99996721820229495</v>
      </c>
      <c r="C2628">
        <v>1.02058928777644</v>
      </c>
      <c r="D2628">
        <v>0.97839308364366095</v>
      </c>
      <c r="E2628">
        <v>0.82343872715773503</v>
      </c>
      <c r="F2628">
        <v>0.86673846993610104</v>
      </c>
      <c r="G2628">
        <v>0.76792473554684604</v>
      </c>
      <c r="H2628">
        <v>0.41049895421400101</v>
      </c>
      <c r="I2628">
        <v>0.21654690657053299</v>
      </c>
      <c r="J2628">
        <v>0.12249927184828199</v>
      </c>
      <c r="K2628">
        <v>9.7290517489610401E-2</v>
      </c>
      <c r="L2628">
        <v>993.33139137959097</v>
      </c>
      <c r="M2628">
        <v>16.621710379917602</v>
      </c>
      <c r="N2628">
        <v>59.761081797862403</v>
      </c>
      <c r="O2628">
        <v>58.916172708088297</v>
      </c>
      <c r="P2628">
        <v>-7.0535946668749697E-2</v>
      </c>
      <c r="Q2628">
        <v>0</v>
      </c>
      <c r="R2628">
        <v>0.97786391014179297</v>
      </c>
      <c r="S2628" t="s">
        <v>8454</v>
      </c>
      <c r="T2628" t="s">
        <v>11650</v>
      </c>
      <c r="U2628" t="s">
        <v>11650</v>
      </c>
      <c r="V2628" t="s">
        <v>11650</v>
      </c>
      <c r="W2628" t="s">
        <v>14234</v>
      </c>
      <c r="X2628">
        <v>10</v>
      </c>
      <c r="Y2628" t="s">
        <v>19946</v>
      </c>
      <c r="Z2628" t="s">
        <v>25690</v>
      </c>
      <c r="AA2628">
        <v>0.66731871043277236</v>
      </c>
      <c r="AB2628" t="str">
        <f>HYPERLINK("Melting_Curves/meltCurve_P55210_CASP7.pdf", "Melting_Curves/meltCurve_P55210_CASP7.pdf")</f>
        <v>Melting_Curves/meltCurve_P55210_CASP7.pdf</v>
      </c>
    </row>
    <row r="2629" spans="1:28" x14ac:dyDescent="0.25">
      <c r="A2629" t="s">
        <v>2633</v>
      </c>
      <c r="B2629">
        <v>0.99996721820229495</v>
      </c>
      <c r="C2629">
        <v>0.98852157373639304</v>
      </c>
      <c r="D2629">
        <v>0.94120556455486803</v>
      </c>
      <c r="E2629">
        <v>0.91984416759436205</v>
      </c>
      <c r="F2629">
        <v>1.1729882017703099</v>
      </c>
      <c r="G2629">
        <v>1.27461310094095</v>
      </c>
      <c r="H2629">
        <v>0.92930171156510899</v>
      </c>
      <c r="I2629">
        <v>0.78519974620853605</v>
      </c>
      <c r="J2629">
        <v>0.59462704653362297</v>
      </c>
      <c r="K2629">
        <v>0.398613165789658</v>
      </c>
      <c r="L2629">
        <v>2136.4594220671702</v>
      </c>
      <c r="M2629">
        <v>32.4427589375968</v>
      </c>
      <c r="N2629">
        <v>68.027342596018997</v>
      </c>
      <c r="O2629">
        <v>65.604512257629096</v>
      </c>
      <c r="P2629">
        <v>-8.3732825217617102E-2</v>
      </c>
      <c r="Q2629">
        <v>0.32271796937751401</v>
      </c>
      <c r="R2629">
        <v>0.79827522865758305</v>
      </c>
      <c r="S2629" t="s">
        <v>8455</v>
      </c>
      <c r="T2629" t="s">
        <v>11650</v>
      </c>
      <c r="U2629" t="s">
        <v>11650</v>
      </c>
      <c r="V2629" t="s">
        <v>11650</v>
      </c>
      <c r="W2629" t="s">
        <v>14235</v>
      </c>
      <c r="X2629">
        <v>13</v>
      </c>
      <c r="Y2629" t="s">
        <v>19947</v>
      </c>
      <c r="Z2629" t="s">
        <v>25691</v>
      </c>
      <c r="AA2629">
        <v>0.90348533337160286</v>
      </c>
      <c r="AB2629" t="str">
        <f>HYPERLINK("Melting_Curves/meltCurve_P55212_CASP6.pdf", "Melting_Curves/meltCurve_P55212_CASP6.pdf")</f>
        <v>Melting_Curves/meltCurve_P55212_CASP6.pdf</v>
      </c>
    </row>
    <row r="2630" spans="1:28" x14ac:dyDescent="0.25">
      <c r="A2630" t="s">
        <v>2634</v>
      </c>
      <c r="B2630">
        <v>0.99996721820229495</v>
      </c>
      <c r="C2630">
        <v>1.0018202250942101</v>
      </c>
      <c r="D2630">
        <v>0.93986554233974995</v>
      </c>
      <c r="E2630">
        <v>0.89770480238621198</v>
      </c>
      <c r="F2630">
        <v>0.77624749088706202</v>
      </c>
      <c r="G2630">
        <v>0.50303025373145405</v>
      </c>
      <c r="H2630">
        <v>0.19570466659750299</v>
      </c>
      <c r="I2630">
        <v>0.12538321746136699</v>
      </c>
      <c r="J2630">
        <v>9.5544779650696396E-2</v>
      </c>
      <c r="K2630">
        <v>7.8552483682589005E-2</v>
      </c>
      <c r="L2630">
        <v>1034.8591177585599</v>
      </c>
      <c r="M2630">
        <v>18.345067340519201</v>
      </c>
      <c r="N2630">
        <v>56.649028441275703</v>
      </c>
      <c r="O2630">
        <v>55.753265679300299</v>
      </c>
      <c r="P2630">
        <v>-7.9209381297498493E-2</v>
      </c>
      <c r="Q2630">
        <v>3.7129832475561703E-2</v>
      </c>
      <c r="R2630">
        <v>0.99664005575808601</v>
      </c>
      <c r="S2630" t="s">
        <v>8456</v>
      </c>
      <c r="T2630" t="s">
        <v>11650</v>
      </c>
      <c r="U2630" t="s">
        <v>11650</v>
      </c>
      <c r="V2630" t="s">
        <v>11650</v>
      </c>
      <c r="W2630" t="s">
        <v>14236</v>
      </c>
      <c r="X2630">
        <v>20</v>
      </c>
      <c r="Y2630" t="s">
        <v>19948</v>
      </c>
      <c r="Z2630" t="s">
        <v>25692</v>
      </c>
      <c r="AA2630">
        <v>0.57737252872225997</v>
      </c>
      <c r="AB2630" t="str">
        <f>HYPERLINK("Melting_Curves/meltCurve_P55263_ADK.pdf", "Melting_Curves/meltCurve_P55263_ADK.pdf")</f>
        <v>Melting_Curves/meltCurve_P55263_ADK.pdf</v>
      </c>
    </row>
    <row r="2631" spans="1:28" x14ac:dyDescent="0.25">
      <c r="A2631" t="s">
        <v>2635</v>
      </c>
      <c r="B2631">
        <v>0.99996721820229495</v>
      </c>
      <c r="C2631">
        <v>0.997045987269219</v>
      </c>
      <c r="D2631">
        <v>0.95746615241542798</v>
      </c>
      <c r="E2631">
        <v>0.94696550339285102</v>
      </c>
      <c r="F2631">
        <v>0.76935951233326605</v>
      </c>
      <c r="G2631">
        <v>0.53672523438342301</v>
      </c>
      <c r="H2631">
        <v>0.34280797993902501</v>
      </c>
      <c r="I2631">
        <v>0.22055300973729899</v>
      </c>
      <c r="J2631">
        <v>0.164023564544613</v>
      </c>
      <c r="K2631">
        <v>0.14927469253759901</v>
      </c>
      <c r="L2631">
        <v>922.372581115348</v>
      </c>
      <c r="M2631">
        <v>16.2277389594013</v>
      </c>
      <c r="N2631">
        <v>57.655413240373498</v>
      </c>
      <c r="O2631">
        <v>55.997135419057003</v>
      </c>
      <c r="P2631">
        <v>-6.5019077240602893E-2</v>
      </c>
      <c r="Q2631">
        <v>0.10262009042073</v>
      </c>
      <c r="R2631">
        <v>0.99781612464051295</v>
      </c>
      <c r="S2631" t="s">
        <v>8457</v>
      </c>
      <c r="T2631" t="s">
        <v>11650</v>
      </c>
      <c r="U2631" t="s">
        <v>11650</v>
      </c>
      <c r="V2631" t="s">
        <v>11650</v>
      </c>
      <c r="W2631" t="s">
        <v>14237</v>
      </c>
      <c r="X2631">
        <v>28</v>
      </c>
      <c r="Y2631" t="s">
        <v>19949</v>
      </c>
      <c r="Z2631" t="s">
        <v>25693</v>
      </c>
      <c r="AA2631">
        <v>0.62003840837204438</v>
      </c>
      <c r="AB2631" t="str">
        <f>HYPERLINK("Melting_Curves/meltCurve_P55268_LAMB2.pdf", "Melting_Curves/meltCurve_P55268_LAMB2.pdf")</f>
        <v>Melting_Curves/meltCurve_P55268_LAMB2.pdf</v>
      </c>
    </row>
    <row r="2632" spans="1:28" x14ac:dyDescent="0.25">
      <c r="A2632" t="s">
        <v>2636</v>
      </c>
      <c r="B2632">
        <v>0.99996721820229495</v>
      </c>
      <c r="C2632">
        <v>0.832182768253385</v>
      </c>
      <c r="D2632">
        <v>0.69786708833662103</v>
      </c>
      <c r="E2632">
        <v>0.88350887030644099</v>
      </c>
      <c r="F2632">
        <v>1.32670626493321</v>
      </c>
      <c r="G2632">
        <v>1.04319523191602</v>
      </c>
      <c r="H2632">
        <v>0.84520414682136602</v>
      </c>
      <c r="I2632">
        <v>0.96186579433875896</v>
      </c>
      <c r="J2632">
        <v>0.97550773269722602</v>
      </c>
      <c r="K2632">
        <v>0.35809973341139101</v>
      </c>
      <c r="L2632">
        <v>6617.8567600046099</v>
      </c>
      <c r="M2632">
        <v>95.124222983731599</v>
      </c>
      <c r="N2632">
        <v>69.570679090441999</v>
      </c>
      <c r="O2632">
        <v>69.539947725736397</v>
      </c>
      <c r="P2632">
        <v>-0.34197692460916901</v>
      </c>
      <c r="Q2632">
        <v>0</v>
      </c>
      <c r="R2632">
        <v>0.52649591257289896</v>
      </c>
      <c r="S2632" t="s">
        <v>8458</v>
      </c>
      <c r="T2632" t="s">
        <v>11650</v>
      </c>
      <c r="U2632" t="s">
        <v>11650</v>
      </c>
      <c r="V2632" t="s">
        <v>11650</v>
      </c>
      <c r="W2632" t="s">
        <v>14238</v>
      </c>
      <c r="X2632">
        <v>1</v>
      </c>
      <c r="Y2632" t="s">
        <v>19950</v>
      </c>
      <c r="Z2632" t="s">
        <v>25694</v>
      </c>
      <c r="AA2632">
        <v>0.97532285508908634</v>
      </c>
      <c r="AB2632" t="str">
        <f>HYPERLINK("Melting_Curves/meltCurve_P55273_CDKN2D.pdf", "Melting_Curves/meltCurve_P55273_CDKN2D.pdf")</f>
        <v>Melting_Curves/meltCurve_P55273_CDKN2D.pdf</v>
      </c>
    </row>
    <row r="2633" spans="1:28" x14ac:dyDescent="0.25">
      <c r="A2633" t="s">
        <v>2637</v>
      </c>
      <c r="B2633">
        <v>0.99996721820229495</v>
      </c>
      <c r="C2633">
        <v>0.99424685157807502</v>
      </c>
      <c r="D2633">
        <v>1.10856595244331</v>
      </c>
      <c r="E2633">
        <v>1.4962962991879001</v>
      </c>
      <c r="F2633">
        <v>2.7250045092270501</v>
      </c>
      <c r="G2633">
        <v>4.0592383507752201</v>
      </c>
      <c r="H2633">
        <v>3.4277488816814201</v>
      </c>
      <c r="I2633">
        <v>2.5255543088480601</v>
      </c>
      <c r="J2633">
        <v>1.81384167231323</v>
      </c>
      <c r="K2633">
        <v>1.3857642784817299</v>
      </c>
      <c r="S2633" t="s">
        <v>8459</v>
      </c>
      <c r="T2633" t="s">
        <v>11650</v>
      </c>
      <c r="U2633" t="s">
        <v>11651</v>
      </c>
      <c r="V2633" t="s">
        <v>11650</v>
      </c>
      <c r="W2633" t="s">
        <v>14239</v>
      </c>
      <c r="X2633">
        <v>6</v>
      </c>
      <c r="Y2633" t="s">
        <v>19951</v>
      </c>
      <c r="Z2633" t="s">
        <v>25695</v>
      </c>
      <c r="AB2633" t="str">
        <f>HYPERLINK("Melting_Curves/meltCurve_P55285_CDH6.pdf", "Melting_Curves/meltCurve_P55285_CDH6.pdf")</f>
        <v>Melting_Curves/meltCurve_P55285_CDH6.pdf</v>
      </c>
    </row>
    <row r="2634" spans="1:28" x14ac:dyDescent="0.25">
      <c r="A2634" t="s">
        <v>2638</v>
      </c>
      <c r="B2634">
        <v>0.99996721820229495</v>
      </c>
      <c r="C2634">
        <v>1.1391860134953899</v>
      </c>
      <c r="D2634">
        <v>1.07335461233411</v>
      </c>
      <c r="E2634">
        <v>1.1342872714185901</v>
      </c>
      <c r="F2634">
        <v>0.730150494724364</v>
      </c>
      <c r="G2634">
        <v>0.36255923548782099</v>
      </c>
      <c r="H2634">
        <v>0.139349682532588</v>
      </c>
      <c r="I2634">
        <v>8.7675911607459203E-2</v>
      </c>
      <c r="J2634">
        <v>5.21068656769808E-2</v>
      </c>
      <c r="K2634">
        <v>5.2466092571645702E-2</v>
      </c>
      <c r="L2634">
        <v>1644.2252599501601</v>
      </c>
      <c r="M2634">
        <v>29.704880394510202</v>
      </c>
      <c r="N2634">
        <v>55.608727688761299</v>
      </c>
      <c r="O2634">
        <v>55.1029732742467</v>
      </c>
      <c r="P2634">
        <v>-0.12613607769283899</v>
      </c>
      <c r="Q2634">
        <v>6.4069357886009301E-2</v>
      </c>
      <c r="R2634">
        <v>0.97093834790616895</v>
      </c>
      <c r="S2634" t="s">
        <v>8460</v>
      </c>
      <c r="T2634" t="s">
        <v>11650</v>
      </c>
      <c r="U2634" t="s">
        <v>11650</v>
      </c>
      <c r="V2634" t="s">
        <v>11650</v>
      </c>
      <c r="W2634" t="s">
        <v>14240</v>
      </c>
      <c r="X2634">
        <v>2</v>
      </c>
      <c r="Y2634" t="s">
        <v>19952</v>
      </c>
      <c r="Z2634" t="s">
        <v>25696</v>
      </c>
      <c r="AA2634">
        <v>0.54935662433132781</v>
      </c>
      <c r="AB2634" t="str">
        <f>HYPERLINK("Melting_Curves/meltCurve_P55345_PRMT2.pdf", "Melting_Curves/meltCurve_P55345_PRMT2.pdf")</f>
        <v>Melting_Curves/meltCurve_P55345_PRMT2.pdf</v>
      </c>
    </row>
    <row r="2635" spans="1:28" x14ac:dyDescent="0.25">
      <c r="A2635" t="s">
        <v>2639</v>
      </c>
      <c r="B2635">
        <v>0.99996721820229495</v>
      </c>
      <c r="C2635">
        <v>1.05608621554747</v>
      </c>
      <c r="D2635">
        <v>1.06054154110346</v>
      </c>
      <c r="E2635">
        <v>1.06590801668657</v>
      </c>
      <c r="F2635">
        <v>0.85101758806244099</v>
      </c>
      <c r="G2635">
        <v>0.573547635697507</v>
      </c>
      <c r="H2635">
        <v>0.252051615318369</v>
      </c>
      <c r="I2635">
        <v>0.18609980711174701</v>
      </c>
      <c r="J2635">
        <v>0.121860087587313</v>
      </c>
      <c r="K2635">
        <v>9.4152787357650397E-2</v>
      </c>
      <c r="L2635">
        <v>1417.7678725609801</v>
      </c>
      <c r="M2635">
        <v>24.790176376719401</v>
      </c>
      <c r="N2635">
        <v>57.7153224953909</v>
      </c>
      <c r="O2635">
        <v>56.822458976256598</v>
      </c>
      <c r="P2635">
        <v>-9.8067645516316998E-2</v>
      </c>
      <c r="Q2635">
        <v>0.100874927827838</v>
      </c>
      <c r="R2635">
        <v>0.98912954853990798</v>
      </c>
      <c r="S2635" t="s">
        <v>8461</v>
      </c>
      <c r="T2635" t="s">
        <v>11650</v>
      </c>
      <c r="U2635" t="s">
        <v>11650</v>
      </c>
      <c r="V2635" t="s">
        <v>11650</v>
      </c>
      <c r="W2635" t="s">
        <v>14241</v>
      </c>
      <c r="X2635">
        <v>13</v>
      </c>
      <c r="Y2635" t="s">
        <v>19953</v>
      </c>
      <c r="Z2635" t="s">
        <v>25697</v>
      </c>
      <c r="AA2635">
        <v>0.62425587566987073</v>
      </c>
      <c r="AB2635" t="str">
        <f>HYPERLINK("Melting_Curves/meltCurve_P55735_SEC13.pdf", "Melting_Curves/meltCurve_P55735_SEC13.pdf")</f>
        <v>Melting_Curves/meltCurve_P55735_SEC13.pdf</v>
      </c>
    </row>
    <row r="2636" spans="1:28" x14ac:dyDescent="0.25">
      <c r="A2636" t="s">
        <v>2640</v>
      </c>
      <c r="B2636">
        <v>0.99996721820229495</v>
      </c>
      <c r="C2636">
        <v>0.910766588076655</v>
      </c>
      <c r="D2636">
        <v>0.88448464629440904</v>
      </c>
      <c r="E2636">
        <v>0.98062887450194003</v>
      </c>
      <c r="F2636">
        <v>1.2908807422253801</v>
      </c>
      <c r="G2636">
        <v>1.23466815410668</v>
      </c>
      <c r="H2636">
        <v>0.89539342589174897</v>
      </c>
      <c r="I2636">
        <v>0.65247583741725002</v>
      </c>
      <c r="J2636">
        <v>0.57374922703008202</v>
      </c>
      <c r="K2636">
        <v>0.417484217091115</v>
      </c>
      <c r="L2636">
        <v>2659.4804009071199</v>
      </c>
      <c r="M2636">
        <v>41.967590991861698</v>
      </c>
      <c r="N2636">
        <v>67.277852634363796</v>
      </c>
      <c r="O2636">
        <v>63.226485378197502</v>
      </c>
      <c r="P2636">
        <v>-9.0218774611045299E-2</v>
      </c>
      <c r="Q2636">
        <v>0.45632273432295101</v>
      </c>
      <c r="R2636">
        <v>0.74797878413910701</v>
      </c>
      <c r="S2636" t="s">
        <v>8462</v>
      </c>
      <c r="T2636" t="s">
        <v>11650</v>
      </c>
      <c r="U2636" t="s">
        <v>11650</v>
      </c>
      <c r="V2636" t="s">
        <v>11650</v>
      </c>
      <c r="W2636" t="s">
        <v>14242</v>
      </c>
      <c r="X2636">
        <v>5</v>
      </c>
      <c r="Y2636" t="s">
        <v>19954</v>
      </c>
      <c r="Z2636" t="s">
        <v>25698</v>
      </c>
      <c r="AA2636">
        <v>0.88135007330990389</v>
      </c>
      <c r="AB2636" t="str">
        <f>HYPERLINK("Melting_Curves/meltCurve_P55789_GFER.pdf", "Melting_Curves/meltCurve_P55789_GFER.pdf")</f>
        <v>Melting_Curves/meltCurve_P55789_GFER.pdf</v>
      </c>
    </row>
    <row r="2637" spans="1:28" x14ac:dyDescent="0.25">
      <c r="A2637" t="s">
        <v>2641</v>
      </c>
      <c r="B2637">
        <v>0.99996721820229495</v>
      </c>
      <c r="C2637">
        <v>0.95208074953490895</v>
      </c>
      <c r="D2637">
        <v>0.44634044535912998</v>
      </c>
      <c r="E2637">
        <v>0.25961543350941202</v>
      </c>
      <c r="F2637">
        <v>0.32368269198741301</v>
      </c>
      <c r="G2637">
        <v>0.28404918615986902</v>
      </c>
      <c r="H2637">
        <v>0.198695465422113</v>
      </c>
      <c r="I2637">
        <v>0.142045519188984</v>
      </c>
      <c r="J2637">
        <v>0.115762800199988</v>
      </c>
      <c r="K2637">
        <v>8.1234246973035398E-2</v>
      </c>
      <c r="L2637">
        <v>2055.6822830340002</v>
      </c>
      <c r="M2637">
        <v>45.4425464884389</v>
      </c>
      <c r="N2637">
        <v>45.745474656040699</v>
      </c>
      <c r="O2637">
        <v>45.149608496201601</v>
      </c>
      <c r="P2637">
        <v>-0.20172714641499001</v>
      </c>
      <c r="Q2637">
        <v>0.19829401568511101</v>
      </c>
      <c r="R2637">
        <v>0.95021940240432401</v>
      </c>
      <c r="S2637" t="s">
        <v>8463</v>
      </c>
      <c r="T2637" t="s">
        <v>11650</v>
      </c>
      <c r="U2637" t="s">
        <v>11650</v>
      </c>
      <c r="V2637" t="s">
        <v>11650</v>
      </c>
      <c r="W2637" t="s">
        <v>14243</v>
      </c>
      <c r="X2637">
        <v>9</v>
      </c>
      <c r="Y2637" t="s">
        <v>19955</v>
      </c>
      <c r="Z2637" t="s">
        <v>25699</v>
      </c>
      <c r="AA2637">
        <v>0.34023503933503108</v>
      </c>
      <c r="AB2637" t="str">
        <f>HYPERLINK("Melting_Curves/meltCurve_P55795_HNRNPH2.pdf", "Melting_Curves/meltCurve_P55795_HNRNPH2.pdf")</f>
        <v>Melting_Curves/meltCurve_P55795_HNRNPH2.pdf</v>
      </c>
    </row>
    <row r="2638" spans="1:28" x14ac:dyDescent="0.25">
      <c r="A2638" t="s">
        <v>2642</v>
      </c>
      <c r="B2638">
        <v>0.99996721820229495</v>
      </c>
      <c r="C2638">
        <v>0.36713459997683701</v>
      </c>
      <c r="D2638">
        <v>0.40763995321651902</v>
      </c>
      <c r="E2638">
        <v>1.0090564343629</v>
      </c>
      <c r="F2638">
        <v>1.13589186596245</v>
      </c>
      <c r="G2638">
        <v>0.49028746705830001</v>
      </c>
      <c r="H2638">
        <v>1.1005301957067</v>
      </c>
      <c r="I2638">
        <v>0.81172951818940098</v>
      </c>
      <c r="J2638">
        <v>0.78666198907304596</v>
      </c>
      <c r="K2638">
        <v>1.32129621118713</v>
      </c>
      <c r="L2638">
        <v>15000</v>
      </c>
      <c r="M2638">
        <v>214.87135939401699</v>
      </c>
      <c r="O2638">
        <v>69.803163543941594</v>
      </c>
      <c r="P2638">
        <v>0.38478084143607499</v>
      </c>
      <c r="Q2638">
        <v>1.5</v>
      </c>
      <c r="R2638">
        <v>-0.146500344656115</v>
      </c>
      <c r="S2638" t="s">
        <v>8464</v>
      </c>
      <c r="T2638" t="s">
        <v>11650</v>
      </c>
      <c r="U2638" t="s">
        <v>11650</v>
      </c>
      <c r="V2638" t="s">
        <v>11650</v>
      </c>
      <c r="W2638" t="s">
        <v>14244</v>
      </c>
      <c r="X2638">
        <v>1</v>
      </c>
      <c r="Y2638" t="s">
        <v>19956</v>
      </c>
      <c r="Z2638" t="s">
        <v>25700</v>
      </c>
      <c r="AA2638">
        <v>1.0055320732108251</v>
      </c>
      <c r="AB2638" t="str">
        <f>HYPERLINK("Melting_Curves/meltCurve_P55808_XG.pdf", "Melting_Curves/meltCurve_P55808_XG.pdf")</f>
        <v>Melting_Curves/meltCurve_P55808_XG.pdf</v>
      </c>
    </row>
    <row r="2639" spans="1:28" x14ac:dyDescent="0.25">
      <c r="A2639" t="s">
        <v>2643</v>
      </c>
      <c r="B2639">
        <v>0.99996721820229495</v>
      </c>
      <c r="C2639">
        <v>0.99150586116628703</v>
      </c>
      <c r="D2639">
        <v>0.99843971788771002</v>
      </c>
      <c r="E2639">
        <v>1.02552996776223</v>
      </c>
      <c r="F2639">
        <v>0.48845438272321801</v>
      </c>
      <c r="G2639">
        <v>0.27804996752893801</v>
      </c>
      <c r="H2639">
        <v>0.15369748009989001</v>
      </c>
      <c r="I2639">
        <v>9.41507391462994E-2</v>
      </c>
      <c r="J2639">
        <v>6.5658674847527798E-2</v>
      </c>
      <c r="K2639">
        <v>5.3639563251003497E-2</v>
      </c>
      <c r="L2639">
        <v>3273.9798693390098</v>
      </c>
      <c r="M2639">
        <v>62.059687231959899</v>
      </c>
      <c r="N2639">
        <v>53.003185865688202</v>
      </c>
      <c r="O2639">
        <v>52.700644446359902</v>
      </c>
      <c r="P2639">
        <v>-0.25732102065130402</v>
      </c>
      <c r="Q2639">
        <v>0.12593961774867299</v>
      </c>
      <c r="R2639">
        <v>0.98023434113450703</v>
      </c>
      <c r="S2639" t="s">
        <v>8465</v>
      </c>
      <c r="T2639" t="s">
        <v>11650</v>
      </c>
      <c r="U2639" t="s">
        <v>11650</v>
      </c>
      <c r="V2639" t="s">
        <v>11650</v>
      </c>
      <c r="W2639" t="s">
        <v>14245</v>
      </c>
      <c r="X2639">
        <v>21</v>
      </c>
      <c r="Y2639" t="s">
        <v>19957</v>
      </c>
      <c r="Z2639" t="s">
        <v>25701</v>
      </c>
      <c r="AA2639">
        <v>0.4988885303348613</v>
      </c>
      <c r="AB2639" t="str">
        <f>HYPERLINK("Melting_Curves/meltCurve_P55809_OXCT1.pdf", "Melting_Curves/meltCurve_P55809_OXCT1.pdf")</f>
        <v>Melting_Curves/meltCurve_P55809_OXCT1.pdf</v>
      </c>
    </row>
    <row r="2640" spans="1:28" x14ac:dyDescent="0.25">
      <c r="A2640" t="s">
        <v>2644</v>
      </c>
      <c r="B2640">
        <v>0.99996721820229495</v>
      </c>
      <c r="C2640">
        <v>0.98226083734056002</v>
      </c>
      <c r="D2640">
        <v>0.93737545432917702</v>
      </c>
      <c r="E2640">
        <v>0.61305204971878702</v>
      </c>
      <c r="F2640">
        <v>0.48429455337766503</v>
      </c>
      <c r="G2640">
        <v>0.35402217862147101</v>
      </c>
      <c r="H2640">
        <v>0.20095477063626399</v>
      </c>
      <c r="I2640">
        <v>0.13755011326643499</v>
      </c>
      <c r="J2640">
        <v>9.4444679272521204E-2</v>
      </c>
      <c r="K2640">
        <v>8.1861884353054498E-2</v>
      </c>
      <c r="L2640">
        <v>697.16376765156599</v>
      </c>
      <c r="M2640">
        <v>13.2858305373673</v>
      </c>
      <c r="N2640">
        <v>52.991516966237498</v>
      </c>
      <c r="O2640">
        <v>51.328139193788402</v>
      </c>
      <c r="P2640">
        <v>-6.0784650598945798E-2</v>
      </c>
      <c r="Q2640">
        <v>6.0816783718877103E-2</v>
      </c>
      <c r="R2640">
        <v>0.989944327176426</v>
      </c>
      <c r="S2640" t="s">
        <v>8466</v>
      </c>
      <c r="T2640" t="s">
        <v>11650</v>
      </c>
      <c r="U2640" t="s">
        <v>11650</v>
      </c>
      <c r="V2640" t="s">
        <v>11650</v>
      </c>
      <c r="W2640" t="s">
        <v>14246</v>
      </c>
      <c r="X2640">
        <v>21</v>
      </c>
      <c r="Y2640" t="s">
        <v>19958</v>
      </c>
      <c r="Z2640" t="s">
        <v>25702</v>
      </c>
      <c r="AA2640">
        <v>0.47578480190451439</v>
      </c>
      <c r="AB2640" t="str">
        <f>HYPERLINK("Melting_Curves/meltCurve_P55884_EIF3B.pdf", "Melting_Curves/meltCurve_P55884_EIF3B.pdf")</f>
        <v>Melting_Curves/meltCurve_P55884_EIF3B.pdf</v>
      </c>
    </row>
    <row r="2641" spans="1:28" x14ac:dyDescent="0.25">
      <c r="A2641" t="s">
        <v>2645</v>
      </c>
      <c r="B2641">
        <v>0.99996721820229495</v>
      </c>
      <c r="C2641">
        <v>0.70995677330315698</v>
      </c>
      <c r="D2641">
        <v>0.81707826246322202</v>
      </c>
      <c r="E2641">
        <v>0.708022187273883</v>
      </c>
      <c r="F2641">
        <v>0.95128640345503102</v>
      </c>
      <c r="G2641">
        <v>0.656724892415956</v>
      </c>
      <c r="H2641">
        <v>0.22691026428903599</v>
      </c>
      <c r="I2641">
        <v>0.106052584854833</v>
      </c>
      <c r="J2641">
        <v>5.7709367519688998E-2</v>
      </c>
      <c r="K2641">
        <v>5.39184739209735E-2</v>
      </c>
      <c r="L2641">
        <v>1184.5169435657999</v>
      </c>
      <c r="M2641">
        <v>20.384796239439201</v>
      </c>
      <c r="N2641">
        <v>58.107865775772602</v>
      </c>
      <c r="O2641">
        <v>57.557329182886697</v>
      </c>
      <c r="P2641">
        <v>-8.8543948534000702E-2</v>
      </c>
      <c r="Q2641">
        <v>0</v>
      </c>
      <c r="R2641">
        <v>0.84871544312708902</v>
      </c>
      <c r="S2641" t="s">
        <v>8467</v>
      </c>
      <c r="T2641" t="s">
        <v>11650</v>
      </c>
      <c r="U2641" t="s">
        <v>11650</v>
      </c>
      <c r="V2641" t="s">
        <v>11650</v>
      </c>
      <c r="W2641" t="s">
        <v>14247</v>
      </c>
      <c r="X2641">
        <v>7</v>
      </c>
      <c r="Y2641" t="s">
        <v>19959</v>
      </c>
      <c r="Z2641" t="s">
        <v>25703</v>
      </c>
      <c r="AA2641">
        <v>0.61460684924504949</v>
      </c>
      <c r="AB2641" t="str">
        <f>HYPERLINK("Melting_Curves/meltCurve_P55899_FCGRT.pdf", "Melting_Curves/meltCurve_P55899_FCGRT.pdf")</f>
        <v>Melting_Curves/meltCurve_P55899_FCGRT.pdf</v>
      </c>
    </row>
    <row r="2642" spans="1:28" x14ac:dyDescent="0.25">
      <c r="A2642" t="s">
        <v>2646</v>
      </c>
      <c r="B2642">
        <v>0.99996721820229495</v>
      </c>
      <c r="C2642">
        <v>1.0509709082366301</v>
      </c>
      <c r="D2642">
        <v>1.01030103796885</v>
      </c>
      <c r="E2642">
        <v>0.98590942386640101</v>
      </c>
      <c r="F2642">
        <v>1.25419331887704</v>
      </c>
      <c r="G2642">
        <v>1.3559181083076599</v>
      </c>
      <c r="H2642">
        <v>0.99388472441383902</v>
      </c>
      <c r="I2642">
        <v>0.92087116483940201</v>
      </c>
      <c r="J2642">
        <v>0.80648256864286205</v>
      </c>
      <c r="K2642">
        <v>0.50663904604101695</v>
      </c>
      <c r="L2642">
        <v>2232.5694814404801</v>
      </c>
      <c r="M2642">
        <v>32.075802658566097</v>
      </c>
      <c r="O2642">
        <v>69.334078420982195</v>
      </c>
      <c r="P2642">
        <v>-0.10440354344196601</v>
      </c>
      <c r="Q2642">
        <v>9.7302712612128597E-2</v>
      </c>
      <c r="R2642">
        <v>0.592523349081573</v>
      </c>
      <c r="S2642" t="s">
        <v>8468</v>
      </c>
      <c r="T2642" t="s">
        <v>11650</v>
      </c>
      <c r="U2642" t="s">
        <v>11650</v>
      </c>
      <c r="V2642" t="s">
        <v>11650</v>
      </c>
      <c r="W2642" t="s">
        <v>14248</v>
      </c>
      <c r="X2642">
        <v>6</v>
      </c>
      <c r="Y2642" t="s">
        <v>19960</v>
      </c>
      <c r="Z2642" t="s">
        <v>25704</v>
      </c>
      <c r="AA2642">
        <v>0.9515399917109586</v>
      </c>
      <c r="AB2642" t="str">
        <f>HYPERLINK("Melting_Curves/meltCurve_P55957_BID.pdf", "Melting_Curves/meltCurve_P55957_BID.pdf")</f>
        <v>Melting_Curves/meltCurve_P55957_BID.pdf</v>
      </c>
    </row>
    <row r="2643" spans="1:28" x14ac:dyDescent="0.25">
      <c r="A2643" t="s">
        <v>2647</v>
      </c>
      <c r="B2643">
        <v>0.99996721820229495</v>
      </c>
      <c r="C2643">
        <v>0.99190900451636399</v>
      </c>
      <c r="D2643">
        <v>1.04668919566579</v>
      </c>
      <c r="E2643">
        <v>0.97663287662523901</v>
      </c>
      <c r="F2643">
        <v>1.3797152086423901</v>
      </c>
      <c r="G2643">
        <v>1.2566974573443499</v>
      </c>
      <c r="H2643">
        <v>0.99977922237463901</v>
      </c>
      <c r="I2643">
        <v>0.78101402115655105</v>
      </c>
      <c r="J2643">
        <v>0.67831168843515399</v>
      </c>
      <c r="K2643">
        <v>0.48367622930994297</v>
      </c>
      <c r="L2643">
        <v>2247.9985178419201</v>
      </c>
      <c r="M2643">
        <v>34.205116728752898</v>
      </c>
      <c r="O2643">
        <v>65.497710902769796</v>
      </c>
      <c r="P2643">
        <v>-7.2944425999586102E-2</v>
      </c>
      <c r="Q2643">
        <v>0.44129134255563901</v>
      </c>
      <c r="R2643">
        <v>0.63887317814995903</v>
      </c>
      <c r="S2643" t="s">
        <v>8469</v>
      </c>
      <c r="T2643" t="s">
        <v>11650</v>
      </c>
      <c r="U2643" t="s">
        <v>11650</v>
      </c>
      <c r="V2643" t="s">
        <v>11650</v>
      </c>
      <c r="W2643" t="s">
        <v>14249</v>
      </c>
      <c r="X2643">
        <v>3</v>
      </c>
      <c r="Y2643" t="s">
        <v>19961</v>
      </c>
      <c r="Z2643" t="s">
        <v>25705</v>
      </c>
      <c r="AA2643">
        <v>0.91872871465037675</v>
      </c>
      <c r="AB2643" t="str">
        <f>HYPERLINK("Melting_Curves/meltCurve_P56181_NDUFV3.pdf", "Melting_Curves/meltCurve_P56181_NDUFV3.pdf")</f>
        <v>Melting_Curves/meltCurve_P56181_NDUFV3.pdf</v>
      </c>
    </row>
    <row r="2644" spans="1:28" x14ac:dyDescent="0.25">
      <c r="A2644" t="s">
        <v>2648</v>
      </c>
      <c r="B2644">
        <v>0.99996721820229495</v>
      </c>
      <c r="C2644">
        <v>1.04732992723753</v>
      </c>
      <c r="D2644">
        <v>1.0027565210398801</v>
      </c>
      <c r="E2644">
        <v>1.10190511831601</v>
      </c>
      <c r="F2644">
        <v>1.7692531391393</v>
      </c>
      <c r="G2644">
        <v>1.8190634171905999</v>
      </c>
      <c r="H2644">
        <v>1.4924189427911101</v>
      </c>
      <c r="I2644">
        <v>1.5890568319235401</v>
      </c>
      <c r="J2644">
        <v>1.65480479952932</v>
      </c>
      <c r="K2644">
        <v>1.14555941036583</v>
      </c>
      <c r="L2644">
        <v>12568.129915965599</v>
      </c>
      <c r="M2644">
        <v>250</v>
      </c>
      <c r="O2644">
        <v>50.2693027055332</v>
      </c>
      <c r="P2644">
        <v>0.62165175261342198</v>
      </c>
      <c r="Q2644">
        <v>1.5</v>
      </c>
      <c r="R2644">
        <v>0.66677031587455604</v>
      </c>
      <c r="S2644" t="s">
        <v>8470</v>
      </c>
      <c r="T2644" t="s">
        <v>11650</v>
      </c>
      <c r="U2644" t="s">
        <v>11650</v>
      </c>
      <c r="V2644" t="s">
        <v>11650</v>
      </c>
      <c r="W2644" t="s">
        <v>14250</v>
      </c>
      <c r="X2644">
        <v>18</v>
      </c>
      <c r="Y2644" t="s">
        <v>19961</v>
      </c>
      <c r="Z2644" t="s">
        <v>25706</v>
      </c>
      <c r="AA2644">
        <v>1.3287472251908281</v>
      </c>
      <c r="AB2644" t="str">
        <f>HYPERLINK("Melting_Curves/meltCurve_P56181_2_NDUFV3.pdf", "Melting_Curves/meltCurve_P56181_2_NDUFV3.pdf")</f>
        <v>Melting_Curves/meltCurve_P56181_2_NDUFV3.pdf</v>
      </c>
    </row>
    <row r="2645" spans="1:28" x14ac:dyDescent="0.25">
      <c r="A2645" t="s">
        <v>2649</v>
      </c>
      <c r="B2645">
        <v>0.99996721820229495</v>
      </c>
      <c r="C2645">
        <v>0.96330582265201903</v>
      </c>
      <c r="D2645">
        <v>0.76456027276076199</v>
      </c>
      <c r="E2645">
        <v>0.63508526760098705</v>
      </c>
      <c r="F2645">
        <v>0.57547459075915697</v>
      </c>
      <c r="G2645">
        <v>0.50013212525643003</v>
      </c>
      <c r="H2645">
        <v>0.31545476647272602</v>
      </c>
      <c r="I2645">
        <v>0.263849219755597</v>
      </c>
      <c r="J2645">
        <v>0.19357576808669499</v>
      </c>
      <c r="K2645">
        <v>0.13474522367130401</v>
      </c>
      <c r="L2645">
        <v>427.00396252506198</v>
      </c>
      <c r="M2645">
        <v>7.7503857430049399</v>
      </c>
      <c r="N2645">
        <v>55.094543229886298</v>
      </c>
      <c r="O2645">
        <v>51.787110369622503</v>
      </c>
      <c r="P2645">
        <v>-3.74622670122116E-2</v>
      </c>
      <c r="Q2645">
        <v>0</v>
      </c>
      <c r="R2645">
        <v>0.97950962589798196</v>
      </c>
      <c r="S2645" t="s">
        <v>8471</v>
      </c>
      <c r="T2645" t="s">
        <v>11650</v>
      </c>
      <c r="U2645" t="s">
        <v>11650</v>
      </c>
      <c r="V2645" t="s">
        <v>11650</v>
      </c>
      <c r="W2645" t="s">
        <v>14251</v>
      </c>
      <c r="X2645">
        <v>11</v>
      </c>
      <c r="Y2645" t="s">
        <v>19962</v>
      </c>
      <c r="Z2645" t="s">
        <v>25707</v>
      </c>
      <c r="AA2645">
        <v>0.5296265336122693</v>
      </c>
      <c r="AB2645" t="str">
        <f>HYPERLINK("Melting_Curves/meltCurve_P56192_MARS.pdf", "Melting_Curves/meltCurve_P56192_MARS.pdf")</f>
        <v>Melting_Curves/meltCurve_P56192_MARS.pdf</v>
      </c>
    </row>
    <row r="2646" spans="1:28" x14ac:dyDescent="0.25">
      <c r="A2646" t="s">
        <v>2650</v>
      </c>
      <c r="B2646">
        <v>0.99996721820229495</v>
      </c>
      <c r="C2646">
        <v>0.822113450171016</v>
      </c>
      <c r="D2646">
        <v>1.0028986332571199</v>
      </c>
      <c r="E2646">
        <v>1.43440273095973</v>
      </c>
      <c r="F2646">
        <v>1.70429336876709</v>
      </c>
      <c r="G2646">
        <v>2.1228152582003901</v>
      </c>
      <c r="H2646">
        <v>1.8042554422722401</v>
      </c>
      <c r="I2646">
        <v>1.10121238064113</v>
      </c>
      <c r="J2646">
        <v>0.42943278397429102</v>
      </c>
      <c r="K2646">
        <v>1.0519218604724601</v>
      </c>
      <c r="L2646">
        <v>937.123053868292</v>
      </c>
      <c r="M2646">
        <v>6.5659796011464904</v>
      </c>
      <c r="Q2646">
        <v>0.109413516837196</v>
      </c>
      <c r="R2646">
        <v>-0.26018775729921001</v>
      </c>
      <c r="S2646" t="s">
        <v>8472</v>
      </c>
      <c r="T2646" t="s">
        <v>11650</v>
      </c>
      <c r="U2646" t="s">
        <v>11650</v>
      </c>
      <c r="V2646" t="s">
        <v>11650</v>
      </c>
      <c r="W2646" t="s">
        <v>14252</v>
      </c>
      <c r="X2646">
        <v>13</v>
      </c>
      <c r="Y2646" t="s">
        <v>19963</v>
      </c>
      <c r="Z2646" t="s">
        <v>25708</v>
      </c>
      <c r="AA2646">
        <v>0.99985174456768589</v>
      </c>
      <c r="AB2646" t="str">
        <f>HYPERLINK("Melting_Curves/meltCurve_P56199_ITGA1.pdf", "Melting_Curves/meltCurve_P56199_ITGA1.pdf")</f>
        <v>Melting_Curves/meltCurve_P56199_ITGA1.pdf</v>
      </c>
    </row>
    <row r="2647" spans="1:28" x14ac:dyDescent="0.25">
      <c r="A2647" t="s">
        <v>2651</v>
      </c>
      <c r="B2647">
        <v>0.99996721820229495</v>
      </c>
      <c r="C2647">
        <v>0.985242523020742</v>
      </c>
      <c r="D2647">
        <v>0.93819095566923105</v>
      </c>
      <c r="E2647">
        <v>1.0381954169960701</v>
      </c>
      <c r="F2647">
        <v>1.3101918900765901</v>
      </c>
      <c r="G2647">
        <v>1.4173075135707101</v>
      </c>
      <c r="H2647">
        <v>1.1575121733667999</v>
      </c>
      <c r="I2647">
        <v>1.17904493324319</v>
      </c>
      <c r="J2647">
        <v>1.18462096250159</v>
      </c>
      <c r="K2647">
        <v>0.95108671435283298</v>
      </c>
      <c r="L2647">
        <v>12572.168499211501</v>
      </c>
      <c r="M2647">
        <v>250</v>
      </c>
      <c r="O2647">
        <v>50.285455869559797</v>
      </c>
      <c r="P2647">
        <v>0.248531951943433</v>
      </c>
      <c r="Q2647">
        <v>1.1999606797348199</v>
      </c>
      <c r="R2647">
        <v>0.45443814395188198</v>
      </c>
      <c r="S2647" t="s">
        <v>8473</v>
      </c>
      <c r="T2647" t="s">
        <v>11650</v>
      </c>
      <c r="U2647" t="s">
        <v>11650</v>
      </c>
      <c r="V2647" t="s">
        <v>11650</v>
      </c>
      <c r="W2647" t="s">
        <v>12517</v>
      </c>
      <c r="X2647">
        <v>6</v>
      </c>
      <c r="Y2647" t="s">
        <v>18275</v>
      </c>
      <c r="Z2647" t="s">
        <v>25709</v>
      </c>
      <c r="AA2647">
        <v>1.131365357171046</v>
      </c>
      <c r="AB2647" t="str">
        <f>HYPERLINK("Melting_Curves/meltCurve_P56211_ARPP19.pdf", "Melting_Curves/meltCurve_P56211_ARPP19.pdf")</f>
        <v>Melting_Curves/meltCurve_P56211_ARPP19.pdf</v>
      </c>
    </row>
    <row r="2648" spans="1:28" x14ac:dyDescent="0.25">
      <c r="A2648" t="s">
        <v>2652</v>
      </c>
      <c r="B2648">
        <v>0.99996721820229495</v>
      </c>
      <c r="C2648">
        <v>1.0889514687789801</v>
      </c>
      <c r="D2648">
        <v>1.03578951232223</v>
      </c>
      <c r="E2648">
        <v>0.99806009653740801</v>
      </c>
      <c r="F2648">
        <v>1.2716605148539999</v>
      </c>
      <c r="G2648">
        <v>1.68224084802607</v>
      </c>
      <c r="H2648">
        <v>1.2642330645575599</v>
      </c>
      <c r="I2648">
        <v>1.3404882671474001</v>
      </c>
      <c r="J2648">
        <v>1.2485972117832</v>
      </c>
      <c r="K2648">
        <v>0.80353883083004196</v>
      </c>
      <c r="L2648">
        <v>12854.3261176249</v>
      </c>
      <c r="M2648">
        <v>250</v>
      </c>
      <c r="O2648">
        <v>51.414014096172501</v>
      </c>
      <c r="P2648">
        <v>0.326375963106594</v>
      </c>
      <c r="Q2648">
        <v>1.2684847736114999</v>
      </c>
      <c r="R2648">
        <v>0.24698333175154999</v>
      </c>
      <c r="S2648" t="s">
        <v>8474</v>
      </c>
      <c r="T2648" t="s">
        <v>11650</v>
      </c>
      <c r="U2648" t="s">
        <v>11650</v>
      </c>
      <c r="V2648" t="s">
        <v>11650</v>
      </c>
      <c r="W2648" t="s">
        <v>14253</v>
      </c>
      <c r="X2648">
        <v>5</v>
      </c>
      <c r="Y2648" t="s">
        <v>19964</v>
      </c>
      <c r="Z2648" t="s">
        <v>25710</v>
      </c>
      <c r="AA2648">
        <v>1.166281466266148</v>
      </c>
      <c r="AB2648" t="str">
        <f>HYPERLINK("Melting_Curves/meltCurve_P56277_CMC4.pdf", "Melting_Curves/meltCurve_P56277_CMC4.pdf")</f>
        <v>Melting_Curves/meltCurve_P56277_CMC4.pdf</v>
      </c>
    </row>
    <row r="2649" spans="1:28" x14ac:dyDescent="0.25">
      <c r="A2649" t="s">
        <v>2653</v>
      </c>
      <c r="B2649">
        <v>0.99996721820229495</v>
      </c>
      <c r="C2649">
        <v>1.06190298014388</v>
      </c>
      <c r="D2649">
        <v>1.2725360203607701</v>
      </c>
      <c r="E2649">
        <v>1.25919266279595</v>
      </c>
      <c r="F2649">
        <v>0.68898155716382103</v>
      </c>
      <c r="G2649">
        <v>0.62856396401456005</v>
      </c>
      <c r="H2649">
        <v>0.26809901221779597</v>
      </c>
      <c r="I2649">
        <v>8.5767181445154994E-2</v>
      </c>
      <c r="J2649">
        <v>5.9284253783250002E-2</v>
      </c>
      <c r="K2649">
        <v>6.4697128351805994E-2</v>
      </c>
      <c r="L2649">
        <v>1293.5605106450801</v>
      </c>
      <c r="M2649">
        <v>22.402553861465499</v>
      </c>
      <c r="N2649">
        <v>57.871202119982698</v>
      </c>
      <c r="O2649">
        <v>57.287466862212398</v>
      </c>
      <c r="P2649">
        <v>-9.5375053689342904E-2</v>
      </c>
      <c r="Q2649">
        <v>2.4453772396620801E-2</v>
      </c>
      <c r="R2649">
        <v>0.90685994364367495</v>
      </c>
      <c r="S2649" t="s">
        <v>8475</v>
      </c>
      <c r="T2649" t="s">
        <v>11650</v>
      </c>
      <c r="U2649" t="s">
        <v>11650</v>
      </c>
      <c r="V2649" t="s">
        <v>11650</v>
      </c>
      <c r="W2649" t="s">
        <v>14254</v>
      </c>
      <c r="X2649">
        <v>2</v>
      </c>
      <c r="Y2649" t="s">
        <v>19965</v>
      </c>
      <c r="Z2649" t="s">
        <v>25711</v>
      </c>
      <c r="AA2649">
        <v>0.61132278291014397</v>
      </c>
      <c r="AB2649" t="str">
        <f>HYPERLINK("Melting_Curves/meltCurve_P56377_AP1S2.pdf", "Melting_Curves/meltCurve_P56377_AP1S2.pdf")</f>
        <v>Melting_Curves/meltCurve_P56377_AP1S2.pdf</v>
      </c>
    </row>
    <row r="2650" spans="1:28" x14ac:dyDescent="0.25">
      <c r="A2650" t="s">
        <v>2654</v>
      </c>
      <c r="B2650">
        <v>0.99996721820229495</v>
      </c>
      <c r="C2650">
        <v>0.65327318552546498</v>
      </c>
      <c r="D2650">
        <v>0.63930994787697104</v>
      </c>
      <c r="E2650">
        <v>0.88991291151467899</v>
      </c>
      <c r="F2650">
        <v>1.1794063506005099</v>
      </c>
      <c r="G2650">
        <v>0.757378364619537</v>
      </c>
      <c r="H2650">
        <v>0.91171327422039805</v>
      </c>
      <c r="I2650">
        <v>1.15211707511811</v>
      </c>
      <c r="J2650">
        <v>0.76092925251300603</v>
      </c>
      <c r="K2650">
        <v>0.68381796378370696</v>
      </c>
      <c r="L2650">
        <v>1.0000000000000001E-5</v>
      </c>
      <c r="M2650">
        <v>1.0000000000000001E-5</v>
      </c>
      <c r="Q2650">
        <v>0.72556645444155898</v>
      </c>
      <c r="R2650">
        <v>-1.54807189289841E-9</v>
      </c>
      <c r="S2650" t="s">
        <v>8476</v>
      </c>
      <c r="T2650" t="s">
        <v>11650</v>
      </c>
      <c r="U2650" t="s">
        <v>11650</v>
      </c>
      <c r="V2650" t="s">
        <v>11650</v>
      </c>
      <c r="W2650" t="s">
        <v>14255</v>
      </c>
      <c r="X2650">
        <v>2</v>
      </c>
      <c r="Y2650" t="s">
        <v>19966</v>
      </c>
      <c r="Z2650" t="s">
        <v>25712</v>
      </c>
      <c r="AA2650">
        <v>0.86278255393502767</v>
      </c>
      <c r="AB2650" t="str">
        <f>HYPERLINK("Melting_Curves/meltCurve_P56378_MP68.pdf", "Melting_Curves/meltCurve_P56378_MP68.pdf")</f>
        <v>Melting_Curves/meltCurve_P56378_MP68.pdf</v>
      </c>
    </row>
    <row r="2651" spans="1:28" x14ac:dyDescent="0.25">
      <c r="A2651" t="s">
        <v>2655</v>
      </c>
      <c r="B2651">
        <v>0.99996721820229495</v>
      </c>
      <c r="C2651">
        <v>0.83983673272200499</v>
      </c>
      <c r="D2651">
        <v>0.76921127769942799</v>
      </c>
      <c r="E2651">
        <v>1.3125316822617601</v>
      </c>
      <c r="F2651">
        <v>1.43778262935359</v>
      </c>
      <c r="G2651">
        <v>1.68608994896015</v>
      </c>
      <c r="H2651">
        <v>2.0881634428417502</v>
      </c>
      <c r="I2651">
        <v>2.7560298537838999</v>
      </c>
      <c r="J2651">
        <v>1.3165612854194999</v>
      </c>
      <c r="K2651">
        <v>0.63433913096873396</v>
      </c>
      <c r="L2651">
        <v>4596.4900779127502</v>
      </c>
      <c r="M2651">
        <v>92.428984974999594</v>
      </c>
      <c r="O2651">
        <v>49.706697761045497</v>
      </c>
      <c r="P2651">
        <v>0.23243595914211701</v>
      </c>
      <c r="Q2651">
        <v>1.5</v>
      </c>
      <c r="R2651">
        <v>0.26949028738756597</v>
      </c>
      <c r="S2651" t="s">
        <v>8477</v>
      </c>
      <c r="T2651" t="s">
        <v>11650</v>
      </c>
      <c r="U2651" t="s">
        <v>11650</v>
      </c>
      <c r="V2651" t="s">
        <v>11650</v>
      </c>
      <c r="W2651" t="s">
        <v>14256</v>
      </c>
      <c r="X2651">
        <v>4</v>
      </c>
      <c r="Y2651" t="s">
        <v>19967</v>
      </c>
      <c r="Z2651" t="s">
        <v>25713</v>
      </c>
      <c r="AA2651">
        <v>1.337514243243844</v>
      </c>
      <c r="AB2651" t="str">
        <f>HYPERLINK("Melting_Curves/meltCurve_P56381_ATP5E.pdf", "Melting_Curves/meltCurve_P56381_ATP5E.pdf")</f>
        <v>Melting_Curves/meltCurve_P56381_ATP5E.pdf</v>
      </c>
    </row>
    <row r="2652" spans="1:28" x14ac:dyDescent="0.25">
      <c r="A2652" t="s">
        <v>2656</v>
      </c>
      <c r="B2652">
        <v>0.99996721820229495</v>
      </c>
      <c r="C2652">
        <v>0.721525134571391</v>
      </c>
      <c r="D2652">
        <v>0.79377071485592499</v>
      </c>
      <c r="E2652">
        <v>0.92010737883402005</v>
      </c>
      <c r="F2652">
        <v>1.28731612394572</v>
      </c>
      <c r="G2652">
        <v>1.52826276723697</v>
      </c>
      <c r="H2652">
        <v>1.20132800893952</v>
      </c>
      <c r="I2652">
        <v>1.33334562508856</v>
      </c>
      <c r="J2652">
        <v>1.17558257025589</v>
      </c>
      <c r="K2652">
        <v>0.63820734071699203</v>
      </c>
      <c r="L2652">
        <v>15000</v>
      </c>
      <c r="M2652">
        <v>213.71799524155199</v>
      </c>
      <c r="Q2652">
        <v>0</v>
      </c>
      <c r="R2652">
        <v>0.12403444558424601</v>
      </c>
      <c r="S2652" t="s">
        <v>8478</v>
      </c>
      <c r="T2652" t="s">
        <v>11650</v>
      </c>
      <c r="U2652" t="s">
        <v>11650</v>
      </c>
      <c r="V2652" t="s">
        <v>11650</v>
      </c>
      <c r="W2652" t="s">
        <v>14257</v>
      </c>
      <c r="X2652">
        <v>5</v>
      </c>
      <c r="Y2652" t="s">
        <v>19968</v>
      </c>
      <c r="Z2652" t="s">
        <v>25714</v>
      </c>
      <c r="AA2652">
        <v>0.99516065895854111</v>
      </c>
      <c r="AB2652" t="str">
        <f>HYPERLINK("Melting_Curves/meltCurve_P56385_ATP5I.pdf", "Melting_Curves/meltCurve_P56385_ATP5I.pdf")</f>
        <v>Melting_Curves/meltCurve_P56385_ATP5I.pdf</v>
      </c>
    </row>
    <row r="2653" spans="1:28" x14ac:dyDescent="0.25">
      <c r="A2653" t="s">
        <v>2657</v>
      </c>
      <c r="B2653">
        <v>0.99996721820229495</v>
      </c>
      <c r="C2653">
        <v>0.84615795334131105</v>
      </c>
      <c r="D2653">
        <v>0.81478845211373796</v>
      </c>
      <c r="E2653">
        <v>0.84887893651103297</v>
      </c>
      <c r="F2653">
        <v>0.79422125256937703</v>
      </c>
      <c r="G2653">
        <v>0.70958610343344897</v>
      </c>
      <c r="H2653">
        <v>0.40899811206985598</v>
      </c>
      <c r="I2653">
        <v>0.28088542569129699</v>
      </c>
      <c r="J2653">
        <v>0.27534129536952501</v>
      </c>
      <c r="K2653">
        <v>0.30328521152106502</v>
      </c>
      <c r="L2653">
        <v>475.92050694349001</v>
      </c>
      <c r="M2653">
        <v>7.9502298721489799</v>
      </c>
      <c r="N2653">
        <v>59.862483751503703</v>
      </c>
      <c r="O2653">
        <v>56.430675998287498</v>
      </c>
      <c r="P2653">
        <v>-3.5261997216100301E-2</v>
      </c>
      <c r="Q2653">
        <v>0</v>
      </c>
      <c r="R2653">
        <v>0.92071243327911201</v>
      </c>
      <c r="S2653" t="s">
        <v>8479</v>
      </c>
      <c r="T2653" t="s">
        <v>11650</v>
      </c>
      <c r="U2653" t="s">
        <v>11650</v>
      </c>
      <c r="V2653" t="s">
        <v>11650</v>
      </c>
      <c r="W2653" t="s">
        <v>14258</v>
      </c>
      <c r="X2653">
        <v>4</v>
      </c>
      <c r="Y2653" t="s">
        <v>19969</v>
      </c>
      <c r="Z2653" t="s">
        <v>25715</v>
      </c>
      <c r="AA2653">
        <v>0.64798939834046287</v>
      </c>
      <c r="AB2653" t="str">
        <f>HYPERLINK("Melting_Curves/meltCurve_P56524_HDAC4.pdf", "Melting_Curves/meltCurve_P56524_HDAC4.pdf")</f>
        <v>Melting_Curves/meltCurve_P56524_HDAC4.pdf</v>
      </c>
    </row>
    <row r="2654" spans="1:28" x14ac:dyDescent="0.25">
      <c r="A2654" t="s">
        <v>2658</v>
      </c>
      <c r="B2654">
        <v>0.99996721820229495</v>
      </c>
      <c r="C2654">
        <v>1.08054364763175</v>
      </c>
      <c r="D2654">
        <v>1.0641236719651901</v>
      </c>
      <c r="E2654">
        <v>1.01407421271388</v>
      </c>
      <c r="F2654">
        <v>1.3453372894724001</v>
      </c>
      <c r="G2654">
        <v>1.22065320534063</v>
      </c>
      <c r="H2654">
        <v>0.50289484096155401</v>
      </c>
      <c r="I2654">
        <v>0.143834733533762</v>
      </c>
      <c r="J2654">
        <v>8.0089958109932594E-2</v>
      </c>
      <c r="K2654">
        <v>6.1931849361810398E-2</v>
      </c>
      <c r="L2654">
        <v>6248.1589528350996</v>
      </c>
      <c r="M2654">
        <v>102.61224849528099</v>
      </c>
      <c r="N2654">
        <v>61.013024372684903</v>
      </c>
      <c r="O2654">
        <v>60.8678698776678</v>
      </c>
      <c r="P2654">
        <v>-0.38234342002624899</v>
      </c>
      <c r="Q2654">
        <v>9.2801466088217099E-2</v>
      </c>
      <c r="R2654">
        <v>0.91960402287284404</v>
      </c>
      <c r="S2654" t="s">
        <v>8480</v>
      </c>
      <c r="T2654" t="s">
        <v>11650</v>
      </c>
      <c r="U2654" t="s">
        <v>11650</v>
      </c>
      <c r="V2654" t="s">
        <v>11650</v>
      </c>
      <c r="W2654" t="s">
        <v>14259</v>
      </c>
      <c r="X2654">
        <v>7</v>
      </c>
      <c r="Y2654" t="s">
        <v>19970</v>
      </c>
      <c r="Z2654" t="s">
        <v>25716</v>
      </c>
      <c r="AA2654">
        <v>0.72511930719981976</v>
      </c>
      <c r="AB2654" t="str">
        <f>HYPERLINK("Melting_Curves/meltCurve_P56537_EIF6.pdf", "Melting_Curves/meltCurve_P56537_EIF6.pdf")</f>
        <v>Melting_Curves/meltCurve_P56537_EIF6.pdf</v>
      </c>
    </row>
    <row r="2655" spans="1:28" x14ac:dyDescent="0.25">
      <c r="A2655" t="s">
        <v>2659</v>
      </c>
      <c r="B2655">
        <v>0.99996721820229495</v>
      </c>
      <c r="C2655">
        <v>0.99075500123274796</v>
      </c>
      <c r="D2655">
        <v>0.98378678489990301</v>
      </c>
      <c r="E2655">
        <v>1.1033835180382701</v>
      </c>
      <c r="F2655">
        <v>0.81963967356082101</v>
      </c>
      <c r="G2655">
        <v>0.48497810989705697</v>
      </c>
      <c r="H2655">
        <v>0.241963510830077</v>
      </c>
      <c r="I2655">
        <v>0.16986929479818</v>
      </c>
      <c r="J2655">
        <v>0.150427610759545</v>
      </c>
      <c r="K2655">
        <v>0.11227297182421</v>
      </c>
      <c r="L2655">
        <v>1546.5159574158799</v>
      </c>
      <c r="M2655">
        <v>27.5130143636135</v>
      </c>
      <c r="N2655">
        <v>56.855826077291098</v>
      </c>
      <c r="O2655">
        <v>55.915910391340503</v>
      </c>
      <c r="P2655">
        <v>-0.106511133652462</v>
      </c>
      <c r="Q2655">
        <v>0.13413901709484599</v>
      </c>
      <c r="R2655">
        <v>0.98669867687034196</v>
      </c>
      <c r="S2655" t="s">
        <v>8481</v>
      </c>
      <c r="T2655" t="s">
        <v>11650</v>
      </c>
      <c r="U2655" t="s">
        <v>11650</v>
      </c>
      <c r="V2655" t="s">
        <v>11650</v>
      </c>
      <c r="W2655" t="s">
        <v>14260</v>
      </c>
      <c r="X2655">
        <v>13</v>
      </c>
      <c r="Y2655" t="s">
        <v>19971</v>
      </c>
      <c r="Z2655" t="s">
        <v>25717</v>
      </c>
      <c r="AA2655">
        <v>0.608741481698861</v>
      </c>
      <c r="AB2655" t="str">
        <f>HYPERLINK("Melting_Curves/meltCurve_P56545_2_CTBP2.pdf", "Melting_Curves/meltCurve_P56545_2_CTBP2.pdf")</f>
        <v>Melting_Curves/meltCurve_P56545_2_CTBP2.pdf</v>
      </c>
    </row>
    <row r="2656" spans="1:28" x14ac:dyDescent="0.25">
      <c r="A2656" t="s">
        <v>2660</v>
      </c>
      <c r="B2656">
        <v>0.99996721820229495</v>
      </c>
      <c r="C2656">
        <v>0.87644791212130602</v>
      </c>
      <c r="D2656">
        <v>0.70304794270690796</v>
      </c>
      <c r="E2656">
        <v>0.30164630532852899</v>
      </c>
      <c r="F2656">
        <v>0.255167356366863</v>
      </c>
      <c r="G2656">
        <v>0.251255357601607</v>
      </c>
      <c r="H2656">
        <v>0.12699591233679</v>
      </c>
      <c r="I2656">
        <v>6.9847532966968301E-2</v>
      </c>
      <c r="J2656">
        <v>6.1030764438066702E-2</v>
      </c>
      <c r="K2656">
        <v>3.3430069484309002E-2</v>
      </c>
      <c r="L2656">
        <v>776.20268202270199</v>
      </c>
      <c r="M2656">
        <v>16.251240351304698</v>
      </c>
      <c r="N2656">
        <v>48.274342337493998</v>
      </c>
      <c r="O2656">
        <v>47.057023492741003</v>
      </c>
      <c r="P2656">
        <v>-7.9513156762422002E-2</v>
      </c>
      <c r="Q2656">
        <v>7.9116084491022198E-2</v>
      </c>
      <c r="R2656">
        <v>0.97828065186641799</v>
      </c>
      <c r="S2656" t="s">
        <v>8482</v>
      </c>
      <c r="T2656" t="s">
        <v>11650</v>
      </c>
      <c r="U2656" t="s">
        <v>11650</v>
      </c>
      <c r="V2656" t="s">
        <v>11650</v>
      </c>
      <c r="W2656" t="s">
        <v>14261</v>
      </c>
      <c r="X2656">
        <v>3</v>
      </c>
      <c r="Y2656" t="s">
        <v>19972</v>
      </c>
      <c r="Z2656" t="s">
        <v>25718</v>
      </c>
      <c r="AA2656">
        <v>0.33777534386663999</v>
      </c>
      <c r="AB2656" t="str">
        <f>HYPERLINK("Melting_Curves/meltCurve_P56589_PEX3.pdf", "Melting_Curves/meltCurve_P56589_PEX3.pdf")</f>
        <v>Melting_Curves/meltCurve_P56589_PEX3.pdf</v>
      </c>
    </row>
    <row r="2657" spans="1:28" x14ac:dyDescent="0.25">
      <c r="A2657" t="s">
        <v>2661</v>
      </c>
      <c r="B2657">
        <v>0.99996721820229495</v>
      </c>
      <c r="C2657">
        <v>0.71048662250388095</v>
      </c>
      <c r="D2657">
        <v>0.88649781662374805</v>
      </c>
      <c r="E2657">
        <v>0.439569603158039</v>
      </c>
      <c r="F2657">
        <v>1.1560225657171499</v>
      </c>
      <c r="G2657">
        <v>1.04607430503786</v>
      </c>
      <c r="H2657">
        <v>0.80311834977933205</v>
      </c>
      <c r="I2657">
        <v>0</v>
      </c>
      <c r="J2657">
        <v>0</v>
      </c>
      <c r="K2657">
        <v>0</v>
      </c>
      <c r="S2657" t="s">
        <v>8483</v>
      </c>
      <c r="T2657" t="s">
        <v>11650</v>
      </c>
      <c r="U2657" t="s">
        <v>11651</v>
      </c>
      <c r="V2657" t="s">
        <v>11650</v>
      </c>
      <c r="W2657" t="s">
        <v>14262</v>
      </c>
      <c r="X2657">
        <v>2</v>
      </c>
      <c r="Y2657" t="s">
        <v>19973</v>
      </c>
      <c r="Z2657" t="s">
        <v>25719</v>
      </c>
      <c r="AB2657" t="str">
        <f>HYPERLINK("Melting_Curves/meltCurve_P56817_4_BACE1.pdf", "Melting_Curves/meltCurve_P56817_4_BACE1.pdf")</f>
        <v>Melting_Curves/meltCurve_P56817_4_BACE1.pdf</v>
      </c>
    </row>
    <row r="2658" spans="1:28" x14ac:dyDescent="0.25">
      <c r="A2658" t="s">
        <v>2662</v>
      </c>
      <c r="B2658">
        <v>0.99996721820229495</v>
      </c>
      <c r="C2658">
        <v>1.04333220330765</v>
      </c>
      <c r="D2658">
        <v>1.0110040402863201</v>
      </c>
      <c r="E2658">
        <v>0.68326041834272</v>
      </c>
      <c r="F2658">
        <v>0.293749781527472</v>
      </c>
      <c r="G2658">
        <v>0.26073807305874003</v>
      </c>
      <c r="H2658">
        <v>0.16018821511394599</v>
      </c>
      <c r="I2658">
        <v>0.102440465696911</v>
      </c>
      <c r="J2658">
        <v>8.3754492891276497E-2</v>
      </c>
      <c r="K2658">
        <v>6.9649127361378793E-2</v>
      </c>
      <c r="L2658">
        <v>1553.9419096598001</v>
      </c>
      <c r="M2658">
        <v>30.510835647468699</v>
      </c>
      <c r="N2658">
        <v>51.400885532074</v>
      </c>
      <c r="O2658">
        <v>50.713535207459202</v>
      </c>
      <c r="P2658">
        <v>-0.132098855281433</v>
      </c>
      <c r="Q2658">
        <v>0.12173381745843199</v>
      </c>
      <c r="R2658">
        <v>0.98587489801597405</v>
      </c>
      <c r="S2658" t="s">
        <v>8484</v>
      </c>
      <c r="T2658" t="s">
        <v>11650</v>
      </c>
      <c r="U2658" t="s">
        <v>11650</v>
      </c>
      <c r="V2658" t="s">
        <v>11650</v>
      </c>
      <c r="W2658" t="s">
        <v>14263</v>
      </c>
      <c r="X2658">
        <v>5</v>
      </c>
      <c r="Y2658" t="s">
        <v>19974</v>
      </c>
      <c r="Z2658" t="s">
        <v>25720</v>
      </c>
      <c r="AA2658">
        <v>0.4470716587258175</v>
      </c>
      <c r="AB2658" t="str">
        <f>HYPERLINK("Melting_Curves/meltCurve_P56937_3_HSD17B7.pdf", "Melting_Curves/meltCurve_P56937_3_HSD17B7.pdf")</f>
        <v>Melting_Curves/meltCurve_P56937_3_HSD17B7.pdf</v>
      </c>
    </row>
    <row r="2659" spans="1:28" x14ac:dyDescent="0.25">
      <c r="A2659" t="s">
        <v>2663</v>
      </c>
      <c r="B2659">
        <v>0.99996721820229495</v>
      </c>
      <c r="C2659">
        <v>1.0647715148954899</v>
      </c>
      <c r="D2659">
        <v>0.77326699564767698</v>
      </c>
      <c r="E2659">
        <v>0.47060820666810999</v>
      </c>
      <c r="F2659">
        <v>0.50322454128390504</v>
      </c>
      <c r="G2659">
        <v>0.40216434675201201</v>
      </c>
      <c r="H2659">
        <v>0.243865469414383</v>
      </c>
      <c r="I2659">
        <v>0.159912762858654</v>
      </c>
      <c r="J2659">
        <v>0.12552558424360999</v>
      </c>
      <c r="K2659">
        <v>9.8063566867290106E-2</v>
      </c>
      <c r="L2659">
        <v>573.79102744132297</v>
      </c>
      <c r="M2659">
        <v>11.1582472290442</v>
      </c>
      <c r="N2659">
        <v>52.266057702863598</v>
      </c>
      <c r="O2659">
        <v>49.854323083598402</v>
      </c>
      <c r="P2659">
        <v>-5.1362585129088499E-2</v>
      </c>
      <c r="Q2659">
        <v>8.23542660836558E-2</v>
      </c>
      <c r="R2659">
        <v>0.94859318649211499</v>
      </c>
      <c r="S2659" t="s">
        <v>8485</v>
      </c>
      <c r="T2659" t="s">
        <v>11650</v>
      </c>
      <c r="U2659" t="s">
        <v>11650</v>
      </c>
      <c r="V2659" t="s">
        <v>11650</v>
      </c>
      <c r="W2659" t="s">
        <v>14264</v>
      </c>
      <c r="X2659">
        <v>11</v>
      </c>
      <c r="Y2659" t="s">
        <v>19975</v>
      </c>
      <c r="Z2659" t="s">
        <v>25721</v>
      </c>
      <c r="AA2659">
        <v>0.46388414139749401</v>
      </c>
      <c r="AB2659" t="str">
        <f>HYPERLINK("Melting_Curves/meltCurve_P56945_5_BCAR1.pdf", "Melting_Curves/meltCurve_P56945_5_BCAR1.pdf")</f>
        <v>Melting_Curves/meltCurve_P56945_5_BCAR1.pdf</v>
      </c>
    </row>
    <row r="2660" spans="1:28" x14ac:dyDescent="0.25">
      <c r="A2660" t="s">
        <v>2664</v>
      </c>
      <c r="B2660">
        <v>0.99996721820229495</v>
      </c>
      <c r="C2660">
        <v>0.89100871142463101</v>
      </c>
      <c r="D2660">
        <v>0.79052474475076995</v>
      </c>
      <c r="E2660">
        <v>0.54340681181533201</v>
      </c>
      <c r="F2660">
        <v>0.41716248584934401</v>
      </c>
      <c r="G2660">
        <v>0.41242110546466199</v>
      </c>
      <c r="H2660">
        <v>0.23258807879804499</v>
      </c>
      <c r="I2660">
        <v>0.20130555721270799</v>
      </c>
      <c r="J2660">
        <v>0.157198577732449</v>
      </c>
      <c r="K2660">
        <v>0.11246025843752699</v>
      </c>
      <c r="L2660">
        <v>519.32521527909603</v>
      </c>
      <c r="M2660">
        <v>10.178133360238199</v>
      </c>
      <c r="N2660">
        <v>52.030040897670901</v>
      </c>
      <c r="O2660">
        <v>49.171573578315403</v>
      </c>
      <c r="P2660">
        <v>-4.7145599891197799E-2</v>
      </c>
      <c r="Q2660">
        <v>8.93538553903611E-2</v>
      </c>
      <c r="R2660">
        <v>0.98237781849227801</v>
      </c>
      <c r="S2660" t="s">
        <v>8486</v>
      </c>
      <c r="T2660" t="s">
        <v>11650</v>
      </c>
      <c r="U2660" t="s">
        <v>11650</v>
      </c>
      <c r="V2660" t="s">
        <v>11650</v>
      </c>
      <c r="W2660" t="s">
        <v>14265</v>
      </c>
      <c r="X2660">
        <v>4</v>
      </c>
      <c r="Y2660" t="s">
        <v>19976</v>
      </c>
      <c r="Z2660" t="s">
        <v>25722</v>
      </c>
      <c r="AA2660">
        <v>0.4609523254479761</v>
      </c>
      <c r="AB2660" t="str">
        <f>HYPERLINK("Melting_Curves/meltCurve_P56962_STX17.pdf", "Melting_Curves/meltCurve_P56962_STX17.pdf")</f>
        <v>Melting_Curves/meltCurve_P56962_STX17.pdf</v>
      </c>
    </row>
    <row r="2661" spans="1:28" x14ac:dyDescent="0.25">
      <c r="A2661" t="s">
        <v>2665</v>
      </c>
      <c r="B2661">
        <v>0.99996721820229495</v>
      </c>
      <c r="C2661">
        <v>0.95376475966803098</v>
      </c>
      <c r="D2661">
        <v>0.85857417345374598</v>
      </c>
      <c r="E2661">
        <v>0.88753454742579296</v>
      </c>
      <c r="F2661">
        <v>0.92313262113313499</v>
      </c>
      <c r="G2661">
        <v>0.69248763264533197</v>
      </c>
      <c r="H2661">
        <v>0.67266928109679103</v>
      </c>
      <c r="I2661">
        <v>0.47871403561327103</v>
      </c>
      <c r="J2661">
        <v>0.37263880047164599</v>
      </c>
      <c r="K2661">
        <v>0.361674751518196</v>
      </c>
      <c r="L2661">
        <v>509.60643974323898</v>
      </c>
      <c r="M2661">
        <v>7.9357935256613397</v>
      </c>
      <c r="N2661">
        <v>64.216190367535802</v>
      </c>
      <c r="O2661">
        <v>60.522635353781297</v>
      </c>
      <c r="P2661">
        <v>-3.2818476485346401E-2</v>
      </c>
      <c r="Q2661">
        <v>0</v>
      </c>
      <c r="R2661">
        <v>0.94877739158680596</v>
      </c>
      <c r="S2661" t="s">
        <v>8487</v>
      </c>
      <c r="T2661" t="s">
        <v>11650</v>
      </c>
      <c r="U2661" t="s">
        <v>11650</v>
      </c>
      <c r="V2661" t="s">
        <v>11650</v>
      </c>
      <c r="W2661" t="s">
        <v>14266</v>
      </c>
      <c r="X2661">
        <v>3</v>
      </c>
      <c r="Y2661" t="s">
        <v>19977</v>
      </c>
      <c r="Z2661" t="s">
        <v>25723</v>
      </c>
      <c r="AA2661">
        <v>0.74180733212247374</v>
      </c>
      <c r="AB2661" t="str">
        <f>HYPERLINK("Melting_Curves/meltCurve_P57060_RWDD2B.pdf", "Melting_Curves/meltCurve_P57060_RWDD2B.pdf")</f>
        <v>Melting_Curves/meltCurve_P57060_RWDD2B.pdf</v>
      </c>
    </row>
    <row r="2662" spans="1:28" x14ac:dyDescent="0.25">
      <c r="A2662" t="s">
        <v>2666</v>
      </c>
      <c r="B2662">
        <v>0.99996721820229495</v>
      </c>
      <c r="C2662">
        <v>0.92871339248622198</v>
      </c>
      <c r="D2662">
        <v>0.56985290441335101</v>
      </c>
      <c r="E2662">
        <v>0.212673095836559</v>
      </c>
      <c r="F2662">
        <v>0.2409453340628</v>
      </c>
      <c r="G2662">
        <v>0.15034947937444401</v>
      </c>
      <c r="H2662">
        <v>0.126479958003957</v>
      </c>
      <c r="I2662">
        <v>8.8718244912610406E-2</v>
      </c>
      <c r="J2662">
        <v>9.4449348883152998E-2</v>
      </c>
      <c r="K2662">
        <v>4.4358848574528202E-2</v>
      </c>
      <c r="L2662">
        <v>1150.51189726606</v>
      </c>
      <c r="M2662">
        <v>24.8430115081424</v>
      </c>
      <c r="N2662">
        <v>46.785648349802898</v>
      </c>
      <c r="O2662">
        <v>46.014341844119102</v>
      </c>
      <c r="P2662">
        <v>-0.119948967861416</v>
      </c>
      <c r="Q2662">
        <v>0.111332100551486</v>
      </c>
      <c r="R2662">
        <v>0.98465894367314999</v>
      </c>
      <c r="S2662" t="s">
        <v>8488</v>
      </c>
      <c r="T2662" t="s">
        <v>11650</v>
      </c>
      <c r="U2662" t="s">
        <v>11650</v>
      </c>
      <c r="V2662" t="s">
        <v>11650</v>
      </c>
      <c r="W2662" t="s">
        <v>14267</v>
      </c>
      <c r="X2662">
        <v>4</v>
      </c>
      <c r="Y2662" t="s">
        <v>19978</v>
      </c>
      <c r="Z2662" t="s">
        <v>25724</v>
      </c>
      <c r="AA2662">
        <v>0.30649806182542327</v>
      </c>
      <c r="AB2662" t="str">
        <f>HYPERLINK("Melting_Curves/meltCurve_P57076_C21orf59.pdf", "Melting_Curves/meltCurve_P57076_C21orf59.pdf")</f>
        <v>Melting_Curves/meltCurve_P57076_C21orf59.pdf</v>
      </c>
    </row>
    <row r="2663" spans="1:28" x14ac:dyDescent="0.25">
      <c r="A2663" t="s">
        <v>2667</v>
      </c>
      <c r="B2663">
        <v>0.99996721820229495</v>
      </c>
      <c r="C2663">
        <v>1.0847627426244599</v>
      </c>
      <c r="D2663">
        <v>1.0353331086289199</v>
      </c>
      <c r="E2663">
        <v>0.96098397584182305</v>
      </c>
      <c r="F2663">
        <v>1.2838203911892401</v>
      </c>
      <c r="G2663">
        <v>1.40685696037763</v>
      </c>
      <c r="H2663">
        <v>0.98453846459170902</v>
      </c>
      <c r="I2663">
        <v>0.99542224103379295</v>
      </c>
      <c r="J2663">
        <v>0.965127594083938</v>
      </c>
      <c r="K2663">
        <v>0.60363498583698905</v>
      </c>
      <c r="L2663">
        <v>4517.4874537271598</v>
      </c>
      <c r="M2663">
        <v>64.114789611552595</v>
      </c>
      <c r="Q2663">
        <v>0</v>
      </c>
      <c r="R2663">
        <v>0.36617742576326701</v>
      </c>
      <c r="S2663" t="s">
        <v>8489</v>
      </c>
      <c r="T2663" t="s">
        <v>11650</v>
      </c>
      <c r="U2663" t="s">
        <v>11650</v>
      </c>
      <c r="V2663" t="s">
        <v>11650</v>
      </c>
      <c r="W2663" t="s">
        <v>14268</v>
      </c>
      <c r="X2663">
        <v>8</v>
      </c>
      <c r="Y2663" t="s">
        <v>19979</v>
      </c>
      <c r="Z2663" t="s">
        <v>25725</v>
      </c>
      <c r="AA2663">
        <v>0.98236166008014369</v>
      </c>
      <c r="AB2663" t="str">
        <f>HYPERLINK("Melting_Curves/meltCurve_P57077_4_MAP3K7CL.pdf", "Melting_Curves/meltCurve_P57077_4_MAP3K7CL.pdf")</f>
        <v>Melting_Curves/meltCurve_P57077_4_MAP3K7CL.pdf</v>
      </c>
    </row>
    <row r="2664" spans="1:28" x14ac:dyDescent="0.25">
      <c r="A2664" t="s">
        <v>2668</v>
      </c>
      <c r="B2664">
        <v>0.99996721820229495</v>
      </c>
      <c r="C2664">
        <v>0.994930627264904</v>
      </c>
      <c r="D2664">
        <v>1.23202085206449</v>
      </c>
      <c r="E2664">
        <v>1.42318426358559</v>
      </c>
      <c r="F2664">
        <v>1.4160408928411199</v>
      </c>
      <c r="G2664">
        <v>0.76338415436422402</v>
      </c>
      <c r="H2664">
        <v>0.293655653873658</v>
      </c>
      <c r="I2664">
        <v>0.26364954093823101</v>
      </c>
      <c r="J2664">
        <v>0.17632028265460101</v>
      </c>
      <c r="K2664">
        <v>0.20715431840486201</v>
      </c>
      <c r="L2664">
        <v>3819.0589232852099</v>
      </c>
      <c r="M2664">
        <v>66.114444061413707</v>
      </c>
      <c r="N2664">
        <v>58.302439082214903</v>
      </c>
      <c r="O2664">
        <v>57.711586188697098</v>
      </c>
      <c r="P2664">
        <v>-0.220995979361262</v>
      </c>
      <c r="Q2664">
        <v>0.22836680377822599</v>
      </c>
      <c r="R2664">
        <v>0.82100149313741799</v>
      </c>
      <c r="S2664" t="s">
        <v>8490</v>
      </c>
      <c r="T2664" t="s">
        <v>11650</v>
      </c>
      <c r="U2664" t="s">
        <v>11650</v>
      </c>
      <c r="V2664" t="s">
        <v>11650</v>
      </c>
      <c r="W2664" t="s">
        <v>14269</v>
      </c>
      <c r="X2664">
        <v>4</v>
      </c>
      <c r="Y2664" t="s">
        <v>19980</v>
      </c>
      <c r="Z2664" t="s">
        <v>25726</v>
      </c>
      <c r="AA2664">
        <v>0.68640741927669835</v>
      </c>
      <c r="AB2664" t="str">
        <f>HYPERLINK("Melting_Curves/meltCurve_P57081_2_WDR4.pdf", "Melting_Curves/meltCurve_P57081_2_WDR4.pdf")</f>
        <v>Melting_Curves/meltCurve_P57081_2_WDR4.pdf</v>
      </c>
    </row>
    <row r="2665" spans="1:28" x14ac:dyDescent="0.25">
      <c r="A2665" t="s">
        <v>2669</v>
      </c>
      <c r="B2665">
        <v>0.99996721820229495</v>
      </c>
      <c r="C2665">
        <v>0.93207581665645201</v>
      </c>
      <c r="D2665">
        <v>1.0811239412500899</v>
      </c>
      <c r="E2665">
        <v>1.04436609962765</v>
      </c>
      <c r="F2665">
        <v>1.4519243093374901</v>
      </c>
      <c r="G2665">
        <v>1.1386781465799301</v>
      </c>
      <c r="H2665">
        <v>0.65826021218841502</v>
      </c>
      <c r="I2665">
        <v>0.15819545875978999</v>
      </c>
      <c r="J2665">
        <v>6.4998617067894296E-2</v>
      </c>
      <c r="K2665">
        <v>6.8780927489508994E-2</v>
      </c>
      <c r="L2665">
        <v>4062.7242814575002</v>
      </c>
      <c r="M2665">
        <v>66.022967762856496</v>
      </c>
      <c r="N2665">
        <v>61.680415619594903</v>
      </c>
      <c r="O2665">
        <v>61.478634099769302</v>
      </c>
      <c r="P2665">
        <v>-0.249131541808047</v>
      </c>
      <c r="Q2665">
        <v>7.2064578436145402E-2</v>
      </c>
      <c r="R2665">
        <v>0.89285883715882297</v>
      </c>
      <c r="S2665" t="s">
        <v>8491</v>
      </c>
      <c r="T2665" t="s">
        <v>11650</v>
      </c>
      <c r="U2665" t="s">
        <v>11650</v>
      </c>
      <c r="V2665" t="s">
        <v>11650</v>
      </c>
      <c r="W2665" t="s">
        <v>14270</v>
      </c>
      <c r="X2665">
        <v>4</v>
      </c>
      <c r="Y2665" t="s">
        <v>19981</v>
      </c>
      <c r="Z2665" t="s">
        <v>25727</v>
      </c>
      <c r="AA2665">
        <v>0.73959592059422563</v>
      </c>
      <c r="AB2665" t="str">
        <f>HYPERLINK("Melting_Curves/meltCurve_P57088_TMEM33.pdf", "Melting_Curves/meltCurve_P57088_TMEM33.pdf")</f>
        <v>Melting_Curves/meltCurve_P57088_TMEM33.pdf</v>
      </c>
    </row>
    <row r="2666" spans="1:28" x14ac:dyDescent="0.25">
      <c r="A2666" t="s">
        <v>2670</v>
      </c>
      <c r="B2666">
        <v>0.99996721820229495</v>
      </c>
      <c r="C2666">
        <v>0.68251766831301897</v>
      </c>
      <c r="D2666">
        <v>0.74894202449902303</v>
      </c>
      <c r="E2666">
        <v>0.70389839078973004</v>
      </c>
      <c r="F2666">
        <v>0.38978944139578803</v>
      </c>
      <c r="G2666">
        <v>0.28351004983122802</v>
      </c>
      <c r="H2666">
        <v>0.19745439891303099</v>
      </c>
      <c r="I2666">
        <v>0.16875416012441699</v>
      </c>
      <c r="J2666">
        <v>0.147315681712792</v>
      </c>
      <c r="K2666">
        <v>0.12705378067230599</v>
      </c>
      <c r="L2666">
        <v>425.08130145230501</v>
      </c>
      <c r="M2666">
        <v>8.2438395697058802</v>
      </c>
      <c r="N2666">
        <v>51.623795596879098</v>
      </c>
      <c r="O2666">
        <v>48.796298128837101</v>
      </c>
      <c r="P2666">
        <v>-4.2076132048288799E-2</v>
      </c>
      <c r="Q2666">
        <v>4.79084025482783E-3</v>
      </c>
      <c r="R2666">
        <v>0.93502591849342098</v>
      </c>
      <c r="S2666" t="s">
        <v>8492</v>
      </c>
      <c r="T2666" t="s">
        <v>11650</v>
      </c>
      <c r="U2666" t="s">
        <v>11650</v>
      </c>
      <c r="V2666" t="s">
        <v>11650</v>
      </c>
      <c r="W2666" t="s">
        <v>14271</v>
      </c>
      <c r="X2666">
        <v>4</v>
      </c>
      <c r="Y2666" t="s">
        <v>19982</v>
      </c>
      <c r="Z2666" t="s">
        <v>25728</v>
      </c>
      <c r="AA2666">
        <v>0.43663287615975949</v>
      </c>
      <c r="AB2666" t="str">
        <f>HYPERLINK("Melting_Curves/meltCurve_P57105_SYNJ2BP.pdf", "Melting_Curves/meltCurve_P57105_SYNJ2BP.pdf")</f>
        <v>Melting_Curves/meltCurve_P57105_SYNJ2BP.pdf</v>
      </c>
    </row>
    <row r="2667" spans="1:28" x14ac:dyDescent="0.25">
      <c r="A2667" t="s">
        <v>2671</v>
      </c>
      <c r="B2667">
        <v>0.99996721820229495</v>
      </c>
      <c r="C2667">
        <v>0.90350185940078098</v>
      </c>
      <c r="D2667">
        <v>0.76548409586743704</v>
      </c>
      <c r="E2667">
        <v>0.72350073005128801</v>
      </c>
      <c r="F2667">
        <v>0.67050591015351502</v>
      </c>
      <c r="G2667">
        <v>0.56223904963263105</v>
      </c>
      <c r="H2667">
        <v>0.34793985171347203</v>
      </c>
      <c r="I2667">
        <v>0.23481638050810399</v>
      </c>
      <c r="J2667">
        <v>0.17915350029237301</v>
      </c>
      <c r="K2667">
        <v>0.144224045412812</v>
      </c>
      <c r="L2667">
        <v>459.626132762287</v>
      </c>
      <c r="M2667">
        <v>8.1589285455339802</v>
      </c>
      <c r="N2667">
        <v>56.334128947132903</v>
      </c>
      <c r="O2667">
        <v>53.253249243062903</v>
      </c>
      <c r="P2667">
        <v>-3.8342738385785703E-2</v>
      </c>
      <c r="Q2667">
        <v>0</v>
      </c>
      <c r="R2667">
        <v>0.97201982575722601</v>
      </c>
      <c r="S2667" t="s">
        <v>8493</v>
      </c>
      <c r="T2667" t="s">
        <v>11650</v>
      </c>
      <c r="U2667" t="s">
        <v>11650</v>
      </c>
      <c r="V2667" t="s">
        <v>11650</v>
      </c>
      <c r="W2667" t="s">
        <v>14272</v>
      </c>
      <c r="X2667">
        <v>18</v>
      </c>
      <c r="Y2667" t="s">
        <v>19983</v>
      </c>
      <c r="Z2667" t="s">
        <v>25729</v>
      </c>
      <c r="AA2667">
        <v>0.5620153733327119</v>
      </c>
      <c r="AB2667" t="str">
        <f>HYPERLINK("Melting_Curves/meltCurve_P57737_3_CORO7.pdf", "Melting_Curves/meltCurve_P57737_3_CORO7.pdf")</f>
        <v>Melting_Curves/meltCurve_P57737_3_CORO7.pdf</v>
      </c>
    </row>
    <row r="2668" spans="1:28" x14ac:dyDescent="0.25">
      <c r="A2668" t="s">
        <v>2672</v>
      </c>
      <c r="B2668">
        <v>0.99996721820229495</v>
      </c>
      <c r="C2668">
        <v>1.0535112225896599</v>
      </c>
      <c r="D2668">
        <v>1.0829103893729899</v>
      </c>
      <c r="E2668">
        <v>0.86029684930232198</v>
      </c>
      <c r="F2668">
        <v>0.81171689812011005</v>
      </c>
      <c r="G2668">
        <v>0.54370018355928196</v>
      </c>
      <c r="H2668">
        <v>0.30612678940374399</v>
      </c>
      <c r="I2668">
        <v>0.15343821862788101</v>
      </c>
      <c r="J2668">
        <v>0.13259673068580599</v>
      </c>
      <c r="K2668">
        <v>0.110550352602493</v>
      </c>
      <c r="L2668">
        <v>983.87712030098305</v>
      </c>
      <c r="M2668">
        <v>17.240945341514301</v>
      </c>
      <c r="N2668">
        <v>57.497892802851602</v>
      </c>
      <c r="O2668">
        <v>56.315176252383601</v>
      </c>
      <c r="P2668">
        <v>-7.1896565487642297E-2</v>
      </c>
      <c r="Q2668">
        <v>6.0693957200279099E-2</v>
      </c>
      <c r="R2668">
        <v>0.98736281389825797</v>
      </c>
      <c r="S2668" t="s">
        <v>8494</v>
      </c>
      <c r="T2668" t="s">
        <v>11650</v>
      </c>
      <c r="U2668" t="s">
        <v>11650</v>
      </c>
      <c r="V2668" t="s">
        <v>11650</v>
      </c>
      <c r="W2668" t="s">
        <v>14273</v>
      </c>
      <c r="X2668">
        <v>4</v>
      </c>
      <c r="Y2668" t="s">
        <v>19984</v>
      </c>
      <c r="Z2668" t="s">
        <v>25730</v>
      </c>
      <c r="AA2668">
        <v>0.60837633619121589</v>
      </c>
      <c r="AB2668" t="str">
        <f>HYPERLINK("Melting_Curves/meltCurve_P57768_SNX16.pdf", "Melting_Curves/meltCurve_P57768_SNX16.pdf")</f>
        <v>Melting_Curves/meltCurve_P57768_SNX16.pdf</v>
      </c>
    </row>
    <row r="2669" spans="1:28" x14ac:dyDescent="0.25">
      <c r="A2669" t="s">
        <v>2673</v>
      </c>
      <c r="B2669">
        <v>0.99996721820229495</v>
      </c>
      <c r="C2669">
        <v>1.0152065438101101</v>
      </c>
      <c r="D2669">
        <v>0.83419095082691597</v>
      </c>
      <c r="E2669">
        <v>0.46381526573200399</v>
      </c>
      <c r="F2669">
        <v>0.34682387552673999</v>
      </c>
      <c r="G2669">
        <v>0.29961483242555298</v>
      </c>
      <c r="H2669">
        <v>0.147958284704894</v>
      </c>
      <c r="I2669">
        <v>8.6644149128693101E-2</v>
      </c>
      <c r="J2669">
        <v>7.9516110846590202E-2</v>
      </c>
      <c r="K2669">
        <v>6.2953068907967202E-2</v>
      </c>
      <c r="L2669">
        <v>796.81254237562302</v>
      </c>
      <c r="M2669">
        <v>15.9512413035607</v>
      </c>
      <c r="N2669">
        <v>50.543383907802202</v>
      </c>
      <c r="O2669">
        <v>49.187696291169601</v>
      </c>
      <c r="P2669">
        <v>-7.41883702266561E-2</v>
      </c>
      <c r="Q2669">
        <v>8.4995353946621402E-2</v>
      </c>
      <c r="R2669">
        <v>0.98082034691469999</v>
      </c>
      <c r="S2669" t="s">
        <v>8495</v>
      </c>
      <c r="T2669" t="s">
        <v>11650</v>
      </c>
      <c r="U2669" t="s">
        <v>11650</v>
      </c>
      <c r="V2669" t="s">
        <v>11650</v>
      </c>
      <c r="W2669" t="s">
        <v>14274</v>
      </c>
      <c r="X2669">
        <v>3</v>
      </c>
      <c r="Y2669" t="s">
        <v>19985</v>
      </c>
      <c r="Z2669" t="s">
        <v>25731</v>
      </c>
      <c r="AA2669">
        <v>0.40812571298638262</v>
      </c>
      <c r="AB2669" t="str">
        <f>HYPERLINK("Melting_Curves/meltCurve_P57772_EEFSEC.pdf", "Melting_Curves/meltCurve_P57772_EEFSEC.pdf")</f>
        <v>Melting_Curves/meltCurve_P57772_EEFSEC.pdf</v>
      </c>
    </row>
    <row r="2670" spans="1:28" x14ac:dyDescent="0.25">
      <c r="A2670" t="s">
        <v>2674</v>
      </c>
      <c r="B2670">
        <v>0.99996721820229495</v>
      </c>
      <c r="C2670">
        <v>0.90238503451255603</v>
      </c>
      <c r="D2670">
        <v>0.58332105748654695</v>
      </c>
      <c r="E2670">
        <v>0.23708921708685499</v>
      </c>
      <c r="F2670">
        <v>0.23912422325518301</v>
      </c>
      <c r="G2670">
        <v>0.17567877572448601</v>
      </c>
      <c r="H2670">
        <v>0.125492472945053</v>
      </c>
      <c r="I2670">
        <v>7.9188218469152402E-2</v>
      </c>
      <c r="J2670">
        <v>5.7992962645795502E-2</v>
      </c>
      <c r="K2670">
        <v>5.4767744039647702E-2</v>
      </c>
      <c r="L2670">
        <v>968.92167357094797</v>
      </c>
      <c r="M2670">
        <v>20.810933438715399</v>
      </c>
      <c r="N2670">
        <v>47.057814263368698</v>
      </c>
      <c r="O2670">
        <v>46.134800133257201</v>
      </c>
      <c r="P2670">
        <v>-0.101599097428469</v>
      </c>
      <c r="Q2670">
        <v>9.9103656285382702E-2</v>
      </c>
      <c r="R2670">
        <v>0.98486363258933696</v>
      </c>
      <c r="S2670" t="s">
        <v>8496</v>
      </c>
      <c r="T2670" t="s">
        <v>11650</v>
      </c>
      <c r="U2670" t="s">
        <v>11650</v>
      </c>
      <c r="V2670" t="s">
        <v>11650</v>
      </c>
      <c r="W2670" t="s">
        <v>14275</v>
      </c>
      <c r="X2670">
        <v>8</v>
      </c>
      <c r="Y2670" t="s">
        <v>19986</v>
      </c>
      <c r="Z2670" t="s">
        <v>25732</v>
      </c>
      <c r="AA2670">
        <v>0.30835563652988751</v>
      </c>
      <c r="AB2670" t="str">
        <f>HYPERLINK("Melting_Curves/meltCurve_P58004_SESN2.pdf", "Melting_Curves/meltCurve_P58004_SESN2.pdf")</f>
        <v>Melting_Curves/meltCurve_P58004_SESN2.pdf</v>
      </c>
    </row>
    <row r="2671" spans="1:28" x14ac:dyDescent="0.25">
      <c r="A2671" t="s">
        <v>2675</v>
      </c>
      <c r="B2671">
        <v>0.99996721820229495</v>
      </c>
      <c r="C2671">
        <v>1.1993266459740799</v>
      </c>
      <c r="D2671">
        <v>1.0940887805440001</v>
      </c>
      <c r="E2671">
        <v>1.0233017772878099</v>
      </c>
      <c r="F2671">
        <v>0.77208259652896805</v>
      </c>
      <c r="G2671">
        <v>0.47797387761270399</v>
      </c>
      <c r="H2671">
        <v>0.264163736912152</v>
      </c>
      <c r="I2671">
        <v>0.21519390402745101</v>
      </c>
      <c r="J2671">
        <v>0.19636773551894299</v>
      </c>
      <c r="K2671">
        <v>0.13543341520886201</v>
      </c>
      <c r="L2671">
        <v>1379.4985691602501</v>
      </c>
      <c r="M2671">
        <v>24.765900053833001</v>
      </c>
      <c r="N2671">
        <v>56.639459332810397</v>
      </c>
      <c r="O2671">
        <v>55.342191418704303</v>
      </c>
      <c r="P2671">
        <v>-9.3058562126599603E-2</v>
      </c>
      <c r="Q2671">
        <v>0.16821259948394601</v>
      </c>
      <c r="R2671">
        <v>0.963672543499697</v>
      </c>
      <c r="S2671" t="s">
        <v>8497</v>
      </c>
      <c r="T2671" t="s">
        <v>11650</v>
      </c>
      <c r="U2671" t="s">
        <v>11650</v>
      </c>
      <c r="V2671" t="s">
        <v>11650</v>
      </c>
      <c r="W2671" t="s">
        <v>14276</v>
      </c>
      <c r="X2671">
        <v>7</v>
      </c>
      <c r="Y2671" t="s">
        <v>19987</v>
      </c>
      <c r="Z2671" t="s">
        <v>25733</v>
      </c>
      <c r="AA2671">
        <v>0.61134042088306229</v>
      </c>
      <c r="AB2671" t="str">
        <f>HYPERLINK("Melting_Curves/meltCurve_P58546_MTPN.pdf", "Melting_Curves/meltCurve_P58546_MTPN.pdf")</f>
        <v>Melting_Curves/meltCurve_P58546_MTPN.pdf</v>
      </c>
    </row>
    <row r="2672" spans="1:28" x14ac:dyDescent="0.25">
      <c r="A2672" t="s">
        <v>2676</v>
      </c>
      <c r="B2672">
        <v>0.99996721820229495</v>
      </c>
      <c r="C2672">
        <v>0.93918315666769403</v>
      </c>
      <c r="D2672">
        <v>1.0742998897982201</v>
      </c>
      <c r="E2672">
        <v>1.21104246255919</v>
      </c>
      <c r="F2672">
        <v>1.5010346583605501</v>
      </c>
      <c r="G2672">
        <v>1.9096405843833499</v>
      </c>
      <c r="H2672">
        <v>1.6051863161737201</v>
      </c>
      <c r="I2672">
        <v>1.4157883107112501</v>
      </c>
      <c r="J2672">
        <v>1.24167713471075</v>
      </c>
      <c r="K2672">
        <v>0.81205564163410104</v>
      </c>
      <c r="L2672">
        <v>12498.1035050724</v>
      </c>
      <c r="M2672">
        <v>250</v>
      </c>
      <c r="O2672">
        <v>49.989211973030301</v>
      </c>
      <c r="P2672">
        <v>0.51789978763791</v>
      </c>
      <c r="Q2672">
        <v>1.41423045951134</v>
      </c>
      <c r="R2672">
        <v>0.32958012158503103</v>
      </c>
      <c r="S2672" t="s">
        <v>8498</v>
      </c>
      <c r="T2672" t="s">
        <v>11650</v>
      </c>
      <c r="U2672" t="s">
        <v>11650</v>
      </c>
      <c r="V2672" t="s">
        <v>11650</v>
      </c>
      <c r="W2672" t="s">
        <v>14277</v>
      </c>
      <c r="X2672">
        <v>5</v>
      </c>
      <c r="Y2672" t="s">
        <v>19988</v>
      </c>
      <c r="Z2672" t="s">
        <v>25734</v>
      </c>
      <c r="AA2672">
        <v>1.276222041583887</v>
      </c>
      <c r="AB2672" t="str">
        <f>HYPERLINK("Melting_Curves/meltCurve_P59768_GNG2.pdf", "Melting_Curves/meltCurve_P59768_GNG2.pdf")</f>
        <v>Melting_Curves/meltCurve_P59768_GNG2.pdf</v>
      </c>
    </row>
    <row r="2673" spans="1:28" x14ac:dyDescent="0.25">
      <c r="A2673" t="s">
        <v>2677</v>
      </c>
      <c r="B2673">
        <v>0.99996721820229495</v>
      </c>
      <c r="C2673">
        <v>0.73590255580501696</v>
      </c>
      <c r="D2673">
        <v>0.73996298336007504</v>
      </c>
      <c r="E2673">
        <v>0.668852365551038</v>
      </c>
      <c r="F2673">
        <v>1.00706480559858</v>
      </c>
      <c r="G2673">
        <v>0.78271882299030904</v>
      </c>
      <c r="H2673">
        <v>0.79131748280113201</v>
      </c>
      <c r="I2673">
        <v>1.17461984801902</v>
      </c>
      <c r="J2673">
        <v>1.0372148051524499</v>
      </c>
      <c r="K2673">
        <v>0.79839660451818295</v>
      </c>
      <c r="L2673">
        <v>10231.991860985599</v>
      </c>
      <c r="M2673">
        <v>250</v>
      </c>
      <c r="O2673">
        <v>40.925367786361498</v>
      </c>
      <c r="P2673">
        <v>-0.21447396250353201</v>
      </c>
      <c r="Q2673">
        <v>0.85956125371346503</v>
      </c>
      <c r="R2673">
        <v>7.08006102343917E-2</v>
      </c>
      <c r="S2673" t="s">
        <v>8499</v>
      </c>
      <c r="T2673" t="s">
        <v>11650</v>
      </c>
      <c r="U2673" t="s">
        <v>11650</v>
      </c>
      <c r="V2673" t="s">
        <v>11650</v>
      </c>
      <c r="W2673" t="s">
        <v>14278</v>
      </c>
      <c r="X2673">
        <v>2</v>
      </c>
      <c r="Y2673" t="s">
        <v>19989</v>
      </c>
      <c r="Z2673" t="s">
        <v>25735</v>
      </c>
      <c r="AA2673">
        <v>0.86391762351429691</v>
      </c>
      <c r="AB2673" t="str">
        <f>HYPERLINK("Melting_Curves/meltCurve_P60059_SEC61G.pdf", "Melting_Curves/meltCurve_P60059_SEC61G.pdf")</f>
        <v>Melting_Curves/meltCurve_P60059_SEC61G.pdf</v>
      </c>
    </row>
    <row r="2674" spans="1:28" x14ac:dyDescent="0.25">
      <c r="A2674" t="s">
        <v>2678</v>
      </c>
      <c r="B2674">
        <v>0.99996721820229495</v>
      </c>
      <c r="C2674">
        <v>1.0081758936062799</v>
      </c>
      <c r="D2674">
        <v>0.96362009450597097</v>
      </c>
      <c r="E2674">
        <v>0.842888430245053</v>
      </c>
      <c r="F2674">
        <v>0.86575699121090099</v>
      </c>
      <c r="G2674">
        <v>0.74636793408465296</v>
      </c>
      <c r="H2674">
        <v>0.39596673473608301</v>
      </c>
      <c r="I2674">
        <v>0.17454604216742201</v>
      </c>
      <c r="J2674">
        <v>0.110320036686873</v>
      </c>
      <c r="K2674">
        <v>8.3879086063241404E-2</v>
      </c>
      <c r="L2674">
        <v>1043.80366518814</v>
      </c>
      <c r="M2674">
        <v>17.556086108945902</v>
      </c>
      <c r="N2674">
        <v>59.455374160126603</v>
      </c>
      <c r="O2674">
        <v>58.700050464627601</v>
      </c>
      <c r="P2674">
        <v>-7.47743877332704E-2</v>
      </c>
      <c r="Q2674">
        <v>0</v>
      </c>
      <c r="R2674">
        <v>0.98205244590363305</v>
      </c>
      <c r="S2674" t="s">
        <v>8500</v>
      </c>
      <c r="T2674" t="s">
        <v>11650</v>
      </c>
      <c r="U2674" t="s">
        <v>11650</v>
      </c>
      <c r="V2674" t="s">
        <v>11650</v>
      </c>
      <c r="W2674" t="s">
        <v>14279</v>
      </c>
      <c r="X2674">
        <v>25</v>
      </c>
      <c r="Y2674" t="s">
        <v>19990</v>
      </c>
      <c r="Z2674" t="s">
        <v>25736</v>
      </c>
      <c r="AA2674">
        <v>0.65811590784886842</v>
      </c>
      <c r="AB2674" t="str">
        <f>HYPERLINK("Melting_Curves/meltCurve_P60174_1_TPI1.pdf", "Melting_Curves/meltCurve_P60174_1_TPI1.pdf")</f>
        <v>Melting_Curves/meltCurve_P60174_1_TPI1.pdf</v>
      </c>
    </row>
    <row r="2675" spans="1:28" x14ac:dyDescent="0.25">
      <c r="A2675" t="s">
        <v>2679</v>
      </c>
      <c r="B2675">
        <v>0.99996721820229495</v>
      </c>
      <c r="C2675">
        <v>1.0247553300315499</v>
      </c>
      <c r="D2675">
        <v>1.0418689478113501</v>
      </c>
      <c r="E2675">
        <v>1.0677924812741699</v>
      </c>
      <c r="F2675">
        <v>1.0765918443370499</v>
      </c>
      <c r="G2675">
        <v>1.3192019552572001</v>
      </c>
      <c r="H2675">
        <v>0.68216765733447604</v>
      </c>
      <c r="I2675">
        <v>0.32086527598161901</v>
      </c>
      <c r="J2675">
        <v>0.20627586900518</v>
      </c>
      <c r="K2675">
        <v>0.17617198785608101</v>
      </c>
      <c r="L2675">
        <v>3800.2193665929099</v>
      </c>
      <c r="M2675">
        <v>61.758928525950502</v>
      </c>
      <c r="N2675">
        <v>62.068615243474802</v>
      </c>
      <c r="O2675">
        <v>61.468698286520102</v>
      </c>
      <c r="P2675">
        <v>-0.199306258784294</v>
      </c>
      <c r="Q2675">
        <v>0.20652173866404899</v>
      </c>
      <c r="R2675">
        <v>0.92114668879199901</v>
      </c>
      <c r="S2675" t="s">
        <v>8501</v>
      </c>
      <c r="T2675" t="s">
        <v>11650</v>
      </c>
      <c r="U2675" t="s">
        <v>11650</v>
      </c>
      <c r="V2675" t="s">
        <v>11650</v>
      </c>
      <c r="W2675" t="s">
        <v>14280</v>
      </c>
      <c r="X2675">
        <v>17</v>
      </c>
      <c r="Y2675" t="s">
        <v>19990</v>
      </c>
      <c r="Z2675" t="s">
        <v>25737</v>
      </c>
      <c r="AA2675">
        <v>0.77744580442379119</v>
      </c>
      <c r="AB2675" t="str">
        <f>HYPERLINK("Melting_Curves/meltCurve_P60174_4_TPI1.pdf", "Melting_Curves/meltCurve_P60174_4_TPI1.pdf")</f>
        <v>Melting_Curves/meltCurve_P60174_4_TPI1.pdf</v>
      </c>
    </row>
    <row r="2676" spans="1:28" x14ac:dyDescent="0.25">
      <c r="A2676" t="s">
        <v>2680</v>
      </c>
      <c r="B2676">
        <v>0.99996721820229495</v>
      </c>
      <c r="C2676">
        <v>0.94552123531938004</v>
      </c>
      <c r="D2676">
        <v>0.91332203745238105</v>
      </c>
      <c r="E2676">
        <v>0.77733649925285297</v>
      </c>
      <c r="F2676">
        <v>0.58001426529345401</v>
      </c>
      <c r="G2676">
        <v>0.64273461020162304</v>
      </c>
      <c r="H2676">
        <v>0.32663544392187499</v>
      </c>
      <c r="I2676">
        <v>0.21872037656054</v>
      </c>
      <c r="J2676">
        <v>0.124644869214233</v>
      </c>
      <c r="K2676">
        <v>0.12482832461773601</v>
      </c>
      <c r="L2676">
        <v>566.38999109476094</v>
      </c>
      <c r="M2676">
        <v>9.9766393639556501</v>
      </c>
      <c r="N2676">
        <v>56.771623304589703</v>
      </c>
      <c r="O2676">
        <v>54.632028269918997</v>
      </c>
      <c r="P2676">
        <v>-4.5676207491097201E-2</v>
      </c>
      <c r="Q2676">
        <v>0</v>
      </c>
      <c r="R2676">
        <v>0.96638354444284202</v>
      </c>
      <c r="S2676" t="s">
        <v>8502</v>
      </c>
      <c r="T2676" t="s">
        <v>11650</v>
      </c>
      <c r="U2676" t="s">
        <v>11650</v>
      </c>
      <c r="V2676" t="s">
        <v>11650</v>
      </c>
      <c r="W2676" t="s">
        <v>14281</v>
      </c>
      <c r="X2676">
        <v>5</v>
      </c>
      <c r="Y2676" t="s">
        <v>19991</v>
      </c>
      <c r="Z2676" t="s">
        <v>25738</v>
      </c>
      <c r="AA2676">
        <v>0.57609982901351031</v>
      </c>
      <c r="AB2676" t="str">
        <f>HYPERLINK("Melting_Curves/meltCurve_P60228_EIF3E.pdf", "Melting_Curves/meltCurve_P60228_EIF3E.pdf")</f>
        <v>Melting_Curves/meltCurve_P60228_EIF3E.pdf</v>
      </c>
    </row>
    <row r="2677" spans="1:28" x14ac:dyDescent="0.25">
      <c r="A2677" t="s">
        <v>2681</v>
      </c>
      <c r="B2677">
        <v>0.99996721820229495</v>
      </c>
      <c r="C2677">
        <v>0.90598308329055799</v>
      </c>
      <c r="D2677">
        <v>1.0154195016470799</v>
      </c>
      <c r="E2677">
        <v>1.12746567272175</v>
      </c>
      <c r="F2677">
        <v>1.4911028910869399</v>
      </c>
      <c r="G2677">
        <v>1.4572055410307501</v>
      </c>
      <c r="H2677">
        <v>1.23494536218665</v>
      </c>
      <c r="I2677">
        <v>0.99980369374312705</v>
      </c>
      <c r="J2677">
        <v>0.73865842320309705</v>
      </c>
      <c r="K2677">
        <v>0.56164705658984304</v>
      </c>
      <c r="L2677">
        <v>12002.565823189099</v>
      </c>
      <c r="M2677">
        <v>179.53161139747101</v>
      </c>
      <c r="O2677">
        <v>66.846594531565003</v>
      </c>
      <c r="P2677">
        <v>-0.29441631438002303</v>
      </c>
      <c r="Q2677">
        <v>0.56150947812779495</v>
      </c>
      <c r="R2677">
        <v>0.30428334621056402</v>
      </c>
      <c r="S2677" t="s">
        <v>8503</v>
      </c>
      <c r="T2677" t="s">
        <v>11650</v>
      </c>
      <c r="U2677" t="s">
        <v>11650</v>
      </c>
      <c r="V2677" t="s">
        <v>11650</v>
      </c>
      <c r="W2677" t="s">
        <v>14282</v>
      </c>
      <c r="X2677">
        <v>3</v>
      </c>
      <c r="Y2677" t="s">
        <v>19992</v>
      </c>
      <c r="Z2677" t="s">
        <v>25739</v>
      </c>
      <c r="AA2677">
        <v>0.9541278316151488</v>
      </c>
      <c r="AB2677" t="str">
        <f>HYPERLINK("Melting_Curves/meltCurve_P60468_SEC61B.pdf", "Melting_Curves/meltCurve_P60468_SEC61B.pdf")</f>
        <v>Melting_Curves/meltCurve_P60468_SEC61B.pdf</v>
      </c>
    </row>
    <row r="2678" spans="1:28" x14ac:dyDescent="0.25">
      <c r="A2678" t="s">
        <v>2682</v>
      </c>
      <c r="B2678">
        <v>0.99996721820229495</v>
      </c>
      <c r="C2678">
        <v>0.97598515159895005</v>
      </c>
      <c r="D2678">
        <v>0.82350474725059597</v>
      </c>
      <c r="E2678">
        <v>0.53476693993313795</v>
      </c>
      <c r="F2678">
        <v>0.35112401953191102</v>
      </c>
      <c r="G2678">
        <v>0.298385505213004</v>
      </c>
      <c r="H2678">
        <v>0.19876005374730399</v>
      </c>
      <c r="I2678">
        <v>0.114680189807922</v>
      </c>
      <c r="J2678">
        <v>8.5504555538351595E-2</v>
      </c>
      <c r="K2678">
        <v>6.4201162467543704E-2</v>
      </c>
      <c r="L2678">
        <v>715.85376076501598</v>
      </c>
      <c r="M2678">
        <v>14.199398061805599</v>
      </c>
      <c r="N2678">
        <v>51.0540061579987</v>
      </c>
      <c r="O2678">
        <v>49.446058394434203</v>
      </c>
      <c r="P2678">
        <v>-6.5950546319348102E-2</v>
      </c>
      <c r="Q2678">
        <v>8.1485980327456298E-2</v>
      </c>
      <c r="R2678">
        <v>0.98880425779574699</v>
      </c>
      <c r="S2678" t="s">
        <v>8504</v>
      </c>
      <c r="T2678" t="s">
        <v>11650</v>
      </c>
      <c r="U2678" t="s">
        <v>11650</v>
      </c>
      <c r="V2678" t="s">
        <v>11650</v>
      </c>
      <c r="W2678" t="s">
        <v>14283</v>
      </c>
      <c r="X2678">
        <v>3</v>
      </c>
      <c r="Y2678" t="s">
        <v>19993</v>
      </c>
      <c r="Z2678" t="s">
        <v>25740</v>
      </c>
      <c r="AA2678">
        <v>0.42407227972542211</v>
      </c>
      <c r="AB2678" t="str">
        <f>HYPERLINK("Melting_Curves/meltCurve_P60484_PTEN.pdf", "Melting_Curves/meltCurve_P60484_PTEN.pdf")</f>
        <v>Melting_Curves/meltCurve_P60484_PTEN.pdf</v>
      </c>
    </row>
    <row r="2679" spans="1:28" x14ac:dyDescent="0.25">
      <c r="A2679" t="s">
        <v>2683</v>
      </c>
      <c r="B2679">
        <v>0.99996721820229495</v>
      </c>
      <c r="C2679">
        <v>1.04576443680006</v>
      </c>
      <c r="D2679">
        <v>1.0462834523929101</v>
      </c>
      <c r="E2679">
        <v>1.07803564735877</v>
      </c>
      <c r="F2679">
        <v>1.46583436971366</v>
      </c>
      <c r="G2679">
        <v>1.8301456910773899</v>
      </c>
      <c r="H2679">
        <v>1.2408077656109</v>
      </c>
      <c r="I2679">
        <v>0.79062140442872797</v>
      </c>
      <c r="J2679">
        <v>0.48063801193334199</v>
      </c>
      <c r="K2679">
        <v>0.25853804940501701</v>
      </c>
      <c r="L2679">
        <v>3474.0212370327399</v>
      </c>
      <c r="M2679">
        <v>52.847310133464099</v>
      </c>
      <c r="N2679">
        <v>66.587036658951703</v>
      </c>
      <c r="O2679">
        <v>65.643028892294794</v>
      </c>
      <c r="P2679">
        <v>-0.151889181132141</v>
      </c>
      <c r="Q2679">
        <v>0.245338392768953</v>
      </c>
      <c r="R2679">
        <v>0.46170176903048399</v>
      </c>
      <c r="S2679" t="s">
        <v>8505</v>
      </c>
      <c r="T2679" t="s">
        <v>11650</v>
      </c>
      <c r="U2679" t="s">
        <v>11650</v>
      </c>
      <c r="V2679" t="s">
        <v>11650</v>
      </c>
      <c r="W2679" t="s">
        <v>14284</v>
      </c>
      <c r="X2679">
        <v>16</v>
      </c>
      <c r="Y2679" t="s">
        <v>19994</v>
      </c>
      <c r="Z2679" t="s">
        <v>25741</v>
      </c>
      <c r="AA2679">
        <v>0.8932665295094121</v>
      </c>
      <c r="AB2679" t="str">
        <f>HYPERLINK("Melting_Curves/meltCurve_P60510_PPP4C.pdf", "Melting_Curves/meltCurve_P60510_PPP4C.pdf")</f>
        <v>Melting_Curves/meltCurve_P60510_PPP4C.pdf</v>
      </c>
    </row>
    <row r="2680" spans="1:28" x14ac:dyDescent="0.25">
      <c r="A2680" t="s">
        <v>2684</v>
      </c>
      <c r="B2680">
        <v>0.99996721820229495</v>
      </c>
      <c r="C2680">
        <v>1.2045150998160701</v>
      </c>
      <c r="D2680">
        <v>1.0645203337345299</v>
      </c>
      <c r="E2680">
        <v>0.92149144641280101</v>
      </c>
      <c r="F2680">
        <v>0.82365103808805895</v>
      </c>
      <c r="G2680">
        <v>0.61004434347151004</v>
      </c>
      <c r="H2680">
        <v>0.24508629151737901</v>
      </c>
      <c r="I2680">
        <v>0.16305096911120601</v>
      </c>
      <c r="J2680">
        <v>0.119299511618812</v>
      </c>
      <c r="K2680">
        <v>8.9704760961925506E-2</v>
      </c>
      <c r="L2680">
        <v>1163.5229575046701</v>
      </c>
      <c r="M2680">
        <v>20.257458174994198</v>
      </c>
      <c r="N2680">
        <v>57.802982865237198</v>
      </c>
      <c r="O2680">
        <v>56.885839968752599</v>
      </c>
      <c r="P2680">
        <v>-8.3667852234965201E-2</v>
      </c>
      <c r="Q2680">
        <v>6.0223943878382299E-2</v>
      </c>
      <c r="R2680">
        <v>0.96899620159553101</v>
      </c>
      <c r="S2680" t="s">
        <v>8506</v>
      </c>
      <c r="T2680" t="s">
        <v>11650</v>
      </c>
      <c r="U2680" t="s">
        <v>11650</v>
      </c>
      <c r="V2680" t="s">
        <v>11650</v>
      </c>
      <c r="W2680" t="s">
        <v>14285</v>
      </c>
      <c r="X2680">
        <v>5</v>
      </c>
      <c r="Y2680" t="s">
        <v>19995</v>
      </c>
      <c r="Z2680" t="s">
        <v>25742</v>
      </c>
      <c r="AA2680">
        <v>0.61745418693747767</v>
      </c>
      <c r="AB2680" t="str">
        <f>HYPERLINK("Melting_Curves/meltCurve_P60520_GABARAPL2.pdf", "Melting_Curves/meltCurve_P60520_GABARAPL2.pdf")</f>
        <v>Melting_Curves/meltCurve_P60520_GABARAPL2.pdf</v>
      </c>
    </row>
    <row r="2681" spans="1:28" x14ac:dyDescent="0.25">
      <c r="A2681" t="s">
        <v>2685</v>
      </c>
      <c r="B2681">
        <v>0.99996721820229495</v>
      </c>
      <c r="C2681">
        <v>0.96319042597410298</v>
      </c>
      <c r="D2681">
        <v>0.98223917132938898</v>
      </c>
      <c r="E2681">
        <v>0.88354128797022702</v>
      </c>
      <c r="F2681">
        <v>1.0778722192194099</v>
      </c>
      <c r="G2681">
        <v>0.96750835608931596</v>
      </c>
      <c r="H2681">
        <v>0.70751208351783601</v>
      </c>
      <c r="I2681">
        <v>0.63179460092766304</v>
      </c>
      <c r="J2681">
        <v>0.40847915018605302</v>
      </c>
      <c r="K2681">
        <v>0.32704416122041702</v>
      </c>
      <c r="L2681">
        <v>1324.4716629152199</v>
      </c>
      <c r="M2681">
        <v>20.870796222316901</v>
      </c>
      <c r="N2681">
        <v>65.419297577977304</v>
      </c>
      <c r="O2681">
        <v>62.886533470196802</v>
      </c>
      <c r="P2681">
        <v>-6.3694113621233298E-2</v>
      </c>
      <c r="Q2681">
        <v>0.23234516778596301</v>
      </c>
      <c r="R2681">
        <v>0.95165512153123399</v>
      </c>
      <c r="S2681" t="s">
        <v>8507</v>
      </c>
      <c r="T2681" t="s">
        <v>11650</v>
      </c>
      <c r="U2681" t="s">
        <v>11650</v>
      </c>
      <c r="V2681" t="s">
        <v>11650</v>
      </c>
      <c r="W2681" t="s">
        <v>14286</v>
      </c>
      <c r="X2681">
        <v>2</v>
      </c>
      <c r="Y2681" t="s">
        <v>19996</v>
      </c>
      <c r="Z2681" t="s">
        <v>25743</v>
      </c>
      <c r="AA2681">
        <v>0.83109068142666809</v>
      </c>
      <c r="AB2681" t="str">
        <f>HYPERLINK("Melting_Curves/meltCurve_P60602_ROMO1.pdf", "Melting_Curves/meltCurve_P60602_ROMO1.pdf")</f>
        <v>Melting_Curves/meltCurve_P60602_ROMO1.pdf</v>
      </c>
    </row>
    <row r="2682" spans="1:28" x14ac:dyDescent="0.25">
      <c r="A2682" t="s">
        <v>2686</v>
      </c>
      <c r="B2682">
        <v>0.99996721820229495</v>
      </c>
      <c r="C2682">
        <v>0.84262902775514703</v>
      </c>
      <c r="D2682">
        <v>0.80474902563671702</v>
      </c>
      <c r="E2682">
        <v>0.75350822960554198</v>
      </c>
      <c r="F2682">
        <v>0.48105826652747102</v>
      </c>
      <c r="G2682">
        <v>0.34853440530734098</v>
      </c>
      <c r="H2682">
        <v>0.207278962744256</v>
      </c>
      <c r="I2682">
        <v>0.161454267801101</v>
      </c>
      <c r="J2682">
        <v>8.5826884928466796E-2</v>
      </c>
      <c r="K2682">
        <v>6.1357739750930902E-2</v>
      </c>
      <c r="L2682">
        <v>550.92999085601798</v>
      </c>
      <c r="M2682">
        <v>10.329958690080501</v>
      </c>
      <c r="N2682">
        <v>53.333222051306102</v>
      </c>
      <c r="O2682">
        <v>51.450556540158502</v>
      </c>
      <c r="P2682">
        <v>-5.0215180011573601E-2</v>
      </c>
      <c r="Q2682">
        <v>0</v>
      </c>
      <c r="R2682">
        <v>0.98293423784524303</v>
      </c>
      <c r="S2682" t="s">
        <v>8508</v>
      </c>
      <c r="T2682" t="s">
        <v>11650</v>
      </c>
      <c r="U2682" t="s">
        <v>11650</v>
      </c>
      <c r="V2682" t="s">
        <v>11650</v>
      </c>
      <c r="W2682" t="s">
        <v>14287</v>
      </c>
      <c r="X2682">
        <v>2</v>
      </c>
      <c r="Y2682" t="s">
        <v>19997</v>
      </c>
      <c r="Z2682" t="s">
        <v>25744</v>
      </c>
      <c r="AA2682">
        <v>0.47645351228809218</v>
      </c>
      <c r="AB2682" t="str">
        <f>HYPERLINK("Melting_Curves/meltCurve_P60604_2_UBE2G2.pdf", "Melting_Curves/meltCurve_P60604_2_UBE2G2.pdf")</f>
        <v>Melting_Curves/meltCurve_P60604_2_UBE2G2.pdf</v>
      </c>
    </row>
    <row r="2683" spans="1:28" x14ac:dyDescent="0.25">
      <c r="A2683" t="s">
        <v>2687</v>
      </c>
      <c r="B2683">
        <v>0.99996721820229495</v>
      </c>
      <c r="C2683">
        <v>0.84270875042203397</v>
      </c>
      <c r="D2683">
        <v>0.90900050997605297</v>
      </c>
      <c r="E2683">
        <v>0.74018016202408299</v>
      </c>
      <c r="F2683">
        <v>0.62243228723690003</v>
      </c>
      <c r="G2683">
        <v>0.40831833173151899</v>
      </c>
      <c r="H2683">
        <v>0.18325876351673101</v>
      </c>
      <c r="I2683">
        <v>9.7830494878076504E-2</v>
      </c>
      <c r="J2683">
        <v>6.4313851438236397E-2</v>
      </c>
      <c r="K2683">
        <v>5.6255323399310997E-2</v>
      </c>
      <c r="L2683">
        <v>682.87414582513497</v>
      </c>
      <c r="M2683">
        <v>12.524826719597099</v>
      </c>
      <c r="N2683">
        <v>54.521644128802301</v>
      </c>
      <c r="O2683">
        <v>53.187750599199497</v>
      </c>
      <c r="P2683">
        <v>-5.8882844346004097E-2</v>
      </c>
      <c r="Q2683">
        <v>0</v>
      </c>
      <c r="R2683">
        <v>0.98305112072012901</v>
      </c>
      <c r="S2683" t="s">
        <v>8509</v>
      </c>
      <c r="T2683" t="s">
        <v>11650</v>
      </c>
      <c r="U2683" t="s">
        <v>11650</v>
      </c>
      <c r="V2683" t="s">
        <v>11650</v>
      </c>
      <c r="W2683" t="s">
        <v>14288</v>
      </c>
      <c r="X2683">
        <v>9</v>
      </c>
      <c r="Y2683" t="s">
        <v>19998</v>
      </c>
      <c r="Z2683" t="s">
        <v>25745</v>
      </c>
      <c r="AA2683">
        <v>0.50795057884768569</v>
      </c>
      <c r="AB2683" t="str">
        <f>HYPERLINK("Melting_Curves/meltCurve_P60763_RAC3.pdf", "Melting_Curves/meltCurve_P60763_RAC3.pdf")</f>
        <v>Melting_Curves/meltCurve_P60763_RAC3.pdf</v>
      </c>
    </row>
    <row r="2684" spans="1:28" x14ac:dyDescent="0.25">
      <c r="A2684" t="s">
        <v>2688</v>
      </c>
      <c r="B2684">
        <v>0.99996721820229495</v>
      </c>
      <c r="C2684">
        <v>1.06664213825551</v>
      </c>
      <c r="D2684">
        <v>0.997860714335571</v>
      </c>
      <c r="E2684">
        <v>0.73802981786794197</v>
      </c>
      <c r="F2684">
        <v>0.347628082083421</v>
      </c>
      <c r="G2684">
        <v>0.31894454391910099</v>
      </c>
      <c r="H2684">
        <v>0.192464511851139</v>
      </c>
      <c r="I2684">
        <v>0.13321214706148099</v>
      </c>
      <c r="J2684">
        <v>9.7897815014016898E-2</v>
      </c>
      <c r="K2684">
        <v>8.7027577576609103E-2</v>
      </c>
      <c r="L2684">
        <v>1304.3236187615901</v>
      </c>
      <c r="M2684">
        <v>25.355268534271701</v>
      </c>
      <c r="N2684">
        <v>52.105732660628398</v>
      </c>
      <c r="O2684">
        <v>51.125131136166601</v>
      </c>
      <c r="P2684">
        <v>-0.106875016339135</v>
      </c>
      <c r="Q2684">
        <v>0.13802062413747701</v>
      </c>
      <c r="R2684">
        <v>0.97943177890993005</v>
      </c>
      <c r="S2684" t="s">
        <v>8510</v>
      </c>
      <c r="T2684" t="s">
        <v>11650</v>
      </c>
      <c r="U2684" t="s">
        <v>11650</v>
      </c>
      <c r="V2684" t="s">
        <v>11650</v>
      </c>
      <c r="W2684" t="s">
        <v>14289</v>
      </c>
      <c r="X2684">
        <v>32</v>
      </c>
      <c r="Y2684" t="s">
        <v>18434</v>
      </c>
      <c r="Z2684" t="s">
        <v>25746</v>
      </c>
      <c r="AA2684">
        <v>0.47438894842014773</v>
      </c>
      <c r="AB2684" t="str">
        <f>HYPERLINK("Melting_Curves/meltCurve_P60842_EIF4A1.pdf", "Melting_Curves/meltCurve_P60842_EIF4A1.pdf")</f>
        <v>Melting_Curves/meltCurve_P60842_EIF4A1.pdf</v>
      </c>
    </row>
    <row r="2685" spans="1:28" x14ac:dyDescent="0.25">
      <c r="A2685" t="s">
        <v>2689</v>
      </c>
      <c r="B2685">
        <v>0.99996721820229495</v>
      </c>
      <c r="C2685">
        <v>0.992186964787099</v>
      </c>
      <c r="D2685">
        <v>0.90837452006374197</v>
      </c>
      <c r="E2685">
        <v>0.75241096241566996</v>
      </c>
      <c r="F2685">
        <v>0.52846064773993395</v>
      </c>
      <c r="G2685">
        <v>0.33680659124359502</v>
      </c>
      <c r="H2685">
        <v>0.19326401863989401</v>
      </c>
      <c r="I2685">
        <v>0.15534021350070801</v>
      </c>
      <c r="J2685">
        <v>0.108345248651424</v>
      </c>
      <c r="K2685">
        <v>8.2337719150531605E-2</v>
      </c>
      <c r="L2685">
        <v>774.80010234813699</v>
      </c>
      <c r="M2685">
        <v>14.545931726327</v>
      </c>
      <c r="N2685">
        <v>53.789735942791197</v>
      </c>
      <c r="O2685">
        <v>52.289389045055202</v>
      </c>
      <c r="P2685">
        <v>-6.4958780845214503E-2</v>
      </c>
      <c r="Q2685">
        <v>6.6056937123781301E-2</v>
      </c>
      <c r="R2685">
        <v>0.99878849747199405</v>
      </c>
      <c r="S2685" t="s">
        <v>8511</v>
      </c>
      <c r="T2685" t="s">
        <v>11650</v>
      </c>
      <c r="U2685" t="s">
        <v>11650</v>
      </c>
      <c r="V2685" t="s">
        <v>11650</v>
      </c>
      <c r="W2685" t="s">
        <v>14290</v>
      </c>
      <c r="X2685">
        <v>7</v>
      </c>
      <c r="Y2685" t="s">
        <v>19999</v>
      </c>
      <c r="Z2685" t="s">
        <v>25747</v>
      </c>
      <c r="AA2685">
        <v>0.49973690501534268</v>
      </c>
      <c r="AB2685" t="str">
        <f>HYPERLINK("Melting_Curves/meltCurve_P60866_RPS20.pdf", "Melting_Curves/meltCurve_P60866_RPS20.pdf")</f>
        <v>Melting_Curves/meltCurve_P60866_RPS20.pdf</v>
      </c>
    </row>
    <row r="2686" spans="1:28" x14ac:dyDescent="0.25">
      <c r="A2686" t="s">
        <v>2690</v>
      </c>
      <c r="B2686">
        <v>0.99996721820229495</v>
      </c>
      <c r="C2686">
        <v>0.86630792097859999</v>
      </c>
      <c r="D2686">
        <v>0.88536814586687795</v>
      </c>
      <c r="E2686">
        <v>0.82496313609076999</v>
      </c>
      <c r="F2686">
        <v>1.0129376890388799</v>
      </c>
      <c r="G2686">
        <v>1.3605659546559099</v>
      </c>
      <c r="H2686">
        <v>0.98018395932609603</v>
      </c>
      <c r="I2686">
        <v>0.56762772490144098</v>
      </c>
      <c r="J2686">
        <v>0.575349854129514</v>
      </c>
      <c r="K2686">
        <v>0.43594987718260297</v>
      </c>
      <c r="L2686">
        <v>6479.7173376839301</v>
      </c>
      <c r="M2686">
        <v>103.13835034957999</v>
      </c>
      <c r="O2686">
        <v>62.801898550156402</v>
      </c>
      <c r="P2686">
        <v>-0.203445807405569</v>
      </c>
      <c r="Q2686">
        <v>0.50448000923326197</v>
      </c>
      <c r="R2686">
        <v>0.69263120431636305</v>
      </c>
      <c r="S2686" t="s">
        <v>8512</v>
      </c>
      <c r="T2686" t="s">
        <v>11650</v>
      </c>
      <c r="U2686" t="s">
        <v>11650</v>
      </c>
      <c r="V2686" t="s">
        <v>11650</v>
      </c>
      <c r="W2686" t="s">
        <v>14291</v>
      </c>
      <c r="X2686">
        <v>9</v>
      </c>
      <c r="Y2686" t="s">
        <v>20000</v>
      </c>
      <c r="Z2686" t="s">
        <v>25748</v>
      </c>
      <c r="AA2686">
        <v>0.8818172425330818</v>
      </c>
      <c r="AB2686" t="str">
        <f>HYPERLINK("Melting_Curves/meltCurve_P60880_2_SNAP25.pdf", "Melting_Curves/meltCurve_P60880_2_SNAP25.pdf")</f>
        <v>Melting_Curves/meltCurve_P60880_2_SNAP25.pdf</v>
      </c>
    </row>
    <row r="2687" spans="1:28" x14ac:dyDescent="0.25">
      <c r="A2687" t="s">
        <v>2691</v>
      </c>
      <c r="B2687">
        <v>0.99996721820229495</v>
      </c>
      <c r="C2687">
        <v>1.1002700262538101</v>
      </c>
      <c r="D2687">
        <v>1.1616073200988699</v>
      </c>
      <c r="E2687">
        <v>1.46229547736343</v>
      </c>
      <c r="F2687">
        <v>2.3463999722002402</v>
      </c>
      <c r="G2687">
        <v>3.4696067787776101</v>
      </c>
      <c r="H2687">
        <v>1.75958687103671</v>
      </c>
      <c r="I2687">
        <v>0.51089031815675701</v>
      </c>
      <c r="J2687">
        <v>0.25606971652069699</v>
      </c>
      <c r="K2687">
        <v>0.17393335365173301</v>
      </c>
      <c r="L2687">
        <v>15000</v>
      </c>
      <c r="M2687">
        <v>234.877240084325</v>
      </c>
      <c r="N2687">
        <v>64.016357852663603</v>
      </c>
      <c r="O2687">
        <v>63.858537885879102</v>
      </c>
      <c r="P2687">
        <v>-0.72183999342072602</v>
      </c>
      <c r="Q2687">
        <v>0.21498341206298099</v>
      </c>
      <c r="R2687">
        <v>4.5996522980869599E-2</v>
      </c>
      <c r="S2687" t="s">
        <v>8513</v>
      </c>
      <c r="T2687" t="s">
        <v>11650</v>
      </c>
      <c r="U2687" t="s">
        <v>11650</v>
      </c>
      <c r="V2687" t="s">
        <v>11650</v>
      </c>
      <c r="W2687" t="s">
        <v>14292</v>
      </c>
      <c r="X2687">
        <v>13</v>
      </c>
      <c r="Y2687" t="s">
        <v>20001</v>
      </c>
      <c r="Z2687" t="s">
        <v>25749</v>
      </c>
      <c r="AA2687">
        <v>0.83951533337673512</v>
      </c>
      <c r="AB2687" t="str">
        <f>HYPERLINK("Melting_Curves/meltCurve_P60891_PRPS1.pdf", "Melting_Curves/meltCurve_P60891_PRPS1.pdf")</f>
        <v>Melting_Curves/meltCurve_P60891_PRPS1.pdf</v>
      </c>
    </row>
    <row r="2688" spans="1:28" x14ac:dyDescent="0.25">
      <c r="A2688" t="s">
        <v>2692</v>
      </c>
      <c r="B2688">
        <v>0.99996721820229495</v>
      </c>
      <c r="C2688">
        <v>0.95607531256214895</v>
      </c>
      <c r="D2688">
        <v>0.92915846228642995</v>
      </c>
      <c r="E2688">
        <v>1.1428350973188599</v>
      </c>
      <c r="F2688">
        <v>1.49977103804025</v>
      </c>
      <c r="G2688">
        <v>1.94098188927136</v>
      </c>
      <c r="H2688">
        <v>3.3390842110586001</v>
      </c>
      <c r="I2688">
        <v>3.3432844740655501</v>
      </c>
      <c r="J2688">
        <v>3.8156692513048802</v>
      </c>
      <c r="K2688">
        <v>3.7777858898277299</v>
      </c>
      <c r="L2688">
        <v>8212.4235626062491</v>
      </c>
      <c r="M2688">
        <v>163.33196824627001</v>
      </c>
      <c r="O2688">
        <v>50.273027326996797</v>
      </c>
      <c r="P2688">
        <v>0.40611232859452401</v>
      </c>
      <c r="Q2688">
        <v>1.5</v>
      </c>
      <c r="R2688">
        <v>-0.25449180294294799</v>
      </c>
      <c r="S2688" t="s">
        <v>8514</v>
      </c>
      <c r="T2688" t="s">
        <v>11650</v>
      </c>
      <c r="U2688" t="s">
        <v>11650</v>
      </c>
      <c r="V2688" t="s">
        <v>11650</v>
      </c>
      <c r="W2688" t="s">
        <v>14293</v>
      </c>
      <c r="X2688">
        <v>2</v>
      </c>
      <c r="Y2688" t="s">
        <v>20002</v>
      </c>
      <c r="Z2688" t="s">
        <v>25750</v>
      </c>
      <c r="AA2688">
        <v>1.3285538609836369</v>
      </c>
      <c r="AB2688" t="str">
        <f>HYPERLINK("Melting_Curves/meltCurve_P60896_SHFM1.pdf", "Melting_Curves/meltCurve_P60896_SHFM1.pdf")</f>
        <v>Melting_Curves/meltCurve_P60896_SHFM1.pdf</v>
      </c>
    </row>
    <row r="2689" spans="1:28" x14ac:dyDescent="0.25">
      <c r="A2689" t="s">
        <v>2693</v>
      </c>
      <c r="B2689">
        <v>0.99996721820229495</v>
      </c>
      <c r="C2689">
        <v>1.21955599358473</v>
      </c>
      <c r="D2689">
        <v>1.1552602984206</v>
      </c>
      <c r="E2689">
        <v>1.36117088128347</v>
      </c>
      <c r="F2689">
        <v>0.97629664066761102</v>
      </c>
      <c r="G2689">
        <v>0.33345724560652601</v>
      </c>
      <c r="H2689">
        <v>0.217131355776539</v>
      </c>
      <c r="I2689">
        <v>0.16374381494839599</v>
      </c>
      <c r="J2689">
        <v>0.13434486698463599</v>
      </c>
      <c r="K2689">
        <v>0.10115682542978199</v>
      </c>
      <c r="L2689">
        <v>3732.6019083616102</v>
      </c>
      <c r="M2689">
        <v>66.777131906194597</v>
      </c>
      <c r="N2689">
        <v>56.203518762055097</v>
      </c>
      <c r="O2689">
        <v>55.846343992150402</v>
      </c>
      <c r="P2689">
        <v>-0.25323882609714998</v>
      </c>
      <c r="Q2689">
        <v>0.15285617298381199</v>
      </c>
      <c r="R2689">
        <v>0.91266364997775196</v>
      </c>
      <c r="S2689" t="s">
        <v>8515</v>
      </c>
      <c r="T2689" t="s">
        <v>11650</v>
      </c>
      <c r="U2689" t="s">
        <v>11650</v>
      </c>
      <c r="V2689" t="s">
        <v>11650</v>
      </c>
      <c r="W2689" t="s">
        <v>14294</v>
      </c>
      <c r="X2689">
        <v>10</v>
      </c>
      <c r="Y2689" t="s">
        <v>20003</v>
      </c>
      <c r="Z2689" t="s">
        <v>25751</v>
      </c>
      <c r="AA2689">
        <v>0.60290909897559752</v>
      </c>
      <c r="AB2689" t="str">
        <f>HYPERLINK("Melting_Curves/meltCurve_P60903_S100A10.pdf", "Melting_Curves/meltCurve_P60903_S100A10.pdf")</f>
        <v>Melting_Curves/meltCurve_P60903_S100A10.pdf</v>
      </c>
    </row>
    <row r="2690" spans="1:28" x14ac:dyDescent="0.25">
      <c r="A2690" t="s">
        <v>2694</v>
      </c>
      <c r="B2690">
        <v>0.99996721820229495</v>
      </c>
      <c r="C2690">
        <v>0.91070080468889703</v>
      </c>
      <c r="D2690">
        <v>0.99690249434272504</v>
      </c>
      <c r="E2690">
        <v>1.0357548406586199</v>
      </c>
      <c r="F2690">
        <v>1.2191427773935499</v>
      </c>
      <c r="G2690">
        <v>1.2519195007396899</v>
      </c>
      <c r="H2690">
        <v>0.98394132335508699</v>
      </c>
      <c r="I2690">
        <v>0.49669464023893201</v>
      </c>
      <c r="J2690">
        <v>0.19430602578313999</v>
      </c>
      <c r="K2690">
        <v>9.8510045621109404E-2</v>
      </c>
      <c r="L2690">
        <v>4451.9293560866799</v>
      </c>
      <c r="M2690">
        <v>69.837866562396499</v>
      </c>
      <c r="N2690">
        <v>64.020138652195996</v>
      </c>
      <c r="O2690">
        <v>63.6944324539934</v>
      </c>
      <c r="P2690">
        <v>-0.238757891947395</v>
      </c>
      <c r="Q2690">
        <v>0.12897998918619299</v>
      </c>
      <c r="R2690">
        <v>0.91794231296338302</v>
      </c>
      <c r="S2690" t="s">
        <v>8516</v>
      </c>
      <c r="T2690" t="s">
        <v>11650</v>
      </c>
      <c r="U2690" t="s">
        <v>11650</v>
      </c>
      <c r="V2690" t="s">
        <v>11650</v>
      </c>
      <c r="W2690" t="s">
        <v>14295</v>
      </c>
      <c r="X2690">
        <v>11</v>
      </c>
      <c r="Y2690" t="s">
        <v>20004</v>
      </c>
      <c r="Z2690" t="s">
        <v>25752</v>
      </c>
      <c r="AA2690">
        <v>0.81962755197665538</v>
      </c>
      <c r="AB2690" t="str">
        <f>HYPERLINK("Melting_Curves/meltCurve_P60953_CDC42.pdf", "Melting_Curves/meltCurve_P60953_CDC42.pdf")</f>
        <v>Melting_Curves/meltCurve_P60953_CDC42.pdf</v>
      </c>
    </row>
    <row r="2691" spans="1:28" x14ac:dyDescent="0.25">
      <c r="A2691" t="s">
        <v>2695</v>
      </c>
      <c r="B2691">
        <v>0.99996721820229495</v>
      </c>
      <c r="C2691">
        <v>0.89704550208178602</v>
      </c>
      <c r="D2691">
        <v>0.89540308485215703</v>
      </c>
      <c r="E2691">
        <v>0.98206706923856102</v>
      </c>
      <c r="F2691">
        <v>1.2210564199388001</v>
      </c>
      <c r="G2691">
        <v>1.192664166873</v>
      </c>
      <c r="H2691">
        <v>0.89678856112727301</v>
      </c>
      <c r="I2691">
        <v>0.46490184954928998</v>
      </c>
      <c r="J2691">
        <v>0.279114674889341</v>
      </c>
      <c r="K2691">
        <v>0.16654000678595399</v>
      </c>
      <c r="L2691">
        <v>3330.2503058889201</v>
      </c>
      <c r="M2691">
        <v>52.668969374612701</v>
      </c>
      <c r="N2691">
        <v>63.835376027874297</v>
      </c>
      <c r="O2691">
        <v>63.138860757303902</v>
      </c>
      <c r="P2691">
        <v>-0.16753942567533001</v>
      </c>
      <c r="Q2691">
        <v>0.19662415412727199</v>
      </c>
      <c r="R2691">
        <v>0.90797815707485197</v>
      </c>
      <c r="S2691" t="s">
        <v>8517</v>
      </c>
      <c r="T2691" t="s">
        <v>11650</v>
      </c>
      <c r="U2691" t="s">
        <v>11650</v>
      </c>
      <c r="V2691" t="s">
        <v>11650</v>
      </c>
      <c r="W2691" t="s">
        <v>14296</v>
      </c>
      <c r="X2691">
        <v>10</v>
      </c>
      <c r="Y2691" t="s">
        <v>20004</v>
      </c>
      <c r="Z2691" t="s">
        <v>25753</v>
      </c>
      <c r="AA2691">
        <v>0.82046691183315601</v>
      </c>
      <c r="AB2691" t="str">
        <f>HYPERLINK("Melting_Curves/meltCurve_P60953_1_CDC42.pdf", "Melting_Curves/meltCurve_P60953_1_CDC42.pdf")</f>
        <v>Melting_Curves/meltCurve_P60953_1_CDC42.pdf</v>
      </c>
    </row>
    <row r="2692" spans="1:28" x14ac:dyDescent="0.25">
      <c r="A2692" t="s">
        <v>2696</v>
      </c>
      <c r="B2692">
        <v>0.99996721820229495</v>
      </c>
      <c r="C2692">
        <v>1.0054190444393001</v>
      </c>
      <c r="D2692">
        <v>0.97269105224854802</v>
      </c>
      <c r="E2692">
        <v>1.0334929757939699</v>
      </c>
      <c r="F2692">
        <v>0.99705735067912404</v>
      </c>
      <c r="G2692">
        <v>0.47225067831834799</v>
      </c>
      <c r="H2692">
        <v>0.17343459870222899</v>
      </c>
      <c r="I2692">
        <v>0.10853002453234201</v>
      </c>
      <c r="J2692">
        <v>7.9334604397038003E-2</v>
      </c>
      <c r="K2692">
        <v>6.4652489935903806E-2</v>
      </c>
      <c r="L2692">
        <v>2618.7598983573998</v>
      </c>
      <c r="M2692">
        <v>46.225384973597897</v>
      </c>
      <c r="N2692">
        <v>56.912328478801399</v>
      </c>
      <c r="O2692">
        <v>56.546265642741901</v>
      </c>
      <c r="P2692">
        <v>-0.184894061103449</v>
      </c>
      <c r="Q2692">
        <v>9.5297396229750198E-2</v>
      </c>
      <c r="R2692">
        <v>0.99631060273639505</v>
      </c>
      <c r="S2692" t="s">
        <v>8518</v>
      </c>
      <c r="T2692" t="s">
        <v>11650</v>
      </c>
      <c r="U2692" t="s">
        <v>11650</v>
      </c>
      <c r="V2692" t="s">
        <v>11650</v>
      </c>
      <c r="W2692" t="s">
        <v>14297</v>
      </c>
      <c r="X2692">
        <v>18</v>
      </c>
      <c r="Y2692" t="s">
        <v>20005</v>
      </c>
      <c r="Z2692" t="s">
        <v>25754</v>
      </c>
      <c r="AA2692">
        <v>0.60010602204731867</v>
      </c>
      <c r="AB2692" t="str">
        <f>HYPERLINK("Melting_Curves/meltCurve_P60981_DSTN.pdf", "Melting_Curves/meltCurve_P60981_DSTN.pdf")</f>
        <v>Melting_Curves/meltCurve_P60981_DSTN.pdf</v>
      </c>
    </row>
    <row r="2693" spans="1:28" x14ac:dyDescent="0.25">
      <c r="A2693" t="s">
        <v>2697</v>
      </c>
      <c r="B2693">
        <v>0.99996721820229495</v>
      </c>
      <c r="C2693">
        <v>1.0314361700340999</v>
      </c>
      <c r="D2693">
        <v>1.00579873463542</v>
      </c>
      <c r="E2693">
        <v>0.99034446400974996</v>
      </c>
      <c r="F2693">
        <v>1.34938581251116</v>
      </c>
      <c r="G2693">
        <v>1.436200440176</v>
      </c>
      <c r="H2693">
        <v>1.0248997854484601</v>
      </c>
      <c r="I2693">
        <v>0.95794670736416898</v>
      </c>
      <c r="J2693">
        <v>0.67126651449430597</v>
      </c>
      <c r="K2693">
        <v>0.332612207901683</v>
      </c>
      <c r="L2693">
        <v>3873.7779111094501</v>
      </c>
      <c r="M2693">
        <v>57.6051940659206</v>
      </c>
      <c r="N2693">
        <v>68.132442973954895</v>
      </c>
      <c r="O2693">
        <v>67.166126770368905</v>
      </c>
      <c r="P2693">
        <v>-0.15791782082667699</v>
      </c>
      <c r="Q2693">
        <v>0.26348841274035301</v>
      </c>
      <c r="R2693">
        <v>0.636868966906319</v>
      </c>
      <c r="S2693" t="s">
        <v>8519</v>
      </c>
      <c r="T2693" t="s">
        <v>11650</v>
      </c>
      <c r="U2693" t="s">
        <v>11650</v>
      </c>
      <c r="V2693" t="s">
        <v>11650</v>
      </c>
      <c r="W2693" t="s">
        <v>14298</v>
      </c>
      <c r="X2693">
        <v>12</v>
      </c>
      <c r="Y2693" t="s">
        <v>20006</v>
      </c>
      <c r="Z2693" t="s">
        <v>25755</v>
      </c>
      <c r="AA2693">
        <v>0.93087049997469551</v>
      </c>
      <c r="AB2693" t="str">
        <f>HYPERLINK("Melting_Curves/meltCurve_P60983_GMFB.pdf", "Melting_Curves/meltCurve_P60983_GMFB.pdf")</f>
        <v>Melting_Curves/meltCurve_P60983_GMFB.pdf</v>
      </c>
    </row>
    <row r="2694" spans="1:28" x14ac:dyDescent="0.25">
      <c r="A2694" t="s">
        <v>2698</v>
      </c>
      <c r="B2694">
        <v>0.99996721820229495</v>
      </c>
      <c r="C2694">
        <v>0.827866274793148</v>
      </c>
      <c r="D2694">
        <v>0.832940755259857</v>
      </c>
      <c r="E2694">
        <v>0.95179322173504499</v>
      </c>
      <c r="F2694">
        <v>0.98033439041245796</v>
      </c>
      <c r="G2694">
        <v>0.73003042950497299</v>
      </c>
      <c r="H2694">
        <v>0.502213476382254</v>
      </c>
      <c r="I2694">
        <v>0.34315162861383602</v>
      </c>
      <c r="J2694">
        <v>0.130731043237553</v>
      </c>
      <c r="K2694">
        <v>7.61434870171704E-2</v>
      </c>
      <c r="L2694">
        <v>1053.59844121438</v>
      </c>
      <c r="M2694">
        <v>17.3050396066633</v>
      </c>
      <c r="N2694">
        <v>60.883908478158602</v>
      </c>
      <c r="O2694">
        <v>60.088310017391201</v>
      </c>
      <c r="P2694">
        <v>-7.2002495016850895E-2</v>
      </c>
      <c r="Q2694">
        <v>0</v>
      </c>
      <c r="R2694">
        <v>0.941845447067296</v>
      </c>
      <c r="S2694" t="s">
        <v>8520</v>
      </c>
      <c r="T2694" t="s">
        <v>11650</v>
      </c>
      <c r="U2694" t="s">
        <v>11650</v>
      </c>
      <c r="V2694" t="s">
        <v>11650</v>
      </c>
      <c r="W2694" t="s">
        <v>14299</v>
      </c>
      <c r="X2694">
        <v>17</v>
      </c>
      <c r="Y2694" t="s">
        <v>20007</v>
      </c>
      <c r="Z2694" t="s">
        <v>25756</v>
      </c>
      <c r="AA2694">
        <v>0.70139872137895343</v>
      </c>
      <c r="AB2694" t="str">
        <f>HYPERLINK("Melting_Curves/meltCurve_P61006_RAB8A.pdf", "Melting_Curves/meltCurve_P61006_RAB8A.pdf")</f>
        <v>Melting_Curves/meltCurve_P61006_RAB8A.pdf</v>
      </c>
    </row>
    <row r="2695" spans="1:28" x14ac:dyDescent="0.25">
      <c r="A2695" t="s">
        <v>2699</v>
      </c>
      <c r="B2695">
        <v>0.99996721820229495</v>
      </c>
      <c r="C2695">
        <v>0.64510395935722298</v>
      </c>
      <c r="D2695">
        <v>1.0189850820145001</v>
      </c>
      <c r="E2695">
        <v>1.0583269585450901</v>
      </c>
      <c r="F2695">
        <v>0.65119967076227803</v>
      </c>
      <c r="G2695">
        <v>0.43725765476712902</v>
      </c>
      <c r="H2695">
        <v>0.29659032049588502</v>
      </c>
      <c r="I2695">
        <v>0.17253730054274399</v>
      </c>
      <c r="J2695">
        <v>0.115613514939131</v>
      </c>
      <c r="K2695">
        <v>0.15310381910965601</v>
      </c>
      <c r="L2695">
        <v>1164.6579520572</v>
      </c>
      <c r="M2695">
        <v>21.107383280296599</v>
      </c>
      <c r="N2695">
        <v>56.029148210211503</v>
      </c>
      <c r="O2695">
        <v>54.689640329911498</v>
      </c>
      <c r="P2695">
        <v>-8.32518621453288E-2</v>
      </c>
      <c r="Q2695">
        <v>0.13719392581384299</v>
      </c>
      <c r="R2695">
        <v>0.87298762015767695</v>
      </c>
      <c r="S2695" t="s">
        <v>8521</v>
      </c>
      <c r="T2695" t="s">
        <v>11650</v>
      </c>
      <c r="U2695" t="s">
        <v>11650</v>
      </c>
      <c r="V2695" t="s">
        <v>11650</v>
      </c>
      <c r="W2695" t="s">
        <v>14300</v>
      </c>
      <c r="X2695">
        <v>2</v>
      </c>
      <c r="Y2695" t="s">
        <v>20008</v>
      </c>
      <c r="Z2695" t="s">
        <v>25757</v>
      </c>
      <c r="AA2695">
        <v>0.58424782463310998</v>
      </c>
      <c r="AB2695" t="str">
        <f>HYPERLINK("Melting_Curves/meltCurve_P61009_SPCS3.pdf", "Melting_Curves/meltCurve_P61009_SPCS3.pdf")</f>
        <v>Melting_Curves/meltCurve_P61009_SPCS3.pdf</v>
      </c>
    </row>
    <row r="2696" spans="1:28" x14ac:dyDescent="0.25">
      <c r="A2696" t="s">
        <v>2700</v>
      </c>
      <c r="B2696">
        <v>0.99996721820229495</v>
      </c>
      <c r="C2696">
        <v>0.902734160814324</v>
      </c>
      <c r="D2696">
        <v>0.81068489121448595</v>
      </c>
      <c r="E2696">
        <v>0.51481615628559596</v>
      </c>
      <c r="F2696">
        <v>0.25950787538464398</v>
      </c>
      <c r="G2696">
        <v>0.20126919560412199</v>
      </c>
      <c r="H2696">
        <v>0.12778936636889099</v>
      </c>
      <c r="I2696">
        <v>7.5874506419559604E-2</v>
      </c>
      <c r="J2696">
        <v>5.3412069336282099E-2</v>
      </c>
      <c r="K2696">
        <v>4.34449312837333E-2</v>
      </c>
      <c r="L2696">
        <v>789.69894890736396</v>
      </c>
      <c r="M2696">
        <v>15.8943938183833</v>
      </c>
      <c r="N2696">
        <v>50.033085381442</v>
      </c>
      <c r="O2696">
        <v>48.9176019939814</v>
      </c>
      <c r="P2696">
        <v>-7.6974681991091698E-2</v>
      </c>
      <c r="Q2696">
        <v>5.2467477360258703E-2</v>
      </c>
      <c r="R2696">
        <v>0.99463763824109197</v>
      </c>
      <c r="S2696" t="s">
        <v>8522</v>
      </c>
      <c r="T2696" t="s">
        <v>11650</v>
      </c>
      <c r="U2696" t="s">
        <v>11650</v>
      </c>
      <c r="V2696" t="s">
        <v>11650</v>
      </c>
      <c r="W2696" t="s">
        <v>14301</v>
      </c>
      <c r="X2696">
        <v>21</v>
      </c>
      <c r="Y2696" t="s">
        <v>20009</v>
      </c>
      <c r="Z2696" t="s">
        <v>25758</v>
      </c>
      <c r="AA2696">
        <v>0.37886996113722282</v>
      </c>
      <c r="AB2696" t="str">
        <f>HYPERLINK("Melting_Curves/meltCurve_P61011_SRP54.pdf", "Melting_Curves/meltCurve_P61011_SRP54.pdf")</f>
        <v>Melting_Curves/meltCurve_P61011_SRP54.pdf</v>
      </c>
    </row>
    <row r="2697" spans="1:28" x14ac:dyDescent="0.25">
      <c r="A2697" t="s">
        <v>2701</v>
      </c>
      <c r="B2697">
        <v>0.99996721820229495</v>
      </c>
      <c r="C2697">
        <v>0.98741942562473195</v>
      </c>
      <c r="D2697">
        <v>0.98637518543823899</v>
      </c>
      <c r="E2697">
        <v>0.95198250819173502</v>
      </c>
      <c r="F2697">
        <v>1.0808318411508799</v>
      </c>
      <c r="G2697">
        <v>0.96634684191891096</v>
      </c>
      <c r="H2697">
        <v>0.57615817886311205</v>
      </c>
      <c r="I2697">
        <v>0.29360576192604998</v>
      </c>
      <c r="J2697">
        <v>0.137725385183635</v>
      </c>
      <c r="K2697">
        <v>8.3265920145347894E-2</v>
      </c>
      <c r="L2697">
        <v>2092.6690917862702</v>
      </c>
      <c r="M2697">
        <v>34.052888986331702</v>
      </c>
      <c r="N2697">
        <v>61.781515762357103</v>
      </c>
      <c r="O2697">
        <v>61.242725288421703</v>
      </c>
      <c r="P2697">
        <v>-0.12751257348599401</v>
      </c>
      <c r="Q2697">
        <v>8.2699057688397803E-2</v>
      </c>
      <c r="R2697">
        <v>0.99167660240939404</v>
      </c>
      <c r="S2697" t="s">
        <v>8523</v>
      </c>
      <c r="T2697" t="s">
        <v>11650</v>
      </c>
      <c r="U2697" t="s">
        <v>11650</v>
      </c>
      <c r="V2697" t="s">
        <v>11650</v>
      </c>
      <c r="W2697" t="s">
        <v>14302</v>
      </c>
      <c r="X2697">
        <v>11</v>
      </c>
      <c r="Y2697" t="s">
        <v>20010</v>
      </c>
      <c r="Z2697" t="s">
        <v>25759</v>
      </c>
      <c r="AA2697">
        <v>0.74287765893979363</v>
      </c>
      <c r="AB2697" t="str">
        <f>HYPERLINK("Melting_Curves/meltCurve_P61018_RAB4B.pdf", "Melting_Curves/meltCurve_P61018_RAB4B.pdf")</f>
        <v>Melting_Curves/meltCurve_P61018_RAB4B.pdf</v>
      </c>
    </row>
    <row r="2698" spans="1:28" x14ac:dyDescent="0.25">
      <c r="A2698" t="s">
        <v>2702</v>
      </c>
      <c r="B2698">
        <v>0.99996721820229495</v>
      </c>
      <c r="C2698">
        <v>0.84891537315047205</v>
      </c>
      <c r="D2698">
        <v>0.89294810713329198</v>
      </c>
      <c r="E2698">
        <v>1.0602367320014301</v>
      </c>
      <c r="F2698">
        <v>1.28572828934384</v>
      </c>
      <c r="G2698">
        <v>1.1904090654633099</v>
      </c>
      <c r="H2698">
        <v>0.94147533805254802</v>
      </c>
      <c r="I2698">
        <v>0.570105655201678</v>
      </c>
      <c r="J2698">
        <v>0.202456021991092</v>
      </c>
      <c r="K2698">
        <v>8.9060192583047301E-2</v>
      </c>
      <c r="L2698">
        <v>3210.35422530601</v>
      </c>
      <c r="M2698">
        <v>50.008662768569401</v>
      </c>
      <c r="N2698">
        <v>64.439681926946704</v>
      </c>
      <c r="O2698">
        <v>64.093557425533902</v>
      </c>
      <c r="P2698">
        <v>-0.17825398646783899</v>
      </c>
      <c r="Q2698">
        <v>8.6164538115665906E-2</v>
      </c>
      <c r="R2698">
        <v>0.89116682454403096</v>
      </c>
      <c r="S2698" t="s">
        <v>8524</v>
      </c>
      <c r="T2698" t="s">
        <v>11650</v>
      </c>
      <c r="U2698" t="s">
        <v>11650</v>
      </c>
      <c r="V2698" t="s">
        <v>11650</v>
      </c>
      <c r="W2698" t="s">
        <v>14303</v>
      </c>
      <c r="X2698">
        <v>20</v>
      </c>
      <c r="Y2698" t="s">
        <v>20011</v>
      </c>
      <c r="Z2698" t="s">
        <v>25760</v>
      </c>
      <c r="AA2698">
        <v>0.82502493530817966</v>
      </c>
      <c r="AB2698" t="str">
        <f>HYPERLINK("Melting_Curves/meltCurve_P61019_RAB2A.pdf", "Melting_Curves/meltCurve_P61019_RAB2A.pdf")</f>
        <v>Melting_Curves/meltCurve_P61019_RAB2A.pdf</v>
      </c>
    </row>
    <row r="2699" spans="1:28" x14ac:dyDescent="0.25">
      <c r="A2699" t="s">
        <v>2703</v>
      </c>
      <c r="B2699">
        <v>0.99996721820229495</v>
      </c>
      <c r="C2699">
        <v>0.99139354339784602</v>
      </c>
      <c r="D2699">
        <v>1.0402551451373301</v>
      </c>
      <c r="E2699">
        <v>1.01814106672433</v>
      </c>
      <c r="F2699">
        <v>1.2612980558846301</v>
      </c>
      <c r="G2699">
        <v>1.1330147769236001</v>
      </c>
      <c r="H2699">
        <v>0.75211115333123202</v>
      </c>
      <c r="I2699">
        <v>0.455176495372065</v>
      </c>
      <c r="J2699">
        <v>0.20289101036544799</v>
      </c>
      <c r="K2699">
        <v>8.7527782749689503E-2</v>
      </c>
      <c r="L2699">
        <v>2237.56916095513</v>
      </c>
      <c r="M2699">
        <v>35.3918264797856</v>
      </c>
      <c r="N2699">
        <v>63.517400768121298</v>
      </c>
      <c r="O2699">
        <v>63.021942012897497</v>
      </c>
      <c r="P2699">
        <v>-0.12976724353357399</v>
      </c>
      <c r="Q2699">
        <v>7.5701210839701993E-2</v>
      </c>
      <c r="R2699">
        <v>0.93487831521035902</v>
      </c>
      <c r="S2699" t="s">
        <v>8525</v>
      </c>
      <c r="T2699" t="s">
        <v>11650</v>
      </c>
      <c r="U2699" t="s">
        <v>11650</v>
      </c>
      <c r="V2699" t="s">
        <v>11650</v>
      </c>
      <c r="W2699" t="s">
        <v>14304</v>
      </c>
      <c r="X2699">
        <v>8</v>
      </c>
      <c r="Y2699" t="s">
        <v>20012</v>
      </c>
      <c r="Z2699" t="s">
        <v>25761</v>
      </c>
      <c r="AA2699">
        <v>0.79405902645668269</v>
      </c>
      <c r="AB2699" t="str">
        <f>HYPERLINK("Melting_Curves/meltCurve_P61020_RAB5B.pdf", "Melting_Curves/meltCurve_P61020_RAB5B.pdf")</f>
        <v>Melting_Curves/meltCurve_P61020_RAB5B.pdf</v>
      </c>
    </row>
    <row r="2700" spans="1:28" x14ac:dyDescent="0.25">
      <c r="A2700" t="s">
        <v>2704</v>
      </c>
      <c r="B2700">
        <v>0.99996721820229495</v>
      </c>
      <c r="C2700">
        <v>0.90143521634031398</v>
      </c>
      <c r="D2700">
        <v>1.0041285142176</v>
      </c>
      <c r="E2700">
        <v>1.0631090029522099</v>
      </c>
      <c r="F2700">
        <v>1.05790094185975</v>
      </c>
      <c r="G2700">
        <v>1.0360998603384199</v>
      </c>
      <c r="H2700">
        <v>0.75549941285225897</v>
      </c>
      <c r="I2700">
        <v>0.41888299335128198</v>
      </c>
      <c r="J2700">
        <v>0.200450174476479</v>
      </c>
      <c r="K2700">
        <v>0.108901716807004</v>
      </c>
      <c r="L2700">
        <v>2226.1162762666399</v>
      </c>
      <c r="M2700">
        <v>35.394600510110401</v>
      </c>
      <c r="N2700">
        <v>63.274640189506897</v>
      </c>
      <c r="O2700">
        <v>62.694489088448002</v>
      </c>
      <c r="P2700">
        <v>-0.127613241816766</v>
      </c>
      <c r="Q2700">
        <v>9.5837352694801106E-2</v>
      </c>
      <c r="R2700">
        <v>0.98291138720357796</v>
      </c>
      <c r="S2700" t="s">
        <v>8526</v>
      </c>
      <c r="T2700" t="s">
        <v>11650</v>
      </c>
      <c r="U2700" t="s">
        <v>11650</v>
      </c>
      <c r="V2700" t="s">
        <v>11650</v>
      </c>
      <c r="W2700" t="s">
        <v>14305</v>
      </c>
      <c r="X2700">
        <v>13</v>
      </c>
      <c r="Y2700" t="s">
        <v>20013</v>
      </c>
      <c r="Z2700" t="s">
        <v>25762</v>
      </c>
      <c r="AA2700">
        <v>0.78894795467850665</v>
      </c>
      <c r="AB2700" t="str">
        <f>HYPERLINK("Melting_Curves/meltCurve_P61026_RAB10.pdf", "Melting_Curves/meltCurve_P61026_RAB10.pdf")</f>
        <v>Melting_Curves/meltCurve_P61026_RAB10.pdf</v>
      </c>
    </row>
    <row r="2701" spans="1:28" x14ac:dyDescent="0.25">
      <c r="A2701" t="s">
        <v>2705</v>
      </c>
      <c r="B2701">
        <v>0.99996721820229495</v>
      </c>
      <c r="C2701">
        <v>1.1789471091586401</v>
      </c>
      <c r="D2701">
        <v>0.969793766580064</v>
      </c>
      <c r="E2701">
        <v>0.753576360588607</v>
      </c>
      <c r="F2701">
        <v>0.28629514496166503</v>
      </c>
      <c r="G2701">
        <v>0.16038660437404001</v>
      </c>
      <c r="H2701">
        <v>9.87706177223346E-2</v>
      </c>
      <c r="I2701">
        <v>9.9294409617191104E-2</v>
      </c>
      <c r="J2701">
        <v>7.9821870464951594E-2</v>
      </c>
      <c r="K2701">
        <v>7.8075209748547106E-2</v>
      </c>
      <c r="L2701">
        <v>1941.43679157417</v>
      </c>
      <c r="M2701">
        <v>37.882675099994103</v>
      </c>
      <c r="N2701">
        <v>51.542701892571401</v>
      </c>
      <c r="O2701">
        <v>51.106472194784203</v>
      </c>
      <c r="P2701">
        <v>-0.16730610528484199</v>
      </c>
      <c r="Q2701">
        <v>9.7169828395169799E-2</v>
      </c>
      <c r="R2701">
        <v>0.980630750242659</v>
      </c>
      <c r="S2701" t="s">
        <v>8527</v>
      </c>
      <c r="T2701" t="s">
        <v>11650</v>
      </c>
      <c r="U2701" t="s">
        <v>11650</v>
      </c>
      <c r="V2701" t="s">
        <v>11650</v>
      </c>
      <c r="W2701" t="s">
        <v>14306</v>
      </c>
      <c r="X2701">
        <v>6</v>
      </c>
      <c r="Y2701" t="s">
        <v>20014</v>
      </c>
      <c r="Z2701" t="s">
        <v>25763</v>
      </c>
      <c r="AA2701">
        <v>0.43925895100613721</v>
      </c>
      <c r="AB2701" t="str">
        <f>HYPERLINK("Melting_Curves/meltCurve_P61077_UBE2D3.pdf", "Melting_Curves/meltCurve_P61077_UBE2D3.pdf")</f>
        <v>Melting_Curves/meltCurve_P61077_UBE2D3.pdf</v>
      </c>
    </row>
    <row r="2702" spans="1:28" x14ac:dyDescent="0.25">
      <c r="A2702" t="s">
        <v>2706</v>
      </c>
      <c r="B2702">
        <v>0.99996721820229495</v>
      </c>
      <c r="C2702">
        <v>1.09804122726218</v>
      </c>
      <c r="D2702">
        <v>0.98712099910408502</v>
      </c>
      <c r="E2702">
        <v>0.84897900994656395</v>
      </c>
      <c r="F2702">
        <v>0.41253397408881798</v>
      </c>
      <c r="G2702">
        <v>0.27773693424106199</v>
      </c>
      <c r="H2702">
        <v>0.156275248778218</v>
      </c>
      <c r="I2702">
        <v>0.10010983608537299</v>
      </c>
      <c r="J2702">
        <v>6.6762145376723703E-2</v>
      </c>
      <c r="K2702">
        <v>5.3326092564034602E-2</v>
      </c>
      <c r="L2702">
        <v>1344.2063281140399</v>
      </c>
      <c r="M2702">
        <v>25.632511639476</v>
      </c>
      <c r="N2702">
        <v>52.8742185649592</v>
      </c>
      <c r="O2702">
        <v>52.125396700487599</v>
      </c>
      <c r="P2702">
        <v>-0.11130546140316</v>
      </c>
      <c r="Q2702">
        <v>9.4623157646863895E-2</v>
      </c>
      <c r="R2702">
        <v>0.98285672128655499</v>
      </c>
      <c r="S2702" t="s">
        <v>8528</v>
      </c>
      <c r="T2702" t="s">
        <v>11650</v>
      </c>
      <c r="U2702" t="s">
        <v>11650</v>
      </c>
      <c r="V2702" t="s">
        <v>11650</v>
      </c>
      <c r="W2702" t="s">
        <v>14307</v>
      </c>
      <c r="X2702">
        <v>11</v>
      </c>
      <c r="Y2702" t="s">
        <v>20015</v>
      </c>
      <c r="Z2702" t="s">
        <v>25764</v>
      </c>
      <c r="AA2702">
        <v>0.47800900017136522</v>
      </c>
      <c r="AB2702" t="str">
        <f>HYPERLINK("Melting_Curves/meltCurve_P61081_UBE2M.pdf", "Melting_Curves/meltCurve_P61081_UBE2M.pdf")</f>
        <v>Melting_Curves/meltCurve_P61081_UBE2M.pdf</v>
      </c>
    </row>
    <row r="2703" spans="1:28" x14ac:dyDescent="0.25">
      <c r="A2703" t="s">
        <v>2707</v>
      </c>
      <c r="B2703">
        <v>0.99996721820229495</v>
      </c>
      <c r="C2703">
        <v>1.1345704377726999</v>
      </c>
      <c r="D2703">
        <v>1.0364591917335899</v>
      </c>
      <c r="E2703">
        <v>1.0174351019216401</v>
      </c>
      <c r="F2703">
        <v>1.0104741701348701</v>
      </c>
      <c r="G2703">
        <v>0.62672379379551701</v>
      </c>
      <c r="H2703">
        <v>0.27276354138546199</v>
      </c>
      <c r="I2703">
        <v>0.21547298337937201</v>
      </c>
      <c r="J2703">
        <v>0.17028981735183299</v>
      </c>
      <c r="K2703">
        <v>0.12489019185377</v>
      </c>
      <c r="L2703">
        <v>2068.6272232327901</v>
      </c>
      <c r="M2703">
        <v>35.987417340264798</v>
      </c>
      <c r="N2703">
        <v>58.122788253514003</v>
      </c>
      <c r="O2703">
        <v>57.305331332910797</v>
      </c>
      <c r="P2703">
        <v>-0.131289177855655</v>
      </c>
      <c r="Q2703">
        <v>0.16375818240556</v>
      </c>
      <c r="R2703">
        <v>0.98419896962726505</v>
      </c>
      <c r="S2703" t="s">
        <v>8529</v>
      </c>
      <c r="T2703" t="s">
        <v>11650</v>
      </c>
      <c r="U2703" t="s">
        <v>11650</v>
      </c>
      <c r="V2703" t="s">
        <v>11650</v>
      </c>
      <c r="W2703" t="s">
        <v>14308</v>
      </c>
      <c r="X2703">
        <v>15</v>
      </c>
      <c r="Y2703" t="s">
        <v>20016</v>
      </c>
      <c r="Z2703" t="s">
        <v>25765</v>
      </c>
      <c r="AA2703">
        <v>0.65506396455337079</v>
      </c>
      <c r="AB2703" t="str">
        <f>HYPERLINK("Melting_Curves/meltCurve_P61086_UBE2K.pdf", "Melting_Curves/meltCurve_P61086_UBE2K.pdf")</f>
        <v>Melting_Curves/meltCurve_P61086_UBE2K.pdf</v>
      </c>
    </row>
    <row r="2704" spans="1:28" x14ac:dyDescent="0.25">
      <c r="A2704" t="s">
        <v>2708</v>
      </c>
      <c r="B2704">
        <v>0.99996721820229495</v>
      </c>
      <c r="C2704">
        <v>1.08489007840081</v>
      </c>
      <c r="D2704">
        <v>0.99615359981638996</v>
      </c>
      <c r="E2704">
        <v>0.94102137186392398</v>
      </c>
      <c r="F2704">
        <v>0.74191757758596499</v>
      </c>
      <c r="G2704">
        <v>0.36948023807978703</v>
      </c>
      <c r="H2704">
        <v>0.18521959142708</v>
      </c>
      <c r="I2704">
        <v>0.11905286046369901</v>
      </c>
      <c r="J2704">
        <v>7.7287686645805695E-2</v>
      </c>
      <c r="K2704">
        <v>5.77885944674962E-2</v>
      </c>
      <c r="L2704">
        <v>1264.93734362685</v>
      </c>
      <c r="M2704">
        <v>22.873100379997201</v>
      </c>
      <c r="N2704">
        <v>55.650700192740999</v>
      </c>
      <c r="O2704">
        <v>54.884885634288501</v>
      </c>
      <c r="P2704">
        <v>-9.7240300233976895E-2</v>
      </c>
      <c r="Q2704">
        <v>6.6690371513505098E-2</v>
      </c>
      <c r="R2704">
        <v>0.99483549419848305</v>
      </c>
      <c r="S2704" t="s">
        <v>8530</v>
      </c>
      <c r="T2704" t="s">
        <v>11650</v>
      </c>
      <c r="U2704" t="s">
        <v>11650</v>
      </c>
      <c r="V2704" t="s">
        <v>11650</v>
      </c>
      <c r="W2704" t="s">
        <v>14309</v>
      </c>
      <c r="X2704">
        <v>11</v>
      </c>
      <c r="Y2704" t="s">
        <v>20017</v>
      </c>
      <c r="Z2704" t="s">
        <v>25766</v>
      </c>
      <c r="AA2704">
        <v>0.55276421861321678</v>
      </c>
      <c r="AB2704" t="str">
        <f>HYPERLINK("Melting_Curves/meltCurve_P61088_UBE2N.pdf", "Melting_Curves/meltCurve_P61088_UBE2N.pdf")</f>
        <v>Melting_Curves/meltCurve_P61088_UBE2N.pdf</v>
      </c>
    </row>
    <row r="2705" spans="1:28" x14ac:dyDescent="0.25">
      <c r="A2705" t="s">
        <v>2709</v>
      </c>
      <c r="B2705">
        <v>0.99996721820229495</v>
      </c>
      <c r="C2705">
        <v>0.94947103742706995</v>
      </c>
      <c r="D2705">
        <v>1.0280240025535401</v>
      </c>
      <c r="E2705">
        <v>1.0373856709906699</v>
      </c>
      <c r="F2705">
        <v>1.3276402869544299</v>
      </c>
      <c r="G2705">
        <v>1.3158329657033001</v>
      </c>
      <c r="H2705">
        <v>0.93857121069471605</v>
      </c>
      <c r="I2705">
        <v>0.61740198362120802</v>
      </c>
      <c r="J2705">
        <v>0.35906434685425997</v>
      </c>
      <c r="K2705">
        <v>0.174051950857494</v>
      </c>
      <c r="L2705">
        <v>2693.13353543933</v>
      </c>
      <c r="M2705">
        <v>41.7773016486125</v>
      </c>
      <c r="N2705">
        <v>65.123140004988599</v>
      </c>
      <c r="O2705">
        <v>64.316859864266206</v>
      </c>
      <c r="P2705">
        <v>-0.13439266756735299</v>
      </c>
      <c r="Q2705">
        <v>0.17240233779820599</v>
      </c>
      <c r="R2705">
        <v>0.83207502045254</v>
      </c>
      <c r="S2705" t="s">
        <v>8531</v>
      </c>
      <c r="T2705" t="s">
        <v>11650</v>
      </c>
      <c r="U2705" t="s">
        <v>11650</v>
      </c>
      <c r="V2705" t="s">
        <v>11650</v>
      </c>
      <c r="W2705" t="s">
        <v>14310</v>
      </c>
      <c r="X2705">
        <v>18</v>
      </c>
      <c r="Y2705" t="s">
        <v>20018</v>
      </c>
      <c r="Z2705" t="s">
        <v>25767</v>
      </c>
      <c r="AA2705">
        <v>0.84874659372610606</v>
      </c>
      <c r="AB2705" t="str">
        <f>HYPERLINK("Melting_Curves/meltCurve_P61106_RAB14.pdf", "Melting_Curves/meltCurve_P61106_RAB14.pdf")</f>
        <v>Melting_Curves/meltCurve_P61106_RAB14.pdf</v>
      </c>
    </row>
    <row r="2706" spans="1:28" x14ac:dyDescent="0.25">
      <c r="A2706" t="s">
        <v>2710</v>
      </c>
      <c r="B2706">
        <v>0.99996721820229495</v>
      </c>
      <c r="C2706">
        <v>1.03389420583893</v>
      </c>
      <c r="D2706">
        <v>1.2455648338290899</v>
      </c>
      <c r="E2706">
        <v>1.8163604244868801</v>
      </c>
      <c r="F2706">
        <v>2.3384320930312601</v>
      </c>
      <c r="G2706">
        <v>3.2126795279469098</v>
      </c>
      <c r="H2706">
        <v>1.7002111325576801</v>
      </c>
      <c r="I2706">
        <v>0.48343673511541801</v>
      </c>
      <c r="J2706">
        <v>0.228658593562269</v>
      </c>
      <c r="K2706">
        <v>0.17069844211131899</v>
      </c>
      <c r="L2706">
        <v>15000</v>
      </c>
      <c r="M2706">
        <v>234.97370019256601</v>
      </c>
      <c r="N2706">
        <v>63.975716485155601</v>
      </c>
      <c r="O2706">
        <v>63.832307263175601</v>
      </c>
      <c r="P2706">
        <v>-0.73653461805124798</v>
      </c>
      <c r="Q2706">
        <v>0.19966015073167301</v>
      </c>
      <c r="R2706">
        <v>5.9989065338220099E-2</v>
      </c>
      <c r="S2706" t="s">
        <v>8532</v>
      </c>
      <c r="T2706" t="s">
        <v>11650</v>
      </c>
      <c r="U2706" t="s">
        <v>11650</v>
      </c>
      <c r="V2706" t="s">
        <v>11650</v>
      </c>
      <c r="W2706" t="s">
        <v>14311</v>
      </c>
      <c r="X2706">
        <v>27</v>
      </c>
      <c r="Y2706" t="s">
        <v>20019</v>
      </c>
      <c r="Z2706" t="s">
        <v>25768</v>
      </c>
      <c r="AA2706">
        <v>0.8356831909538317</v>
      </c>
      <c r="AB2706" t="str">
        <f>HYPERLINK("Melting_Curves/meltCurve_P61158_ACTR3.pdf", "Melting_Curves/meltCurve_P61158_ACTR3.pdf")</f>
        <v>Melting_Curves/meltCurve_P61158_ACTR3.pdf</v>
      </c>
    </row>
    <row r="2707" spans="1:28" x14ac:dyDescent="0.25">
      <c r="A2707" t="s">
        <v>2711</v>
      </c>
      <c r="B2707">
        <v>0.99996721820229495</v>
      </c>
      <c r="C2707">
        <v>0.97571925011122596</v>
      </c>
      <c r="D2707">
        <v>1.1435234080515699</v>
      </c>
      <c r="E2707">
        <v>1.74713267172693</v>
      </c>
      <c r="F2707">
        <v>2.2247065909392401</v>
      </c>
      <c r="G2707">
        <v>3.0006348261104301</v>
      </c>
      <c r="H2707">
        <v>1.7145806905001</v>
      </c>
      <c r="I2707">
        <v>0.43968633567127202</v>
      </c>
      <c r="J2707">
        <v>0.181833223671031</v>
      </c>
      <c r="K2707">
        <v>0.13687778043833801</v>
      </c>
      <c r="L2707">
        <v>15000</v>
      </c>
      <c r="M2707">
        <v>235.06710665261099</v>
      </c>
      <c r="N2707">
        <v>63.915874822899298</v>
      </c>
      <c r="O2707">
        <v>63.806946483677301</v>
      </c>
      <c r="P2707">
        <v>-0.77426009828056297</v>
      </c>
      <c r="Q2707">
        <v>0.15933499590008601</v>
      </c>
      <c r="R2707">
        <v>0.13957183862404099</v>
      </c>
      <c r="S2707" t="s">
        <v>8533</v>
      </c>
      <c r="T2707" t="s">
        <v>11650</v>
      </c>
      <c r="U2707" t="s">
        <v>11650</v>
      </c>
      <c r="V2707" t="s">
        <v>11650</v>
      </c>
      <c r="W2707" t="s">
        <v>14312</v>
      </c>
      <c r="X2707">
        <v>26</v>
      </c>
      <c r="Y2707" t="s">
        <v>20020</v>
      </c>
      <c r="Z2707" t="s">
        <v>25769</v>
      </c>
      <c r="AA2707">
        <v>0.82669313641684872</v>
      </c>
      <c r="AB2707" t="str">
        <f>HYPERLINK("Melting_Curves/meltCurve_P61160_ACTR2.pdf", "Melting_Curves/meltCurve_P61160_ACTR2.pdf")</f>
        <v>Melting_Curves/meltCurve_P61160_ACTR2.pdf</v>
      </c>
    </row>
    <row r="2708" spans="1:28" x14ac:dyDescent="0.25">
      <c r="A2708" t="s">
        <v>2712</v>
      </c>
      <c r="B2708">
        <v>0.99996721820229495</v>
      </c>
      <c r="C2708">
        <v>1.0056173725128901</v>
      </c>
      <c r="D2708">
        <v>1.0497764032879899</v>
      </c>
      <c r="E2708">
        <v>1.3828129379763501</v>
      </c>
      <c r="F2708">
        <v>2.4694334960562498</v>
      </c>
      <c r="G2708">
        <v>3.63681530280066</v>
      </c>
      <c r="H2708">
        <v>1.8687061886765699</v>
      </c>
      <c r="I2708">
        <v>0.59785138079505196</v>
      </c>
      <c r="J2708">
        <v>0.31448399789751202</v>
      </c>
      <c r="K2708">
        <v>0.197186391635853</v>
      </c>
      <c r="L2708">
        <v>15000</v>
      </c>
      <c r="M2708">
        <v>234.53666481135701</v>
      </c>
      <c r="N2708">
        <v>64.151927782747094</v>
      </c>
      <c r="O2708">
        <v>63.9512262868977</v>
      </c>
      <c r="P2708">
        <v>-0.68230852295448097</v>
      </c>
      <c r="Q2708">
        <v>0.25581831441199598</v>
      </c>
      <c r="R2708">
        <v>2.82223844166862E-3</v>
      </c>
      <c r="S2708" t="s">
        <v>8534</v>
      </c>
      <c r="T2708" t="s">
        <v>11650</v>
      </c>
      <c r="U2708" t="s">
        <v>11650</v>
      </c>
      <c r="V2708" t="s">
        <v>11650</v>
      </c>
      <c r="W2708" t="s">
        <v>14313</v>
      </c>
      <c r="X2708">
        <v>17</v>
      </c>
      <c r="Y2708" t="s">
        <v>20021</v>
      </c>
      <c r="Z2708" t="s">
        <v>25770</v>
      </c>
      <c r="AA2708">
        <v>0.85016425595832179</v>
      </c>
      <c r="AB2708" t="str">
        <f>HYPERLINK("Melting_Curves/meltCurve_P61163_ACTR1A.pdf", "Melting_Curves/meltCurve_P61163_ACTR1A.pdf")</f>
        <v>Melting_Curves/meltCurve_P61163_ACTR1A.pdf</v>
      </c>
    </row>
    <row r="2709" spans="1:28" x14ac:dyDescent="0.25">
      <c r="A2709" t="s">
        <v>2713</v>
      </c>
      <c r="B2709">
        <v>0.99996721820229495</v>
      </c>
      <c r="C2709">
        <v>1.1272047477090801</v>
      </c>
      <c r="D2709">
        <v>1.2818978330075499</v>
      </c>
      <c r="E2709">
        <v>1.7545220139398401</v>
      </c>
      <c r="F2709">
        <v>2.3944137915504098</v>
      </c>
      <c r="G2709">
        <v>1.3714362329452201</v>
      </c>
      <c r="H2709">
        <v>0.385207617474214</v>
      </c>
      <c r="I2709">
        <v>0.25119691522305299</v>
      </c>
      <c r="J2709">
        <v>0.159605339314453</v>
      </c>
      <c r="K2709">
        <v>0.141881064531996</v>
      </c>
      <c r="L2709">
        <v>11393.8173980062</v>
      </c>
      <c r="M2709">
        <v>187.90165722286901</v>
      </c>
      <c r="N2709">
        <v>60.7857809967105</v>
      </c>
      <c r="O2709">
        <v>60.630262559245402</v>
      </c>
      <c r="P2709">
        <v>-0.63206521479522404</v>
      </c>
      <c r="Q2709">
        <v>0.18420560336115399</v>
      </c>
      <c r="R2709">
        <v>0.46279163024117798</v>
      </c>
      <c r="S2709" t="s">
        <v>8535</v>
      </c>
      <c r="T2709" t="s">
        <v>11650</v>
      </c>
      <c r="U2709" t="s">
        <v>11650</v>
      </c>
      <c r="V2709" t="s">
        <v>11650</v>
      </c>
      <c r="W2709" t="s">
        <v>14314</v>
      </c>
      <c r="X2709">
        <v>11</v>
      </c>
      <c r="Y2709" t="s">
        <v>20022</v>
      </c>
      <c r="Z2709" t="s">
        <v>25771</v>
      </c>
      <c r="AA2709">
        <v>0.74554783432483973</v>
      </c>
      <c r="AB2709" t="str">
        <f>HYPERLINK("Melting_Curves/meltCurve_P61201_COPS2.pdf", "Melting_Curves/meltCurve_P61201_COPS2.pdf")</f>
        <v>Melting_Curves/meltCurve_P61201_COPS2.pdf</v>
      </c>
    </row>
    <row r="2710" spans="1:28" x14ac:dyDescent="0.25">
      <c r="A2710" t="s">
        <v>2714</v>
      </c>
      <c r="B2710">
        <v>0.99996721820229495</v>
      </c>
      <c r="C2710">
        <v>1.0095707461324701</v>
      </c>
      <c r="D2710">
        <v>0.96397738082561801</v>
      </c>
      <c r="E2710">
        <v>1.15294933319194</v>
      </c>
      <c r="F2710">
        <v>1.42508266704739</v>
      </c>
      <c r="G2710">
        <v>1.34184353288085</v>
      </c>
      <c r="H2710">
        <v>0.878787242027529</v>
      </c>
      <c r="I2710">
        <v>1.0353188097681101</v>
      </c>
      <c r="J2710">
        <v>0.87101240638506505</v>
      </c>
      <c r="K2710">
        <v>0.53010909107814197</v>
      </c>
      <c r="L2710">
        <v>15000</v>
      </c>
      <c r="M2710">
        <v>222.90844603972999</v>
      </c>
      <c r="O2710">
        <v>67.286784845312496</v>
      </c>
      <c r="P2710">
        <v>-0.38923517616942299</v>
      </c>
      <c r="Q2710">
        <v>0.53002438568716803</v>
      </c>
      <c r="R2710">
        <v>0.40794516012978599</v>
      </c>
      <c r="S2710" t="s">
        <v>8536</v>
      </c>
      <c r="T2710" t="s">
        <v>11650</v>
      </c>
      <c r="U2710" t="s">
        <v>11650</v>
      </c>
      <c r="V2710" t="s">
        <v>11650</v>
      </c>
      <c r="W2710" t="s">
        <v>14315</v>
      </c>
      <c r="X2710">
        <v>3</v>
      </c>
      <c r="Y2710" t="s">
        <v>20023</v>
      </c>
      <c r="Z2710" t="s">
        <v>25772</v>
      </c>
      <c r="AA2710">
        <v>0.95764890784738343</v>
      </c>
      <c r="AB2710" t="str">
        <f>HYPERLINK("Melting_Curves/meltCurve_P61218_POLR2F.pdf", "Melting_Curves/meltCurve_P61218_POLR2F.pdf")</f>
        <v>Melting_Curves/meltCurve_P61218_POLR2F.pdf</v>
      </c>
    </row>
    <row r="2711" spans="1:28" x14ac:dyDescent="0.25">
      <c r="A2711" t="s">
        <v>2715</v>
      </c>
      <c r="B2711">
        <v>0.99996721820229495</v>
      </c>
      <c r="C2711">
        <v>1.0132162584269999</v>
      </c>
      <c r="D2711">
        <v>0.94974402814371695</v>
      </c>
      <c r="E2711">
        <v>1.0108238508991301</v>
      </c>
      <c r="F2711">
        <v>1.46650909206129</v>
      </c>
      <c r="G2711">
        <v>1.7845453154793001</v>
      </c>
      <c r="H2711">
        <v>1.12208638219497</v>
      </c>
      <c r="I2711">
        <v>0.38900122490836098</v>
      </c>
      <c r="J2711">
        <v>0.134294988260174</v>
      </c>
      <c r="K2711">
        <v>8.6139765235545201E-2</v>
      </c>
      <c r="L2711">
        <v>15000</v>
      </c>
      <c r="M2711">
        <v>235.15955392906699</v>
      </c>
      <c r="N2711">
        <v>63.854090171294899</v>
      </c>
      <c r="O2711">
        <v>63.781864174587902</v>
      </c>
      <c r="P2711">
        <v>-0.82015097023593497</v>
      </c>
      <c r="Q2711">
        <v>0.11020822656403</v>
      </c>
      <c r="R2711">
        <v>0.68441582650348898</v>
      </c>
      <c r="S2711" t="s">
        <v>8537</v>
      </c>
      <c r="T2711" t="s">
        <v>11650</v>
      </c>
      <c r="U2711" t="s">
        <v>11650</v>
      </c>
      <c r="V2711" t="s">
        <v>11650</v>
      </c>
      <c r="W2711" t="s">
        <v>14316</v>
      </c>
      <c r="X2711">
        <v>29</v>
      </c>
      <c r="Y2711" t="s">
        <v>20024</v>
      </c>
      <c r="Z2711" t="s">
        <v>25773</v>
      </c>
      <c r="AA2711">
        <v>0.81582125655575111</v>
      </c>
      <c r="AB2711" t="str">
        <f>HYPERLINK("Melting_Curves/meltCurve_P61221_ABCE1.pdf", "Melting_Curves/meltCurve_P61221_ABCE1.pdf")</f>
        <v>Melting_Curves/meltCurve_P61221_ABCE1.pdf</v>
      </c>
    </row>
    <row r="2712" spans="1:28" x14ac:dyDescent="0.25">
      <c r="A2712" t="s">
        <v>2716</v>
      </c>
      <c r="B2712">
        <v>0.99996721820229495</v>
      </c>
      <c r="C2712">
        <v>1.06677472349609</v>
      </c>
      <c r="D2712">
        <v>1.1174822492845899</v>
      </c>
      <c r="E2712">
        <v>0.99397406636972396</v>
      </c>
      <c r="F2712">
        <v>1.1858422596123099</v>
      </c>
      <c r="G2712">
        <v>1.2073711161998499</v>
      </c>
      <c r="H2712">
        <v>0.73630138464556405</v>
      </c>
      <c r="I2712">
        <v>0.39183230587585799</v>
      </c>
      <c r="J2712">
        <v>0.15294230269252701</v>
      </c>
      <c r="K2712">
        <v>0.17797676634527099</v>
      </c>
      <c r="L2712">
        <v>2883.26332003781</v>
      </c>
      <c r="M2712">
        <v>46.234784518511603</v>
      </c>
      <c r="N2712">
        <v>62.874102766208701</v>
      </c>
      <c r="O2712">
        <v>62.245015901203303</v>
      </c>
      <c r="P2712">
        <v>-0.15653096564475699</v>
      </c>
      <c r="Q2712">
        <v>0.15706226599904899</v>
      </c>
      <c r="R2712">
        <v>0.93165631143124294</v>
      </c>
      <c r="S2712" t="s">
        <v>8538</v>
      </c>
      <c r="T2712" t="s">
        <v>11650</v>
      </c>
      <c r="U2712" t="s">
        <v>11650</v>
      </c>
      <c r="V2712" t="s">
        <v>11650</v>
      </c>
      <c r="W2712" t="s">
        <v>14317</v>
      </c>
      <c r="X2712">
        <v>15</v>
      </c>
      <c r="Y2712" t="s">
        <v>20025</v>
      </c>
      <c r="Z2712" t="s">
        <v>25774</v>
      </c>
      <c r="AA2712">
        <v>0.78776138907461057</v>
      </c>
      <c r="AB2712" t="str">
        <f>HYPERLINK("Melting_Curves/meltCurve_P61224_RAP1B.pdf", "Melting_Curves/meltCurve_P61224_RAP1B.pdf")</f>
        <v>Melting_Curves/meltCurve_P61224_RAP1B.pdf</v>
      </c>
    </row>
    <row r="2713" spans="1:28" x14ac:dyDescent="0.25">
      <c r="A2713" t="s">
        <v>2717</v>
      </c>
      <c r="B2713">
        <v>0.99996721820229495</v>
      </c>
      <c r="C2713">
        <v>0.80570523533648597</v>
      </c>
      <c r="D2713">
        <v>0.95977268333624699</v>
      </c>
      <c r="E2713">
        <v>0.99585486366127696</v>
      </c>
      <c r="F2713">
        <v>1.2283421094790701</v>
      </c>
      <c r="G2713">
        <v>1.2698506678359101</v>
      </c>
      <c r="H2713">
        <v>0.95342275171516999</v>
      </c>
      <c r="I2713">
        <v>0.51504202121414699</v>
      </c>
      <c r="J2713">
        <v>0.281284936285502</v>
      </c>
      <c r="K2713">
        <v>0.22199908024444401</v>
      </c>
      <c r="L2713">
        <v>4206.46573531791</v>
      </c>
      <c r="M2713">
        <v>66.267365148240998</v>
      </c>
      <c r="N2713">
        <v>64.103342538962096</v>
      </c>
      <c r="O2713">
        <v>63.419451818111703</v>
      </c>
      <c r="P2713">
        <v>-0.19898398969807199</v>
      </c>
      <c r="Q2713">
        <v>0.23827048152914501</v>
      </c>
      <c r="R2713">
        <v>0.86345380981016595</v>
      </c>
      <c r="S2713" t="s">
        <v>8539</v>
      </c>
      <c r="T2713" t="s">
        <v>11650</v>
      </c>
      <c r="U2713" t="s">
        <v>11650</v>
      </c>
      <c r="V2713" t="s">
        <v>11650</v>
      </c>
      <c r="W2713" t="s">
        <v>14318</v>
      </c>
      <c r="X2713">
        <v>5</v>
      </c>
      <c r="Y2713" t="s">
        <v>20026</v>
      </c>
      <c r="Z2713" t="s">
        <v>25775</v>
      </c>
      <c r="AA2713">
        <v>0.83552694412134221</v>
      </c>
      <c r="AB2713" t="str">
        <f>HYPERLINK("Melting_Curves/meltCurve_P61225_RAP2B.pdf", "Melting_Curves/meltCurve_P61225_RAP2B.pdf")</f>
        <v>Melting_Curves/meltCurve_P61225_RAP2B.pdf</v>
      </c>
    </row>
    <row r="2714" spans="1:28" x14ac:dyDescent="0.25">
      <c r="A2714" t="s">
        <v>2718</v>
      </c>
      <c r="B2714">
        <v>0.99996721820229495</v>
      </c>
      <c r="C2714">
        <v>0.90323236705087395</v>
      </c>
      <c r="D2714">
        <v>0.87218976992714703</v>
      </c>
      <c r="E2714">
        <v>0.80134846061517595</v>
      </c>
      <c r="F2714">
        <v>0.92250970028340495</v>
      </c>
      <c r="G2714">
        <v>1.16097765387035</v>
      </c>
      <c r="H2714">
        <v>0.96957152188775297</v>
      </c>
      <c r="I2714">
        <v>0.96021708901413705</v>
      </c>
      <c r="J2714">
        <v>0.817910122290613</v>
      </c>
      <c r="K2714">
        <v>0.615559597610842</v>
      </c>
      <c r="L2714">
        <v>2552.2656624595402</v>
      </c>
      <c r="M2714">
        <v>37.453321832026198</v>
      </c>
      <c r="O2714">
        <v>67.951842403361397</v>
      </c>
      <c r="P2714">
        <v>-7.2612305708010902E-2</v>
      </c>
      <c r="Q2714">
        <v>0.47303722678569998</v>
      </c>
      <c r="R2714">
        <v>0.47201398253690902</v>
      </c>
      <c r="S2714" t="s">
        <v>8540</v>
      </c>
      <c r="T2714" t="s">
        <v>11650</v>
      </c>
      <c r="U2714" t="s">
        <v>11650</v>
      </c>
      <c r="V2714" t="s">
        <v>11650</v>
      </c>
      <c r="W2714" t="s">
        <v>14319</v>
      </c>
      <c r="X2714">
        <v>4</v>
      </c>
      <c r="Y2714" t="s">
        <v>20027</v>
      </c>
      <c r="Z2714" t="s">
        <v>25776</v>
      </c>
      <c r="AA2714">
        <v>0.95893054381514065</v>
      </c>
      <c r="AB2714" t="str">
        <f>HYPERLINK("Melting_Curves/meltCurve_P61244_2_MAX.pdf", "Melting_Curves/meltCurve_P61244_2_MAX.pdf")</f>
        <v>Melting_Curves/meltCurve_P61244_2_MAX.pdf</v>
      </c>
    </row>
    <row r="2715" spans="1:28" x14ac:dyDescent="0.25">
      <c r="A2715" t="s">
        <v>2719</v>
      </c>
      <c r="B2715">
        <v>0.99996721820229495</v>
      </c>
      <c r="C2715">
        <v>1.0230012660313701</v>
      </c>
      <c r="D2715">
        <v>1.10292070443498</v>
      </c>
      <c r="E2715">
        <v>1.5311655307726799</v>
      </c>
      <c r="F2715">
        <v>1.4627392786286999</v>
      </c>
      <c r="G2715">
        <v>1.16521234408386</v>
      </c>
      <c r="H2715">
        <v>0.66359942677275896</v>
      </c>
      <c r="I2715">
        <v>0.52128962025455405</v>
      </c>
      <c r="J2715">
        <v>0.28835279401919001</v>
      </c>
      <c r="K2715">
        <v>0.30648604664771001</v>
      </c>
      <c r="L2715">
        <v>2578.6598227048898</v>
      </c>
      <c r="M2715">
        <v>41.779781033718102</v>
      </c>
      <c r="N2715">
        <v>63.164114583434802</v>
      </c>
      <c r="O2715">
        <v>61.579384300270299</v>
      </c>
      <c r="P2715">
        <v>-0.117443752679779</v>
      </c>
      <c r="Q2715">
        <v>0.30759796282570601</v>
      </c>
      <c r="R2715">
        <v>0.68616559461954396</v>
      </c>
      <c r="S2715" t="s">
        <v>8541</v>
      </c>
      <c r="T2715" t="s">
        <v>11650</v>
      </c>
      <c r="U2715" t="s">
        <v>11650</v>
      </c>
      <c r="V2715" t="s">
        <v>11650</v>
      </c>
      <c r="W2715" t="s">
        <v>14320</v>
      </c>
      <c r="X2715">
        <v>10</v>
      </c>
      <c r="Y2715" t="s">
        <v>20028</v>
      </c>
      <c r="Z2715" t="s">
        <v>25777</v>
      </c>
      <c r="AA2715">
        <v>0.81127932173568873</v>
      </c>
      <c r="AB2715" t="str">
        <f>HYPERLINK("Melting_Curves/meltCurve_P61247_RPS3A.pdf", "Melting_Curves/meltCurve_P61247_RPS3A.pdf")</f>
        <v>Melting_Curves/meltCurve_P61247_RPS3A.pdf</v>
      </c>
    </row>
    <row r="2716" spans="1:28" x14ac:dyDescent="0.25">
      <c r="A2716" t="s">
        <v>2720</v>
      </c>
      <c r="B2716">
        <v>0.99996721820229495</v>
      </c>
      <c r="C2716">
        <v>0.82382102431889404</v>
      </c>
      <c r="D2716">
        <v>0.732539515228808</v>
      </c>
      <c r="E2716">
        <v>1.43703029652329</v>
      </c>
      <c r="F2716">
        <v>1.2712614176069399</v>
      </c>
      <c r="G2716">
        <v>0.91214421055087103</v>
      </c>
      <c r="H2716">
        <v>0.91002995330548597</v>
      </c>
      <c r="I2716">
        <v>0.85882592287664605</v>
      </c>
      <c r="J2716">
        <v>0.49375889211308299</v>
      </c>
      <c r="K2716">
        <v>0.470444280107228</v>
      </c>
      <c r="L2716">
        <v>4653.2270546169002</v>
      </c>
      <c r="M2716">
        <v>71.751838516969997</v>
      </c>
      <c r="N2716">
        <v>67.158405204502003</v>
      </c>
      <c r="O2716">
        <v>64.801355389496095</v>
      </c>
      <c r="P2716">
        <v>-0.15017878022019601</v>
      </c>
      <c r="Q2716">
        <v>0.457475277232607</v>
      </c>
      <c r="R2716">
        <v>0.53418300902026306</v>
      </c>
      <c r="S2716" t="s">
        <v>8542</v>
      </c>
      <c r="T2716" t="s">
        <v>11650</v>
      </c>
      <c r="U2716" t="s">
        <v>11650</v>
      </c>
      <c r="V2716" t="s">
        <v>11650</v>
      </c>
      <c r="W2716" t="s">
        <v>14321</v>
      </c>
      <c r="X2716">
        <v>10</v>
      </c>
      <c r="Y2716" t="s">
        <v>20029</v>
      </c>
      <c r="Z2716" t="s">
        <v>25778</v>
      </c>
      <c r="AA2716">
        <v>0.90754830455325697</v>
      </c>
      <c r="AB2716" t="str">
        <f>HYPERLINK("Melting_Curves/meltCurve_P61254_RPL26.pdf", "Melting_Curves/meltCurve_P61254_RPL26.pdf")</f>
        <v>Melting_Curves/meltCurve_P61254_RPL26.pdf</v>
      </c>
    </row>
    <row r="2717" spans="1:28" x14ac:dyDescent="0.25">
      <c r="A2717" t="s">
        <v>2721</v>
      </c>
      <c r="B2717">
        <v>0.99996721820229495</v>
      </c>
      <c r="C2717">
        <v>1.14771163351934</v>
      </c>
      <c r="D2717">
        <v>1.1081294351123201</v>
      </c>
      <c r="E2717">
        <v>1.2203320381023799</v>
      </c>
      <c r="F2717">
        <v>1.56111413731162</v>
      </c>
      <c r="G2717">
        <v>1.7671307639626499</v>
      </c>
      <c r="H2717">
        <v>1.32865512479109</v>
      </c>
      <c r="I2717">
        <v>0.96238059793355402</v>
      </c>
      <c r="J2717">
        <v>0.73704434017811604</v>
      </c>
      <c r="K2717">
        <v>0.70331420240891795</v>
      </c>
      <c r="L2717">
        <v>6339.2054399316403</v>
      </c>
      <c r="M2717">
        <v>96.910436672995104</v>
      </c>
      <c r="O2717">
        <v>65.385191219149405</v>
      </c>
      <c r="P2717">
        <v>-0.10890410493974099</v>
      </c>
      <c r="Q2717">
        <v>0.70609088049441504</v>
      </c>
      <c r="R2717">
        <v>-7.62940101257958E-2</v>
      </c>
      <c r="S2717" t="s">
        <v>8543</v>
      </c>
      <c r="T2717" t="s">
        <v>11650</v>
      </c>
      <c r="U2717" t="s">
        <v>11650</v>
      </c>
      <c r="V2717" t="s">
        <v>11650</v>
      </c>
      <c r="W2717" t="s">
        <v>14322</v>
      </c>
      <c r="X2717">
        <v>16</v>
      </c>
      <c r="Y2717" t="s">
        <v>20030</v>
      </c>
      <c r="Z2717" t="s">
        <v>25779</v>
      </c>
      <c r="AA2717">
        <v>0.95527290969440348</v>
      </c>
      <c r="AB2717" t="str">
        <f>HYPERLINK("Melting_Curves/meltCurve_P61289_PSME3.pdf", "Melting_Curves/meltCurve_P61289_PSME3.pdf")</f>
        <v>Melting_Curves/meltCurve_P61289_PSME3.pdf</v>
      </c>
    </row>
    <row r="2718" spans="1:28" x14ac:dyDescent="0.25">
      <c r="A2718" t="s">
        <v>2722</v>
      </c>
      <c r="B2718">
        <v>0.99996721820229495</v>
      </c>
      <c r="C2718">
        <v>1.09100456592003</v>
      </c>
      <c r="D2718">
        <v>0.997912444451025</v>
      </c>
      <c r="E2718">
        <v>0.65916261692463696</v>
      </c>
      <c r="F2718">
        <v>0.50685195619986001</v>
      </c>
      <c r="G2718">
        <v>0.42355541687536902</v>
      </c>
      <c r="H2718">
        <v>0.19406280681162999</v>
      </c>
      <c r="I2718">
        <v>0.442628905244497</v>
      </c>
      <c r="J2718">
        <v>9.8608149079808097E-2</v>
      </c>
      <c r="K2718">
        <v>7.4295717339612696E-2</v>
      </c>
      <c r="L2718">
        <v>778.37639025784097</v>
      </c>
      <c r="M2718">
        <v>14.7969575540245</v>
      </c>
      <c r="N2718">
        <v>53.937982856118701</v>
      </c>
      <c r="O2718">
        <v>51.671065476501198</v>
      </c>
      <c r="P2718">
        <v>-6.06270748436461E-2</v>
      </c>
      <c r="Q2718">
        <v>0.153249785929432</v>
      </c>
      <c r="R2718">
        <v>0.91564709099240305</v>
      </c>
      <c r="S2718" t="s">
        <v>8544</v>
      </c>
      <c r="T2718" t="s">
        <v>11650</v>
      </c>
      <c r="U2718" t="s">
        <v>11650</v>
      </c>
      <c r="V2718" t="s">
        <v>11650</v>
      </c>
      <c r="W2718" t="s">
        <v>14323</v>
      </c>
      <c r="X2718">
        <v>5</v>
      </c>
      <c r="Y2718" t="s">
        <v>20031</v>
      </c>
      <c r="Z2718" t="s">
        <v>25780</v>
      </c>
      <c r="AA2718">
        <v>0.52787458743768156</v>
      </c>
      <c r="AB2718" t="str">
        <f>HYPERLINK("Melting_Curves/meltCurve_P61326_MAGOH.pdf", "Melting_Curves/meltCurve_P61326_MAGOH.pdf")</f>
        <v>Melting_Curves/meltCurve_P61326_MAGOH.pdf</v>
      </c>
    </row>
    <row r="2719" spans="1:28" x14ac:dyDescent="0.25">
      <c r="A2719" t="s">
        <v>2723</v>
      </c>
      <c r="B2719">
        <v>0.99996721820229495</v>
      </c>
      <c r="C2719">
        <v>0.94164940219482396</v>
      </c>
      <c r="D2719">
        <v>0.96145343171073705</v>
      </c>
      <c r="E2719">
        <v>0.95582444301344205</v>
      </c>
      <c r="F2719">
        <v>1.0584378186005201</v>
      </c>
      <c r="G2719">
        <v>1.04972662355367</v>
      </c>
      <c r="H2719">
        <v>0.75025645218581605</v>
      </c>
      <c r="I2719">
        <v>0.466374913389273</v>
      </c>
      <c r="J2719">
        <v>0.24085436744602801</v>
      </c>
      <c r="K2719">
        <v>0.146545888930559</v>
      </c>
      <c r="L2719">
        <v>2081.44161481734</v>
      </c>
      <c r="M2719">
        <v>33.028157857174897</v>
      </c>
      <c r="N2719">
        <v>63.573840010337499</v>
      </c>
      <c r="O2719">
        <v>62.790541101693599</v>
      </c>
      <c r="P2719">
        <v>-0.11506708313316399</v>
      </c>
      <c r="Q2719">
        <v>0.124977978290039</v>
      </c>
      <c r="R2719">
        <v>0.98381734312094904</v>
      </c>
      <c r="S2719" t="s">
        <v>8545</v>
      </c>
      <c r="T2719" t="s">
        <v>11650</v>
      </c>
      <c r="U2719" t="s">
        <v>11650</v>
      </c>
      <c r="V2719" t="s">
        <v>11650</v>
      </c>
      <c r="W2719" t="s">
        <v>14324</v>
      </c>
      <c r="X2719">
        <v>16</v>
      </c>
      <c r="Y2719" t="s">
        <v>20032</v>
      </c>
      <c r="Z2719" t="s">
        <v>25781</v>
      </c>
      <c r="AA2719">
        <v>0.79934030367265974</v>
      </c>
      <c r="AB2719" t="str">
        <f>HYPERLINK("Melting_Curves/meltCurve_P61586_RHOA.pdf", "Melting_Curves/meltCurve_P61586_RHOA.pdf")</f>
        <v>Melting_Curves/meltCurve_P61586_RHOA.pdf</v>
      </c>
    </row>
    <row r="2720" spans="1:28" x14ac:dyDescent="0.25">
      <c r="A2720" t="s">
        <v>2724</v>
      </c>
      <c r="B2720">
        <v>0.99996721820229495</v>
      </c>
      <c r="C2720">
        <v>0.94700597522676</v>
      </c>
      <c r="D2720">
        <v>0.95040293328221204</v>
      </c>
      <c r="E2720">
        <v>0.82970339358204304</v>
      </c>
      <c r="F2720">
        <v>0.879648137914254</v>
      </c>
      <c r="G2720">
        <v>0.84954040856290103</v>
      </c>
      <c r="H2720">
        <v>0.46153904654198702</v>
      </c>
      <c r="I2720">
        <v>0.23236729751433799</v>
      </c>
      <c r="J2720">
        <v>0.10931737651635801</v>
      </c>
      <c r="K2720">
        <v>7.5905159712794296E-2</v>
      </c>
      <c r="L2720">
        <v>1239.8693781479899</v>
      </c>
      <c r="M2720">
        <v>20.460839015813502</v>
      </c>
      <c r="N2720">
        <v>60.597197797519499</v>
      </c>
      <c r="O2720">
        <v>60.027264477359203</v>
      </c>
      <c r="P2720">
        <v>-8.5217311030767406E-2</v>
      </c>
      <c r="Q2720">
        <v>0</v>
      </c>
      <c r="R2720">
        <v>0.96823796894797598</v>
      </c>
      <c r="S2720" t="s">
        <v>8546</v>
      </c>
      <c r="T2720" t="s">
        <v>11650</v>
      </c>
      <c r="U2720" t="s">
        <v>11650</v>
      </c>
      <c r="V2720" t="s">
        <v>11650</v>
      </c>
      <c r="W2720" t="s">
        <v>14325</v>
      </c>
      <c r="X2720">
        <v>10</v>
      </c>
      <c r="Y2720" t="s">
        <v>20033</v>
      </c>
      <c r="Z2720" t="s">
        <v>25782</v>
      </c>
      <c r="AA2720">
        <v>0.69369103302146207</v>
      </c>
      <c r="AB2720" t="str">
        <f>HYPERLINK("Melting_Curves/meltCurve_P61587_RND3.pdf", "Melting_Curves/meltCurve_P61587_RND3.pdf")</f>
        <v>Melting_Curves/meltCurve_P61587_RND3.pdf</v>
      </c>
    </row>
    <row r="2721" spans="1:28" x14ac:dyDescent="0.25">
      <c r="A2721" t="s">
        <v>2725</v>
      </c>
      <c r="B2721">
        <v>0.99996721820229495</v>
      </c>
      <c r="C2721">
        <v>0.81731208707958503</v>
      </c>
      <c r="D2721">
        <v>0.90665795597626997</v>
      </c>
      <c r="E2721">
        <v>1.0627210347556899</v>
      </c>
      <c r="F2721">
        <v>1.6097877052818099</v>
      </c>
      <c r="G2721">
        <v>1.4174731272899901</v>
      </c>
      <c r="H2721">
        <v>0.68695010999260697</v>
      </c>
      <c r="I2721">
        <v>0.35119331861299902</v>
      </c>
      <c r="J2721">
        <v>0.25397599164127099</v>
      </c>
      <c r="K2721">
        <v>0.14619498102737699</v>
      </c>
      <c r="L2721">
        <v>3605.6900387791402</v>
      </c>
      <c r="M2721">
        <v>58.487127425503601</v>
      </c>
      <c r="N2721">
        <v>62.248130527794103</v>
      </c>
      <c r="O2721">
        <v>61.577344231861503</v>
      </c>
      <c r="P2721">
        <v>-0.18636505504464301</v>
      </c>
      <c r="Q2721">
        <v>0.21515311693500999</v>
      </c>
      <c r="R2721">
        <v>0.70922615631911001</v>
      </c>
      <c r="S2721" t="s">
        <v>8547</v>
      </c>
      <c r="T2721" t="s">
        <v>11650</v>
      </c>
      <c r="U2721" t="s">
        <v>11650</v>
      </c>
      <c r="V2721" t="s">
        <v>11650</v>
      </c>
      <c r="W2721" t="s">
        <v>14326</v>
      </c>
      <c r="X2721">
        <v>10</v>
      </c>
      <c r="Y2721" t="s">
        <v>20034</v>
      </c>
      <c r="Z2721" t="s">
        <v>25783</v>
      </c>
      <c r="AA2721">
        <v>0.78305538768795935</v>
      </c>
      <c r="AB2721" t="str">
        <f>HYPERLINK("Melting_Curves/meltCurve_P61601_NCALD.pdf", "Melting_Curves/meltCurve_P61601_NCALD.pdf")</f>
        <v>Melting_Curves/meltCurve_P61601_NCALD.pdf</v>
      </c>
    </row>
    <row r="2722" spans="1:28" x14ac:dyDescent="0.25">
      <c r="A2722" t="s">
        <v>2726</v>
      </c>
      <c r="B2722">
        <v>0.99996721820229495</v>
      </c>
      <c r="C2722">
        <v>1.01159742919708</v>
      </c>
      <c r="D2722">
        <v>1.00956416317287</v>
      </c>
      <c r="E2722">
        <v>1.0605749499283601</v>
      </c>
      <c r="F2722">
        <v>1.4148305124465199</v>
      </c>
      <c r="G2722">
        <v>1.69271456897033</v>
      </c>
      <c r="H2722">
        <v>1.1310364280621099</v>
      </c>
      <c r="I2722">
        <v>1.0725371610493</v>
      </c>
      <c r="J2722">
        <v>0.889717006501621</v>
      </c>
      <c r="K2722">
        <v>0.72173793725893498</v>
      </c>
      <c r="L2722">
        <v>15000</v>
      </c>
      <c r="M2722">
        <v>223.45954763493299</v>
      </c>
      <c r="O2722">
        <v>67.120865871816306</v>
      </c>
      <c r="P2722">
        <v>-0.23162304124691899</v>
      </c>
      <c r="Q2722">
        <v>0.72170821110521199</v>
      </c>
      <c r="R2722">
        <v>-1.6890437953652498E-2</v>
      </c>
      <c r="S2722" t="s">
        <v>8548</v>
      </c>
      <c r="T2722" t="s">
        <v>11650</v>
      </c>
      <c r="U2722" t="s">
        <v>11650</v>
      </c>
      <c r="V2722" t="s">
        <v>11650</v>
      </c>
      <c r="W2722" t="s">
        <v>14327</v>
      </c>
      <c r="X2722">
        <v>18</v>
      </c>
      <c r="Y2722" t="s">
        <v>20035</v>
      </c>
      <c r="Z2722" t="s">
        <v>25784</v>
      </c>
      <c r="AA2722">
        <v>0.97338262457742897</v>
      </c>
      <c r="AB2722" t="str">
        <f>HYPERLINK("Melting_Curves/meltCurve_P61604_HSPE1.pdf", "Melting_Curves/meltCurve_P61604_HSPE1.pdf")</f>
        <v>Melting_Curves/meltCurve_P61604_HSPE1.pdf</v>
      </c>
    </row>
    <row r="2723" spans="1:28" x14ac:dyDescent="0.25">
      <c r="A2723" t="s">
        <v>2727</v>
      </c>
      <c r="B2723">
        <v>0.99996721820229495</v>
      </c>
      <c r="C2723">
        <v>0.86564947597858899</v>
      </c>
      <c r="D2723">
        <v>0.88241099352094199</v>
      </c>
      <c r="E2723">
        <v>1.12549211581074</v>
      </c>
      <c r="F2723">
        <v>1.3485415832118799</v>
      </c>
      <c r="G2723">
        <v>1.25194563840454</v>
      </c>
      <c r="H2723">
        <v>0.90878551161204202</v>
      </c>
      <c r="I2723">
        <v>0.374554758042701</v>
      </c>
      <c r="J2723">
        <v>0.21093956859511501</v>
      </c>
      <c r="K2723">
        <v>0.17368501586846499</v>
      </c>
      <c r="L2723">
        <v>4317.13208096984</v>
      </c>
      <c r="M2723">
        <v>68.652736653346693</v>
      </c>
      <c r="N2723">
        <v>63.3120544800286</v>
      </c>
      <c r="O2723">
        <v>62.830333584971697</v>
      </c>
      <c r="P2723">
        <v>-0.222412372864879</v>
      </c>
      <c r="Q2723">
        <v>0.18580159716304501</v>
      </c>
      <c r="R2723">
        <v>0.85348789035185402</v>
      </c>
      <c r="S2723" t="s">
        <v>8549</v>
      </c>
      <c r="T2723" t="s">
        <v>11650</v>
      </c>
      <c r="U2723" t="s">
        <v>11650</v>
      </c>
      <c r="V2723" t="s">
        <v>11650</v>
      </c>
      <c r="W2723" t="s">
        <v>14328</v>
      </c>
      <c r="X2723">
        <v>15</v>
      </c>
      <c r="Y2723" t="s">
        <v>20036</v>
      </c>
      <c r="Z2723" t="s">
        <v>25785</v>
      </c>
      <c r="AA2723">
        <v>0.8080267636699856</v>
      </c>
      <c r="AB2723" t="str">
        <f>HYPERLINK("Melting_Curves/meltCurve_P61758_VBP1.pdf", "Melting_Curves/meltCurve_P61758_VBP1.pdf")</f>
        <v>Melting_Curves/meltCurve_P61758_VBP1.pdf</v>
      </c>
    </row>
    <row r="2724" spans="1:28" x14ac:dyDescent="0.25">
      <c r="A2724" t="s">
        <v>2728</v>
      </c>
      <c r="B2724">
        <v>0.99996721820229495</v>
      </c>
      <c r="C2724">
        <v>0.890571611536629</v>
      </c>
      <c r="D2724">
        <v>0.88126430571821601</v>
      </c>
      <c r="E2724">
        <v>0.57101369151692705</v>
      </c>
      <c r="F2724">
        <v>0.27621669201364402</v>
      </c>
      <c r="G2724">
        <v>0.21830238633811</v>
      </c>
      <c r="H2724">
        <v>0.13824910410306801</v>
      </c>
      <c r="I2724">
        <v>9.4025432307145496E-2</v>
      </c>
      <c r="J2724">
        <v>6.9010150583791799E-2</v>
      </c>
      <c r="K2724">
        <v>5.3826011563810498E-2</v>
      </c>
      <c r="L2724">
        <v>881.27996519759495</v>
      </c>
      <c r="M2724">
        <v>17.5521167493097</v>
      </c>
      <c r="N2724">
        <v>50.653887273434499</v>
      </c>
      <c r="O2724">
        <v>49.571187696057997</v>
      </c>
      <c r="P2724">
        <v>-8.2205410066520601E-2</v>
      </c>
      <c r="Q2724">
        <v>7.1383224446738294E-2</v>
      </c>
      <c r="R2724">
        <v>0.98999861420594404</v>
      </c>
      <c r="S2724" t="s">
        <v>8550</v>
      </c>
      <c r="T2724" t="s">
        <v>11650</v>
      </c>
      <c r="U2724" t="s">
        <v>11650</v>
      </c>
      <c r="V2724" t="s">
        <v>11650</v>
      </c>
      <c r="W2724" t="s">
        <v>14329</v>
      </c>
      <c r="X2724">
        <v>20</v>
      </c>
      <c r="Y2724" t="s">
        <v>20037</v>
      </c>
      <c r="Z2724" t="s">
        <v>25786</v>
      </c>
      <c r="AA2724">
        <v>0.40395818523780957</v>
      </c>
      <c r="AB2724" t="str">
        <f>HYPERLINK("Melting_Curves/meltCurve_P61764_STXBP1.pdf", "Melting_Curves/meltCurve_P61764_STXBP1.pdf")</f>
        <v>Melting_Curves/meltCurve_P61764_STXBP1.pdf</v>
      </c>
    </row>
    <row r="2725" spans="1:28" x14ac:dyDescent="0.25">
      <c r="A2725" t="s">
        <v>2729</v>
      </c>
      <c r="B2725">
        <v>0.99996721820229495</v>
      </c>
      <c r="C2725">
        <v>1.01676202831448</v>
      </c>
      <c r="D2725">
        <v>1.0295938063846199</v>
      </c>
      <c r="E2725">
        <v>1.0973161218821299</v>
      </c>
      <c r="F2725">
        <v>1.28784397300352</v>
      </c>
      <c r="G2725">
        <v>1.28218709522903</v>
      </c>
      <c r="H2725">
        <v>0.90365035442514696</v>
      </c>
      <c r="I2725">
        <v>0.57634988702884205</v>
      </c>
      <c r="J2725">
        <v>0.48869469419947997</v>
      </c>
      <c r="K2725">
        <v>0.29185937129077999</v>
      </c>
      <c r="L2725">
        <v>2847.7737240985398</v>
      </c>
      <c r="M2725">
        <v>44.908469568174603</v>
      </c>
      <c r="N2725">
        <v>65.129271320340393</v>
      </c>
      <c r="O2725">
        <v>63.287485988120999</v>
      </c>
      <c r="P2725">
        <v>-0.115859004671498</v>
      </c>
      <c r="Q2725">
        <v>0.346901318542223</v>
      </c>
      <c r="R2725">
        <v>0.81529184564843904</v>
      </c>
      <c r="S2725" t="s">
        <v>8551</v>
      </c>
      <c r="T2725" t="s">
        <v>11650</v>
      </c>
      <c r="U2725" t="s">
        <v>11650</v>
      </c>
      <c r="V2725" t="s">
        <v>11650</v>
      </c>
      <c r="W2725" t="s">
        <v>14330</v>
      </c>
      <c r="X2725">
        <v>5</v>
      </c>
      <c r="Y2725" t="s">
        <v>20038</v>
      </c>
      <c r="Z2725" t="s">
        <v>25787</v>
      </c>
      <c r="AA2725">
        <v>0.85829314137053669</v>
      </c>
      <c r="AB2725" t="str">
        <f>HYPERLINK("Melting_Curves/meltCurve_P61769_B2M.pdf", "Melting_Curves/meltCurve_P61769_B2M.pdf")</f>
        <v>Melting_Curves/meltCurve_P61769_B2M.pdf</v>
      </c>
    </row>
    <row r="2726" spans="1:28" x14ac:dyDescent="0.25">
      <c r="A2726" t="s">
        <v>2730</v>
      </c>
      <c r="B2726">
        <v>0.99996721820229495</v>
      </c>
      <c r="C2726">
        <v>1.0193955692154699</v>
      </c>
      <c r="D2726">
        <v>0.903749536912135</v>
      </c>
      <c r="E2726">
        <v>0.80296850597705705</v>
      </c>
      <c r="F2726">
        <v>0.64102018325569199</v>
      </c>
      <c r="G2726">
        <v>0.662845235472723</v>
      </c>
      <c r="H2726">
        <v>0.40723556234520902</v>
      </c>
      <c r="I2726">
        <v>0.22604764614077799</v>
      </c>
      <c r="J2726">
        <v>0.10922844664463</v>
      </c>
      <c r="K2726">
        <v>0.16040306898200199</v>
      </c>
      <c r="L2726">
        <v>600.54971218561695</v>
      </c>
      <c r="M2726">
        <v>10.386159804218501</v>
      </c>
      <c r="N2726">
        <v>57.822112811187701</v>
      </c>
      <c r="O2726">
        <v>55.801758661174397</v>
      </c>
      <c r="P2726">
        <v>-4.6551083222990099E-2</v>
      </c>
      <c r="Q2726">
        <v>0</v>
      </c>
      <c r="R2726">
        <v>0.965769258736484</v>
      </c>
      <c r="S2726" t="s">
        <v>8552</v>
      </c>
      <c r="T2726" t="s">
        <v>11650</v>
      </c>
      <c r="U2726" t="s">
        <v>11650</v>
      </c>
      <c r="V2726" t="s">
        <v>11650</v>
      </c>
      <c r="W2726" t="s">
        <v>14331</v>
      </c>
      <c r="X2726">
        <v>4</v>
      </c>
      <c r="Y2726" t="s">
        <v>20039</v>
      </c>
      <c r="Z2726" t="s">
        <v>25788</v>
      </c>
      <c r="AA2726">
        <v>0.60576693049455355</v>
      </c>
      <c r="AB2726" t="str">
        <f>HYPERLINK("Melting_Curves/meltCurve_P61812_TGFB2.pdf", "Melting_Curves/meltCurve_P61812_TGFB2.pdf")</f>
        <v>Melting_Curves/meltCurve_P61812_TGFB2.pdf</v>
      </c>
    </row>
    <row r="2727" spans="1:28" x14ac:dyDescent="0.25">
      <c r="A2727" t="s">
        <v>2731</v>
      </c>
      <c r="B2727">
        <v>0.99996721820229495</v>
      </c>
      <c r="C2727">
        <v>1.07868973558723</v>
      </c>
      <c r="D2727">
        <v>1.10130101414376</v>
      </c>
      <c r="E2727">
        <v>1.11175165960592</v>
      </c>
      <c r="F2727">
        <v>1.6545097434149501</v>
      </c>
      <c r="G2727">
        <v>2.0496851640476299</v>
      </c>
      <c r="H2727">
        <v>1.6579451370931999</v>
      </c>
      <c r="I2727">
        <v>1.7265154973580199</v>
      </c>
      <c r="J2727">
        <v>1.7397074661949501</v>
      </c>
      <c r="K2727">
        <v>1.05528192742587</v>
      </c>
      <c r="L2727">
        <v>12562.267184710499</v>
      </c>
      <c r="M2727">
        <v>250</v>
      </c>
      <c r="O2727">
        <v>50.245850452301198</v>
      </c>
      <c r="P2727">
        <v>0.62194187355715402</v>
      </c>
      <c r="Q2727">
        <v>1.5</v>
      </c>
      <c r="R2727">
        <v>0.49201176879007802</v>
      </c>
      <c r="S2727" t="s">
        <v>8553</v>
      </c>
      <c r="T2727" t="s">
        <v>11650</v>
      </c>
      <c r="U2727" t="s">
        <v>11650</v>
      </c>
      <c r="V2727" t="s">
        <v>11650</v>
      </c>
      <c r="W2727" t="s">
        <v>14332</v>
      </c>
      <c r="X2727">
        <v>3</v>
      </c>
      <c r="Y2727" t="s">
        <v>20040</v>
      </c>
      <c r="Z2727" t="s">
        <v>25789</v>
      </c>
      <c r="AA2727">
        <v>1.3291380945191731</v>
      </c>
      <c r="AB2727" t="str">
        <f>HYPERLINK("Melting_Curves/meltCurve_P61925_PKIA.pdf", "Melting_Curves/meltCurve_P61925_PKIA.pdf")</f>
        <v>Melting_Curves/meltCurve_P61925_PKIA.pdf</v>
      </c>
    </row>
    <row r="2728" spans="1:28" x14ac:dyDescent="0.25">
      <c r="A2728" t="s">
        <v>2732</v>
      </c>
      <c r="B2728">
        <v>0.99996721820229495</v>
      </c>
      <c r="C2728">
        <v>0.57722582160333702</v>
      </c>
      <c r="D2728">
        <v>0.52402173385802497</v>
      </c>
      <c r="E2728">
        <v>1.27053246307237</v>
      </c>
      <c r="F2728">
        <v>0.58110443977520598</v>
      </c>
      <c r="G2728">
        <v>0.37019154376792801</v>
      </c>
      <c r="H2728">
        <v>0.33988264162437298</v>
      </c>
      <c r="I2728">
        <v>0.27872688574282201</v>
      </c>
      <c r="J2728">
        <v>0.191844512497513</v>
      </c>
      <c r="K2728">
        <v>0.29734010706382602</v>
      </c>
      <c r="L2728">
        <v>349.16312941101398</v>
      </c>
      <c r="M2728">
        <v>6.2017584215035599</v>
      </c>
      <c r="N2728">
        <v>56.300665982517899</v>
      </c>
      <c r="O2728">
        <v>51.293117671148998</v>
      </c>
      <c r="P2728">
        <v>-3.0314008284547299E-2</v>
      </c>
      <c r="Q2728">
        <v>0</v>
      </c>
      <c r="R2728">
        <v>0.494530059577592</v>
      </c>
      <c r="S2728" t="s">
        <v>8554</v>
      </c>
      <c r="T2728" t="s">
        <v>11650</v>
      </c>
      <c r="U2728" t="s">
        <v>11650</v>
      </c>
      <c r="V2728" t="s">
        <v>11650</v>
      </c>
      <c r="W2728" t="s">
        <v>14333</v>
      </c>
      <c r="X2728">
        <v>3</v>
      </c>
      <c r="Y2728" t="s">
        <v>20041</v>
      </c>
      <c r="Z2728" t="s">
        <v>25790</v>
      </c>
      <c r="AA2728">
        <v>0.55572325187544458</v>
      </c>
      <c r="AB2728" t="str">
        <f>HYPERLINK("Melting_Curves/meltCurve_P61927_RPL37.pdf", "Melting_Curves/meltCurve_P61927_RPL37.pdf")</f>
        <v>Melting_Curves/meltCurve_P61927_RPL37.pdf</v>
      </c>
    </row>
    <row r="2729" spans="1:28" x14ac:dyDescent="0.25">
      <c r="A2729" t="s">
        <v>2733</v>
      </c>
      <c r="B2729">
        <v>0.99996721820229495</v>
      </c>
      <c r="C2729">
        <v>0.88764828216459402</v>
      </c>
      <c r="D2729">
        <v>0.99594492086424402</v>
      </c>
      <c r="E2729">
        <v>1.2129392682084701</v>
      </c>
      <c r="F2729">
        <v>1.9262360951174</v>
      </c>
      <c r="G2729">
        <v>2.1720957910945402</v>
      </c>
      <c r="H2729">
        <v>1.6900213702571201</v>
      </c>
      <c r="I2729">
        <v>1.7607448484605099</v>
      </c>
      <c r="J2729">
        <v>1.55783708168338</v>
      </c>
      <c r="K2729">
        <v>1.17841968929004</v>
      </c>
      <c r="L2729">
        <v>12514.9337026262</v>
      </c>
      <c r="M2729">
        <v>250</v>
      </c>
      <c r="O2729">
        <v>50.0565370976624</v>
      </c>
      <c r="P2729">
        <v>0.62429415715348402</v>
      </c>
      <c r="Q2729">
        <v>1.5</v>
      </c>
      <c r="R2729">
        <v>0.51520435410635201</v>
      </c>
      <c r="S2729" t="s">
        <v>8555</v>
      </c>
      <c r="T2729" t="s">
        <v>11650</v>
      </c>
      <c r="U2729" t="s">
        <v>11650</v>
      </c>
      <c r="V2729" t="s">
        <v>11650</v>
      </c>
      <c r="W2729" t="s">
        <v>14334</v>
      </c>
      <c r="X2729">
        <v>4</v>
      </c>
      <c r="Y2729" t="s">
        <v>20042</v>
      </c>
      <c r="Z2729" t="s">
        <v>25791</v>
      </c>
      <c r="AA2729">
        <v>1.332293826130508</v>
      </c>
      <c r="AB2729" t="str">
        <f>HYPERLINK("Melting_Curves/meltCurve_P61952_GNG11.pdf", "Melting_Curves/meltCurve_P61952_GNG11.pdf")</f>
        <v>Melting_Curves/meltCurve_P61952_GNG11.pdf</v>
      </c>
    </row>
    <row r="2730" spans="1:28" x14ac:dyDescent="0.25">
      <c r="A2730" t="s">
        <v>2734</v>
      </c>
      <c r="B2730">
        <v>0.99996721820229495</v>
      </c>
      <c r="C2730">
        <v>0.90178918327402002</v>
      </c>
      <c r="D2730">
        <v>0.980691111921415</v>
      </c>
      <c r="E2730">
        <v>0.89316422322510802</v>
      </c>
      <c r="F2730">
        <v>1.43159674850931</v>
      </c>
      <c r="G2730">
        <v>1.5579028207572001</v>
      </c>
      <c r="H2730">
        <v>0.72893813800513296</v>
      </c>
      <c r="I2730">
        <v>0.47779354800688001</v>
      </c>
      <c r="J2730">
        <v>0.24890038667077399</v>
      </c>
      <c r="K2730">
        <v>0.21672505333700301</v>
      </c>
      <c r="L2730">
        <v>2925.7718127806902</v>
      </c>
      <c r="M2730">
        <v>46.796699994460702</v>
      </c>
      <c r="N2730">
        <v>63.341999501729902</v>
      </c>
      <c r="O2730">
        <v>62.407048871716498</v>
      </c>
      <c r="P2730">
        <v>-0.14483503692931701</v>
      </c>
      <c r="Q2730">
        <v>0.227405578874603</v>
      </c>
      <c r="R2730">
        <v>0.70011280308286705</v>
      </c>
      <c r="S2730" t="s">
        <v>8556</v>
      </c>
      <c r="T2730" t="s">
        <v>11650</v>
      </c>
      <c r="U2730" t="s">
        <v>11650</v>
      </c>
      <c r="V2730" t="s">
        <v>11650</v>
      </c>
      <c r="W2730" t="s">
        <v>14335</v>
      </c>
      <c r="X2730">
        <v>2</v>
      </c>
      <c r="Y2730" t="s">
        <v>18206</v>
      </c>
      <c r="Z2730" t="s">
        <v>25792</v>
      </c>
      <c r="AA2730">
        <v>0.80951930905397385</v>
      </c>
      <c r="AB2730" t="str">
        <f>HYPERLINK("Melting_Curves/meltCurve_P61960_2_UFM1.pdf", "Melting_Curves/meltCurve_P61960_2_UFM1.pdf")</f>
        <v>Melting_Curves/meltCurve_P61960_2_UFM1.pdf</v>
      </c>
    </row>
    <row r="2731" spans="1:28" x14ac:dyDescent="0.25">
      <c r="A2731" t="s">
        <v>2735</v>
      </c>
      <c r="B2731">
        <v>0.99996721820229495</v>
      </c>
      <c r="C2731">
        <v>1.0300601999605601</v>
      </c>
      <c r="D2731">
        <v>0.99418730186404303</v>
      </c>
      <c r="E2731">
        <v>0.97151291955944397</v>
      </c>
      <c r="F2731">
        <v>0.86899625859293095</v>
      </c>
      <c r="G2731">
        <v>0.63370283528426896</v>
      </c>
      <c r="H2731">
        <v>0.32708677028831901</v>
      </c>
      <c r="I2731">
        <v>0.19851161035657899</v>
      </c>
      <c r="J2731">
        <v>0.12176958458362799</v>
      </c>
      <c r="K2731">
        <v>9.4279952901780803E-2</v>
      </c>
      <c r="L2731">
        <v>1138.6600120343501</v>
      </c>
      <c r="M2731">
        <v>19.556569009376499</v>
      </c>
      <c r="N2731">
        <v>58.592117756749197</v>
      </c>
      <c r="O2731">
        <v>57.625380634139503</v>
      </c>
      <c r="P2731">
        <v>-7.9940629247989295E-2</v>
      </c>
      <c r="Q2731">
        <v>5.7821401887623101E-2</v>
      </c>
      <c r="R2731">
        <v>0.999120951606282</v>
      </c>
      <c r="S2731" t="s">
        <v>8557</v>
      </c>
      <c r="T2731" t="s">
        <v>11650</v>
      </c>
      <c r="U2731" t="s">
        <v>11650</v>
      </c>
      <c r="V2731" t="s">
        <v>11650</v>
      </c>
      <c r="W2731" t="s">
        <v>14336</v>
      </c>
      <c r="X2731">
        <v>4</v>
      </c>
      <c r="Y2731" t="s">
        <v>20043</v>
      </c>
      <c r="Z2731" t="s">
        <v>25793</v>
      </c>
      <c r="AA2731">
        <v>0.64080654235739753</v>
      </c>
      <c r="AB2731" t="str">
        <f>HYPERLINK("Melting_Curves/meltCurve_P61962_DCAF7.pdf", "Melting_Curves/meltCurve_P61962_DCAF7.pdf")</f>
        <v>Melting_Curves/meltCurve_P61962_DCAF7.pdf</v>
      </c>
    </row>
    <row r="2732" spans="1:28" x14ac:dyDescent="0.25">
      <c r="A2732" t="s">
        <v>2736</v>
      </c>
      <c r="B2732">
        <v>0.99996721820229495</v>
      </c>
      <c r="C2732">
        <v>1.13354823059854</v>
      </c>
      <c r="D2732">
        <v>1.12666819590892</v>
      </c>
      <c r="E2732">
        <v>0.98494610225469104</v>
      </c>
      <c r="F2732">
        <v>0.68849812942511801</v>
      </c>
      <c r="G2732">
        <v>0.76777009788630302</v>
      </c>
      <c r="H2732">
        <v>0.56619236265207395</v>
      </c>
      <c r="I2732">
        <v>0.40726691098207801</v>
      </c>
      <c r="J2732">
        <v>0.29079937361038499</v>
      </c>
      <c r="K2732">
        <v>0.24507274155580699</v>
      </c>
      <c r="L2732">
        <v>703.96046441563101</v>
      </c>
      <c r="M2732">
        <v>11.512336048831299</v>
      </c>
      <c r="N2732">
        <v>61.837152340966</v>
      </c>
      <c r="O2732">
        <v>59.390609484216498</v>
      </c>
      <c r="P2732">
        <v>-4.55569931496866E-2</v>
      </c>
      <c r="Q2732">
        <v>6.0176153303477899E-2</v>
      </c>
      <c r="R2732">
        <v>0.922747477750954</v>
      </c>
      <c r="S2732" t="s">
        <v>8558</v>
      </c>
      <c r="T2732" t="s">
        <v>11650</v>
      </c>
      <c r="U2732" t="s">
        <v>11650</v>
      </c>
      <c r="V2732" t="s">
        <v>11650</v>
      </c>
      <c r="W2732" t="s">
        <v>14337</v>
      </c>
      <c r="X2732">
        <v>3</v>
      </c>
      <c r="Y2732" t="s">
        <v>20044</v>
      </c>
      <c r="Z2732" t="s">
        <v>25794</v>
      </c>
      <c r="AA2732">
        <v>0.71638115689987136</v>
      </c>
      <c r="AB2732" t="str">
        <f>HYPERLINK("Melting_Curves/meltCurve_P61964_WDR5.pdf", "Melting_Curves/meltCurve_P61964_WDR5.pdf")</f>
        <v>Melting_Curves/meltCurve_P61964_WDR5.pdf</v>
      </c>
    </row>
    <row r="2733" spans="1:28" x14ac:dyDescent="0.25">
      <c r="A2733" t="s">
        <v>2737</v>
      </c>
      <c r="B2733">
        <v>0.99996721820229495</v>
      </c>
      <c r="C2733">
        <v>1.0147668065273101</v>
      </c>
      <c r="D2733">
        <v>0.98130736346084102</v>
      </c>
      <c r="E2733">
        <v>0.87947899943631802</v>
      </c>
      <c r="F2733">
        <v>1.1868090502272</v>
      </c>
      <c r="G2733">
        <v>1.1625014694475899</v>
      </c>
      <c r="H2733">
        <v>0.80192577067307902</v>
      </c>
      <c r="I2733">
        <v>0.68200555494321102</v>
      </c>
      <c r="J2733">
        <v>0.48838377450841702</v>
      </c>
      <c r="K2733">
        <v>0.20929175229632199</v>
      </c>
      <c r="L2733">
        <v>1531.20670090354</v>
      </c>
      <c r="M2733">
        <v>23.081880079609601</v>
      </c>
      <c r="N2733">
        <v>66.338040671645899</v>
      </c>
      <c r="O2733">
        <v>65.8461116762507</v>
      </c>
      <c r="P2733">
        <v>-8.7637297165133299E-2</v>
      </c>
      <c r="Q2733">
        <v>0</v>
      </c>
      <c r="R2733">
        <v>0.88885041148468702</v>
      </c>
      <c r="S2733" t="s">
        <v>8559</v>
      </c>
      <c r="T2733" t="s">
        <v>11650</v>
      </c>
      <c r="U2733" t="s">
        <v>11650</v>
      </c>
      <c r="V2733" t="s">
        <v>11650</v>
      </c>
      <c r="W2733" t="s">
        <v>14338</v>
      </c>
      <c r="X2733">
        <v>5</v>
      </c>
      <c r="Y2733" t="s">
        <v>20045</v>
      </c>
      <c r="Z2733" t="s">
        <v>25795</v>
      </c>
      <c r="AA2733">
        <v>0.86086318592372435</v>
      </c>
      <c r="AB2733" t="str">
        <f>HYPERLINK("Melting_Curves/meltCurve_P61970_NUTF2.pdf", "Melting_Curves/meltCurve_P61970_NUTF2.pdf")</f>
        <v>Melting_Curves/meltCurve_P61970_NUTF2.pdf</v>
      </c>
    </row>
    <row r="2734" spans="1:28" x14ac:dyDescent="0.25">
      <c r="A2734" t="s">
        <v>2738</v>
      </c>
      <c r="B2734">
        <v>0.99996721820229495</v>
      </c>
      <c r="C2734">
        <v>0.97534418409374102</v>
      </c>
      <c r="D2734">
        <v>0.84129093833153401</v>
      </c>
      <c r="E2734">
        <v>0.62132537582923597</v>
      </c>
      <c r="F2734">
        <v>0.35746955636980199</v>
      </c>
      <c r="G2734">
        <v>0.28984088988433698</v>
      </c>
      <c r="H2734">
        <v>0.194634620004591</v>
      </c>
      <c r="I2734">
        <v>0.17608871139864701</v>
      </c>
      <c r="J2734">
        <v>0.12290229454101</v>
      </c>
      <c r="K2734">
        <v>0.109275430913727</v>
      </c>
      <c r="L2734">
        <v>810.00130990870503</v>
      </c>
      <c r="M2734">
        <v>16.026644072367802</v>
      </c>
      <c r="N2734">
        <v>51.474164281979498</v>
      </c>
      <c r="O2734">
        <v>49.7736850281334</v>
      </c>
      <c r="P2734">
        <v>-7.0353881363752493E-2</v>
      </c>
      <c r="Q2734">
        <v>0.12608066913442401</v>
      </c>
      <c r="R2734">
        <v>0.99372178388002896</v>
      </c>
      <c r="S2734" t="s">
        <v>8560</v>
      </c>
      <c r="T2734" t="s">
        <v>11650</v>
      </c>
      <c r="U2734" t="s">
        <v>11650</v>
      </c>
      <c r="V2734" t="s">
        <v>11650</v>
      </c>
      <c r="W2734" t="s">
        <v>14339</v>
      </c>
      <c r="X2734">
        <v>22</v>
      </c>
      <c r="Y2734" t="s">
        <v>20046</v>
      </c>
      <c r="Z2734" t="s">
        <v>25796</v>
      </c>
      <c r="AA2734">
        <v>0.45140487180927241</v>
      </c>
      <c r="AB2734" t="str">
        <f>HYPERLINK("Melting_Curves/meltCurve_P61978_3_HNRNPK.pdf", "Melting_Curves/meltCurve_P61978_3_HNRNPK.pdf")</f>
        <v>Melting_Curves/meltCurve_P61978_3_HNRNPK.pdf</v>
      </c>
    </row>
    <row r="2735" spans="1:28" x14ac:dyDescent="0.25">
      <c r="A2735" t="s">
        <v>2739</v>
      </c>
      <c r="B2735">
        <v>0.99996721820229495</v>
      </c>
      <c r="C2735">
        <v>0.98719045500788905</v>
      </c>
      <c r="D2735">
        <v>1.02546267826896</v>
      </c>
      <c r="E2735">
        <v>1.2868862559480101</v>
      </c>
      <c r="F2735">
        <v>1.4929179345319801</v>
      </c>
      <c r="G2735">
        <v>1.5109331713632601</v>
      </c>
      <c r="H2735">
        <v>0.67862054285238604</v>
      </c>
      <c r="I2735">
        <v>0.27011595944536598</v>
      </c>
      <c r="J2735">
        <v>0.12369737447219201</v>
      </c>
      <c r="K2735">
        <v>0.11864509980877</v>
      </c>
      <c r="L2735">
        <v>3959.68624384432</v>
      </c>
      <c r="M2735">
        <v>64.237835611929697</v>
      </c>
      <c r="N2735">
        <v>61.958686147772298</v>
      </c>
      <c r="O2735">
        <v>61.581350469881798</v>
      </c>
      <c r="P2735">
        <v>-0.22419618436601399</v>
      </c>
      <c r="Q2735">
        <v>0.14030076066063099</v>
      </c>
      <c r="R2735">
        <v>0.76508890396586404</v>
      </c>
      <c r="S2735" t="s">
        <v>8561</v>
      </c>
      <c r="T2735" t="s">
        <v>11650</v>
      </c>
      <c r="U2735" t="s">
        <v>11650</v>
      </c>
      <c r="V2735" t="s">
        <v>11650</v>
      </c>
      <c r="W2735" t="s">
        <v>14340</v>
      </c>
      <c r="X2735">
        <v>26</v>
      </c>
      <c r="Y2735" t="s">
        <v>20047</v>
      </c>
      <c r="Z2735" t="s">
        <v>25797</v>
      </c>
      <c r="AA2735">
        <v>0.76185584128996353</v>
      </c>
      <c r="AB2735" t="str">
        <f>HYPERLINK("Melting_Curves/meltCurve_P61981_YWHAG.pdf", "Melting_Curves/meltCurve_P61981_YWHAG.pdf")</f>
        <v>Melting_Curves/meltCurve_P61981_YWHAG.pdf</v>
      </c>
    </row>
    <row r="2736" spans="1:28" x14ac:dyDescent="0.25">
      <c r="A2736" t="s">
        <v>2740</v>
      </c>
      <c r="B2736">
        <v>0.99996721820229495</v>
      </c>
      <c r="C2736">
        <v>0.495916125224517</v>
      </c>
      <c r="D2736">
        <v>0.42229237015468701</v>
      </c>
      <c r="E2736">
        <v>0.333786629151967</v>
      </c>
      <c r="F2736">
        <v>0.25253191253173701</v>
      </c>
      <c r="G2736">
        <v>0.103375247218327</v>
      </c>
      <c r="H2736">
        <v>2.71537552398484E-2</v>
      </c>
      <c r="I2736">
        <v>2.1704232986803798E-3</v>
      </c>
      <c r="J2736">
        <v>0</v>
      </c>
      <c r="K2736">
        <v>0</v>
      </c>
      <c r="L2736">
        <v>499.99782832302401</v>
      </c>
      <c r="M2736">
        <v>11.000380836366499</v>
      </c>
      <c r="N2736">
        <v>45.452780904088598</v>
      </c>
      <c r="O2736">
        <v>44.028158099068698</v>
      </c>
      <c r="P2736">
        <v>-6.24832564848763E-2</v>
      </c>
      <c r="Q2736">
        <v>0</v>
      </c>
      <c r="R2736">
        <v>0.91723833079774497</v>
      </c>
      <c r="S2736" t="s">
        <v>8562</v>
      </c>
      <c r="T2736" t="s">
        <v>11650</v>
      </c>
      <c r="U2736" t="s">
        <v>11650</v>
      </c>
      <c r="V2736" t="s">
        <v>11650</v>
      </c>
      <c r="W2736" t="s">
        <v>14341</v>
      </c>
      <c r="X2736">
        <v>18</v>
      </c>
      <c r="Y2736" t="s">
        <v>20048</v>
      </c>
      <c r="Z2736" t="s">
        <v>25798</v>
      </c>
      <c r="AA2736">
        <v>0.23769586239608781</v>
      </c>
      <c r="AB2736" t="str">
        <f>HYPERLINK("Melting_Curves/meltCurve_P62070_RRAS2.pdf", "Melting_Curves/meltCurve_P62070_RRAS2.pdf")</f>
        <v>Melting_Curves/meltCurve_P62070_RRAS2.pdf</v>
      </c>
    </row>
    <row r="2737" spans="1:28" x14ac:dyDescent="0.25">
      <c r="A2737" t="s">
        <v>2741</v>
      </c>
      <c r="B2737">
        <v>0.99996721820229495</v>
      </c>
      <c r="C2737">
        <v>0.91910946899124202</v>
      </c>
      <c r="D2737">
        <v>0.94280462345760696</v>
      </c>
      <c r="E2737">
        <v>1.13633979995116</v>
      </c>
      <c r="F2737">
        <v>1.5434143673730201</v>
      </c>
      <c r="G2737">
        <v>1.9741830808401799</v>
      </c>
      <c r="H2737">
        <v>1.5770990652518</v>
      </c>
      <c r="I2737">
        <v>1.3486630238908801</v>
      </c>
      <c r="J2737">
        <v>1.2069021752105</v>
      </c>
      <c r="K2737">
        <v>0.81033347695609104</v>
      </c>
      <c r="L2737">
        <v>12534.8545396751</v>
      </c>
      <c r="M2737">
        <v>250</v>
      </c>
      <c r="O2737">
        <v>50.136190471665401</v>
      </c>
      <c r="P2737">
        <v>0.51123133057005199</v>
      </c>
      <c r="Q2737">
        <v>1.4100992184891801</v>
      </c>
      <c r="R2737">
        <v>0.35212793767574002</v>
      </c>
      <c r="S2737" t="s">
        <v>8563</v>
      </c>
      <c r="T2737" t="s">
        <v>11650</v>
      </c>
      <c r="U2737" t="s">
        <v>11650</v>
      </c>
      <c r="V2737" t="s">
        <v>11650</v>
      </c>
      <c r="W2737" t="s">
        <v>14342</v>
      </c>
      <c r="X2737">
        <v>8</v>
      </c>
      <c r="Y2737" t="s">
        <v>20049</v>
      </c>
      <c r="Z2737" t="s">
        <v>25799</v>
      </c>
      <c r="AA2737">
        <v>1.271457550166228</v>
      </c>
      <c r="AB2737" t="str">
        <f>HYPERLINK("Melting_Curves/meltCurve_P62072_TIMM10.pdf", "Melting_Curves/meltCurve_P62072_TIMM10.pdf")</f>
        <v>Melting_Curves/meltCurve_P62072_TIMM10.pdf</v>
      </c>
    </row>
    <row r="2738" spans="1:28" x14ac:dyDescent="0.25">
      <c r="A2738" t="s">
        <v>2742</v>
      </c>
      <c r="B2738">
        <v>0.99996721820229495</v>
      </c>
      <c r="C2738">
        <v>0.95031414618327703</v>
      </c>
      <c r="D2738">
        <v>0.85328435746332698</v>
      </c>
      <c r="E2738">
        <v>0.86731507076419201</v>
      </c>
      <c r="F2738">
        <v>0.88132342381962703</v>
      </c>
      <c r="G2738">
        <v>0.76305831523087697</v>
      </c>
      <c r="H2738">
        <v>0.39503718089060602</v>
      </c>
      <c r="I2738">
        <v>0.36772398989747102</v>
      </c>
      <c r="J2738">
        <v>0.19315306572344401</v>
      </c>
      <c r="K2738">
        <v>0.148590592737458</v>
      </c>
      <c r="L2738">
        <v>769.59403068084703</v>
      </c>
      <c r="M2738">
        <v>12.742768979060401</v>
      </c>
      <c r="N2738">
        <v>60.394568330528998</v>
      </c>
      <c r="O2738">
        <v>58.965150783347397</v>
      </c>
      <c r="P2738">
        <v>-5.4037013600881E-2</v>
      </c>
      <c r="Q2738">
        <v>0</v>
      </c>
      <c r="R2738">
        <v>0.96081020259767302</v>
      </c>
      <c r="S2738" t="s">
        <v>8564</v>
      </c>
      <c r="T2738" t="s">
        <v>11650</v>
      </c>
      <c r="U2738" t="s">
        <v>11650</v>
      </c>
      <c r="V2738" t="s">
        <v>11650</v>
      </c>
      <c r="W2738" t="s">
        <v>14343</v>
      </c>
      <c r="X2738">
        <v>7</v>
      </c>
      <c r="Y2738" t="s">
        <v>20050</v>
      </c>
      <c r="Z2738" t="s">
        <v>25800</v>
      </c>
      <c r="AA2738">
        <v>0.68154791524816716</v>
      </c>
      <c r="AB2738" t="str">
        <f>HYPERLINK("Melting_Curves/meltCurve_P62081_RPS7.pdf", "Melting_Curves/meltCurve_P62081_RPS7.pdf")</f>
        <v>Melting_Curves/meltCurve_P62081_RPS7.pdf</v>
      </c>
    </row>
    <row r="2739" spans="1:28" x14ac:dyDescent="0.25">
      <c r="A2739" t="s">
        <v>2743</v>
      </c>
      <c r="B2739">
        <v>0.99996721820229495</v>
      </c>
      <c r="C2739">
        <v>1.0441595861322399</v>
      </c>
      <c r="D2739">
        <v>1.00634721766593</v>
      </c>
      <c r="E2739">
        <v>0.95841854442401297</v>
      </c>
      <c r="F2739">
        <v>0.89216439838421002</v>
      </c>
      <c r="G2739">
        <v>0.65713125980478704</v>
      </c>
      <c r="H2739">
        <v>0.25149884431655201</v>
      </c>
      <c r="I2739">
        <v>0.122694458480023</v>
      </c>
      <c r="J2739">
        <v>5.7843944815733697E-2</v>
      </c>
      <c r="K2739">
        <v>5.3149680380061501E-2</v>
      </c>
      <c r="L2739">
        <v>1403.0074748096999</v>
      </c>
      <c r="M2739">
        <v>24.1028498700129</v>
      </c>
      <c r="N2739">
        <v>58.329447394984101</v>
      </c>
      <c r="O2739">
        <v>57.812946029180999</v>
      </c>
      <c r="P2739">
        <v>-0.101702555600084</v>
      </c>
      <c r="Q2739">
        <v>2.42427012860752E-2</v>
      </c>
      <c r="R2739">
        <v>0.99754225472999802</v>
      </c>
      <c r="S2739" t="s">
        <v>8565</v>
      </c>
      <c r="T2739" t="s">
        <v>11650</v>
      </c>
      <c r="U2739" t="s">
        <v>11650</v>
      </c>
      <c r="V2739" t="s">
        <v>11650</v>
      </c>
      <c r="W2739" t="s">
        <v>14344</v>
      </c>
      <c r="X2739">
        <v>19</v>
      </c>
      <c r="Y2739" t="s">
        <v>20051</v>
      </c>
      <c r="Z2739" t="s">
        <v>25801</v>
      </c>
      <c r="AA2739">
        <v>0.62531874956304867</v>
      </c>
      <c r="AB2739" t="str">
        <f>HYPERLINK("Melting_Curves/meltCurve_P62136_PPP1CA.pdf", "Melting_Curves/meltCurve_P62136_PPP1CA.pdf")</f>
        <v>Melting_Curves/meltCurve_P62136_PPP1CA.pdf</v>
      </c>
    </row>
    <row r="2740" spans="1:28" x14ac:dyDescent="0.25">
      <c r="A2740" t="s">
        <v>2744</v>
      </c>
      <c r="B2740">
        <v>0.99996721820229495</v>
      </c>
      <c r="C2740">
        <v>1.0138798424853801</v>
      </c>
      <c r="D2740">
        <v>0.99291973108982501</v>
      </c>
      <c r="E2740">
        <v>0.90477322038854102</v>
      </c>
      <c r="F2740">
        <v>0.79286174675694099</v>
      </c>
      <c r="G2740">
        <v>0.59136699117647895</v>
      </c>
      <c r="H2740">
        <v>0.24648122971372799</v>
      </c>
      <c r="I2740">
        <v>0.151908603505821</v>
      </c>
      <c r="J2740">
        <v>9.8190833588729598E-2</v>
      </c>
      <c r="K2740">
        <v>8.5811302882010193E-2</v>
      </c>
      <c r="L2740">
        <v>1001.94137163479</v>
      </c>
      <c r="M2740">
        <v>17.458867939902401</v>
      </c>
      <c r="N2740">
        <v>57.562389455062203</v>
      </c>
      <c r="O2740">
        <v>56.651632263945501</v>
      </c>
      <c r="P2740">
        <v>-7.5071939715838296E-2</v>
      </c>
      <c r="Q2740">
        <v>2.56614189188713E-2</v>
      </c>
      <c r="R2740">
        <v>0.99610464228044704</v>
      </c>
      <c r="S2740" t="s">
        <v>8566</v>
      </c>
      <c r="T2740" t="s">
        <v>11650</v>
      </c>
      <c r="U2740" t="s">
        <v>11650</v>
      </c>
      <c r="V2740" t="s">
        <v>11650</v>
      </c>
      <c r="W2740" t="s">
        <v>14345</v>
      </c>
      <c r="X2740">
        <v>16</v>
      </c>
      <c r="Y2740" t="s">
        <v>20052</v>
      </c>
      <c r="Z2740" t="s">
        <v>25802</v>
      </c>
      <c r="AA2740">
        <v>0.60365044705051063</v>
      </c>
      <c r="AB2740" t="str">
        <f>HYPERLINK("Melting_Curves/meltCurve_P62140_PPP1CB.pdf", "Melting_Curves/meltCurve_P62140_PPP1CB.pdf")</f>
        <v>Melting_Curves/meltCurve_P62140_PPP1CB.pdf</v>
      </c>
    </row>
    <row r="2741" spans="1:28" x14ac:dyDescent="0.25">
      <c r="A2741" t="s">
        <v>2745</v>
      </c>
      <c r="B2741">
        <v>0.99996721820229495</v>
      </c>
      <c r="C2741">
        <v>1.0258257934316699</v>
      </c>
      <c r="D2741">
        <v>1.0033837569431601</v>
      </c>
      <c r="E2741">
        <v>0.97059634051989696</v>
      </c>
      <c r="F2741">
        <v>1.0551605517362199</v>
      </c>
      <c r="G2741">
        <v>0.90870415195685295</v>
      </c>
      <c r="H2741">
        <v>0.63140212324533196</v>
      </c>
      <c r="I2741">
        <v>0.51427918826451002</v>
      </c>
      <c r="J2741">
        <v>0.40743317005201501</v>
      </c>
      <c r="K2741">
        <v>0.27831230209528601</v>
      </c>
      <c r="L2741">
        <v>1358.2459206722201</v>
      </c>
      <c r="M2741">
        <v>22.024519723376599</v>
      </c>
      <c r="N2741">
        <v>63.822524937760598</v>
      </c>
      <c r="O2741">
        <v>61.168067869468899</v>
      </c>
      <c r="P2741">
        <v>-6.6421277973744294E-2</v>
      </c>
      <c r="Q2741">
        <v>0.26213677818588099</v>
      </c>
      <c r="R2741">
        <v>0.98438606875588797</v>
      </c>
      <c r="S2741" t="s">
        <v>8567</v>
      </c>
      <c r="T2741" t="s">
        <v>11650</v>
      </c>
      <c r="U2741" t="s">
        <v>11650</v>
      </c>
      <c r="V2741" t="s">
        <v>11650</v>
      </c>
      <c r="W2741" t="s">
        <v>14346</v>
      </c>
      <c r="X2741">
        <v>10</v>
      </c>
      <c r="Y2741" t="s">
        <v>20053</v>
      </c>
      <c r="Z2741" t="s">
        <v>25803</v>
      </c>
      <c r="AA2741">
        <v>0.79870078992726634</v>
      </c>
      <c r="AB2741" t="str">
        <f>HYPERLINK("Melting_Curves/meltCurve_P62166_NCS1.pdf", "Melting_Curves/meltCurve_P62166_NCS1.pdf")</f>
        <v>Melting_Curves/meltCurve_P62166_NCS1.pdf</v>
      </c>
    </row>
    <row r="2742" spans="1:28" x14ac:dyDescent="0.25">
      <c r="A2742" t="s">
        <v>2746</v>
      </c>
      <c r="B2742">
        <v>0.99996721820229495</v>
      </c>
      <c r="C2742">
        <v>1.0896410437834001</v>
      </c>
      <c r="D2742">
        <v>1.32670936676394</v>
      </c>
      <c r="E2742">
        <v>1.8423734155735101</v>
      </c>
      <c r="F2742">
        <v>1.5658435794662799</v>
      </c>
      <c r="G2742">
        <v>1.7777176924278499</v>
      </c>
      <c r="H2742">
        <v>0.61467239535507701</v>
      </c>
      <c r="I2742">
        <v>0.44942134002469603</v>
      </c>
      <c r="J2742">
        <v>0.33603484114898302</v>
      </c>
      <c r="K2742">
        <v>0.27257356610670902</v>
      </c>
      <c r="L2742">
        <v>8521.6649928306397</v>
      </c>
      <c r="M2742">
        <v>140.079695895556</v>
      </c>
      <c r="N2742">
        <v>61.3687239722857</v>
      </c>
      <c r="O2742">
        <v>60.822018127323503</v>
      </c>
      <c r="P2742">
        <v>-0.372916005209048</v>
      </c>
      <c r="Q2742">
        <v>0.35232583253642302</v>
      </c>
      <c r="R2742">
        <v>0.44193618434392001</v>
      </c>
      <c r="S2742" t="s">
        <v>8568</v>
      </c>
      <c r="T2742" t="s">
        <v>11650</v>
      </c>
      <c r="U2742" t="s">
        <v>11650</v>
      </c>
      <c r="V2742" t="s">
        <v>11650</v>
      </c>
      <c r="W2742" t="s">
        <v>14347</v>
      </c>
      <c r="X2742">
        <v>10</v>
      </c>
      <c r="Y2742" t="s">
        <v>20054</v>
      </c>
      <c r="Z2742" t="s">
        <v>25804</v>
      </c>
      <c r="AA2742">
        <v>0.80234305536187078</v>
      </c>
      <c r="AB2742" t="str">
        <f>HYPERLINK("Melting_Curves/meltCurve_P62191_PSMC1.pdf", "Melting_Curves/meltCurve_P62191_PSMC1.pdf")</f>
        <v>Melting_Curves/meltCurve_P62191_PSMC1.pdf</v>
      </c>
    </row>
    <row r="2743" spans="1:28" x14ac:dyDescent="0.25">
      <c r="A2743" t="s">
        <v>2747</v>
      </c>
      <c r="B2743">
        <v>0.99996721820229495</v>
      </c>
      <c r="C2743">
        <v>1.0079173358015301</v>
      </c>
      <c r="D2743">
        <v>1.06561625705654</v>
      </c>
      <c r="E2743">
        <v>1.5045436326352299</v>
      </c>
      <c r="F2743">
        <v>1.4573787972035499</v>
      </c>
      <c r="G2743">
        <v>1.0371055006499399</v>
      </c>
      <c r="H2743">
        <v>0.364986428703449</v>
      </c>
      <c r="I2743">
        <v>0.18691428653640199</v>
      </c>
      <c r="J2743">
        <v>0.10785200058365201</v>
      </c>
      <c r="K2743">
        <v>9.9176768425194503E-2</v>
      </c>
      <c r="L2743">
        <v>5573.3395084448302</v>
      </c>
      <c r="M2743">
        <v>92.343842470328298</v>
      </c>
      <c r="N2743">
        <v>60.550236418348497</v>
      </c>
      <c r="O2743">
        <v>60.325919785721503</v>
      </c>
      <c r="P2743">
        <v>-0.33324245869418001</v>
      </c>
      <c r="Q2743">
        <v>0.12920425263267299</v>
      </c>
      <c r="R2743">
        <v>0.82253885846883501</v>
      </c>
      <c r="S2743" t="s">
        <v>8569</v>
      </c>
      <c r="T2743" t="s">
        <v>11650</v>
      </c>
      <c r="U2743" t="s">
        <v>11650</v>
      </c>
      <c r="V2743" t="s">
        <v>11650</v>
      </c>
      <c r="W2743" t="s">
        <v>14348</v>
      </c>
      <c r="X2743">
        <v>14</v>
      </c>
      <c r="Y2743" t="s">
        <v>20055</v>
      </c>
      <c r="Z2743" t="s">
        <v>25805</v>
      </c>
      <c r="AA2743">
        <v>0.7206930828428143</v>
      </c>
      <c r="AB2743" t="str">
        <f>HYPERLINK("Melting_Curves/meltCurve_P62195_2_PSMC5.pdf", "Melting_Curves/meltCurve_P62195_2_PSMC5.pdf")</f>
        <v>Melting_Curves/meltCurve_P62195_2_PSMC5.pdf</v>
      </c>
    </row>
    <row r="2744" spans="1:28" x14ac:dyDescent="0.25">
      <c r="A2744" t="s">
        <v>2748</v>
      </c>
      <c r="B2744">
        <v>0.99996721820229495</v>
      </c>
      <c r="C2744">
        <v>1.11941586912173</v>
      </c>
      <c r="D2744">
        <v>1.1604219596596499</v>
      </c>
      <c r="E2744">
        <v>1.2401297525553601</v>
      </c>
      <c r="F2744">
        <v>1.23409128807184</v>
      </c>
      <c r="G2744">
        <v>1.0239216416072401</v>
      </c>
      <c r="H2744">
        <v>0.63300559586392202</v>
      </c>
      <c r="I2744">
        <v>0.40498358165293202</v>
      </c>
      <c r="J2744">
        <v>0.25044802614665301</v>
      </c>
      <c r="K2744">
        <v>0.18622060955251399</v>
      </c>
      <c r="L2744">
        <v>2271.4084612667698</v>
      </c>
      <c r="M2744">
        <v>36.865334396493502</v>
      </c>
      <c r="N2744">
        <v>62.499695214637903</v>
      </c>
      <c r="O2744">
        <v>61.433211180781697</v>
      </c>
      <c r="P2744">
        <v>-0.11948992968906599</v>
      </c>
      <c r="Q2744">
        <v>0.20351962879461</v>
      </c>
      <c r="R2744">
        <v>0.89649309160583401</v>
      </c>
      <c r="S2744" t="s">
        <v>8570</v>
      </c>
      <c r="T2744" t="s">
        <v>11650</v>
      </c>
      <c r="U2744" t="s">
        <v>11650</v>
      </c>
      <c r="V2744" t="s">
        <v>11650</v>
      </c>
      <c r="W2744" t="s">
        <v>14349</v>
      </c>
      <c r="X2744">
        <v>12</v>
      </c>
      <c r="Y2744" t="s">
        <v>20056</v>
      </c>
      <c r="Z2744" t="s">
        <v>25806</v>
      </c>
      <c r="AA2744">
        <v>0.78061495594035912</v>
      </c>
      <c r="AB2744" t="str">
        <f>HYPERLINK("Melting_Curves/meltCurve_P62241_RPS8.pdf", "Melting_Curves/meltCurve_P62241_RPS8.pdf")</f>
        <v>Melting_Curves/meltCurve_P62241_RPS8.pdf</v>
      </c>
    </row>
    <row r="2745" spans="1:28" x14ac:dyDescent="0.25">
      <c r="A2745" t="s">
        <v>2749</v>
      </c>
      <c r="B2745">
        <v>0.99996721820229495</v>
      </c>
      <c r="C2745">
        <v>1.0186270560551001</v>
      </c>
      <c r="D2745">
        <v>0.963781879242953</v>
      </c>
      <c r="E2745">
        <v>1.4473050329225701</v>
      </c>
      <c r="F2745">
        <v>1.8193005187564399</v>
      </c>
      <c r="G2745">
        <v>1.45311568832727</v>
      </c>
      <c r="H2745">
        <v>0.89208643769120999</v>
      </c>
      <c r="I2745">
        <v>0.539499306107731</v>
      </c>
      <c r="J2745">
        <v>0.36131044541134699</v>
      </c>
      <c r="K2745">
        <v>0.41167403488723198</v>
      </c>
      <c r="L2745">
        <v>3925.5056652707399</v>
      </c>
      <c r="M2745">
        <v>62.543633345467001</v>
      </c>
      <c r="N2745">
        <v>64.270659131244301</v>
      </c>
      <c r="O2745">
        <v>62.700197697053497</v>
      </c>
      <c r="P2745">
        <v>-0.153474425707125</v>
      </c>
      <c r="Q2745">
        <v>0.38456571967201297</v>
      </c>
      <c r="R2745">
        <v>0.47360533236154301</v>
      </c>
      <c r="S2745" t="s">
        <v>8571</v>
      </c>
      <c r="T2745" t="s">
        <v>11650</v>
      </c>
      <c r="U2745" t="s">
        <v>11650</v>
      </c>
      <c r="V2745" t="s">
        <v>11650</v>
      </c>
      <c r="W2745" t="s">
        <v>14350</v>
      </c>
      <c r="X2745">
        <v>3</v>
      </c>
      <c r="Y2745" t="s">
        <v>20057</v>
      </c>
      <c r="Z2745" t="s">
        <v>25807</v>
      </c>
      <c r="AA2745">
        <v>0.85260825296768161</v>
      </c>
      <c r="AB2745" t="str">
        <f>HYPERLINK("Melting_Curves/meltCurve_P62249_RPS16.pdf", "Melting_Curves/meltCurve_P62249_RPS16.pdf")</f>
        <v>Melting_Curves/meltCurve_P62249_RPS16.pdf</v>
      </c>
    </row>
    <row r="2746" spans="1:28" x14ac:dyDescent="0.25">
      <c r="A2746" t="s">
        <v>2750</v>
      </c>
      <c r="B2746">
        <v>0.99996721820229495</v>
      </c>
      <c r="C2746">
        <v>1.1306607191111999</v>
      </c>
      <c r="D2746">
        <v>0.98546677585299203</v>
      </c>
      <c r="E2746">
        <v>0.96630276925181702</v>
      </c>
      <c r="F2746">
        <v>0.88050852671741098</v>
      </c>
      <c r="G2746">
        <v>0.73234015785083095</v>
      </c>
      <c r="H2746">
        <v>0.32112359054868</v>
      </c>
      <c r="I2746">
        <v>0.21078259740056601</v>
      </c>
      <c r="J2746">
        <v>0.13072288449338301</v>
      </c>
      <c r="K2746">
        <v>9.3819779792663704E-2</v>
      </c>
      <c r="L2746">
        <v>1313.8415629871399</v>
      </c>
      <c r="M2746">
        <v>22.352031099877902</v>
      </c>
      <c r="N2746">
        <v>59.176308717580497</v>
      </c>
      <c r="O2746">
        <v>58.315100805260897</v>
      </c>
      <c r="P2746">
        <v>-8.9157427131315595E-2</v>
      </c>
      <c r="Q2746">
        <v>6.9594117757371801E-2</v>
      </c>
      <c r="R2746">
        <v>0.984992971565534</v>
      </c>
      <c r="S2746" t="s">
        <v>8572</v>
      </c>
      <c r="T2746" t="s">
        <v>11650</v>
      </c>
      <c r="U2746" t="s">
        <v>11650</v>
      </c>
      <c r="V2746" t="s">
        <v>11650</v>
      </c>
      <c r="W2746" t="s">
        <v>14351</v>
      </c>
      <c r="X2746">
        <v>4</v>
      </c>
      <c r="Y2746" t="s">
        <v>20058</v>
      </c>
      <c r="Z2746" t="s">
        <v>25808</v>
      </c>
      <c r="AA2746">
        <v>0.66079131408823522</v>
      </c>
      <c r="AB2746" t="str">
        <f>HYPERLINK("Melting_Curves/meltCurve_P62253_UBE2G1.pdf", "Melting_Curves/meltCurve_P62253_UBE2G1.pdf")</f>
        <v>Melting_Curves/meltCurve_P62253_UBE2G1.pdf</v>
      </c>
    </row>
    <row r="2747" spans="1:28" x14ac:dyDescent="0.25">
      <c r="A2747" t="s">
        <v>2751</v>
      </c>
      <c r="B2747">
        <v>0.99996721820229495</v>
      </c>
      <c r="C2747">
        <v>1.08659834710585</v>
      </c>
      <c r="D2747">
        <v>1.1507417714202</v>
      </c>
      <c r="E2747">
        <v>1.2022485280000299</v>
      </c>
      <c r="F2747">
        <v>1.42614177164531</v>
      </c>
      <c r="G2747">
        <v>1.9076564124038899</v>
      </c>
      <c r="H2747">
        <v>0.67944031760142598</v>
      </c>
      <c r="I2747">
        <v>0.25468117933295298</v>
      </c>
      <c r="J2747">
        <v>0.15431569709121301</v>
      </c>
      <c r="K2747">
        <v>0.10587317001027099</v>
      </c>
      <c r="L2747">
        <v>5135.9000171479202</v>
      </c>
      <c r="M2747">
        <v>83.634957525219207</v>
      </c>
      <c r="N2747">
        <v>61.693235993447502</v>
      </c>
      <c r="O2747">
        <v>61.373449407397899</v>
      </c>
      <c r="P2747">
        <v>-0.28613712932481999</v>
      </c>
      <c r="Q2747">
        <v>0.16010141035642</v>
      </c>
      <c r="R2747">
        <v>0.65425192032786905</v>
      </c>
      <c r="S2747" t="s">
        <v>8573</v>
      </c>
      <c r="T2747" t="s">
        <v>11650</v>
      </c>
      <c r="U2747" t="s">
        <v>11650</v>
      </c>
      <c r="V2747" t="s">
        <v>11650</v>
      </c>
      <c r="W2747" t="s">
        <v>14352</v>
      </c>
      <c r="X2747">
        <v>25</v>
      </c>
      <c r="Y2747" t="s">
        <v>20059</v>
      </c>
      <c r="Z2747" t="s">
        <v>25809</v>
      </c>
      <c r="AA2747">
        <v>0.76027720937767029</v>
      </c>
      <c r="AB2747" t="str">
        <f>HYPERLINK("Melting_Curves/meltCurve_P62258_YWHAE.pdf", "Melting_Curves/meltCurve_P62258_YWHAE.pdf")</f>
        <v>Melting_Curves/meltCurve_P62258_YWHAE.pdf</v>
      </c>
    </row>
    <row r="2748" spans="1:28" x14ac:dyDescent="0.25">
      <c r="A2748" t="s">
        <v>2752</v>
      </c>
      <c r="B2748">
        <v>0.99996721820229495</v>
      </c>
      <c r="C2748">
        <v>0.89516897951354701</v>
      </c>
      <c r="D2748">
        <v>0.79264585262640797</v>
      </c>
      <c r="E2748">
        <v>0.58781078237020901</v>
      </c>
      <c r="F2748">
        <v>0.72998977495624895</v>
      </c>
      <c r="G2748">
        <v>0.51059380658630404</v>
      </c>
      <c r="H2748">
        <v>0.35346347156332703</v>
      </c>
      <c r="I2748">
        <v>0.284753928550247</v>
      </c>
      <c r="J2748">
        <v>0.20403193381547499</v>
      </c>
      <c r="K2748">
        <v>0.20392001947022001</v>
      </c>
      <c r="L2748">
        <v>397.46128415675099</v>
      </c>
      <c r="M2748">
        <v>7.0717028193750799</v>
      </c>
      <c r="N2748">
        <v>56.204466489847199</v>
      </c>
      <c r="O2748">
        <v>52.229102073166104</v>
      </c>
      <c r="P2748">
        <v>-3.3909894686460697E-2</v>
      </c>
      <c r="Q2748">
        <v>0</v>
      </c>
      <c r="R2748">
        <v>0.95189041924100903</v>
      </c>
      <c r="S2748" t="s">
        <v>8574</v>
      </c>
      <c r="T2748" t="s">
        <v>11650</v>
      </c>
      <c r="U2748" t="s">
        <v>11650</v>
      </c>
      <c r="V2748" t="s">
        <v>11650</v>
      </c>
      <c r="W2748" t="s">
        <v>14353</v>
      </c>
      <c r="X2748">
        <v>8</v>
      </c>
      <c r="Y2748" t="s">
        <v>20060</v>
      </c>
      <c r="Z2748" t="s">
        <v>25810</v>
      </c>
      <c r="AA2748">
        <v>0.55638561768519212</v>
      </c>
      <c r="AB2748" t="str">
        <f>HYPERLINK("Melting_Curves/meltCurve_P62263_RPS14.pdf", "Melting_Curves/meltCurve_P62263_RPS14.pdf")</f>
        <v>Melting_Curves/meltCurve_P62263_RPS14.pdf</v>
      </c>
    </row>
    <row r="2749" spans="1:28" x14ac:dyDescent="0.25">
      <c r="A2749" t="s">
        <v>2753</v>
      </c>
      <c r="B2749">
        <v>0.99996721820229495</v>
      </c>
      <c r="C2749">
        <v>0.83127197694893196</v>
      </c>
      <c r="D2749">
        <v>0.74666685896901497</v>
      </c>
      <c r="E2749">
        <v>0.80556736200654</v>
      </c>
      <c r="F2749">
        <v>0.77312513650801695</v>
      </c>
      <c r="G2749">
        <v>0.57713930728544005</v>
      </c>
      <c r="H2749">
        <v>0.38421576171250299</v>
      </c>
      <c r="I2749">
        <v>0.28603317424053099</v>
      </c>
      <c r="J2749">
        <v>0.20845815774399501</v>
      </c>
      <c r="K2749">
        <v>0.181605227200519</v>
      </c>
      <c r="L2749">
        <v>459.76740214390702</v>
      </c>
      <c r="M2749">
        <v>7.9559043519320598</v>
      </c>
      <c r="N2749">
        <v>57.789464453834398</v>
      </c>
      <c r="O2749">
        <v>54.480779137228602</v>
      </c>
      <c r="P2749">
        <v>-3.6549999757856402E-2</v>
      </c>
      <c r="Q2749">
        <v>0</v>
      </c>
      <c r="R2749">
        <v>0.93753020886684602</v>
      </c>
      <c r="S2749" t="s">
        <v>8575</v>
      </c>
      <c r="T2749" t="s">
        <v>11650</v>
      </c>
      <c r="U2749" t="s">
        <v>11650</v>
      </c>
      <c r="V2749" t="s">
        <v>11650</v>
      </c>
      <c r="W2749" t="s">
        <v>14354</v>
      </c>
      <c r="X2749">
        <v>9</v>
      </c>
      <c r="Y2749" t="s">
        <v>20061</v>
      </c>
      <c r="Z2749" t="s">
        <v>25811</v>
      </c>
      <c r="AA2749">
        <v>0.59820728163803283</v>
      </c>
      <c r="AB2749" t="str">
        <f>HYPERLINK("Melting_Curves/meltCurve_P62269_RPS18.pdf", "Melting_Curves/meltCurve_P62269_RPS18.pdf")</f>
        <v>Melting_Curves/meltCurve_P62269_RPS18.pdf</v>
      </c>
    </row>
    <row r="2750" spans="1:28" x14ac:dyDescent="0.25">
      <c r="A2750" t="s">
        <v>2754</v>
      </c>
      <c r="B2750">
        <v>0.99996721820229495</v>
      </c>
      <c r="C2750">
        <v>1.0246241015708799</v>
      </c>
      <c r="D2750">
        <v>1.1405246484825899</v>
      </c>
      <c r="E2750">
        <v>1.2263651779957101</v>
      </c>
      <c r="F2750">
        <v>1.1563910317458701</v>
      </c>
      <c r="G2750">
        <v>0.75065977902848402</v>
      </c>
      <c r="H2750">
        <v>0.443967363694108</v>
      </c>
      <c r="I2750">
        <v>0.53851622572242397</v>
      </c>
      <c r="J2750">
        <v>0.67133595491367304</v>
      </c>
      <c r="K2750">
        <v>0.68044570327828502</v>
      </c>
      <c r="L2750">
        <v>14227.1848844139</v>
      </c>
      <c r="M2750">
        <v>250</v>
      </c>
      <c r="O2750">
        <v>56.905086695688802</v>
      </c>
      <c r="P2750">
        <v>-0.45737739807921601</v>
      </c>
      <c r="Q2750">
        <v>0.58356631145799398</v>
      </c>
      <c r="R2750">
        <v>0.80860655385578495</v>
      </c>
      <c r="S2750" t="s">
        <v>8576</v>
      </c>
      <c r="T2750" t="s">
        <v>11650</v>
      </c>
      <c r="U2750" t="s">
        <v>11650</v>
      </c>
      <c r="V2750" t="s">
        <v>11650</v>
      </c>
      <c r="W2750" t="s">
        <v>14355</v>
      </c>
      <c r="X2750">
        <v>2</v>
      </c>
      <c r="Y2750" t="s">
        <v>20062</v>
      </c>
      <c r="Z2750" t="s">
        <v>25812</v>
      </c>
      <c r="AA2750">
        <v>0.81832019481169405</v>
      </c>
      <c r="AB2750" t="str">
        <f>HYPERLINK("Melting_Curves/meltCurve_P62273_RPS29.pdf", "Melting_Curves/meltCurve_P62273_RPS29.pdf")</f>
        <v>Melting_Curves/meltCurve_P62273_RPS29.pdf</v>
      </c>
    </row>
    <row r="2751" spans="1:28" x14ac:dyDescent="0.25">
      <c r="A2751" t="s">
        <v>2755</v>
      </c>
      <c r="B2751">
        <v>0.99996721820229495</v>
      </c>
      <c r="C2751">
        <v>0.99288453654653097</v>
      </c>
      <c r="D2751">
        <v>1.1217292745508101</v>
      </c>
      <c r="E2751">
        <v>1.6647967720279599</v>
      </c>
      <c r="F2751">
        <v>1.5523452016164501</v>
      </c>
      <c r="G2751">
        <v>1.14166069376975</v>
      </c>
      <c r="H2751">
        <v>0.65357376519333499</v>
      </c>
      <c r="I2751">
        <v>0.51378381966095599</v>
      </c>
      <c r="J2751">
        <v>0.27616518393638101</v>
      </c>
      <c r="K2751">
        <v>0.219098348300407</v>
      </c>
      <c r="L2751">
        <v>2229.8872458708902</v>
      </c>
      <c r="M2751">
        <v>35.826286743579601</v>
      </c>
      <c r="N2751">
        <v>63.320806467718498</v>
      </c>
      <c r="O2751">
        <v>62.048672763960298</v>
      </c>
      <c r="P2751">
        <v>-0.11136761537286199</v>
      </c>
      <c r="Q2751">
        <v>0.22847806844882401</v>
      </c>
      <c r="R2751">
        <v>0.63240557332102598</v>
      </c>
      <c r="S2751" t="s">
        <v>8577</v>
      </c>
      <c r="T2751" t="s">
        <v>11650</v>
      </c>
      <c r="U2751" t="s">
        <v>11650</v>
      </c>
      <c r="V2751" t="s">
        <v>11650</v>
      </c>
      <c r="W2751" t="s">
        <v>14356</v>
      </c>
      <c r="X2751">
        <v>7</v>
      </c>
      <c r="Y2751" t="s">
        <v>20063</v>
      </c>
      <c r="Z2751" t="s">
        <v>25813</v>
      </c>
      <c r="AA2751">
        <v>0.80349390296976031</v>
      </c>
      <c r="AB2751" t="str">
        <f>HYPERLINK("Melting_Curves/meltCurve_P62277_RPS13.pdf", "Melting_Curves/meltCurve_P62277_RPS13.pdf")</f>
        <v>Melting_Curves/meltCurve_P62277_RPS13.pdf</v>
      </c>
    </row>
    <row r="2752" spans="1:28" x14ac:dyDescent="0.25">
      <c r="A2752" t="s">
        <v>2756</v>
      </c>
      <c r="B2752">
        <v>0.99996721820229495</v>
      </c>
      <c r="C2752">
        <v>1.02165214179217</v>
      </c>
      <c r="D2752">
        <v>0.980964053107379</v>
      </c>
      <c r="E2752">
        <v>1.4059621217285401</v>
      </c>
      <c r="F2752">
        <v>1.4404991691542399</v>
      </c>
      <c r="G2752">
        <v>1.14399891756251</v>
      </c>
      <c r="H2752">
        <v>0.54436239614421</v>
      </c>
      <c r="I2752">
        <v>0.35085214355251398</v>
      </c>
      <c r="J2752">
        <v>0.21501637438997501</v>
      </c>
      <c r="K2752">
        <v>0.15611025034308901</v>
      </c>
      <c r="L2752">
        <v>3846.92179221883</v>
      </c>
      <c r="M2752">
        <v>63.292686591234101</v>
      </c>
      <c r="N2752">
        <v>61.358400386688302</v>
      </c>
      <c r="O2752">
        <v>60.7192897883629</v>
      </c>
      <c r="P2752">
        <v>-0.20204004130908099</v>
      </c>
      <c r="Q2752">
        <v>0.22469881380277301</v>
      </c>
      <c r="R2752">
        <v>0.80418281820010895</v>
      </c>
      <c r="S2752" t="s">
        <v>8578</v>
      </c>
      <c r="T2752" t="s">
        <v>11650</v>
      </c>
      <c r="U2752" t="s">
        <v>11650</v>
      </c>
      <c r="V2752" t="s">
        <v>11650</v>
      </c>
      <c r="W2752" t="s">
        <v>14357</v>
      </c>
      <c r="X2752">
        <v>10</v>
      </c>
      <c r="Y2752" t="s">
        <v>20064</v>
      </c>
      <c r="Z2752" t="s">
        <v>25814</v>
      </c>
      <c r="AA2752">
        <v>0.76300722651058461</v>
      </c>
      <c r="AB2752" t="str">
        <f>HYPERLINK("Melting_Curves/meltCurve_P62280_RPS11.pdf", "Melting_Curves/meltCurve_P62280_RPS11.pdf")</f>
        <v>Melting_Curves/meltCurve_P62280_RPS11.pdf</v>
      </c>
    </row>
    <row r="2753" spans="1:28" x14ac:dyDescent="0.25">
      <c r="A2753" t="s">
        <v>2757</v>
      </c>
      <c r="B2753">
        <v>0.99996721820229495</v>
      </c>
      <c r="C2753">
        <v>1.12411907967167</v>
      </c>
      <c r="D2753">
        <v>1.16367814335266</v>
      </c>
      <c r="E2753">
        <v>1.2304972146261199</v>
      </c>
      <c r="F2753">
        <v>1.8274495760184499</v>
      </c>
      <c r="G2753">
        <v>2.46052371308852</v>
      </c>
      <c r="H2753">
        <v>1.60567253548516</v>
      </c>
      <c r="I2753">
        <v>0.98179445944686905</v>
      </c>
      <c r="J2753">
        <v>0.44134606371866197</v>
      </c>
      <c r="K2753">
        <v>0.43510155089497299</v>
      </c>
      <c r="L2753">
        <v>11462.3537024166</v>
      </c>
      <c r="M2753">
        <v>175.68612163756299</v>
      </c>
      <c r="N2753">
        <v>66.012433365090004</v>
      </c>
      <c r="O2753">
        <v>65.234910583354505</v>
      </c>
      <c r="P2753">
        <v>-0.38011747468464602</v>
      </c>
      <c r="Q2753">
        <v>0.43542655746761999</v>
      </c>
      <c r="R2753">
        <v>3.42077278808047E-2</v>
      </c>
      <c r="S2753" t="s">
        <v>8579</v>
      </c>
      <c r="T2753" t="s">
        <v>11650</v>
      </c>
      <c r="U2753" t="s">
        <v>11650</v>
      </c>
      <c r="V2753" t="s">
        <v>11650</v>
      </c>
      <c r="W2753" t="s">
        <v>14358</v>
      </c>
      <c r="X2753">
        <v>1</v>
      </c>
      <c r="Y2753" t="s">
        <v>20065</v>
      </c>
      <c r="Z2753" t="s">
        <v>25815</v>
      </c>
      <c r="AA2753">
        <v>0.9106152091131593</v>
      </c>
      <c r="AB2753" t="str">
        <f>HYPERLINK("Melting_Curves/meltCurve_P62304_SNRPE.pdf", "Melting_Curves/meltCurve_P62304_SNRPE.pdf")</f>
        <v>Melting_Curves/meltCurve_P62304_SNRPE.pdf</v>
      </c>
    </row>
    <row r="2754" spans="1:28" x14ac:dyDescent="0.25">
      <c r="A2754" t="s">
        <v>2758</v>
      </c>
      <c r="B2754">
        <v>0.99996721820229495</v>
      </c>
      <c r="C2754">
        <v>1.0171581417194</v>
      </c>
      <c r="D2754">
        <v>1.0549268509134899</v>
      </c>
      <c r="E2754">
        <v>1.21986454415311</v>
      </c>
      <c r="F2754">
        <v>2.04600550130814</v>
      </c>
      <c r="G2754">
        <v>3.2904006780111401</v>
      </c>
      <c r="H2754">
        <v>2.3847331059989698</v>
      </c>
      <c r="I2754">
        <v>1.8513606965056</v>
      </c>
      <c r="J2754">
        <v>0.94417552850392605</v>
      </c>
      <c r="K2754">
        <v>0.95591969108961405</v>
      </c>
      <c r="L2754">
        <v>12512.1123178498</v>
      </c>
      <c r="M2754">
        <v>250</v>
      </c>
      <c r="O2754">
        <v>50.045227684337803</v>
      </c>
      <c r="P2754">
        <v>0.62443492941691003</v>
      </c>
      <c r="Q2754">
        <v>1.5</v>
      </c>
      <c r="R2754">
        <v>0.122106591445484</v>
      </c>
      <c r="S2754" t="s">
        <v>8580</v>
      </c>
      <c r="T2754" t="s">
        <v>11650</v>
      </c>
      <c r="U2754" t="s">
        <v>11650</v>
      </c>
      <c r="V2754" t="s">
        <v>11650</v>
      </c>
      <c r="W2754" t="s">
        <v>14359</v>
      </c>
      <c r="X2754">
        <v>2</v>
      </c>
      <c r="Y2754" t="s">
        <v>20066</v>
      </c>
      <c r="Z2754" t="s">
        <v>25816</v>
      </c>
      <c r="AA2754">
        <v>1.3324819283519069</v>
      </c>
      <c r="AB2754" t="str">
        <f>HYPERLINK("Melting_Curves/meltCurve_P62306_SNRPF.pdf", "Melting_Curves/meltCurve_P62306_SNRPF.pdf")</f>
        <v>Melting_Curves/meltCurve_P62306_SNRPF.pdf</v>
      </c>
    </row>
    <row r="2755" spans="1:28" x14ac:dyDescent="0.25">
      <c r="A2755" t="s">
        <v>2759</v>
      </c>
      <c r="B2755">
        <v>0.99996721820229495</v>
      </c>
      <c r="C2755">
        <v>0.61460295545980204</v>
      </c>
      <c r="D2755">
        <v>0.56554704257390598</v>
      </c>
      <c r="E2755">
        <v>0.95205959197383005</v>
      </c>
      <c r="F2755">
        <v>1.15147212474101</v>
      </c>
      <c r="G2755">
        <v>0.989907971975859</v>
      </c>
      <c r="H2755">
        <v>1.18686809245567</v>
      </c>
      <c r="I2755">
        <v>1.3326188940669701</v>
      </c>
      <c r="J2755">
        <v>0.79362749974088898</v>
      </c>
      <c r="K2755">
        <v>1.07339320706839</v>
      </c>
      <c r="L2755">
        <v>5180.6593048258401</v>
      </c>
      <c r="M2755">
        <v>100.77880180923</v>
      </c>
      <c r="O2755">
        <v>51.3859976947289</v>
      </c>
      <c r="P2755">
        <v>4.29718800546489E-2</v>
      </c>
      <c r="Q2755">
        <v>1.0876435601560701</v>
      </c>
      <c r="R2755">
        <v>6.2186187029307401E-2</v>
      </c>
      <c r="S2755" t="s">
        <v>8581</v>
      </c>
      <c r="T2755" t="s">
        <v>11650</v>
      </c>
      <c r="U2755" t="s">
        <v>11650</v>
      </c>
      <c r="V2755" t="s">
        <v>11650</v>
      </c>
      <c r="W2755" t="s">
        <v>14360</v>
      </c>
      <c r="X2755">
        <v>5</v>
      </c>
      <c r="Y2755" t="s">
        <v>20067</v>
      </c>
      <c r="Z2755" t="s">
        <v>25817</v>
      </c>
      <c r="AA2755">
        <v>1.0542720632700791</v>
      </c>
      <c r="AB2755" t="str">
        <f>HYPERLINK("Melting_Curves/meltCurve_P62308_SNRPG.pdf", "Melting_Curves/meltCurve_P62308_SNRPG.pdf")</f>
        <v>Melting_Curves/meltCurve_P62308_SNRPG.pdf</v>
      </c>
    </row>
    <row r="2756" spans="1:28" x14ac:dyDescent="0.25">
      <c r="A2756" t="s">
        <v>2760</v>
      </c>
      <c r="B2756">
        <v>0.99996721820229495</v>
      </c>
      <c r="C2756">
        <v>1.01365612262951</v>
      </c>
      <c r="D2756">
        <v>1.0263247603624499</v>
      </c>
      <c r="E2756">
        <v>1.0595958989318901</v>
      </c>
      <c r="F2756">
        <v>1.5236150282954499</v>
      </c>
      <c r="G2756">
        <v>1.3467175260594999</v>
      </c>
      <c r="H2756">
        <v>0.99905285149380096</v>
      </c>
      <c r="I2756">
        <v>1.23996136050686</v>
      </c>
      <c r="J2756">
        <v>0.86442435795045303</v>
      </c>
      <c r="K2756">
        <v>0.71895858064572604</v>
      </c>
      <c r="L2756">
        <v>15000</v>
      </c>
      <c r="M2756">
        <v>223.809651815325</v>
      </c>
      <c r="O2756">
        <v>67.015881636323101</v>
      </c>
      <c r="P2756">
        <v>-0.234667004603999</v>
      </c>
      <c r="Q2756">
        <v>0.718932274788182</v>
      </c>
      <c r="R2756">
        <v>7.0452500666447093E-2</v>
      </c>
      <c r="S2756" t="s">
        <v>8582</v>
      </c>
      <c r="T2756" t="s">
        <v>11650</v>
      </c>
      <c r="U2756" t="s">
        <v>11650</v>
      </c>
      <c r="V2756" t="s">
        <v>11650</v>
      </c>
      <c r="W2756" t="s">
        <v>14361</v>
      </c>
      <c r="X2756">
        <v>3</v>
      </c>
      <c r="Y2756" t="s">
        <v>20068</v>
      </c>
      <c r="Z2756" t="s">
        <v>25818</v>
      </c>
      <c r="AA2756">
        <v>0.97213323318339018</v>
      </c>
      <c r="AB2756" t="str">
        <f>HYPERLINK("Melting_Curves/meltCurve_P62310_LSM3.pdf", "Melting_Curves/meltCurve_P62310_LSM3.pdf")</f>
        <v>Melting_Curves/meltCurve_P62310_LSM3.pdf</v>
      </c>
    </row>
    <row r="2757" spans="1:28" x14ac:dyDescent="0.25">
      <c r="A2757" t="s">
        <v>2761</v>
      </c>
      <c r="B2757">
        <v>0.99996721820229495</v>
      </c>
      <c r="C2757">
        <v>1.0058702732748199</v>
      </c>
      <c r="D2757">
        <v>1.0389676383428801</v>
      </c>
      <c r="E2757">
        <v>1.1901199841408401</v>
      </c>
      <c r="F2757">
        <v>1.79026032876706</v>
      </c>
      <c r="G2757">
        <v>2.0338909635585498</v>
      </c>
      <c r="H2757">
        <v>1.5320473723516601</v>
      </c>
      <c r="I2757">
        <v>1.4537585892184599</v>
      </c>
      <c r="J2757">
        <v>0.89641133469428103</v>
      </c>
      <c r="K2757">
        <v>0.88599176429483195</v>
      </c>
      <c r="L2757">
        <v>12512.0511405902</v>
      </c>
      <c r="M2757">
        <v>250</v>
      </c>
      <c r="O2757">
        <v>50.044983687820199</v>
      </c>
      <c r="P2757">
        <v>0.53958932428650297</v>
      </c>
      <c r="Q2757">
        <v>1.4320599797423501</v>
      </c>
      <c r="R2757">
        <v>0.247040407903867</v>
      </c>
      <c r="S2757" t="s">
        <v>8583</v>
      </c>
      <c r="T2757" t="s">
        <v>11650</v>
      </c>
      <c r="U2757" t="s">
        <v>11650</v>
      </c>
      <c r="V2757" t="s">
        <v>11650</v>
      </c>
      <c r="W2757" t="s">
        <v>14362</v>
      </c>
      <c r="X2757">
        <v>8</v>
      </c>
      <c r="Y2757" t="s">
        <v>20069</v>
      </c>
      <c r="Z2757" t="s">
        <v>25819</v>
      </c>
      <c r="AA2757">
        <v>1.2873077949418039</v>
      </c>
      <c r="AB2757" t="str">
        <f>HYPERLINK("Melting_Curves/meltCurve_P62312_LSM6.pdf", "Melting_Curves/meltCurve_P62312_LSM6.pdf")</f>
        <v>Melting_Curves/meltCurve_P62312_LSM6.pdf</v>
      </c>
    </row>
    <row r="2758" spans="1:28" x14ac:dyDescent="0.25">
      <c r="A2758" t="s">
        <v>2762</v>
      </c>
      <c r="B2758">
        <v>0.99996721820229495</v>
      </c>
      <c r="C2758">
        <v>0.95751182254662504</v>
      </c>
      <c r="D2758">
        <v>1.0268364178753799</v>
      </c>
      <c r="E2758">
        <v>1.2289865727012801</v>
      </c>
      <c r="F2758">
        <v>2.0255888770634201</v>
      </c>
      <c r="G2758">
        <v>2.6237764285295899</v>
      </c>
      <c r="H2758">
        <v>1.68571169919154</v>
      </c>
      <c r="I2758">
        <v>0.91950928580096403</v>
      </c>
      <c r="J2758">
        <v>0.42919102949589699</v>
      </c>
      <c r="K2758">
        <v>0.45396428000504702</v>
      </c>
      <c r="L2758">
        <v>15000</v>
      </c>
      <c r="M2758">
        <v>232.59368892788501</v>
      </c>
      <c r="N2758">
        <v>65.090740171985402</v>
      </c>
      <c r="O2758">
        <v>64.485374238753295</v>
      </c>
      <c r="P2758">
        <v>-0.50358589651230101</v>
      </c>
      <c r="Q2758">
        <v>0.44153385953457502</v>
      </c>
      <c r="R2758">
        <v>1.80375528475889E-2</v>
      </c>
      <c r="S2758" t="s">
        <v>8584</v>
      </c>
      <c r="T2758" t="s">
        <v>11650</v>
      </c>
      <c r="U2758" t="s">
        <v>11650</v>
      </c>
      <c r="V2758" t="s">
        <v>11650</v>
      </c>
      <c r="W2758" t="s">
        <v>14363</v>
      </c>
      <c r="X2758">
        <v>3</v>
      </c>
      <c r="Y2758" t="s">
        <v>20070</v>
      </c>
      <c r="Z2758" t="s">
        <v>25820</v>
      </c>
      <c r="AA2758">
        <v>0.89750405017155621</v>
      </c>
      <c r="AB2758" t="str">
        <f>HYPERLINK("Melting_Curves/meltCurve_P62314_SNRPD1.pdf", "Melting_Curves/meltCurve_P62314_SNRPD1.pdf")</f>
        <v>Melting_Curves/meltCurve_P62314_SNRPD1.pdf</v>
      </c>
    </row>
    <row r="2759" spans="1:28" x14ac:dyDescent="0.25">
      <c r="A2759" t="s">
        <v>2763</v>
      </c>
      <c r="B2759">
        <v>0.99996721820229495</v>
      </c>
      <c r="C2759">
        <v>1.04632668730092</v>
      </c>
      <c r="D2759">
        <v>1.0488871829329101</v>
      </c>
      <c r="E2759">
        <v>1.2644627787942799</v>
      </c>
      <c r="F2759">
        <v>2.3087841673151002</v>
      </c>
      <c r="G2759">
        <v>3.1791901661425501</v>
      </c>
      <c r="H2759">
        <v>2.2144129823449101</v>
      </c>
      <c r="I2759">
        <v>1.2972616095242899</v>
      </c>
      <c r="J2759">
        <v>0.55773793342177402</v>
      </c>
      <c r="K2759">
        <v>0.57129004848768805</v>
      </c>
      <c r="L2759">
        <v>15000</v>
      </c>
      <c r="M2759">
        <v>227.52581235901599</v>
      </c>
      <c r="O2759">
        <v>65.921492792236705</v>
      </c>
      <c r="P2759">
        <v>-0.38033103851991701</v>
      </c>
      <c r="Q2759">
        <v>0.55922381919134001</v>
      </c>
      <c r="R2759">
        <v>-0.25303532455210698</v>
      </c>
      <c r="S2759" t="s">
        <v>8585</v>
      </c>
      <c r="T2759" t="s">
        <v>11650</v>
      </c>
      <c r="U2759" t="s">
        <v>11650</v>
      </c>
      <c r="V2759" t="s">
        <v>11650</v>
      </c>
      <c r="W2759" t="s">
        <v>14364</v>
      </c>
      <c r="X2759">
        <v>13</v>
      </c>
      <c r="Y2759" t="s">
        <v>20071</v>
      </c>
      <c r="Z2759" t="s">
        <v>25821</v>
      </c>
      <c r="AA2759">
        <v>0.94021276659019415</v>
      </c>
      <c r="AB2759" t="str">
        <f>HYPERLINK("Melting_Curves/meltCurve_P62316_SNRPD2.pdf", "Melting_Curves/meltCurve_P62316_SNRPD2.pdf")</f>
        <v>Melting_Curves/meltCurve_P62316_SNRPD2.pdf</v>
      </c>
    </row>
    <row r="2760" spans="1:28" x14ac:dyDescent="0.25">
      <c r="A2760" t="s">
        <v>2764</v>
      </c>
      <c r="B2760">
        <v>0.99996721820229495</v>
      </c>
      <c r="C2760">
        <v>1.1952648293210399</v>
      </c>
      <c r="D2760">
        <v>1.07843097079719</v>
      </c>
      <c r="E2760">
        <v>1.0535184459398299</v>
      </c>
      <c r="F2760">
        <v>1.48141635038141</v>
      </c>
      <c r="G2760">
        <v>1.9890116605936301</v>
      </c>
      <c r="H2760">
        <v>1.5151491156685699</v>
      </c>
      <c r="I2760">
        <v>1.57230258453472</v>
      </c>
      <c r="J2760">
        <v>1.48499558649356</v>
      </c>
      <c r="K2760">
        <v>0.96638900090448898</v>
      </c>
      <c r="L2760">
        <v>4845.2150391810501</v>
      </c>
      <c r="M2760">
        <v>94.776890531534207</v>
      </c>
      <c r="O2760">
        <v>51.099577418000599</v>
      </c>
      <c r="P2760">
        <v>0.23184364142602201</v>
      </c>
      <c r="Q2760">
        <v>1.5</v>
      </c>
      <c r="R2760">
        <v>0.41028549392365099</v>
      </c>
      <c r="S2760" t="s">
        <v>8586</v>
      </c>
      <c r="T2760" t="s">
        <v>11650</v>
      </c>
      <c r="U2760" t="s">
        <v>11650</v>
      </c>
      <c r="V2760" t="s">
        <v>11650</v>
      </c>
      <c r="W2760" t="s">
        <v>14365</v>
      </c>
      <c r="X2760">
        <v>13</v>
      </c>
      <c r="Y2760" t="s">
        <v>20072</v>
      </c>
      <c r="Z2760" t="s">
        <v>25822</v>
      </c>
      <c r="AA2760">
        <v>1.314315371843277</v>
      </c>
      <c r="AB2760" t="str">
        <f>HYPERLINK("Melting_Curves/meltCurve_P62328_TMSB4X.pdf", "Melting_Curves/meltCurve_P62328_TMSB4X.pdf")</f>
        <v>Melting_Curves/meltCurve_P62328_TMSB4X.pdf</v>
      </c>
    </row>
    <row r="2761" spans="1:28" x14ac:dyDescent="0.25">
      <c r="A2761" t="s">
        <v>2765</v>
      </c>
      <c r="B2761">
        <v>0.99996721820229495</v>
      </c>
      <c r="C2761">
        <v>1.1389899199132201</v>
      </c>
      <c r="D2761">
        <v>0.98028161950470405</v>
      </c>
      <c r="E2761">
        <v>0.84140972201666997</v>
      </c>
      <c r="F2761">
        <v>0.60294238649545195</v>
      </c>
      <c r="G2761">
        <v>0.418971312210285</v>
      </c>
      <c r="H2761">
        <v>0.257379360349829</v>
      </c>
      <c r="I2761">
        <v>0.13582317602702501</v>
      </c>
      <c r="J2761">
        <v>0.110566627516062</v>
      </c>
      <c r="K2761">
        <v>8.8911357338913505E-2</v>
      </c>
      <c r="L2761">
        <v>871.85343388164301</v>
      </c>
      <c r="M2761">
        <v>15.9144005391012</v>
      </c>
      <c r="N2761">
        <v>55.295002897956401</v>
      </c>
      <c r="O2761">
        <v>53.940816308252103</v>
      </c>
      <c r="P2761">
        <v>-6.8719631161428693E-2</v>
      </c>
      <c r="Q2761">
        <v>6.8392082782279595E-2</v>
      </c>
      <c r="R2761">
        <v>0.98118839810852299</v>
      </c>
      <c r="S2761" t="s">
        <v>8587</v>
      </c>
      <c r="T2761" t="s">
        <v>11650</v>
      </c>
      <c r="U2761" t="s">
        <v>11650</v>
      </c>
      <c r="V2761" t="s">
        <v>11650</v>
      </c>
      <c r="W2761" t="s">
        <v>14366</v>
      </c>
      <c r="X2761">
        <v>9</v>
      </c>
      <c r="Y2761" t="s">
        <v>20073</v>
      </c>
      <c r="Z2761" t="s">
        <v>25823</v>
      </c>
      <c r="AA2761">
        <v>0.54452071522253964</v>
      </c>
      <c r="AB2761" t="str">
        <f>HYPERLINK("Melting_Curves/meltCurve_P62330_ARF6.pdf", "Melting_Curves/meltCurve_P62330_ARF6.pdf")</f>
        <v>Melting_Curves/meltCurve_P62330_ARF6.pdf</v>
      </c>
    </row>
    <row r="2762" spans="1:28" x14ac:dyDescent="0.25">
      <c r="A2762" t="s">
        <v>2766</v>
      </c>
      <c r="B2762">
        <v>0.99996721820229495</v>
      </c>
      <c r="C2762">
        <v>0.977245655321617</v>
      </c>
      <c r="D2762">
        <v>0.96278549863273599</v>
      </c>
      <c r="E2762">
        <v>1.06301673754322</v>
      </c>
      <c r="F2762">
        <v>0.84733820965662598</v>
      </c>
      <c r="G2762">
        <v>0.692944295468229</v>
      </c>
      <c r="H2762">
        <v>0.24143127368380499</v>
      </c>
      <c r="I2762">
        <v>0.147383551607045</v>
      </c>
      <c r="J2762">
        <v>0.10519033465789</v>
      </c>
      <c r="K2762">
        <v>0.10029848792201899</v>
      </c>
      <c r="L2762">
        <v>1578.71153833588</v>
      </c>
      <c r="M2762">
        <v>27.204437717277901</v>
      </c>
      <c r="N2762">
        <v>58.403548004121703</v>
      </c>
      <c r="O2762">
        <v>57.7205470607202</v>
      </c>
      <c r="P2762">
        <v>-0.108452382261089</v>
      </c>
      <c r="Q2762">
        <v>7.9580983766557298E-2</v>
      </c>
      <c r="R2762">
        <v>0.98830461534470404</v>
      </c>
      <c r="S2762" t="s">
        <v>8588</v>
      </c>
      <c r="T2762" t="s">
        <v>11650</v>
      </c>
      <c r="U2762" t="s">
        <v>11650</v>
      </c>
      <c r="V2762" t="s">
        <v>11650</v>
      </c>
      <c r="W2762" t="s">
        <v>14367</v>
      </c>
      <c r="X2762">
        <v>22</v>
      </c>
      <c r="Y2762" t="s">
        <v>20074</v>
      </c>
      <c r="Z2762" t="s">
        <v>25824</v>
      </c>
      <c r="AA2762">
        <v>0.63986636960038468</v>
      </c>
      <c r="AB2762" t="str">
        <f>HYPERLINK("Melting_Curves/meltCurve_P62333_PSMC6.pdf", "Melting_Curves/meltCurve_P62333_PSMC6.pdf")</f>
        <v>Melting_Curves/meltCurve_P62333_PSMC6.pdf</v>
      </c>
    </row>
    <row r="2763" spans="1:28" x14ac:dyDescent="0.25">
      <c r="A2763" t="s">
        <v>2767</v>
      </c>
      <c r="B2763">
        <v>0.99996721820229495</v>
      </c>
      <c r="C2763">
        <v>1.1907603496430399</v>
      </c>
      <c r="D2763">
        <v>1.06181250736779</v>
      </c>
      <c r="E2763">
        <v>0.84982539348682495</v>
      </c>
      <c r="F2763">
        <v>0.60655324590667903</v>
      </c>
      <c r="G2763">
        <v>0.52493913683440296</v>
      </c>
      <c r="H2763">
        <v>0.34844440439419799</v>
      </c>
      <c r="I2763">
        <v>0.31452200464189101</v>
      </c>
      <c r="J2763">
        <v>0.21468261727820001</v>
      </c>
      <c r="K2763">
        <v>0.16769346309425201</v>
      </c>
      <c r="L2763">
        <v>849.35734364345296</v>
      </c>
      <c r="M2763">
        <v>15.4771714419325</v>
      </c>
      <c r="N2763">
        <v>56.578351517766002</v>
      </c>
      <c r="O2763">
        <v>53.986409890434999</v>
      </c>
      <c r="P2763">
        <v>-5.8348140287339201E-2</v>
      </c>
      <c r="Q2763">
        <v>0.18596884649687601</v>
      </c>
      <c r="R2763">
        <v>0.94684515630292998</v>
      </c>
      <c r="S2763" t="s">
        <v>8589</v>
      </c>
      <c r="T2763" t="s">
        <v>11650</v>
      </c>
      <c r="U2763" t="s">
        <v>11650</v>
      </c>
      <c r="V2763" t="s">
        <v>11650</v>
      </c>
      <c r="W2763" t="s">
        <v>14368</v>
      </c>
      <c r="X2763">
        <v>2</v>
      </c>
      <c r="Y2763" t="s">
        <v>20075</v>
      </c>
      <c r="Z2763" t="s">
        <v>25825</v>
      </c>
      <c r="AA2763">
        <v>0.60496589174372983</v>
      </c>
      <c r="AB2763" t="str">
        <f>HYPERLINK("Melting_Curves/meltCurve_P62380_TBPL1.pdf", "Melting_Curves/meltCurve_P62380_TBPL1.pdf")</f>
        <v>Melting_Curves/meltCurve_P62380_TBPL1.pdf</v>
      </c>
    </row>
    <row r="2764" spans="1:28" x14ac:dyDescent="0.25">
      <c r="A2764" t="s">
        <v>2768</v>
      </c>
      <c r="B2764">
        <v>0.99996721820229495</v>
      </c>
      <c r="C2764">
        <v>0.84197999139833302</v>
      </c>
      <c r="D2764">
        <v>0.86367294004584305</v>
      </c>
      <c r="E2764">
        <v>1.26926532291745</v>
      </c>
      <c r="F2764">
        <v>1.5554462579482999</v>
      </c>
      <c r="G2764">
        <v>1.30903682880088</v>
      </c>
      <c r="H2764">
        <v>0.77837116149156804</v>
      </c>
      <c r="I2764">
        <v>0.56682275576163399</v>
      </c>
      <c r="J2764">
        <v>0.36120600300050199</v>
      </c>
      <c r="K2764">
        <v>0.29514861576342</v>
      </c>
      <c r="L2764">
        <v>2584.3726257038602</v>
      </c>
      <c r="M2764">
        <v>41.074827537213601</v>
      </c>
      <c r="N2764">
        <v>64.368222848531204</v>
      </c>
      <c r="O2764">
        <v>62.770047218145301</v>
      </c>
      <c r="P2764">
        <v>-0.11423097316345</v>
      </c>
      <c r="Q2764">
        <v>0.30173564353750598</v>
      </c>
      <c r="R2764">
        <v>0.65104630799811702</v>
      </c>
      <c r="S2764" t="s">
        <v>8590</v>
      </c>
      <c r="T2764" t="s">
        <v>11650</v>
      </c>
      <c r="U2764" t="s">
        <v>11650</v>
      </c>
      <c r="V2764" t="s">
        <v>11650</v>
      </c>
      <c r="W2764" t="s">
        <v>14369</v>
      </c>
      <c r="X2764">
        <v>11</v>
      </c>
      <c r="Y2764" t="s">
        <v>20076</v>
      </c>
      <c r="Z2764" t="s">
        <v>25826</v>
      </c>
      <c r="AA2764">
        <v>0.83733016510674541</v>
      </c>
      <c r="AB2764" t="str">
        <f>HYPERLINK("Melting_Curves/meltCurve_P62424_RPL7A.pdf", "Melting_Curves/meltCurve_P62424_RPL7A.pdf")</f>
        <v>Melting_Curves/meltCurve_P62424_RPL7A.pdf</v>
      </c>
    </row>
    <row r="2765" spans="1:28" x14ac:dyDescent="0.25">
      <c r="A2765" t="s">
        <v>2769</v>
      </c>
      <c r="B2765">
        <v>0.99996721820229495</v>
      </c>
      <c r="C2765">
        <v>1.02535746061894</v>
      </c>
      <c r="D2765">
        <v>0.99604936187966997</v>
      </c>
      <c r="E2765">
        <v>1.0157849474963001</v>
      </c>
      <c r="F2765">
        <v>1.29321351983737</v>
      </c>
      <c r="G2765">
        <v>1.1776021311864899</v>
      </c>
      <c r="H2765">
        <v>0.80814365207707906</v>
      </c>
      <c r="I2765">
        <v>0.45972866996801998</v>
      </c>
      <c r="J2765">
        <v>0.13179200428381499</v>
      </c>
      <c r="K2765">
        <v>8.1682800785359097E-2</v>
      </c>
      <c r="L2765">
        <v>2653.8790763315801</v>
      </c>
      <c r="M2765">
        <v>41.850470417039801</v>
      </c>
      <c r="N2765">
        <v>63.596666118393898</v>
      </c>
      <c r="O2765">
        <v>63.269088123110798</v>
      </c>
      <c r="P2765">
        <v>-0.155971645813544</v>
      </c>
      <c r="Q2765">
        <v>5.6816648697980802E-2</v>
      </c>
      <c r="R2765">
        <v>0.92438048410441997</v>
      </c>
      <c r="S2765" t="s">
        <v>8591</v>
      </c>
      <c r="T2765" t="s">
        <v>11650</v>
      </c>
      <c r="U2765" t="s">
        <v>11650</v>
      </c>
      <c r="V2765" t="s">
        <v>11650</v>
      </c>
      <c r="W2765" t="s">
        <v>14370</v>
      </c>
      <c r="X2765">
        <v>4</v>
      </c>
      <c r="Y2765" t="s">
        <v>20077</v>
      </c>
      <c r="Z2765" t="s">
        <v>25827</v>
      </c>
      <c r="AA2765">
        <v>0.79550962924535829</v>
      </c>
      <c r="AB2765" t="str">
        <f>HYPERLINK("Melting_Curves/meltCurve_P62487_POLR2G.pdf", "Melting_Curves/meltCurve_P62487_POLR2G.pdf")</f>
        <v>Melting_Curves/meltCurve_P62487_POLR2G.pdf</v>
      </c>
    </row>
    <row r="2766" spans="1:28" x14ac:dyDescent="0.25">
      <c r="A2766" t="s">
        <v>2770</v>
      </c>
      <c r="B2766">
        <v>0.99996721820229495</v>
      </c>
      <c r="C2766">
        <v>1.10312787875338</v>
      </c>
      <c r="D2766">
        <v>1.12228828525061</v>
      </c>
      <c r="E2766">
        <v>1.1140245076231501</v>
      </c>
      <c r="F2766">
        <v>0.42787845215526599</v>
      </c>
      <c r="G2766">
        <v>0.341997774831168</v>
      </c>
      <c r="H2766">
        <v>0.171435200954208</v>
      </c>
      <c r="I2766">
        <v>0.106000936685562</v>
      </c>
      <c r="J2766">
        <v>7.5496979746184897E-2</v>
      </c>
      <c r="K2766">
        <v>5.8760399146891101E-2</v>
      </c>
      <c r="L2766">
        <v>13211.5842305395</v>
      </c>
      <c r="M2766">
        <v>250</v>
      </c>
      <c r="N2766">
        <v>52.922276734289703</v>
      </c>
      <c r="O2766">
        <v>52.842962515897902</v>
      </c>
      <c r="P2766">
        <v>-1.00446428813933</v>
      </c>
      <c r="Q2766">
        <v>0.15073822017771199</v>
      </c>
      <c r="R2766">
        <v>0.95457270126281901</v>
      </c>
      <c r="S2766" t="s">
        <v>8592</v>
      </c>
      <c r="T2766" t="s">
        <v>11650</v>
      </c>
      <c r="U2766" t="s">
        <v>11650</v>
      </c>
      <c r="V2766" t="s">
        <v>11650</v>
      </c>
      <c r="W2766" t="s">
        <v>14371</v>
      </c>
      <c r="X2766">
        <v>15</v>
      </c>
      <c r="Y2766" t="s">
        <v>20078</v>
      </c>
      <c r="Z2766" t="s">
        <v>25828</v>
      </c>
      <c r="AA2766">
        <v>0.51448041649281084</v>
      </c>
      <c r="AB2766" t="str">
        <f>HYPERLINK("Melting_Curves/meltCurve_P62495_ETF1.pdf", "Melting_Curves/meltCurve_P62495_ETF1.pdf")</f>
        <v>Melting_Curves/meltCurve_P62495_ETF1.pdf</v>
      </c>
    </row>
    <row r="2767" spans="1:28" x14ac:dyDescent="0.25">
      <c r="A2767" t="s">
        <v>2771</v>
      </c>
      <c r="B2767">
        <v>0.99996721820229495</v>
      </c>
      <c r="C2767">
        <v>1.1443377143204101</v>
      </c>
      <c r="D2767">
        <v>1.04976986269335</v>
      </c>
      <c r="E2767">
        <v>1.178361966427</v>
      </c>
      <c r="F2767">
        <v>1.6654475027803901</v>
      </c>
      <c r="G2767">
        <v>2.0803826966410002</v>
      </c>
      <c r="H2767">
        <v>1.71174129548551</v>
      </c>
      <c r="I2767">
        <v>1.5165622931828</v>
      </c>
      <c r="J2767">
        <v>1.2946559871046699</v>
      </c>
      <c r="K2767">
        <v>0.97222747300393697</v>
      </c>
      <c r="L2767">
        <v>12529.4802198123</v>
      </c>
      <c r="M2767">
        <v>250</v>
      </c>
      <c r="O2767">
        <v>50.114713343238897</v>
      </c>
      <c r="P2767">
        <v>0.62356936219704395</v>
      </c>
      <c r="Q2767">
        <v>1.5</v>
      </c>
      <c r="R2767">
        <v>0.38274152117436799</v>
      </c>
      <c r="S2767" t="s">
        <v>8593</v>
      </c>
      <c r="T2767" t="s">
        <v>11650</v>
      </c>
      <c r="U2767" t="s">
        <v>11650</v>
      </c>
      <c r="V2767" t="s">
        <v>11650</v>
      </c>
      <c r="W2767" t="s">
        <v>14372</v>
      </c>
      <c r="X2767">
        <v>14</v>
      </c>
      <c r="Y2767" t="s">
        <v>20079</v>
      </c>
      <c r="Z2767" t="s">
        <v>25829</v>
      </c>
      <c r="AA2767">
        <v>1.331324007260279</v>
      </c>
      <c r="AB2767" t="str">
        <f>HYPERLINK("Melting_Curves/meltCurve_P62633_4_CNBP.pdf", "Melting_Curves/meltCurve_P62633_4_CNBP.pdf")</f>
        <v>Melting_Curves/meltCurve_P62633_4_CNBP.pdf</v>
      </c>
    </row>
    <row r="2768" spans="1:28" x14ac:dyDescent="0.25">
      <c r="A2768" t="s">
        <v>2772</v>
      </c>
      <c r="B2768">
        <v>0.99996721820229495</v>
      </c>
      <c r="C2768">
        <v>0.99720414417378</v>
      </c>
      <c r="D2768">
        <v>1.00831842909442</v>
      </c>
      <c r="E2768">
        <v>1.0576949355880101</v>
      </c>
      <c r="F2768">
        <v>1.0798008553609</v>
      </c>
      <c r="G2768">
        <v>1.0576405778462801</v>
      </c>
      <c r="H2768">
        <v>0.61313036225637496</v>
      </c>
      <c r="I2768">
        <v>0.31842467218545401</v>
      </c>
      <c r="J2768">
        <v>0.189791540758983</v>
      </c>
      <c r="K2768">
        <v>9.2598201057424501E-2</v>
      </c>
      <c r="L2768">
        <v>2436.4979826510898</v>
      </c>
      <c r="M2768">
        <v>39.540522210419397</v>
      </c>
      <c r="N2768">
        <v>62.075494902538303</v>
      </c>
      <c r="O2768">
        <v>61.463292492502703</v>
      </c>
      <c r="P2768">
        <v>-0.140589079143736</v>
      </c>
      <c r="Q2768">
        <v>0.125853793380406</v>
      </c>
      <c r="R2768">
        <v>0.98393685836730305</v>
      </c>
      <c r="S2768" t="s">
        <v>8594</v>
      </c>
      <c r="T2768" t="s">
        <v>11650</v>
      </c>
      <c r="U2768" t="s">
        <v>11650</v>
      </c>
      <c r="V2768" t="s">
        <v>11650</v>
      </c>
      <c r="W2768" t="s">
        <v>14373</v>
      </c>
      <c r="X2768">
        <v>8</v>
      </c>
      <c r="Y2768" t="s">
        <v>20080</v>
      </c>
      <c r="Z2768" t="s">
        <v>25830</v>
      </c>
      <c r="AA2768">
        <v>0.75909651695113711</v>
      </c>
      <c r="AB2768" t="str">
        <f>HYPERLINK("Melting_Curves/meltCurve_P62701_RPS4X.pdf", "Melting_Curves/meltCurve_P62701_RPS4X.pdf")</f>
        <v>Melting_Curves/meltCurve_P62701_RPS4X.pdf</v>
      </c>
    </row>
    <row r="2769" spans="1:28" x14ac:dyDescent="0.25">
      <c r="A2769" t="s">
        <v>2773</v>
      </c>
      <c r="B2769">
        <v>0.99996721820229495</v>
      </c>
      <c r="C2769">
        <v>0.763777537046609</v>
      </c>
      <c r="D2769">
        <v>0.85890333501125804</v>
      </c>
      <c r="E2769">
        <v>1.36828173225395</v>
      </c>
      <c r="F2769">
        <v>1.34901310411825</v>
      </c>
      <c r="G2769">
        <v>0.78371713806580401</v>
      </c>
      <c r="H2769">
        <v>0.432654131436634</v>
      </c>
      <c r="I2769">
        <v>0.17931817989294799</v>
      </c>
      <c r="J2769">
        <v>0.108261114036936</v>
      </c>
      <c r="K2769">
        <v>9.34482402476524E-2</v>
      </c>
      <c r="L2769">
        <v>2061.0376834992599</v>
      </c>
      <c r="M2769">
        <v>34.420968860223098</v>
      </c>
      <c r="N2769">
        <v>60.228563640598303</v>
      </c>
      <c r="O2769">
        <v>59.676366267361203</v>
      </c>
      <c r="P2769">
        <v>-0.131088403795731</v>
      </c>
      <c r="Q2769">
        <v>9.0920406811109106E-2</v>
      </c>
      <c r="R2769">
        <v>0.83041426456442202</v>
      </c>
      <c r="S2769" t="s">
        <v>8595</v>
      </c>
      <c r="T2769" t="s">
        <v>11650</v>
      </c>
      <c r="U2769" t="s">
        <v>11650</v>
      </c>
      <c r="V2769" t="s">
        <v>11650</v>
      </c>
      <c r="W2769" t="s">
        <v>14374</v>
      </c>
      <c r="X2769">
        <v>17</v>
      </c>
      <c r="Y2769" t="s">
        <v>20081</v>
      </c>
      <c r="Z2769" t="s">
        <v>25831</v>
      </c>
      <c r="AA2769">
        <v>0.69782417861004964</v>
      </c>
      <c r="AB2769" t="str">
        <f>HYPERLINK("Melting_Curves/meltCurve_P62714_PPP2CB.pdf", "Melting_Curves/meltCurve_P62714_PPP2CB.pdf")</f>
        <v>Melting_Curves/meltCurve_P62714_PPP2CB.pdf</v>
      </c>
    </row>
    <row r="2770" spans="1:28" x14ac:dyDescent="0.25">
      <c r="A2770" t="s">
        <v>2774</v>
      </c>
      <c r="B2770">
        <v>0.99996721820229495</v>
      </c>
      <c r="C2770">
        <v>0.97587552805109901</v>
      </c>
      <c r="D2770">
        <v>0.95689580100902705</v>
      </c>
      <c r="E2770">
        <v>0.90852593561934902</v>
      </c>
      <c r="F2770">
        <v>0.92447704320588098</v>
      </c>
      <c r="G2770">
        <v>0.74722302276918096</v>
      </c>
      <c r="H2770">
        <v>0.47794309620853398</v>
      </c>
      <c r="I2770">
        <v>0.31419099826617602</v>
      </c>
      <c r="J2770">
        <v>0.22506579772417701</v>
      </c>
      <c r="K2770">
        <v>0.16004991438296701</v>
      </c>
      <c r="L2770">
        <v>959.56990730873804</v>
      </c>
      <c r="M2770">
        <v>15.934892532968499</v>
      </c>
      <c r="N2770">
        <v>60.745314052616202</v>
      </c>
      <c r="O2770">
        <v>59.293726992576403</v>
      </c>
      <c r="P2770">
        <v>-6.2852752181668595E-2</v>
      </c>
      <c r="Q2770">
        <v>6.4574384466122001E-2</v>
      </c>
      <c r="R2770">
        <v>0.99415995251453604</v>
      </c>
      <c r="S2770" t="s">
        <v>8596</v>
      </c>
      <c r="T2770" t="s">
        <v>11650</v>
      </c>
      <c r="U2770" t="s">
        <v>11650</v>
      </c>
      <c r="V2770" t="s">
        <v>11650</v>
      </c>
      <c r="W2770" t="s">
        <v>14375</v>
      </c>
      <c r="X2770">
        <v>35</v>
      </c>
      <c r="Y2770" t="s">
        <v>20082</v>
      </c>
      <c r="Z2770" t="s">
        <v>25832</v>
      </c>
      <c r="AA2770">
        <v>0.70131093566809721</v>
      </c>
      <c r="AB2770" t="str">
        <f>HYPERLINK("Melting_Curves/meltCurve_P62736_ACTA2.pdf", "Melting_Curves/meltCurve_P62736_ACTA2.pdf")</f>
        <v>Melting_Curves/meltCurve_P62736_ACTA2.pdf</v>
      </c>
    </row>
    <row r="2771" spans="1:28" x14ac:dyDescent="0.25">
      <c r="A2771" t="s">
        <v>2775</v>
      </c>
      <c r="B2771">
        <v>0.99996721820229495</v>
      </c>
      <c r="C2771">
        <v>0.81147031975865302</v>
      </c>
      <c r="D2771">
        <v>0.87117664097914604</v>
      </c>
      <c r="E2771">
        <v>0.97913447670657106</v>
      </c>
      <c r="F2771">
        <v>1.1042409667989299</v>
      </c>
      <c r="G2771">
        <v>1.0796720757754601</v>
      </c>
      <c r="H2771">
        <v>0.75056508311130798</v>
      </c>
      <c r="I2771">
        <v>0.40677498733474099</v>
      </c>
      <c r="J2771">
        <v>0.19619879373815499</v>
      </c>
      <c r="K2771">
        <v>0.127495283084049</v>
      </c>
      <c r="L2771">
        <v>2446.3870468339401</v>
      </c>
      <c r="M2771">
        <v>39.030895722027502</v>
      </c>
      <c r="N2771">
        <v>63.138038157068998</v>
      </c>
      <c r="O2771">
        <v>62.514364089762402</v>
      </c>
      <c r="P2771">
        <v>-0.13677815848199501</v>
      </c>
      <c r="Q2771">
        <v>0.123711642799631</v>
      </c>
      <c r="R2771">
        <v>0.93705929549518197</v>
      </c>
      <c r="S2771" t="s">
        <v>8597</v>
      </c>
      <c r="T2771" t="s">
        <v>11650</v>
      </c>
      <c r="U2771" t="s">
        <v>11650</v>
      </c>
      <c r="V2771" t="s">
        <v>11650</v>
      </c>
      <c r="W2771" t="s">
        <v>14376</v>
      </c>
      <c r="X2771">
        <v>7</v>
      </c>
      <c r="Y2771" t="s">
        <v>20083</v>
      </c>
      <c r="Z2771" t="s">
        <v>25833</v>
      </c>
      <c r="AA2771">
        <v>0.78908376707379069</v>
      </c>
      <c r="AB2771" t="str">
        <f>HYPERLINK("Melting_Curves/meltCurve_P62745_RHOB.pdf", "Melting_Curves/meltCurve_P62745_RHOB.pdf")</f>
        <v>Melting_Curves/meltCurve_P62745_RHOB.pdf</v>
      </c>
    </row>
    <row r="2772" spans="1:28" x14ac:dyDescent="0.25">
      <c r="A2772" t="s">
        <v>2776</v>
      </c>
      <c r="B2772">
        <v>0.99996721820229495</v>
      </c>
      <c r="C2772">
        <v>0.98748479841491599</v>
      </c>
      <c r="D2772">
        <v>1.0210864267125299</v>
      </c>
      <c r="E2772">
        <v>1.30071552087984</v>
      </c>
      <c r="F2772">
        <v>1.2496995094393899</v>
      </c>
      <c r="G2772">
        <v>0.97989079163725601</v>
      </c>
      <c r="H2772">
        <v>0.79760214545442798</v>
      </c>
      <c r="I2772">
        <v>0.71872726183435898</v>
      </c>
      <c r="J2772">
        <v>0.45892907528279298</v>
      </c>
      <c r="K2772">
        <v>0.44018402910474602</v>
      </c>
      <c r="L2772">
        <v>1751.6606080361801</v>
      </c>
      <c r="M2772">
        <v>27.548659596841102</v>
      </c>
      <c r="N2772">
        <v>67.028358179177701</v>
      </c>
      <c r="O2772">
        <v>63.252028960339899</v>
      </c>
      <c r="P2772">
        <v>-6.7661262195754496E-2</v>
      </c>
      <c r="Q2772">
        <v>0.37860163869473301</v>
      </c>
      <c r="R2772">
        <v>0.78826333735022602</v>
      </c>
      <c r="S2772" t="s">
        <v>8598</v>
      </c>
      <c r="T2772" t="s">
        <v>11650</v>
      </c>
      <c r="U2772" t="s">
        <v>11650</v>
      </c>
      <c r="V2772" t="s">
        <v>11650</v>
      </c>
      <c r="W2772" t="s">
        <v>14377</v>
      </c>
      <c r="X2772">
        <v>5</v>
      </c>
      <c r="Y2772" t="s">
        <v>20084</v>
      </c>
      <c r="Z2772" t="s">
        <v>25834</v>
      </c>
      <c r="AA2772">
        <v>0.86804710670027396</v>
      </c>
      <c r="AB2772" t="str">
        <f>HYPERLINK("Melting_Curves/meltCurve_P62750_RPL23A.pdf", "Melting_Curves/meltCurve_P62750_RPL23A.pdf")</f>
        <v>Melting_Curves/meltCurve_P62750_RPL23A.pdf</v>
      </c>
    </row>
    <row r="2773" spans="1:28" x14ac:dyDescent="0.25">
      <c r="A2773" t="s">
        <v>2777</v>
      </c>
      <c r="B2773">
        <v>0.99996721820229495</v>
      </c>
      <c r="C2773">
        <v>0.93494521118433505</v>
      </c>
      <c r="D2773">
        <v>0.89697413706171103</v>
      </c>
      <c r="E2773">
        <v>1.0220114526902599</v>
      </c>
      <c r="F2773">
        <v>0.92176042840637096</v>
      </c>
      <c r="G2773">
        <v>0.79975939416512898</v>
      </c>
      <c r="H2773">
        <v>0.54025868232621299</v>
      </c>
      <c r="I2773">
        <v>0.48214275014749403</v>
      </c>
      <c r="J2773">
        <v>0.41977578027798002</v>
      </c>
      <c r="K2773">
        <v>0.286445610634465</v>
      </c>
      <c r="L2773">
        <v>951.72140858272201</v>
      </c>
      <c r="M2773">
        <v>15.7923594201756</v>
      </c>
      <c r="N2773">
        <v>62.979520989063197</v>
      </c>
      <c r="O2773">
        <v>59.323185368992398</v>
      </c>
      <c r="P2773">
        <v>-5.0125719771656398E-2</v>
      </c>
      <c r="Q2773">
        <v>0.24688347537298999</v>
      </c>
      <c r="R2773">
        <v>0.96609152276237598</v>
      </c>
      <c r="S2773" t="s">
        <v>8599</v>
      </c>
      <c r="T2773" t="s">
        <v>11650</v>
      </c>
      <c r="U2773" t="s">
        <v>11650</v>
      </c>
      <c r="V2773" t="s">
        <v>11650</v>
      </c>
      <c r="W2773" t="s">
        <v>14378</v>
      </c>
      <c r="X2773">
        <v>10</v>
      </c>
      <c r="Y2773" t="s">
        <v>20085</v>
      </c>
      <c r="Z2773" t="s">
        <v>25835</v>
      </c>
      <c r="AA2773">
        <v>0.76048424361029776</v>
      </c>
      <c r="AB2773" t="str">
        <f>HYPERLINK("Melting_Curves/meltCurve_P62753_RPS6.pdf", "Melting_Curves/meltCurve_P62753_RPS6.pdf")</f>
        <v>Melting_Curves/meltCurve_P62753_RPS6.pdf</v>
      </c>
    </row>
    <row r="2774" spans="1:28" x14ac:dyDescent="0.25">
      <c r="A2774" t="s">
        <v>2778</v>
      </c>
      <c r="B2774">
        <v>0.99996721820229495</v>
      </c>
      <c r="C2774">
        <v>0.85734651632224002</v>
      </c>
      <c r="D2774">
        <v>0.91041292768510196</v>
      </c>
      <c r="E2774">
        <v>0.94176234646475399</v>
      </c>
      <c r="F2774">
        <v>1.3245193576400001</v>
      </c>
      <c r="G2774">
        <v>1.4455742324973799</v>
      </c>
      <c r="H2774">
        <v>1.3332990918338701</v>
      </c>
      <c r="I2774">
        <v>1.0537847861483201</v>
      </c>
      <c r="J2774">
        <v>0.29712759775151598</v>
      </c>
      <c r="K2774">
        <v>0.38964185723759598</v>
      </c>
      <c r="L2774">
        <v>14181.9088346709</v>
      </c>
      <c r="M2774">
        <v>216.54389599376401</v>
      </c>
      <c r="N2774">
        <v>65.840922665951098</v>
      </c>
      <c r="O2774">
        <v>65.486497172429395</v>
      </c>
      <c r="P2774">
        <v>-0.54456513336955703</v>
      </c>
      <c r="Q2774">
        <v>0.341257664083225</v>
      </c>
      <c r="R2774">
        <v>0.64911730851960703</v>
      </c>
      <c r="S2774" t="s">
        <v>8600</v>
      </c>
      <c r="T2774" t="s">
        <v>11650</v>
      </c>
      <c r="U2774" t="s">
        <v>11650</v>
      </c>
      <c r="V2774" t="s">
        <v>11650</v>
      </c>
      <c r="W2774" t="s">
        <v>14379</v>
      </c>
      <c r="X2774">
        <v>5</v>
      </c>
      <c r="Y2774" t="s">
        <v>20086</v>
      </c>
      <c r="Z2774" t="s">
        <v>25836</v>
      </c>
      <c r="AA2774">
        <v>0.90111552527461691</v>
      </c>
      <c r="AB2774" t="str">
        <f>HYPERLINK("Melting_Curves/meltCurve_P62805_HIST1H4A.pdf", "Melting_Curves/meltCurve_P62805_HIST1H4A.pdf")</f>
        <v>Melting_Curves/meltCurve_P62805_HIST1H4A.pdf</v>
      </c>
    </row>
    <row r="2775" spans="1:28" x14ac:dyDescent="0.25">
      <c r="A2775" t="s">
        <v>2779</v>
      </c>
      <c r="B2775">
        <v>0.99996721820229495</v>
      </c>
      <c r="C2775">
        <v>0.78089082056734704</v>
      </c>
      <c r="D2775">
        <v>0.83922515224018801</v>
      </c>
      <c r="E2775">
        <v>0.99825325220216399</v>
      </c>
      <c r="F2775">
        <v>1.23814237496749</v>
      </c>
      <c r="G2775">
        <v>1.0857917551523699</v>
      </c>
      <c r="H2775">
        <v>0.85965925460652803</v>
      </c>
      <c r="I2775">
        <v>0.68581106982323903</v>
      </c>
      <c r="J2775">
        <v>0.40343340610233702</v>
      </c>
      <c r="K2775">
        <v>0.20495203979635301</v>
      </c>
      <c r="L2775">
        <v>1884.0370699346599</v>
      </c>
      <c r="M2775">
        <v>28.817482616955001</v>
      </c>
      <c r="N2775">
        <v>65.845808140247399</v>
      </c>
      <c r="O2775">
        <v>65.065864631092396</v>
      </c>
      <c r="P2775">
        <v>-0.100480667286148</v>
      </c>
      <c r="Q2775">
        <v>9.2521482728739099E-2</v>
      </c>
      <c r="R2775">
        <v>0.83847423817394895</v>
      </c>
      <c r="S2775" t="s">
        <v>8601</v>
      </c>
      <c r="T2775" t="s">
        <v>11650</v>
      </c>
      <c r="U2775" t="s">
        <v>11650</v>
      </c>
      <c r="V2775" t="s">
        <v>11650</v>
      </c>
      <c r="W2775" t="s">
        <v>14380</v>
      </c>
      <c r="X2775">
        <v>24</v>
      </c>
      <c r="Y2775" t="s">
        <v>20087</v>
      </c>
      <c r="Z2775" t="s">
        <v>25837</v>
      </c>
      <c r="AA2775">
        <v>0.85627268391100897</v>
      </c>
      <c r="AB2775" t="str">
        <f>HYPERLINK("Melting_Curves/meltCurve_P62820_RAB1A.pdf", "Melting_Curves/meltCurve_P62820_RAB1A.pdf")</f>
        <v>Melting_Curves/meltCurve_P62820_RAB1A.pdf</v>
      </c>
    </row>
    <row r="2776" spans="1:28" x14ac:dyDescent="0.25">
      <c r="A2776" t="s">
        <v>2780</v>
      </c>
      <c r="B2776">
        <v>0.99996721820229495</v>
      </c>
      <c r="C2776">
        <v>1.0099112561635399</v>
      </c>
      <c r="D2776">
        <v>0.928157306056001</v>
      </c>
      <c r="E2776">
        <v>0.87406762036108698</v>
      </c>
      <c r="F2776">
        <v>0.59534275368482903</v>
      </c>
      <c r="G2776">
        <v>0.39655929584328597</v>
      </c>
      <c r="H2776">
        <v>0.214533568804959</v>
      </c>
      <c r="I2776">
        <v>0.15683113941661</v>
      </c>
      <c r="J2776">
        <v>0.142446196302428</v>
      </c>
      <c r="K2776">
        <v>9.1335139058610904E-2</v>
      </c>
      <c r="L2776">
        <v>902.46118666930499</v>
      </c>
      <c r="M2776">
        <v>16.601852040073101</v>
      </c>
      <c r="N2776">
        <v>54.999627075588002</v>
      </c>
      <c r="O2776">
        <v>53.588736792433501</v>
      </c>
      <c r="P2776">
        <v>-7.0646935616296702E-2</v>
      </c>
      <c r="Q2776">
        <v>8.7903376794068094E-2</v>
      </c>
      <c r="R2776">
        <v>0.99509345708957198</v>
      </c>
      <c r="S2776" t="s">
        <v>8602</v>
      </c>
      <c r="T2776" t="s">
        <v>11650</v>
      </c>
      <c r="U2776" t="s">
        <v>11650</v>
      </c>
      <c r="V2776" t="s">
        <v>11650</v>
      </c>
      <c r="W2776" t="s">
        <v>14381</v>
      </c>
      <c r="X2776">
        <v>7</v>
      </c>
      <c r="Y2776" t="s">
        <v>20088</v>
      </c>
      <c r="Z2776" t="s">
        <v>25838</v>
      </c>
      <c r="AA2776">
        <v>0.54061231503613916</v>
      </c>
      <c r="AB2776" t="str">
        <f>HYPERLINK("Melting_Curves/meltCurve_P62829_RPL23.pdf", "Melting_Curves/meltCurve_P62829_RPL23.pdf")</f>
        <v>Melting_Curves/meltCurve_P62829_RPL23.pdf</v>
      </c>
    </row>
    <row r="2777" spans="1:28" x14ac:dyDescent="0.25">
      <c r="A2777" t="s">
        <v>2781</v>
      </c>
      <c r="B2777">
        <v>0.99996721820229495</v>
      </c>
      <c r="C2777">
        <v>0.80986407783136205</v>
      </c>
      <c r="D2777">
        <v>0.975668868338606</v>
      </c>
      <c r="E2777">
        <v>0.96016565863747705</v>
      </c>
      <c r="F2777">
        <v>1.2745689136952301</v>
      </c>
      <c r="G2777">
        <v>1.19417444064237</v>
      </c>
      <c r="H2777">
        <v>0.84082318594615002</v>
      </c>
      <c r="I2777">
        <v>0.49864036475150297</v>
      </c>
      <c r="J2777">
        <v>0.266232542330612</v>
      </c>
      <c r="K2777">
        <v>0.16403422358743799</v>
      </c>
      <c r="L2777">
        <v>2694.8157526431501</v>
      </c>
      <c r="M2777">
        <v>42.5259451492729</v>
      </c>
      <c r="N2777">
        <v>63.986086156546797</v>
      </c>
      <c r="O2777">
        <v>63.229098015654003</v>
      </c>
      <c r="P2777">
        <v>-0.139848890582361</v>
      </c>
      <c r="Q2777">
        <v>0.168271996298649</v>
      </c>
      <c r="R2777">
        <v>0.876211050216258</v>
      </c>
      <c r="S2777" t="s">
        <v>8603</v>
      </c>
      <c r="T2777" t="s">
        <v>11650</v>
      </c>
      <c r="U2777" t="s">
        <v>11650</v>
      </c>
      <c r="V2777" t="s">
        <v>11650</v>
      </c>
      <c r="W2777" t="s">
        <v>14382</v>
      </c>
      <c r="X2777">
        <v>13</v>
      </c>
      <c r="Y2777" t="s">
        <v>20089</v>
      </c>
      <c r="Z2777" t="s">
        <v>25839</v>
      </c>
      <c r="AA2777">
        <v>0.81843427053000739</v>
      </c>
      <c r="AB2777" t="str">
        <f>HYPERLINK("Melting_Curves/meltCurve_P62834_RAP1A.pdf", "Melting_Curves/meltCurve_P62834_RAP1A.pdf")</f>
        <v>Melting_Curves/meltCurve_P62834_RAP1A.pdf</v>
      </c>
    </row>
    <row r="2778" spans="1:28" x14ac:dyDescent="0.25">
      <c r="A2778" t="s">
        <v>2782</v>
      </c>
      <c r="B2778">
        <v>0.99996721820229495</v>
      </c>
      <c r="C2778">
        <v>0.97422103693323903</v>
      </c>
      <c r="D2778">
        <v>0.98146356246176403</v>
      </c>
      <c r="E2778">
        <v>1.0586615062024001</v>
      </c>
      <c r="F2778">
        <v>1.08135761128092</v>
      </c>
      <c r="G2778">
        <v>0.74749071854244498</v>
      </c>
      <c r="H2778">
        <v>0.52610439539081</v>
      </c>
      <c r="I2778">
        <v>0.50200116346489998</v>
      </c>
      <c r="J2778">
        <v>0.36732779643852198</v>
      </c>
      <c r="K2778">
        <v>0.40735869478239201</v>
      </c>
      <c r="L2778">
        <v>2013.51263593014</v>
      </c>
      <c r="M2778">
        <v>34.799876695180302</v>
      </c>
      <c r="N2778">
        <v>61.072397173927698</v>
      </c>
      <c r="O2778">
        <v>57.669704976805903</v>
      </c>
      <c r="P2778">
        <v>-8.7522208591035794E-2</v>
      </c>
      <c r="Q2778">
        <v>0.41984147391816201</v>
      </c>
      <c r="R2778">
        <v>0.96657419440992698</v>
      </c>
      <c r="S2778" t="s">
        <v>8604</v>
      </c>
      <c r="T2778" t="s">
        <v>11650</v>
      </c>
      <c r="U2778" t="s">
        <v>11650</v>
      </c>
      <c r="V2778" t="s">
        <v>11650</v>
      </c>
      <c r="W2778" t="s">
        <v>14383</v>
      </c>
      <c r="X2778">
        <v>6</v>
      </c>
      <c r="Y2778" t="s">
        <v>20090</v>
      </c>
      <c r="Z2778" t="s">
        <v>25840</v>
      </c>
      <c r="AA2778">
        <v>0.76817865400229002</v>
      </c>
      <c r="AB2778" t="str">
        <f>HYPERLINK("Melting_Curves/meltCurve_P62851_RPS25.pdf", "Melting_Curves/meltCurve_P62851_RPS25.pdf")</f>
        <v>Melting_Curves/meltCurve_P62851_RPS25.pdf</v>
      </c>
    </row>
    <row r="2779" spans="1:28" x14ac:dyDescent="0.25">
      <c r="A2779" t="s">
        <v>2783</v>
      </c>
      <c r="B2779">
        <v>0.99996721820229495</v>
      </c>
      <c r="C2779">
        <v>1.1388828456414699</v>
      </c>
      <c r="D2779">
        <v>1.1945231866630099</v>
      </c>
      <c r="E2779">
        <v>1.2450999361062201</v>
      </c>
      <c r="F2779">
        <v>1.6186204784438001</v>
      </c>
      <c r="G2779">
        <v>1.73386248833138</v>
      </c>
      <c r="H2779">
        <v>1.2200182615947399</v>
      </c>
      <c r="I2779">
        <v>1.13059414588519</v>
      </c>
      <c r="J2779">
        <v>1.13626844608431</v>
      </c>
      <c r="K2779">
        <v>0.73064555783176199</v>
      </c>
      <c r="L2779">
        <v>15000</v>
      </c>
      <c r="M2779">
        <v>213.28772564884699</v>
      </c>
      <c r="Q2779">
        <v>0</v>
      </c>
      <c r="R2779">
        <v>-0.53045426321775502</v>
      </c>
      <c r="S2779" t="s">
        <v>8605</v>
      </c>
      <c r="T2779" t="s">
        <v>11650</v>
      </c>
      <c r="U2779" t="s">
        <v>11650</v>
      </c>
      <c r="V2779" t="s">
        <v>11650</v>
      </c>
      <c r="W2779" t="s">
        <v>14384</v>
      </c>
      <c r="X2779">
        <v>9</v>
      </c>
      <c r="Y2779" t="s">
        <v>20091</v>
      </c>
      <c r="Z2779" t="s">
        <v>25841</v>
      </c>
      <c r="AA2779">
        <v>0.99661702125240503</v>
      </c>
      <c r="AB2779" t="str">
        <f>HYPERLINK("Melting_Curves/meltCurve_P62857_RPS28.pdf", "Melting_Curves/meltCurve_P62857_RPS28.pdf")</f>
        <v>Melting_Curves/meltCurve_P62857_RPS28.pdf</v>
      </c>
    </row>
    <row r="2780" spans="1:28" x14ac:dyDescent="0.25">
      <c r="A2780" t="s">
        <v>2784</v>
      </c>
      <c r="B2780">
        <v>0.99996721820229495</v>
      </c>
      <c r="C2780">
        <v>0.80469701227760304</v>
      </c>
      <c r="D2780">
        <v>1.1627786329394201</v>
      </c>
      <c r="E2780">
        <v>1.3688947044948001</v>
      </c>
      <c r="F2780">
        <v>1.71026038141385</v>
      </c>
      <c r="G2780">
        <v>1.04306741397748</v>
      </c>
      <c r="H2780">
        <v>0.25176637590821399</v>
      </c>
      <c r="I2780">
        <v>0.11300421079558499</v>
      </c>
      <c r="J2780">
        <v>6.5031182461113807E-2</v>
      </c>
      <c r="K2780">
        <v>5.3092069129568299E-2</v>
      </c>
      <c r="L2780">
        <v>9140.7010670234195</v>
      </c>
      <c r="M2780">
        <v>151.301007797891</v>
      </c>
      <c r="N2780">
        <v>60.480822162738498</v>
      </c>
      <c r="O2780">
        <v>60.403459833105998</v>
      </c>
      <c r="P2780">
        <v>-0.57801943167038905</v>
      </c>
      <c r="Q2780">
        <v>7.6955965677049598E-2</v>
      </c>
      <c r="R2780">
        <v>0.78083246693130504</v>
      </c>
      <c r="S2780" t="s">
        <v>8606</v>
      </c>
      <c r="T2780" t="s">
        <v>11650</v>
      </c>
      <c r="U2780" t="s">
        <v>11650</v>
      </c>
      <c r="V2780" t="s">
        <v>11650</v>
      </c>
      <c r="W2780" t="s">
        <v>14385</v>
      </c>
      <c r="X2780">
        <v>12</v>
      </c>
      <c r="Y2780" t="s">
        <v>20092</v>
      </c>
      <c r="Z2780" t="s">
        <v>25842</v>
      </c>
      <c r="AA2780">
        <v>0.70532436417050492</v>
      </c>
      <c r="AB2780" t="str">
        <f>HYPERLINK("Melting_Curves/meltCurve_P62873_GNB1.pdf", "Melting_Curves/meltCurve_P62873_GNB1.pdf")</f>
        <v>Melting_Curves/meltCurve_P62873_GNB1.pdf</v>
      </c>
    </row>
    <row r="2781" spans="1:28" x14ac:dyDescent="0.25">
      <c r="A2781" t="s">
        <v>2785</v>
      </c>
      <c r="B2781">
        <v>0.99996721820229495</v>
      </c>
      <c r="C2781">
        <v>1.1144775691226301</v>
      </c>
      <c r="D2781">
        <v>1.3455661242577699</v>
      </c>
      <c r="E2781">
        <v>1.60968690448075</v>
      </c>
      <c r="F2781">
        <v>2.3191524724747099</v>
      </c>
      <c r="G2781">
        <v>2.6513923612089201</v>
      </c>
      <c r="H2781">
        <v>2.2522198974393</v>
      </c>
      <c r="I2781">
        <v>1.8533874900627401</v>
      </c>
      <c r="J2781">
        <v>1.5361329747196699</v>
      </c>
      <c r="K2781">
        <v>0.88681224166477202</v>
      </c>
      <c r="L2781">
        <v>1820.40161124734</v>
      </c>
      <c r="M2781">
        <v>40.805710054145301</v>
      </c>
      <c r="O2781">
        <v>44.504690689604502</v>
      </c>
      <c r="P2781">
        <v>0.114610889216907</v>
      </c>
      <c r="Q2781">
        <v>1.5</v>
      </c>
      <c r="R2781">
        <v>5.2495278969119902E-2</v>
      </c>
      <c r="S2781" t="s">
        <v>8607</v>
      </c>
      <c r="T2781" t="s">
        <v>11650</v>
      </c>
      <c r="U2781" t="s">
        <v>11650</v>
      </c>
      <c r="V2781" t="s">
        <v>11650</v>
      </c>
      <c r="W2781" t="s">
        <v>14386</v>
      </c>
      <c r="X2781">
        <v>4</v>
      </c>
      <c r="Y2781" t="s">
        <v>20093</v>
      </c>
      <c r="Z2781" t="s">
        <v>25843</v>
      </c>
      <c r="AA2781">
        <v>1.421534574544608</v>
      </c>
      <c r="AB2781" t="str">
        <f>HYPERLINK("Melting_Curves/meltCurve_P62877_RBX1.pdf", "Melting_Curves/meltCurve_P62877_RBX1.pdf")</f>
        <v>Melting_Curves/meltCurve_P62877_RBX1.pdf</v>
      </c>
    </row>
    <row r="2782" spans="1:28" x14ac:dyDescent="0.25">
      <c r="A2782" t="s">
        <v>2786</v>
      </c>
      <c r="B2782">
        <v>0.99996721820229495</v>
      </c>
      <c r="C2782">
        <v>1.00396131126065</v>
      </c>
      <c r="D2782">
        <v>1.11941749998667</v>
      </c>
      <c r="E2782">
        <v>1.6614897152235</v>
      </c>
      <c r="F2782">
        <v>2.1454867581486798</v>
      </c>
      <c r="G2782">
        <v>2.0264471377187698</v>
      </c>
      <c r="H2782">
        <v>1.3337883868075799</v>
      </c>
      <c r="I2782">
        <v>0.79064028460384606</v>
      </c>
      <c r="J2782">
        <v>0.28751436087145699</v>
      </c>
      <c r="K2782">
        <v>0.29759059572236501</v>
      </c>
      <c r="L2782">
        <v>15000</v>
      </c>
      <c r="M2782">
        <v>233.508196765946</v>
      </c>
      <c r="N2782">
        <v>64.480487658489096</v>
      </c>
      <c r="O2782">
        <v>64.232854299369194</v>
      </c>
      <c r="P2782">
        <v>-0.642973881238463</v>
      </c>
      <c r="Q2782">
        <v>0.29252929032539099</v>
      </c>
      <c r="R2782">
        <v>0.20754828389061</v>
      </c>
      <c r="S2782" t="s">
        <v>8608</v>
      </c>
      <c r="T2782" t="s">
        <v>11650</v>
      </c>
      <c r="U2782" t="s">
        <v>11650</v>
      </c>
      <c r="V2782" t="s">
        <v>11650</v>
      </c>
      <c r="W2782" t="s">
        <v>14387</v>
      </c>
      <c r="X2782">
        <v>5</v>
      </c>
      <c r="Y2782" t="s">
        <v>20094</v>
      </c>
      <c r="Z2782" t="s">
        <v>25844</v>
      </c>
      <c r="AA2782">
        <v>0.86419983000040501</v>
      </c>
      <c r="AB2782" t="str">
        <f>HYPERLINK("Melting_Curves/meltCurve_P62888_RPL30.pdf", "Melting_Curves/meltCurve_P62888_RPL30.pdf")</f>
        <v>Melting_Curves/meltCurve_P62888_RPL30.pdf</v>
      </c>
    </row>
    <row r="2783" spans="1:28" x14ac:dyDescent="0.25">
      <c r="A2783" t="s">
        <v>2787</v>
      </c>
      <c r="B2783">
        <v>0.99996721820229495</v>
      </c>
      <c r="C2783">
        <v>1.10786655987605</v>
      </c>
      <c r="D2783">
        <v>1.1954515478657599</v>
      </c>
      <c r="E2783">
        <v>1.9074574743636901</v>
      </c>
      <c r="F2783">
        <v>2.0705074726174999</v>
      </c>
      <c r="G2783">
        <v>1.7109623352191801</v>
      </c>
      <c r="H2783">
        <v>1.00672296468274</v>
      </c>
      <c r="I2783">
        <v>0.64966542001965799</v>
      </c>
      <c r="J2783">
        <v>0.387185713294527</v>
      </c>
      <c r="K2783">
        <v>0.27855158672165398</v>
      </c>
      <c r="L2783">
        <v>4220.43453323224</v>
      </c>
      <c r="M2783">
        <v>65.901864409165697</v>
      </c>
      <c r="N2783">
        <v>64.9972557511052</v>
      </c>
      <c r="O2783">
        <v>63.982308716885001</v>
      </c>
      <c r="P2783">
        <v>-0.177588490457708</v>
      </c>
      <c r="Q2783">
        <v>0.31033705990368998</v>
      </c>
      <c r="R2783">
        <v>0.249711127536759</v>
      </c>
      <c r="S2783" t="s">
        <v>8609</v>
      </c>
      <c r="T2783" t="s">
        <v>11650</v>
      </c>
      <c r="U2783" t="s">
        <v>11650</v>
      </c>
      <c r="V2783" t="s">
        <v>11650</v>
      </c>
      <c r="W2783" t="s">
        <v>14388</v>
      </c>
      <c r="X2783">
        <v>5</v>
      </c>
      <c r="Y2783" t="s">
        <v>20095</v>
      </c>
      <c r="Z2783" t="s">
        <v>25845</v>
      </c>
      <c r="AA2783">
        <v>0.86403240186108099</v>
      </c>
      <c r="AB2783" t="str">
        <f>HYPERLINK("Melting_Curves/meltCurve_P62906_RPL10A.pdf", "Melting_Curves/meltCurve_P62906_RPL10A.pdf")</f>
        <v>Melting_Curves/meltCurve_P62906_RPL10A.pdf</v>
      </c>
    </row>
    <row r="2784" spans="1:28" x14ac:dyDescent="0.25">
      <c r="A2784" t="s">
        <v>2788</v>
      </c>
      <c r="B2784">
        <v>0.99996721820229495</v>
      </c>
      <c r="C2784">
        <v>0.69590971145010505</v>
      </c>
      <c r="D2784">
        <v>0.47446897865490301</v>
      </c>
      <c r="E2784">
        <v>0.47609250357184102</v>
      </c>
      <c r="F2784">
        <v>0.53715746155976396</v>
      </c>
      <c r="G2784">
        <v>0.380620652638404</v>
      </c>
      <c r="H2784">
        <v>0.16809143476621799</v>
      </c>
      <c r="I2784">
        <v>0.100228235317058</v>
      </c>
      <c r="J2784">
        <v>6.1093992222898803E-2</v>
      </c>
      <c r="K2784">
        <v>6.3735256154305003E-2</v>
      </c>
      <c r="L2784">
        <v>368.09174435511397</v>
      </c>
      <c r="M2784">
        <v>7.4251441074974496</v>
      </c>
      <c r="N2784">
        <v>49.573683698826997</v>
      </c>
      <c r="O2784">
        <v>46.359150847421802</v>
      </c>
      <c r="P2784">
        <v>-4.0101164025607497E-2</v>
      </c>
      <c r="Q2784">
        <v>0</v>
      </c>
      <c r="R2784">
        <v>0.88481081597143996</v>
      </c>
      <c r="S2784" t="s">
        <v>8610</v>
      </c>
      <c r="T2784" t="s">
        <v>11650</v>
      </c>
      <c r="U2784" t="s">
        <v>11650</v>
      </c>
      <c r="V2784" t="s">
        <v>11650</v>
      </c>
      <c r="W2784" t="s">
        <v>14389</v>
      </c>
      <c r="X2784">
        <v>6</v>
      </c>
      <c r="Y2784" t="s">
        <v>20096</v>
      </c>
      <c r="Z2784" t="s">
        <v>25846</v>
      </c>
      <c r="AA2784">
        <v>0.38689492587806312</v>
      </c>
      <c r="AB2784" t="str">
        <f>HYPERLINK("Melting_Curves/meltCurve_P62913_2_RPL11.pdf", "Melting_Curves/meltCurve_P62913_2_RPL11.pdf")</f>
        <v>Melting_Curves/meltCurve_P62913_2_RPL11.pdf</v>
      </c>
    </row>
    <row r="2785" spans="1:28" x14ac:dyDescent="0.25">
      <c r="A2785" t="s">
        <v>2789</v>
      </c>
      <c r="B2785">
        <v>0.99996721820229495</v>
      </c>
      <c r="C2785">
        <v>0.96807646931328994</v>
      </c>
      <c r="D2785">
        <v>0.86769567339135101</v>
      </c>
      <c r="E2785">
        <v>0.67731125629337796</v>
      </c>
      <c r="F2785">
        <v>0.35460960859638602</v>
      </c>
      <c r="G2785">
        <v>0.24797779606172299</v>
      </c>
      <c r="H2785">
        <v>0.14399569357129499</v>
      </c>
      <c r="I2785">
        <v>0.10281169289688701</v>
      </c>
      <c r="J2785">
        <v>8.74395126127646E-2</v>
      </c>
      <c r="K2785">
        <v>6.9094202325541795E-2</v>
      </c>
      <c r="L2785">
        <v>874.43225041608503</v>
      </c>
      <c r="M2785">
        <v>17.0580839683318</v>
      </c>
      <c r="N2785">
        <v>51.748499689600102</v>
      </c>
      <c r="O2785">
        <v>50.573087438533499</v>
      </c>
      <c r="P2785">
        <v>-7.8082161952130094E-2</v>
      </c>
      <c r="Q2785">
        <v>7.40776343852146E-2</v>
      </c>
      <c r="R2785">
        <v>0.99494857227875899</v>
      </c>
      <c r="S2785" t="s">
        <v>8611</v>
      </c>
      <c r="T2785" t="s">
        <v>11650</v>
      </c>
      <c r="U2785" t="s">
        <v>11650</v>
      </c>
      <c r="V2785" t="s">
        <v>11650</v>
      </c>
      <c r="W2785" t="s">
        <v>14390</v>
      </c>
      <c r="X2785">
        <v>15</v>
      </c>
      <c r="Y2785" t="s">
        <v>20097</v>
      </c>
      <c r="Z2785" t="s">
        <v>25847</v>
      </c>
      <c r="AA2785">
        <v>0.43876416480264568</v>
      </c>
      <c r="AB2785" t="str">
        <f>HYPERLINK("Melting_Curves/meltCurve_P62937_PPIA.pdf", "Melting_Curves/meltCurve_P62937_PPIA.pdf")</f>
        <v>Melting_Curves/meltCurve_P62937_PPIA.pdf</v>
      </c>
    </row>
    <row r="2786" spans="1:28" x14ac:dyDescent="0.25">
      <c r="A2786" t="s">
        <v>2790</v>
      </c>
      <c r="B2786">
        <v>0.99996721820229495</v>
      </c>
      <c r="C2786">
        <v>1.0821956115473601</v>
      </c>
      <c r="D2786">
        <v>1.01756279686815</v>
      </c>
      <c r="E2786">
        <v>0.93730602229659199</v>
      </c>
      <c r="F2786">
        <v>1.1649978730955299</v>
      </c>
      <c r="G2786">
        <v>1.1336093144288399</v>
      </c>
      <c r="H2786">
        <v>0.60277230883214294</v>
      </c>
      <c r="I2786">
        <v>0.45361532875709698</v>
      </c>
      <c r="J2786">
        <v>0.371704842831244</v>
      </c>
      <c r="K2786">
        <v>0.21393170566143799</v>
      </c>
      <c r="L2786">
        <v>3314.7094979295198</v>
      </c>
      <c r="M2786">
        <v>54.471075284648101</v>
      </c>
      <c r="N2786">
        <v>62.035665701306698</v>
      </c>
      <c r="O2786">
        <v>60.770801308397601</v>
      </c>
      <c r="P2786">
        <v>-0.15169322371760099</v>
      </c>
      <c r="Q2786">
        <v>0.32305260086564602</v>
      </c>
      <c r="R2786">
        <v>0.92496135693510695</v>
      </c>
      <c r="S2786" t="s">
        <v>8612</v>
      </c>
      <c r="T2786" t="s">
        <v>11650</v>
      </c>
      <c r="U2786" t="s">
        <v>11650</v>
      </c>
      <c r="V2786" t="s">
        <v>11650</v>
      </c>
      <c r="W2786" t="s">
        <v>14391</v>
      </c>
      <c r="X2786">
        <v>11</v>
      </c>
      <c r="Y2786" t="s">
        <v>20098</v>
      </c>
      <c r="Z2786" t="s">
        <v>25848</v>
      </c>
      <c r="AA2786">
        <v>0.79509236648149151</v>
      </c>
      <c r="AB2786" t="str">
        <f>HYPERLINK("Melting_Curves/meltCurve_P62942_FKBP1A.pdf", "Melting_Curves/meltCurve_P62942_FKBP1A.pdf")</f>
        <v>Melting_Curves/meltCurve_P62942_FKBP1A.pdf</v>
      </c>
    </row>
    <row r="2787" spans="1:28" x14ac:dyDescent="0.25">
      <c r="A2787" t="s">
        <v>2791</v>
      </c>
      <c r="B2787">
        <v>0.99996721820229495</v>
      </c>
      <c r="C2787">
        <v>1.03790491304697</v>
      </c>
      <c r="D2787">
        <v>1.06818358198374</v>
      </c>
      <c r="E2787">
        <v>1.5171447333094401</v>
      </c>
      <c r="F2787">
        <v>1.71618687731442</v>
      </c>
      <c r="G2787">
        <v>1.9432404584321601</v>
      </c>
      <c r="H2787">
        <v>1.26133714544941</v>
      </c>
      <c r="I2787">
        <v>1.0439981614985201</v>
      </c>
      <c r="J2787">
        <v>0.77453694307881404</v>
      </c>
      <c r="K2787">
        <v>0.63712397762893302</v>
      </c>
      <c r="L2787">
        <v>15000</v>
      </c>
      <c r="M2787">
        <v>224.375529623451</v>
      </c>
      <c r="O2787">
        <v>66.846899004853199</v>
      </c>
      <c r="P2787">
        <v>-0.30451904297062199</v>
      </c>
      <c r="Q2787">
        <v>0.63710563803946596</v>
      </c>
      <c r="R2787">
        <v>-0.14213986237755999</v>
      </c>
      <c r="S2787" t="s">
        <v>8613</v>
      </c>
      <c r="T2787" t="s">
        <v>11650</v>
      </c>
      <c r="U2787" t="s">
        <v>11650</v>
      </c>
      <c r="V2787" t="s">
        <v>11650</v>
      </c>
      <c r="W2787" t="s">
        <v>14392</v>
      </c>
      <c r="X2787">
        <v>12</v>
      </c>
      <c r="Y2787" t="s">
        <v>20099</v>
      </c>
      <c r="Z2787" t="s">
        <v>25849</v>
      </c>
      <c r="AA2787">
        <v>0.96197551762455913</v>
      </c>
      <c r="AB2787" t="str">
        <f>HYPERLINK("Melting_Curves/meltCurve_P62979_RPS27A.pdf", "Melting_Curves/meltCurve_P62979_RPS27A.pdf")</f>
        <v>Melting_Curves/meltCurve_P62979_RPS27A.pdf</v>
      </c>
    </row>
    <row r="2788" spans="1:28" x14ac:dyDescent="0.25">
      <c r="A2788" t="s">
        <v>2792</v>
      </c>
      <c r="B2788">
        <v>0.99996721820229495</v>
      </c>
      <c r="C2788">
        <v>0.60652002207737099</v>
      </c>
      <c r="D2788">
        <v>0.65947730529196302</v>
      </c>
      <c r="E2788">
        <v>1.30392393450251</v>
      </c>
      <c r="F2788">
        <v>1.12481131588377</v>
      </c>
      <c r="G2788">
        <v>0.49132265702111899</v>
      </c>
      <c r="H2788">
        <v>0.62494687024246598</v>
      </c>
      <c r="I2788">
        <v>0.63791611528991399</v>
      </c>
      <c r="J2788">
        <v>0.48713768832045701</v>
      </c>
      <c r="K2788">
        <v>0.68450074050227605</v>
      </c>
      <c r="L2788">
        <v>271.00186615561802</v>
      </c>
      <c r="M2788">
        <v>3.6289630270351498</v>
      </c>
      <c r="O2788">
        <v>59.325679917188502</v>
      </c>
      <c r="P2788">
        <v>-1.5559815741085E-2</v>
      </c>
      <c r="Q2788">
        <v>0</v>
      </c>
      <c r="R2788">
        <v>0.19280101217876799</v>
      </c>
      <c r="S2788" t="s">
        <v>8614</v>
      </c>
      <c r="T2788" t="s">
        <v>11650</v>
      </c>
      <c r="U2788" t="s">
        <v>11650</v>
      </c>
      <c r="V2788" t="s">
        <v>11650</v>
      </c>
      <c r="W2788" t="s">
        <v>14393</v>
      </c>
      <c r="X2788">
        <v>9</v>
      </c>
      <c r="Y2788" t="s">
        <v>20100</v>
      </c>
      <c r="Z2788" t="s">
        <v>25850</v>
      </c>
      <c r="AA2788">
        <v>0.77694431493630156</v>
      </c>
      <c r="AB2788" t="str">
        <f>HYPERLINK("Melting_Curves/meltCurve_P62987_UBA52.pdf", "Melting_Curves/meltCurve_P62987_UBA52.pdf")</f>
        <v>Melting_Curves/meltCurve_P62987_UBA52.pdf</v>
      </c>
    </row>
    <row r="2789" spans="1:28" x14ac:dyDescent="0.25">
      <c r="A2789" t="s">
        <v>2793</v>
      </c>
      <c r="B2789">
        <v>0.99996721820229495</v>
      </c>
      <c r="C2789">
        <v>1.08865562913362</v>
      </c>
      <c r="D2789">
        <v>1.05120853855317</v>
      </c>
      <c r="E2789">
        <v>1.0176445401968299</v>
      </c>
      <c r="F2789">
        <v>0.86236369315539696</v>
      </c>
      <c r="G2789">
        <v>0.55633897332164395</v>
      </c>
      <c r="H2789">
        <v>0.318487336825093</v>
      </c>
      <c r="I2789">
        <v>0.23225630547148399</v>
      </c>
      <c r="J2789">
        <v>0.15269767274111301</v>
      </c>
      <c r="K2789">
        <v>0.14176032030472099</v>
      </c>
      <c r="L2789">
        <v>1297.7831859509699</v>
      </c>
      <c r="M2789">
        <v>22.747731902675099</v>
      </c>
      <c r="N2789">
        <v>57.894934636490497</v>
      </c>
      <c r="O2789">
        <v>56.615706627472399</v>
      </c>
      <c r="P2789">
        <v>-8.6277164335227599E-2</v>
      </c>
      <c r="Q2789">
        <v>0.14109312377616401</v>
      </c>
      <c r="R2789">
        <v>0.98948896508712303</v>
      </c>
      <c r="S2789" t="s">
        <v>8615</v>
      </c>
      <c r="T2789" t="s">
        <v>11650</v>
      </c>
      <c r="U2789" t="s">
        <v>11650</v>
      </c>
      <c r="V2789" t="s">
        <v>11650</v>
      </c>
      <c r="W2789" t="s">
        <v>14394</v>
      </c>
      <c r="X2789">
        <v>14</v>
      </c>
      <c r="Y2789" t="s">
        <v>20101</v>
      </c>
      <c r="Z2789" t="s">
        <v>25851</v>
      </c>
      <c r="AA2789">
        <v>0.63814735103979603</v>
      </c>
      <c r="AB2789" t="str">
        <f>HYPERLINK("Melting_Curves/meltCurve_P62993_GRB2.pdf", "Melting_Curves/meltCurve_P62993_GRB2.pdf")</f>
        <v>Melting_Curves/meltCurve_P62993_GRB2.pdf</v>
      </c>
    </row>
    <row r="2790" spans="1:28" x14ac:dyDescent="0.25">
      <c r="A2790" t="s">
        <v>2794</v>
      </c>
      <c r="B2790">
        <v>0.99996721820229495</v>
      </c>
      <c r="C2790">
        <v>0.96750688551646802</v>
      </c>
      <c r="D2790">
        <v>1.0121069225547199</v>
      </c>
      <c r="E2790">
        <v>0.99595952295747703</v>
      </c>
      <c r="F2790">
        <v>1.4260478476745</v>
      </c>
      <c r="G2790">
        <v>1.6584459303588801</v>
      </c>
      <c r="H2790">
        <v>1.3012618316431399</v>
      </c>
      <c r="I2790">
        <v>1.4060154174136801</v>
      </c>
      <c r="J2790">
        <v>1.0478070930522301</v>
      </c>
      <c r="K2790">
        <v>0.64600442626404597</v>
      </c>
      <c r="L2790">
        <v>15000</v>
      </c>
      <c r="M2790">
        <v>213.68415820578701</v>
      </c>
      <c r="Q2790">
        <v>0</v>
      </c>
      <c r="R2790">
        <v>-0.112186156633932</v>
      </c>
      <c r="S2790" t="s">
        <v>8616</v>
      </c>
      <c r="T2790" t="s">
        <v>11650</v>
      </c>
      <c r="U2790" t="s">
        <v>11650</v>
      </c>
      <c r="V2790" t="s">
        <v>11650</v>
      </c>
      <c r="W2790" t="s">
        <v>14395</v>
      </c>
      <c r="X2790">
        <v>9</v>
      </c>
      <c r="Y2790" t="s">
        <v>20102</v>
      </c>
      <c r="Z2790" t="s">
        <v>25852</v>
      </c>
      <c r="AA2790">
        <v>0.9952910151303267</v>
      </c>
      <c r="AB2790" t="str">
        <f>HYPERLINK("Melting_Curves/meltCurve_P62995_3_TRA2B.pdf", "Melting_Curves/meltCurve_P62995_3_TRA2B.pdf")</f>
        <v>Melting_Curves/meltCurve_P62995_3_TRA2B.pdf</v>
      </c>
    </row>
    <row r="2791" spans="1:28" x14ac:dyDescent="0.25">
      <c r="A2791" t="s">
        <v>2795</v>
      </c>
      <c r="B2791">
        <v>0.99996721820229495</v>
      </c>
      <c r="C2791">
        <v>1.0528288933657199</v>
      </c>
      <c r="D2791">
        <v>1.00300846284497</v>
      </c>
      <c r="E2791">
        <v>0.90589970615824</v>
      </c>
      <c r="F2791">
        <v>0.80302977579190804</v>
      </c>
      <c r="G2791">
        <v>0.67402058507725604</v>
      </c>
      <c r="H2791">
        <v>0.37787053589318198</v>
      </c>
      <c r="I2791">
        <v>0.154809986617471</v>
      </c>
      <c r="J2791">
        <v>7.0945714648477806E-2</v>
      </c>
      <c r="K2791">
        <v>5.0146758830606299E-2</v>
      </c>
      <c r="L2791">
        <v>1006.83075622302</v>
      </c>
      <c r="M2791">
        <v>17.152291146363101</v>
      </c>
      <c r="N2791">
        <v>58.699491537037702</v>
      </c>
      <c r="O2791">
        <v>57.919029874008899</v>
      </c>
      <c r="P2791">
        <v>-7.4040063679288101E-2</v>
      </c>
      <c r="Q2791">
        <v>0</v>
      </c>
      <c r="R2791">
        <v>0.98972081780880605</v>
      </c>
      <c r="S2791" t="s">
        <v>8617</v>
      </c>
      <c r="T2791" t="s">
        <v>11650</v>
      </c>
      <c r="U2791" t="s">
        <v>11650</v>
      </c>
      <c r="V2791" t="s">
        <v>11650</v>
      </c>
      <c r="W2791" t="s">
        <v>14396</v>
      </c>
      <c r="X2791">
        <v>13</v>
      </c>
      <c r="Y2791" t="s">
        <v>20103</v>
      </c>
      <c r="Z2791" t="s">
        <v>25853</v>
      </c>
      <c r="AA2791">
        <v>0.63468956206331995</v>
      </c>
      <c r="AB2791" t="str">
        <f>HYPERLINK("Melting_Curves/meltCurve_P63000_RAC1.pdf", "Melting_Curves/meltCurve_P63000_RAC1.pdf")</f>
        <v>Melting_Curves/meltCurve_P63000_RAC1.pdf</v>
      </c>
    </row>
    <row r="2792" spans="1:28" x14ac:dyDescent="0.25">
      <c r="A2792" t="s">
        <v>2796</v>
      </c>
      <c r="B2792">
        <v>0.99996721820229495</v>
      </c>
      <c r="C2792">
        <v>1.09898844702169</v>
      </c>
      <c r="D2792">
        <v>1.17720765185458</v>
      </c>
      <c r="E2792">
        <v>1.37237224750639</v>
      </c>
      <c r="F2792">
        <v>1.1552045256476799</v>
      </c>
      <c r="G2792">
        <v>0.54077611335828302</v>
      </c>
      <c r="H2792">
        <v>0.29519756560654797</v>
      </c>
      <c r="I2792">
        <v>0.123615021369787</v>
      </c>
      <c r="J2792">
        <v>7.1574956993131295E-2</v>
      </c>
      <c r="K2792">
        <v>5.7677576620970401E-2</v>
      </c>
      <c r="L2792">
        <v>2646.8010734670802</v>
      </c>
      <c r="M2792">
        <v>46.312025489447699</v>
      </c>
      <c r="N2792">
        <v>57.4862808229188</v>
      </c>
      <c r="O2792">
        <v>57.045227562444197</v>
      </c>
      <c r="P2792">
        <v>-0.17897096227934201</v>
      </c>
      <c r="Q2792">
        <v>0.11820501622544199</v>
      </c>
      <c r="R2792">
        <v>0.90346452242076902</v>
      </c>
      <c r="S2792" t="s">
        <v>8618</v>
      </c>
      <c r="T2792" t="s">
        <v>11650</v>
      </c>
      <c r="U2792" t="s">
        <v>11650</v>
      </c>
      <c r="V2792" t="s">
        <v>11650</v>
      </c>
      <c r="W2792" t="s">
        <v>14397</v>
      </c>
      <c r="X2792">
        <v>33</v>
      </c>
      <c r="Y2792" t="s">
        <v>20104</v>
      </c>
      <c r="Z2792" t="s">
        <v>25854</v>
      </c>
      <c r="AA2792">
        <v>0.62492334407240346</v>
      </c>
      <c r="AB2792" t="str">
        <f>HYPERLINK("Melting_Curves/meltCurve_P63010_AP2B1.pdf", "Melting_Curves/meltCurve_P63010_AP2B1.pdf")</f>
        <v>Melting_Curves/meltCurve_P63010_AP2B1.pdf</v>
      </c>
    </row>
    <row r="2793" spans="1:28" x14ac:dyDescent="0.25">
      <c r="A2793" t="s">
        <v>2797</v>
      </c>
      <c r="B2793">
        <v>0.99996721820229495</v>
      </c>
      <c r="C2793">
        <v>1.0188404920840901</v>
      </c>
      <c r="D2793">
        <v>0.95287011953522505</v>
      </c>
      <c r="E2793">
        <v>1.0704426509598799</v>
      </c>
      <c r="F2793">
        <v>1.2288635825149099</v>
      </c>
      <c r="G2793">
        <v>0.64137967358923698</v>
      </c>
      <c r="H2793">
        <v>0.283146332405601</v>
      </c>
      <c r="I2793">
        <v>0.218621803087271</v>
      </c>
      <c r="J2793">
        <v>0.240745131278088</v>
      </c>
      <c r="K2793">
        <v>0.13829037040793901</v>
      </c>
      <c r="L2793">
        <v>6411.2995279848101</v>
      </c>
      <c r="M2793">
        <v>112.316024770491</v>
      </c>
      <c r="N2793">
        <v>57.378920696930102</v>
      </c>
      <c r="O2793">
        <v>57.064590049217799</v>
      </c>
      <c r="P2793">
        <v>-0.38379616939446698</v>
      </c>
      <c r="Q2793">
        <v>0.220016215324534</v>
      </c>
      <c r="R2793">
        <v>0.95572224113605997</v>
      </c>
      <c r="S2793" t="s">
        <v>8619</v>
      </c>
      <c r="T2793" t="s">
        <v>11650</v>
      </c>
      <c r="U2793" t="s">
        <v>11650</v>
      </c>
      <c r="V2793" t="s">
        <v>11650</v>
      </c>
      <c r="W2793" t="s">
        <v>14398</v>
      </c>
      <c r="X2793">
        <v>22</v>
      </c>
      <c r="Y2793" t="s">
        <v>20105</v>
      </c>
      <c r="Z2793" t="s">
        <v>25855</v>
      </c>
      <c r="AA2793">
        <v>0.66454409391335434</v>
      </c>
      <c r="AB2793" t="str">
        <f>HYPERLINK("Melting_Curves/meltCurve_P63092_GNAS.pdf", "Melting_Curves/meltCurve_P63092_GNAS.pdf")</f>
        <v>Melting_Curves/meltCurve_P63092_GNAS.pdf</v>
      </c>
    </row>
    <row r="2794" spans="1:28" x14ac:dyDescent="0.25">
      <c r="A2794" t="s">
        <v>2798</v>
      </c>
      <c r="B2794">
        <v>0.99996721820229495</v>
      </c>
      <c r="C2794">
        <v>0.87678628089033195</v>
      </c>
      <c r="D2794">
        <v>1.1328934351750399</v>
      </c>
      <c r="E2794">
        <v>1.3281035199461499</v>
      </c>
      <c r="F2794">
        <v>1.7002632491457801</v>
      </c>
      <c r="G2794">
        <v>1.7615282162591801</v>
      </c>
      <c r="H2794">
        <v>0.47882941059963302</v>
      </c>
      <c r="I2794">
        <v>0.30765947265372001</v>
      </c>
      <c r="J2794">
        <v>0.211635950856536</v>
      </c>
      <c r="K2794">
        <v>0.15377590410248501</v>
      </c>
      <c r="L2794">
        <v>10613.1447551043</v>
      </c>
      <c r="M2794">
        <v>174.70212345282499</v>
      </c>
      <c r="N2794">
        <v>60.957659214962902</v>
      </c>
      <c r="O2794">
        <v>60.7419870619579</v>
      </c>
      <c r="P2794">
        <v>-0.557754527939893</v>
      </c>
      <c r="Q2794">
        <v>0.224299797808338</v>
      </c>
      <c r="R2794">
        <v>0.61658565717570002</v>
      </c>
      <c r="S2794" t="s">
        <v>8620</v>
      </c>
      <c r="T2794" t="s">
        <v>11650</v>
      </c>
      <c r="U2794" t="s">
        <v>11650</v>
      </c>
      <c r="V2794" t="s">
        <v>11650</v>
      </c>
      <c r="W2794" t="s">
        <v>14399</v>
      </c>
      <c r="X2794">
        <v>21</v>
      </c>
      <c r="Y2794" t="s">
        <v>20106</v>
      </c>
      <c r="Z2794" t="s">
        <v>25856</v>
      </c>
      <c r="AA2794">
        <v>0.76099379651648291</v>
      </c>
      <c r="AB2794" t="str">
        <f>HYPERLINK("Melting_Curves/meltCurve_P63096_GNAI1.pdf", "Melting_Curves/meltCurve_P63096_GNAI1.pdf")</f>
        <v>Melting_Curves/meltCurve_P63096_GNAI1.pdf</v>
      </c>
    </row>
    <row r="2795" spans="1:28" x14ac:dyDescent="0.25">
      <c r="A2795" t="s">
        <v>2799</v>
      </c>
      <c r="B2795">
        <v>0.99996721820229495</v>
      </c>
      <c r="C2795">
        <v>1.17815546000127</v>
      </c>
      <c r="D2795">
        <v>1.18590015838055</v>
      </c>
      <c r="E2795">
        <v>1.19448081211656</v>
      </c>
      <c r="F2795">
        <v>1.3475322009828601</v>
      </c>
      <c r="G2795">
        <v>1.2088311170626</v>
      </c>
      <c r="H2795">
        <v>0.35115802140901498</v>
      </c>
      <c r="I2795">
        <v>0.155080783814568</v>
      </c>
      <c r="J2795">
        <v>0.100761480296744</v>
      </c>
      <c r="K2795">
        <v>7.9811344846174595E-2</v>
      </c>
      <c r="L2795">
        <v>10403.1828383715</v>
      </c>
      <c r="M2795">
        <v>171.54110165794199</v>
      </c>
      <c r="N2795">
        <v>60.735060781042698</v>
      </c>
      <c r="O2795">
        <v>60.637181254962499</v>
      </c>
      <c r="P2795">
        <v>-0.62814852854423298</v>
      </c>
      <c r="Q2795">
        <v>0.11183602906733001</v>
      </c>
      <c r="R2795">
        <v>0.89457417232401804</v>
      </c>
      <c r="S2795" t="s">
        <v>8621</v>
      </c>
      <c r="T2795" t="s">
        <v>11650</v>
      </c>
      <c r="U2795" t="s">
        <v>11650</v>
      </c>
      <c r="V2795" t="s">
        <v>11650</v>
      </c>
      <c r="W2795" t="s">
        <v>14400</v>
      </c>
      <c r="X2795">
        <v>26</v>
      </c>
      <c r="Y2795" t="s">
        <v>17872</v>
      </c>
      <c r="Z2795" t="s">
        <v>25857</v>
      </c>
      <c r="AA2795">
        <v>0.72325424447233189</v>
      </c>
      <c r="AB2795" t="str">
        <f>HYPERLINK("Melting_Curves/meltCurve_P63104_YWHAZ.pdf", "Melting_Curves/meltCurve_P63104_YWHAZ.pdf")</f>
        <v>Melting_Curves/meltCurve_P63104_YWHAZ.pdf</v>
      </c>
    </row>
    <row r="2796" spans="1:28" x14ac:dyDescent="0.25">
      <c r="A2796" t="s">
        <v>2800</v>
      </c>
      <c r="B2796">
        <v>0.99996721820229495</v>
      </c>
      <c r="C2796">
        <v>1.1541629324301299</v>
      </c>
      <c r="D2796">
        <v>1.0972365986025201</v>
      </c>
      <c r="E2796">
        <v>1.0159716109493999</v>
      </c>
      <c r="F2796">
        <v>0.66617650502640702</v>
      </c>
      <c r="G2796">
        <v>0.60598175592592396</v>
      </c>
      <c r="H2796">
        <v>0.36832585063270301</v>
      </c>
      <c r="I2796">
        <v>0.239747878655517</v>
      </c>
      <c r="J2796">
        <v>0.210801039505851</v>
      </c>
      <c r="K2796">
        <v>0.12333270047867199</v>
      </c>
      <c r="L2796">
        <v>910.50920301840404</v>
      </c>
      <c r="M2796">
        <v>15.9090660923921</v>
      </c>
      <c r="N2796">
        <v>58.112418330844797</v>
      </c>
      <c r="O2796">
        <v>56.350717181847202</v>
      </c>
      <c r="P2796">
        <v>-6.3027876168833194E-2</v>
      </c>
      <c r="Q2796">
        <v>0.107079908892676</v>
      </c>
      <c r="R2796">
        <v>0.95090441957640603</v>
      </c>
      <c r="S2796" t="s">
        <v>8622</v>
      </c>
      <c r="T2796" t="s">
        <v>11650</v>
      </c>
      <c r="U2796" t="s">
        <v>11650</v>
      </c>
      <c r="V2796" t="s">
        <v>11650</v>
      </c>
      <c r="W2796" t="s">
        <v>14401</v>
      </c>
      <c r="X2796">
        <v>2</v>
      </c>
      <c r="Y2796" t="s">
        <v>20107</v>
      </c>
      <c r="Z2796" t="s">
        <v>25858</v>
      </c>
      <c r="AA2796">
        <v>0.63319875914458801</v>
      </c>
      <c r="AB2796" t="str">
        <f>HYPERLINK("Melting_Curves/meltCurve_P63146_UBE2B.pdf", "Melting_Curves/meltCurve_P63146_UBE2B.pdf")</f>
        <v>Melting_Curves/meltCurve_P63146_UBE2B.pdf</v>
      </c>
    </row>
    <row r="2797" spans="1:28" x14ac:dyDescent="0.25">
      <c r="A2797" t="s">
        <v>2801</v>
      </c>
      <c r="B2797">
        <v>0.99996721820229495</v>
      </c>
      <c r="C2797">
        <v>1.0552202811970099</v>
      </c>
      <c r="D2797">
        <v>1.21028202005106</v>
      </c>
      <c r="E2797">
        <v>1.54284681528104</v>
      </c>
      <c r="F2797">
        <v>1.87607861970295</v>
      </c>
      <c r="G2797">
        <v>1.35690445829149</v>
      </c>
      <c r="H2797">
        <v>0.40685726697407798</v>
      </c>
      <c r="I2797">
        <v>0.19037926676629299</v>
      </c>
      <c r="J2797">
        <v>0.126258431076332</v>
      </c>
      <c r="K2797">
        <v>0.10478643440445599</v>
      </c>
      <c r="L2797">
        <v>10498.142406544301</v>
      </c>
      <c r="M2797">
        <v>172.900672223664</v>
      </c>
      <c r="N2797">
        <v>60.833757241090701</v>
      </c>
      <c r="O2797">
        <v>60.709652417619203</v>
      </c>
      <c r="P2797">
        <v>-0.61201956638817701</v>
      </c>
      <c r="Q2797">
        <v>0.14042002238981099</v>
      </c>
      <c r="R2797">
        <v>0.66293374671547101</v>
      </c>
      <c r="S2797" t="s">
        <v>8623</v>
      </c>
      <c r="T2797" t="s">
        <v>11650</v>
      </c>
      <c r="U2797" t="s">
        <v>11650</v>
      </c>
      <c r="V2797" t="s">
        <v>11650</v>
      </c>
      <c r="W2797" t="s">
        <v>14402</v>
      </c>
      <c r="X2797">
        <v>16</v>
      </c>
      <c r="Y2797" t="s">
        <v>20108</v>
      </c>
      <c r="Z2797" t="s">
        <v>25859</v>
      </c>
      <c r="AA2797">
        <v>0.73423076845970769</v>
      </c>
      <c r="AB2797" t="str">
        <f>HYPERLINK("Melting_Curves/meltCurve_P63151_PPP2R2A.pdf", "Melting_Curves/meltCurve_P63151_PPP2R2A.pdf")</f>
        <v>Melting_Curves/meltCurve_P63151_PPP2R2A.pdf</v>
      </c>
    </row>
    <row r="2798" spans="1:28" x14ac:dyDescent="0.25">
      <c r="A2798" t="s">
        <v>2802</v>
      </c>
      <c r="B2798">
        <v>0.99996721820229495</v>
      </c>
      <c r="C2798">
        <v>1.08211058369473</v>
      </c>
      <c r="D2798">
        <v>0.96806790150258104</v>
      </c>
      <c r="E2798">
        <v>0.79347354288337701</v>
      </c>
      <c r="F2798">
        <v>0.55112860437365496</v>
      </c>
      <c r="G2798">
        <v>0.43975319537721702</v>
      </c>
      <c r="H2798">
        <v>0.214545470021171</v>
      </c>
      <c r="I2798">
        <v>0.12318038035965399</v>
      </c>
      <c r="J2798">
        <v>8.6897339501682894E-2</v>
      </c>
      <c r="K2798">
        <v>5.2924080632899599E-2</v>
      </c>
      <c r="L2798">
        <v>759.60040507181202</v>
      </c>
      <c r="M2798">
        <v>13.853373965109601</v>
      </c>
      <c r="N2798">
        <v>54.947852327305696</v>
      </c>
      <c r="O2798">
        <v>53.726775828379701</v>
      </c>
      <c r="P2798">
        <v>-6.3538645507439206E-2</v>
      </c>
      <c r="Q2798">
        <v>1.44619293325314E-2</v>
      </c>
      <c r="R2798">
        <v>0.98617896507750902</v>
      </c>
      <c r="S2798" t="s">
        <v>8624</v>
      </c>
      <c r="T2798" t="s">
        <v>11650</v>
      </c>
      <c r="U2798" t="s">
        <v>11650</v>
      </c>
      <c r="V2798" t="s">
        <v>11650</v>
      </c>
      <c r="W2798" t="s">
        <v>14403</v>
      </c>
      <c r="X2798">
        <v>7</v>
      </c>
      <c r="Y2798" t="s">
        <v>20109</v>
      </c>
      <c r="Z2798" t="s">
        <v>25860</v>
      </c>
      <c r="AA2798">
        <v>0.52256444244196643</v>
      </c>
      <c r="AB2798" t="str">
        <f>HYPERLINK("Melting_Curves/meltCurve_P63167_DYNLL1.pdf", "Melting_Curves/meltCurve_P63167_DYNLL1.pdf")</f>
        <v>Melting_Curves/meltCurve_P63167_DYNLL1.pdf</v>
      </c>
    </row>
    <row r="2799" spans="1:28" x14ac:dyDescent="0.25">
      <c r="A2799" t="s">
        <v>2803</v>
      </c>
      <c r="B2799">
        <v>0.99996721820229495</v>
      </c>
      <c r="C2799">
        <v>0.96479123896309305</v>
      </c>
      <c r="D2799">
        <v>0.81939744942156001</v>
      </c>
      <c r="E2799">
        <v>0.58676507583637005</v>
      </c>
      <c r="F2799">
        <v>0.58098353832579497</v>
      </c>
      <c r="G2799">
        <v>0.48275399198715002</v>
      </c>
      <c r="H2799">
        <v>0.29055450275047101</v>
      </c>
      <c r="I2799">
        <v>0.22241795689471999</v>
      </c>
      <c r="J2799">
        <v>0.17250647692957599</v>
      </c>
      <c r="K2799">
        <v>0.104998482824703</v>
      </c>
      <c r="L2799">
        <v>461.27477383680502</v>
      </c>
      <c r="M2799">
        <v>8.4445014662027305</v>
      </c>
      <c r="N2799">
        <v>54.624275362721903</v>
      </c>
      <c r="O2799">
        <v>51.818988349936802</v>
      </c>
      <c r="P2799">
        <v>-4.0778004411006298E-2</v>
      </c>
      <c r="Q2799">
        <v>0</v>
      </c>
      <c r="R2799">
        <v>0.97818739094526597</v>
      </c>
      <c r="S2799" t="s">
        <v>8625</v>
      </c>
      <c r="T2799" t="s">
        <v>11650</v>
      </c>
      <c r="U2799" t="s">
        <v>11650</v>
      </c>
      <c r="V2799" t="s">
        <v>11650</v>
      </c>
      <c r="W2799" t="s">
        <v>14404</v>
      </c>
      <c r="X2799">
        <v>3</v>
      </c>
      <c r="Y2799" t="s">
        <v>20110</v>
      </c>
      <c r="Z2799" t="s">
        <v>25861</v>
      </c>
      <c r="AA2799">
        <v>0.51690041405622011</v>
      </c>
      <c r="AB2799" t="str">
        <f>HYPERLINK("Melting_Curves/meltCurve_P63173_RPL38.pdf", "Melting_Curves/meltCurve_P63173_RPL38.pdf")</f>
        <v>Melting_Curves/meltCurve_P63173_RPL38.pdf</v>
      </c>
    </row>
    <row r="2800" spans="1:28" x14ac:dyDescent="0.25">
      <c r="A2800" t="s">
        <v>2804</v>
      </c>
      <c r="B2800">
        <v>0.99996721820229495</v>
      </c>
      <c r="C2800">
        <v>0.69494326063384304</v>
      </c>
      <c r="D2800">
        <v>0.85635271487738995</v>
      </c>
      <c r="E2800">
        <v>1.08635614215711</v>
      </c>
      <c r="F2800">
        <v>1.7159406378836599</v>
      </c>
      <c r="G2800">
        <v>1.38097693391107</v>
      </c>
      <c r="H2800">
        <v>1.04802566477411</v>
      </c>
      <c r="I2800">
        <v>1.4266289727447701</v>
      </c>
      <c r="J2800">
        <v>1.18213968018794</v>
      </c>
      <c r="K2800">
        <v>0.90391840503302001</v>
      </c>
      <c r="L2800">
        <v>12539.4024888494</v>
      </c>
      <c r="M2800">
        <v>250</v>
      </c>
      <c r="O2800">
        <v>50.154399961628897</v>
      </c>
      <c r="P2800">
        <v>0.34427627811605599</v>
      </c>
      <c r="Q2800">
        <v>1.27627152339404</v>
      </c>
      <c r="R2800">
        <v>0.35526100188105503</v>
      </c>
      <c r="S2800" t="s">
        <v>8626</v>
      </c>
      <c r="T2800" t="s">
        <v>11650</v>
      </c>
      <c r="U2800" t="s">
        <v>11650</v>
      </c>
      <c r="V2800" t="s">
        <v>11650</v>
      </c>
      <c r="W2800" t="s">
        <v>14405</v>
      </c>
      <c r="X2800">
        <v>7</v>
      </c>
      <c r="Y2800" t="s">
        <v>20111</v>
      </c>
      <c r="Z2800" t="s">
        <v>25862</v>
      </c>
      <c r="AA2800">
        <v>1.182705258484585</v>
      </c>
      <c r="AB2800" t="str">
        <f>HYPERLINK("Melting_Curves/meltCurve_P63218_GNG5.pdf", "Melting_Curves/meltCurve_P63218_GNG5.pdf")</f>
        <v>Melting_Curves/meltCurve_P63218_GNG5.pdf</v>
      </c>
    </row>
    <row r="2801" spans="1:28" x14ac:dyDescent="0.25">
      <c r="A2801" t="s">
        <v>2805</v>
      </c>
      <c r="B2801">
        <v>0.99996721820229495</v>
      </c>
      <c r="C2801">
        <v>1.0112795758636699</v>
      </c>
      <c r="D2801">
        <v>0.77030162278483405</v>
      </c>
      <c r="E2801">
        <v>0.40021320272459499</v>
      </c>
      <c r="F2801">
        <v>0.32261823239334902</v>
      </c>
      <c r="G2801">
        <v>0.238301924935784</v>
      </c>
      <c r="H2801">
        <v>0.12459571922865501</v>
      </c>
      <c r="I2801">
        <v>8.9372511750808306E-2</v>
      </c>
      <c r="J2801">
        <v>7.3112247302316302E-2</v>
      </c>
      <c r="K2801">
        <v>5.2934559571416802E-2</v>
      </c>
      <c r="L2801">
        <v>841.89552683934596</v>
      </c>
      <c r="M2801">
        <v>17.1633549077706</v>
      </c>
      <c r="N2801">
        <v>49.595769594839098</v>
      </c>
      <c r="O2801">
        <v>48.400554522065399</v>
      </c>
      <c r="P2801">
        <v>-8.1053021757353599E-2</v>
      </c>
      <c r="Q2801">
        <v>8.5778330338163802E-2</v>
      </c>
      <c r="R2801">
        <v>0.98353728398639995</v>
      </c>
      <c r="S2801" t="s">
        <v>8627</v>
      </c>
      <c r="T2801" t="s">
        <v>11650</v>
      </c>
      <c r="U2801" t="s">
        <v>11650</v>
      </c>
      <c r="V2801" t="s">
        <v>11650</v>
      </c>
      <c r="W2801" t="s">
        <v>14406</v>
      </c>
      <c r="X2801">
        <v>21</v>
      </c>
      <c r="Y2801" t="s">
        <v>20112</v>
      </c>
      <c r="Z2801" t="s">
        <v>25863</v>
      </c>
      <c r="AA2801">
        <v>0.3790078684242843</v>
      </c>
      <c r="AB2801" t="str">
        <f>HYPERLINK("Melting_Curves/meltCurve_P63244_GNB2L1.pdf", "Melting_Curves/meltCurve_P63244_GNB2L1.pdf")</f>
        <v>Melting_Curves/meltCurve_P63244_GNB2L1.pdf</v>
      </c>
    </row>
    <row r="2802" spans="1:28" x14ac:dyDescent="0.25">
      <c r="A2802" t="s">
        <v>2806</v>
      </c>
      <c r="B2802">
        <v>0.99996721820229495</v>
      </c>
      <c r="C2802">
        <v>0.93895174652370395</v>
      </c>
      <c r="D2802">
        <v>1.25426768830734</v>
      </c>
      <c r="E2802">
        <v>1.5077285699441101</v>
      </c>
      <c r="F2802">
        <v>2.0962267943970199</v>
      </c>
      <c r="G2802">
        <v>4.5203598598180497</v>
      </c>
      <c r="H2802">
        <v>6.4450344806328497</v>
      </c>
      <c r="I2802">
        <v>4.0555261370733602</v>
      </c>
      <c r="J2802">
        <v>1.5942981871122699</v>
      </c>
      <c r="K2802">
        <v>3.28270087179513</v>
      </c>
      <c r="L2802">
        <v>10450.079808205501</v>
      </c>
      <c r="M2802">
        <v>227.209791876634</v>
      </c>
      <c r="O2802">
        <v>45.989524163212501</v>
      </c>
      <c r="P2802">
        <v>0.61755855420337802</v>
      </c>
      <c r="Q2802">
        <v>1.5</v>
      </c>
      <c r="R2802">
        <v>-0.42670983446627703</v>
      </c>
      <c r="S2802" t="s">
        <v>8628</v>
      </c>
      <c r="T2802" t="s">
        <v>11650</v>
      </c>
      <c r="U2802" t="s">
        <v>11650</v>
      </c>
      <c r="V2802" t="s">
        <v>11650</v>
      </c>
      <c r="W2802" t="s">
        <v>14407</v>
      </c>
      <c r="X2802">
        <v>8</v>
      </c>
      <c r="Y2802" t="s">
        <v>20113</v>
      </c>
      <c r="Z2802" t="s">
        <v>25864</v>
      </c>
      <c r="AA2802">
        <v>1.4000663473537751</v>
      </c>
      <c r="AB2802" t="str">
        <f>HYPERLINK("Melting_Curves/meltCurve_P67809_YBX1.pdf", "Melting_Curves/meltCurve_P67809_YBX1.pdf")</f>
        <v>Melting_Curves/meltCurve_P67809_YBX1.pdf</v>
      </c>
    </row>
    <row r="2803" spans="1:28" x14ac:dyDescent="0.25">
      <c r="A2803" t="s">
        <v>2807</v>
      </c>
      <c r="B2803">
        <v>0.99996721820229495</v>
      </c>
      <c r="C2803">
        <v>0.98272419689413903</v>
      </c>
      <c r="D2803">
        <v>0.94975240526895199</v>
      </c>
      <c r="E2803">
        <v>1.1106492829671399</v>
      </c>
      <c r="F2803">
        <v>1.7096135115737801</v>
      </c>
      <c r="G2803">
        <v>1.99638626040665</v>
      </c>
      <c r="H2803">
        <v>1.59071108737675</v>
      </c>
      <c r="I2803">
        <v>1.4598010327945401</v>
      </c>
      <c r="J2803">
        <v>1.48843260669105</v>
      </c>
      <c r="K2803">
        <v>1.2211667319067401</v>
      </c>
      <c r="L2803">
        <v>12562.9041867416</v>
      </c>
      <c r="M2803">
        <v>250</v>
      </c>
      <c r="O2803">
        <v>50.248400149528202</v>
      </c>
      <c r="P2803">
        <v>0.62191033802087003</v>
      </c>
      <c r="Q2803">
        <v>1.5</v>
      </c>
      <c r="R2803">
        <v>0.66227109782890903</v>
      </c>
      <c r="S2803" t="s">
        <v>8629</v>
      </c>
      <c r="T2803" t="s">
        <v>11650</v>
      </c>
      <c r="U2803" t="s">
        <v>11650</v>
      </c>
      <c r="V2803" t="s">
        <v>11650</v>
      </c>
      <c r="W2803" t="s">
        <v>14408</v>
      </c>
      <c r="X2803">
        <v>59</v>
      </c>
      <c r="Y2803" t="s">
        <v>20114</v>
      </c>
      <c r="Z2803" t="s">
        <v>25865</v>
      </c>
      <c r="AA2803">
        <v>1.329095625481242</v>
      </c>
      <c r="AB2803" t="str">
        <f>HYPERLINK("Melting_Curves/meltCurve_P67936_TPM4.pdf", "Melting_Curves/meltCurve_P67936_TPM4.pdf")</f>
        <v>Melting_Curves/meltCurve_P67936_TPM4.pdf</v>
      </c>
    </row>
    <row r="2804" spans="1:28" x14ac:dyDescent="0.25">
      <c r="A2804" t="s">
        <v>2808</v>
      </c>
      <c r="B2804">
        <v>0.99996721820229495</v>
      </c>
      <c r="C2804">
        <v>1.02257403230623</v>
      </c>
      <c r="D2804">
        <v>0.99825564058986604</v>
      </c>
      <c r="E2804">
        <v>1.1767779013008699</v>
      </c>
      <c r="F2804">
        <v>1.71403718743503</v>
      </c>
      <c r="G2804">
        <v>1.6496772656462799</v>
      </c>
      <c r="H2804">
        <v>1.0875523733530801</v>
      </c>
      <c r="I2804">
        <v>1.07409136568828</v>
      </c>
      <c r="J2804">
        <v>1.1292849796832301</v>
      </c>
      <c r="K2804">
        <v>1.02453364744411</v>
      </c>
      <c r="L2804">
        <v>12473.032314738301</v>
      </c>
      <c r="M2804">
        <v>250</v>
      </c>
      <c r="O2804">
        <v>49.8889366639157</v>
      </c>
      <c r="P2804">
        <v>0.35060718525247297</v>
      </c>
      <c r="Q2804">
        <v>1.2798627132602201</v>
      </c>
      <c r="R2804">
        <v>0.23206023466564801</v>
      </c>
      <c r="S2804" t="s">
        <v>8630</v>
      </c>
      <c r="T2804" t="s">
        <v>11650</v>
      </c>
      <c r="U2804" t="s">
        <v>11650</v>
      </c>
      <c r="V2804" t="s">
        <v>11650</v>
      </c>
      <c r="W2804" t="s">
        <v>14409</v>
      </c>
      <c r="X2804">
        <v>57</v>
      </c>
      <c r="Y2804" t="s">
        <v>20114</v>
      </c>
      <c r="Z2804" t="s">
        <v>25866</v>
      </c>
      <c r="AA2804">
        <v>1.1875569373617529</v>
      </c>
      <c r="AB2804" t="str">
        <f>HYPERLINK("Melting_Curves/meltCurve_P67936_2_TPM4.pdf", "Melting_Curves/meltCurve_P67936_2_TPM4.pdf")</f>
        <v>Melting_Curves/meltCurve_P67936_2_TPM4.pdf</v>
      </c>
    </row>
    <row r="2805" spans="1:28" x14ac:dyDescent="0.25">
      <c r="A2805" t="s">
        <v>2809</v>
      </c>
      <c r="B2805">
        <v>0.99996721820229495</v>
      </c>
      <c r="C2805">
        <v>0.90887062166225296</v>
      </c>
      <c r="D2805">
        <v>0.86936665622828202</v>
      </c>
      <c r="E2805">
        <v>0.91611691178466204</v>
      </c>
      <c r="F2805">
        <v>1.1056097064705199</v>
      </c>
      <c r="G2805">
        <v>1.0380272571709701</v>
      </c>
      <c r="H2805">
        <v>0.55202947971356697</v>
      </c>
      <c r="I2805">
        <v>0.34928641526378901</v>
      </c>
      <c r="J2805">
        <v>0.25947194958576802</v>
      </c>
      <c r="K2805">
        <v>0.186839202802252</v>
      </c>
      <c r="L2805">
        <v>3030.6718905869102</v>
      </c>
      <c r="M2805">
        <v>49.907387694353403</v>
      </c>
      <c r="N2805">
        <v>61.527587739847</v>
      </c>
      <c r="O2805">
        <v>60.628657064703397</v>
      </c>
      <c r="P2805">
        <v>-0.156597399705388</v>
      </c>
      <c r="Q2805">
        <v>0.239048002736264</v>
      </c>
      <c r="R2805">
        <v>0.94963186586552295</v>
      </c>
      <c r="S2805" t="s">
        <v>8631</v>
      </c>
      <c r="T2805" t="s">
        <v>11650</v>
      </c>
      <c r="U2805" t="s">
        <v>11650</v>
      </c>
      <c r="V2805" t="s">
        <v>11650</v>
      </c>
      <c r="W2805" t="s">
        <v>14410</v>
      </c>
      <c r="X2805">
        <v>15</v>
      </c>
      <c r="Y2805" t="s">
        <v>20115</v>
      </c>
      <c r="Z2805" t="s">
        <v>25867</v>
      </c>
      <c r="AA2805">
        <v>0.76675038537098839</v>
      </c>
      <c r="AB2805" t="str">
        <f>HYPERLINK("Melting_Curves/meltCurve_P68036_UBE2L3.pdf", "Melting_Curves/meltCurve_P68036_UBE2L3.pdf")</f>
        <v>Melting_Curves/meltCurve_P68036_UBE2L3.pdf</v>
      </c>
    </row>
    <row r="2806" spans="1:28" x14ac:dyDescent="0.25">
      <c r="A2806" t="s">
        <v>2810</v>
      </c>
      <c r="B2806">
        <v>0.99996721820229495</v>
      </c>
      <c r="C2806">
        <v>0.99721620121995402</v>
      </c>
      <c r="D2806">
        <v>0.92244894372882202</v>
      </c>
      <c r="E2806">
        <v>0.88693590465337802</v>
      </c>
      <c r="F2806">
        <v>0.40855562744836799</v>
      </c>
      <c r="G2806">
        <v>0.196164724850075</v>
      </c>
      <c r="H2806">
        <v>9.3467489406747997E-2</v>
      </c>
      <c r="I2806">
        <v>6.6951828159130297E-2</v>
      </c>
      <c r="J2806">
        <v>5.0863490440249202E-2</v>
      </c>
      <c r="K2806">
        <v>3.7288090576694598E-2</v>
      </c>
      <c r="L2806">
        <v>1714.4008513086101</v>
      </c>
      <c r="M2806">
        <v>32.715089990027799</v>
      </c>
      <c r="N2806">
        <v>52.645421753425502</v>
      </c>
      <c r="O2806">
        <v>52.209346650595798</v>
      </c>
      <c r="P2806">
        <v>-0.14574121298468601</v>
      </c>
      <c r="Q2806">
        <v>6.9662713997138803E-2</v>
      </c>
      <c r="R2806">
        <v>0.99146260687939403</v>
      </c>
      <c r="S2806" t="s">
        <v>8632</v>
      </c>
      <c r="T2806" t="s">
        <v>11650</v>
      </c>
      <c r="U2806" t="s">
        <v>11650</v>
      </c>
      <c r="V2806" t="s">
        <v>11650</v>
      </c>
      <c r="W2806" t="s">
        <v>14411</v>
      </c>
      <c r="X2806">
        <v>32</v>
      </c>
      <c r="Y2806" t="s">
        <v>20116</v>
      </c>
      <c r="Z2806" t="s">
        <v>25868</v>
      </c>
      <c r="AA2806">
        <v>0.45936239865505679</v>
      </c>
      <c r="AB2806" t="str">
        <f>HYPERLINK("Melting_Curves/meltCurve_P68104_EEF1A1.pdf", "Melting_Curves/meltCurve_P68104_EEF1A1.pdf")</f>
        <v>Melting_Curves/meltCurve_P68104_EEF1A1.pdf</v>
      </c>
    </row>
    <row r="2807" spans="1:28" x14ac:dyDescent="0.25">
      <c r="A2807" t="s">
        <v>2811</v>
      </c>
      <c r="B2807">
        <v>0.99996721820229495</v>
      </c>
      <c r="C2807">
        <v>1.02527131862197</v>
      </c>
      <c r="D2807">
        <v>0.97289399079038896</v>
      </c>
      <c r="E2807">
        <v>1.02056160490266</v>
      </c>
      <c r="F2807">
        <v>1.2134082876768699</v>
      </c>
      <c r="G2807">
        <v>1.17391079949643</v>
      </c>
      <c r="H2807">
        <v>0.56708746723344094</v>
      </c>
      <c r="I2807">
        <v>0.44035944151519102</v>
      </c>
      <c r="J2807">
        <v>0.36736220922624202</v>
      </c>
      <c r="K2807">
        <v>0.28709363999812698</v>
      </c>
      <c r="L2807">
        <v>7203.1719718047298</v>
      </c>
      <c r="M2807">
        <v>118.835389812489</v>
      </c>
      <c r="N2807">
        <v>61.287229371630197</v>
      </c>
      <c r="O2807">
        <v>60.597544478848597</v>
      </c>
      <c r="P2807">
        <v>-0.31166862627847902</v>
      </c>
      <c r="Q2807">
        <v>0.36428525188439098</v>
      </c>
      <c r="R2807">
        <v>0.91981055003975298</v>
      </c>
      <c r="S2807" t="s">
        <v>8633</v>
      </c>
      <c r="T2807" t="s">
        <v>11650</v>
      </c>
      <c r="U2807" t="s">
        <v>11650</v>
      </c>
      <c r="V2807" t="s">
        <v>11650</v>
      </c>
      <c r="W2807" t="s">
        <v>14412</v>
      </c>
      <c r="X2807">
        <v>4</v>
      </c>
      <c r="Y2807" t="s">
        <v>20117</v>
      </c>
      <c r="Z2807" t="s">
        <v>25869</v>
      </c>
      <c r="AA2807">
        <v>0.80142048497444063</v>
      </c>
      <c r="AB2807" t="str">
        <f>HYPERLINK("Melting_Curves/meltCurve_P68106_2_FKBP1B.pdf", "Melting_Curves/meltCurve_P68106_2_FKBP1B.pdf")</f>
        <v>Melting_Curves/meltCurve_P68106_2_FKBP1B.pdf</v>
      </c>
    </row>
    <row r="2808" spans="1:28" x14ac:dyDescent="0.25">
      <c r="A2808" t="s">
        <v>2812</v>
      </c>
      <c r="B2808">
        <v>0.99996721820229495</v>
      </c>
      <c r="C2808">
        <v>1.0665266729258001</v>
      </c>
      <c r="D2808">
        <v>1.03158425593041</v>
      </c>
      <c r="E2808">
        <v>1.0878240814312601</v>
      </c>
      <c r="F2808">
        <v>1.2157894516319201</v>
      </c>
      <c r="G2808">
        <v>1.5525475511928699</v>
      </c>
      <c r="H2808">
        <v>0.53539829176131704</v>
      </c>
      <c r="I2808">
        <v>0.17526694637205401</v>
      </c>
      <c r="J2808">
        <v>0.13514418761837399</v>
      </c>
      <c r="K2808">
        <v>9.7539632599998705E-2</v>
      </c>
      <c r="L2808">
        <v>8798.8039008656706</v>
      </c>
      <c r="M2808">
        <v>144.39182821618499</v>
      </c>
      <c r="N2808">
        <v>61.070837417984499</v>
      </c>
      <c r="O2808">
        <v>60.925289427797999</v>
      </c>
      <c r="P2808">
        <v>-0.51212565154090794</v>
      </c>
      <c r="Q2808">
        <v>0.13564605082651901</v>
      </c>
      <c r="R2808">
        <v>0.84546803450521602</v>
      </c>
      <c r="S2808" t="s">
        <v>8634</v>
      </c>
      <c r="T2808" t="s">
        <v>11650</v>
      </c>
      <c r="U2808" t="s">
        <v>11650</v>
      </c>
      <c r="V2808" t="s">
        <v>11650</v>
      </c>
      <c r="W2808" t="s">
        <v>14413</v>
      </c>
      <c r="X2808">
        <v>34</v>
      </c>
      <c r="Y2808" t="s">
        <v>20118</v>
      </c>
      <c r="Z2808" t="s">
        <v>25870</v>
      </c>
      <c r="AA2808">
        <v>0.7391557104997114</v>
      </c>
      <c r="AB2808" t="str">
        <f>HYPERLINK("Melting_Curves/meltCurve_P68371_TUBB4B.pdf", "Melting_Curves/meltCurve_P68371_TUBB4B.pdf")</f>
        <v>Melting_Curves/meltCurve_P68371_TUBB4B.pdf</v>
      </c>
    </row>
    <row r="2809" spans="1:28" x14ac:dyDescent="0.25">
      <c r="A2809" t="s">
        <v>2813</v>
      </c>
      <c r="B2809">
        <v>0.99996721820229495</v>
      </c>
      <c r="C2809">
        <v>0.72326036404247895</v>
      </c>
      <c r="D2809">
        <v>0.63411685840908005</v>
      </c>
      <c r="E2809">
        <v>0.649753976813923</v>
      </c>
      <c r="F2809">
        <v>0.65714796347763105</v>
      </c>
      <c r="G2809">
        <v>0.43938353735705099</v>
      </c>
      <c r="H2809">
        <v>0.32570566958414099</v>
      </c>
      <c r="I2809">
        <v>0.18833357511691301</v>
      </c>
      <c r="J2809">
        <v>0.15546852870333</v>
      </c>
      <c r="K2809">
        <v>0.142707221144906</v>
      </c>
      <c r="L2809">
        <v>356.59205088964598</v>
      </c>
      <c r="M2809">
        <v>6.6534430069600301</v>
      </c>
      <c r="N2809">
        <v>53.5951160407324</v>
      </c>
      <c r="O2809">
        <v>49.374828192402703</v>
      </c>
      <c r="P2809">
        <v>-3.3763613044647603E-2</v>
      </c>
      <c r="Q2809">
        <v>0</v>
      </c>
      <c r="R2809">
        <v>0.911116628426343</v>
      </c>
      <c r="S2809" t="s">
        <v>8635</v>
      </c>
      <c r="T2809" t="s">
        <v>11650</v>
      </c>
      <c r="U2809" t="s">
        <v>11650</v>
      </c>
      <c r="V2809" t="s">
        <v>11650</v>
      </c>
      <c r="W2809" t="s">
        <v>14414</v>
      </c>
      <c r="X2809">
        <v>6</v>
      </c>
      <c r="Y2809" t="s">
        <v>20119</v>
      </c>
      <c r="Z2809" t="s">
        <v>25871</v>
      </c>
      <c r="AA2809">
        <v>0.4931389551051556</v>
      </c>
      <c r="AB2809" t="str">
        <f>HYPERLINK("Melting_Curves/meltCurve_P68402_PAFAH1B2.pdf", "Melting_Curves/meltCurve_P68402_PAFAH1B2.pdf")</f>
        <v>Melting_Curves/meltCurve_P68402_PAFAH1B2.pdf</v>
      </c>
    </row>
    <row r="2810" spans="1:28" x14ac:dyDescent="0.25">
      <c r="A2810" t="s">
        <v>2814</v>
      </c>
      <c r="B2810">
        <v>0.99996721820229495</v>
      </c>
      <c r="C2810">
        <v>1.0632207076495701</v>
      </c>
      <c r="D2810">
        <v>1.0159485480875801</v>
      </c>
      <c r="E2810">
        <v>0.97379618713961003</v>
      </c>
      <c r="F2810">
        <v>1.2015921755897401</v>
      </c>
      <c r="G2810">
        <v>1.20777212090765</v>
      </c>
      <c r="H2810">
        <v>0.78388450386929298</v>
      </c>
      <c r="I2810">
        <v>0.82845396217346401</v>
      </c>
      <c r="J2810">
        <v>0.70782028713282796</v>
      </c>
      <c r="K2810">
        <v>0.52570806786202395</v>
      </c>
      <c r="L2810">
        <v>1440.2646106147199</v>
      </c>
      <c r="M2810">
        <v>21.672904169812899</v>
      </c>
      <c r="O2810">
        <v>65.8966082697753</v>
      </c>
      <c r="P2810">
        <v>-4.9964675079951303E-2</v>
      </c>
      <c r="Q2810">
        <v>0.39234269592808602</v>
      </c>
      <c r="R2810">
        <v>0.72335888433530404</v>
      </c>
      <c r="S2810" t="s">
        <v>8636</v>
      </c>
      <c r="T2810" t="s">
        <v>11650</v>
      </c>
      <c r="U2810" t="s">
        <v>11650</v>
      </c>
      <c r="V2810" t="s">
        <v>11650</v>
      </c>
      <c r="W2810" t="s">
        <v>14415</v>
      </c>
      <c r="X2810">
        <v>1</v>
      </c>
      <c r="Y2810" t="s">
        <v>20120</v>
      </c>
      <c r="Z2810" t="s">
        <v>25872</v>
      </c>
      <c r="AA2810">
        <v>0.91560366466269083</v>
      </c>
      <c r="AB2810" t="str">
        <f>HYPERLINK("Melting_Curves/meltCurve_P68871_HBB.pdf", "Melting_Curves/meltCurve_P68871_HBB.pdf")</f>
        <v>Melting_Curves/meltCurve_P68871_HBB.pdf</v>
      </c>
    </row>
    <row r="2811" spans="1:28" x14ac:dyDescent="0.25">
      <c r="A2811" t="s">
        <v>2815</v>
      </c>
      <c r="B2811">
        <v>0.99996721820229495</v>
      </c>
      <c r="C2811">
        <v>0.77458167838408998</v>
      </c>
      <c r="D2811">
        <v>0.78174090090737203</v>
      </c>
      <c r="E2811">
        <v>0.93022171505169404</v>
      </c>
      <c r="F2811">
        <v>0.83599324484919801</v>
      </c>
      <c r="G2811">
        <v>0.73383168305909097</v>
      </c>
      <c r="H2811">
        <v>0.46959790321862899</v>
      </c>
      <c r="I2811">
        <v>0.45044975589580499</v>
      </c>
      <c r="J2811">
        <v>0.29478761489755301</v>
      </c>
      <c r="K2811">
        <v>0.27575206206313402</v>
      </c>
      <c r="L2811">
        <v>483.59739662571701</v>
      </c>
      <c r="M2811">
        <v>7.8461653079063796</v>
      </c>
      <c r="N2811">
        <v>61.634871454161299</v>
      </c>
      <c r="O2811">
        <v>58.016062393282297</v>
      </c>
      <c r="P2811">
        <v>-3.38514203933779E-2</v>
      </c>
      <c r="Q2811">
        <v>0</v>
      </c>
      <c r="R2811">
        <v>0.86768002666664501</v>
      </c>
      <c r="S2811" t="s">
        <v>8637</v>
      </c>
      <c r="T2811" t="s">
        <v>11650</v>
      </c>
      <c r="U2811" t="s">
        <v>11650</v>
      </c>
      <c r="V2811" t="s">
        <v>11650</v>
      </c>
      <c r="W2811" t="s">
        <v>14416</v>
      </c>
      <c r="X2811">
        <v>4</v>
      </c>
      <c r="Y2811" t="s">
        <v>20121</v>
      </c>
      <c r="Z2811" t="s">
        <v>25873</v>
      </c>
      <c r="AA2811">
        <v>0.68713378493408039</v>
      </c>
      <c r="AB2811" t="str">
        <f>HYPERLINK("Melting_Curves/meltCurve_P69905_HBA1.pdf", "Melting_Curves/meltCurve_P69905_HBA1.pdf")</f>
        <v>Melting_Curves/meltCurve_P69905_HBA1.pdf</v>
      </c>
    </row>
    <row r="2812" spans="1:28" x14ac:dyDescent="0.25">
      <c r="A2812" t="s">
        <v>2816</v>
      </c>
      <c r="B2812">
        <v>0.99996721820229495</v>
      </c>
      <c r="C2812">
        <v>0.89204419896508602</v>
      </c>
      <c r="D2812">
        <v>1.0141777494416699</v>
      </c>
      <c r="E2812">
        <v>1.08147636941952</v>
      </c>
      <c r="F2812">
        <v>1.3211032869255499</v>
      </c>
      <c r="G2812">
        <v>1.3033144159088099</v>
      </c>
      <c r="H2812">
        <v>1.06250614247331</v>
      </c>
      <c r="I2812">
        <v>0.80370019810524995</v>
      </c>
      <c r="J2812">
        <v>0.52609956996686702</v>
      </c>
      <c r="K2812">
        <v>0.39698575948697901</v>
      </c>
      <c r="L2812">
        <v>3497.7257265823901</v>
      </c>
      <c r="M2812">
        <v>53.728394286554099</v>
      </c>
      <c r="N2812">
        <v>67.066004148129906</v>
      </c>
      <c r="O2812">
        <v>65.010139283147893</v>
      </c>
      <c r="P2812">
        <v>-0.12469509389132701</v>
      </c>
      <c r="Q2812">
        <v>0.39648745584822398</v>
      </c>
      <c r="R2812">
        <v>0.72640443407334099</v>
      </c>
      <c r="S2812" t="s">
        <v>8638</v>
      </c>
      <c r="T2812" t="s">
        <v>11650</v>
      </c>
      <c r="U2812" t="s">
        <v>11650</v>
      </c>
      <c r="V2812" t="s">
        <v>11650</v>
      </c>
      <c r="W2812" t="s">
        <v>14417</v>
      </c>
      <c r="X2812">
        <v>3</v>
      </c>
      <c r="Y2812" t="s">
        <v>20122</v>
      </c>
      <c r="Z2812" t="s">
        <v>25874</v>
      </c>
      <c r="AA2812">
        <v>0.90225283645828469</v>
      </c>
      <c r="AB2812" t="str">
        <f>HYPERLINK("Melting_Curves/meltCurve_P78310_CXADR.pdf", "Melting_Curves/meltCurve_P78310_CXADR.pdf")</f>
        <v>Melting_Curves/meltCurve_P78310_CXADR.pdf</v>
      </c>
    </row>
    <row r="2813" spans="1:28" x14ac:dyDescent="0.25">
      <c r="A2813" t="s">
        <v>2817</v>
      </c>
      <c r="B2813">
        <v>0.99996721820229495</v>
      </c>
      <c r="C2813">
        <v>0.93769183031501202</v>
      </c>
      <c r="D2813">
        <v>0.82448741366392198</v>
      </c>
      <c r="E2813">
        <v>0.78178666179608602</v>
      </c>
      <c r="F2813">
        <v>0.64544939458430095</v>
      </c>
      <c r="G2813">
        <v>0.44535803586002598</v>
      </c>
      <c r="H2813">
        <v>0.26400901612067301</v>
      </c>
      <c r="I2813">
        <v>0.186109632473859</v>
      </c>
      <c r="J2813">
        <v>0.12255755568872</v>
      </c>
      <c r="K2813">
        <v>9.19121882573921E-2</v>
      </c>
      <c r="L2813">
        <v>586.79189748402905</v>
      </c>
      <c r="M2813">
        <v>10.581543128423901</v>
      </c>
      <c r="N2813">
        <v>55.454283967445399</v>
      </c>
      <c r="O2813">
        <v>53.583642374627601</v>
      </c>
      <c r="P2813">
        <v>-4.9388616930154103E-2</v>
      </c>
      <c r="Q2813">
        <v>0</v>
      </c>
      <c r="R2813">
        <v>0.99276149468394304</v>
      </c>
      <c r="S2813" t="s">
        <v>8639</v>
      </c>
      <c r="T2813" t="s">
        <v>11650</v>
      </c>
      <c r="U2813" t="s">
        <v>11650</v>
      </c>
      <c r="V2813" t="s">
        <v>11650</v>
      </c>
      <c r="W2813" t="s">
        <v>14418</v>
      </c>
      <c r="X2813">
        <v>14</v>
      </c>
      <c r="Y2813" t="s">
        <v>20123</v>
      </c>
      <c r="Z2813" t="s">
        <v>25875</v>
      </c>
      <c r="AA2813">
        <v>0.53853492494654043</v>
      </c>
      <c r="AB2813" t="str">
        <f>HYPERLINK("Melting_Curves/meltCurve_P78318_IGBP1.pdf", "Melting_Curves/meltCurve_P78318_IGBP1.pdf")</f>
        <v>Melting_Curves/meltCurve_P78318_IGBP1.pdf</v>
      </c>
    </row>
    <row r="2814" spans="1:28" x14ac:dyDescent="0.25">
      <c r="A2814" t="s">
        <v>2818</v>
      </c>
      <c r="B2814">
        <v>0.99996721820229495</v>
      </c>
      <c r="C2814">
        <v>0.93286196766736895</v>
      </c>
      <c r="D2814">
        <v>1.0248416103818501</v>
      </c>
      <c r="E2814">
        <v>1.10993465986913</v>
      </c>
      <c r="F2814">
        <v>1.5021747077313301</v>
      </c>
      <c r="G2814">
        <v>1.54836533535271</v>
      </c>
      <c r="H2814">
        <v>1.1877073183782301</v>
      </c>
      <c r="I2814">
        <v>0.766743269930514</v>
      </c>
      <c r="J2814">
        <v>0.53648071784732998</v>
      </c>
      <c r="K2814">
        <v>0.53132337958682196</v>
      </c>
      <c r="L2814">
        <v>15000</v>
      </c>
      <c r="M2814">
        <v>234.37668470230301</v>
      </c>
      <c r="O2814">
        <v>63.994882865730602</v>
      </c>
      <c r="P2814">
        <v>-0.42676947373077201</v>
      </c>
      <c r="Q2814">
        <v>0.53389457023515197</v>
      </c>
      <c r="R2814">
        <v>0.445795263741534</v>
      </c>
      <c r="S2814" t="s">
        <v>8640</v>
      </c>
      <c r="T2814" t="s">
        <v>11650</v>
      </c>
      <c r="U2814" t="s">
        <v>11650</v>
      </c>
      <c r="V2814" t="s">
        <v>11650</v>
      </c>
      <c r="W2814" t="s">
        <v>14419</v>
      </c>
      <c r="X2814">
        <v>15</v>
      </c>
      <c r="Y2814" t="s">
        <v>20124</v>
      </c>
      <c r="Z2814" t="s">
        <v>25876</v>
      </c>
      <c r="AA2814">
        <v>0.90683133261841598</v>
      </c>
      <c r="AB2814" t="str">
        <f>HYPERLINK("Melting_Curves/meltCurve_P78324_SIRPA.pdf", "Melting_Curves/meltCurve_P78324_SIRPA.pdf")</f>
        <v>Melting_Curves/meltCurve_P78324_SIRPA.pdf</v>
      </c>
    </row>
    <row r="2815" spans="1:28" x14ac:dyDescent="0.25">
      <c r="A2815" t="s">
        <v>2819</v>
      </c>
      <c r="B2815">
        <v>0.99996721820229495</v>
      </c>
      <c r="C2815">
        <v>1.03325556067748</v>
      </c>
      <c r="D2815">
        <v>1.00789779228791</v>
      </c>
      <c r="E2815">
        <v>0.95259187440410897</v>
      </c>
      <c r="F2815">
        <v>1.2530454288891899</v>
      </c>
      <c r="G2815">
        <v>1.31856297661191</v>
      </c>
      <c r="H2815">
        <v>0.89644285426571602</v>
      </c>
      <c r="I2815">
        <v>0.677523608022368</v>
      </c>
      <c r="J2815">
        <v>0.20280495291689099</v>
      </c>
      <c r="K2815">
        <v>8.5770701995327894E-2</v>
      </c>
      <c r="L2815">
        <v>3060.6080191701499</v>
      </c>
      <c r="M2815">
        <v>47.235773423910899</v>
      </c>
      <c r="N2815">
        <v>64.941339825131607</v>
      </c>
      <c r="O2815">
        <v>64.678472232665797</v>
      </c>
      <c r="P2815">
        <v>-0.173318807466284</v>
      </c>
      <c r="Q2815">
        <v>5.0720906846756099E-2</v>
      </c>
      <c r="R2815">
        <v>0.884914134411521</v>
      </c>
      <c r="S2815" t="s">
        <v>8641</v>
      </c>
      <c r="T2815" t="s">
        <v>11650</v>
      </c>
      <c r="U2815" t="s">
        <v>11650</v>
      </c>
      <c r="V2815" t="s">
        <v>11650</v>
      </c>
      <c r="W2815" t="s">
        <v>14420</v>
      </c>
      <c r="X2815">
        <v>12</v>
      </c>
      <c r="Y2815" t="s">
        <v>20125</v>
      </c>
      <c r="Z2815" t="s">
        <v>25877</v>
      </c>
      <c r="AA2815">
        <v>0.83675735713072608</v>
      </c>
      <c r="AB2815" t="str">
        <f>HYPERLINK("Melting_Curves/meltCurve_P78330_PSPH.pdf", "Melting_Curves/meltCurve_P78330_PSPH.pdf")</f>
        <v>Melting_Curves/meltCurve_P78330_PSPH.pdf</v>
      </c>
    </row>
    <row r="2816" spans="1:28" x14ac:dyDescent="0.25">
      <c r="A2816" t="s">
        <v>2820</v>
      </c>
      <c r="B2816">
        <v>0.99996721820229495</v>
      </c>
      <c r="C2816">
        <v>0.90820119819685996</v>
      </c>
      <c r="D2816">
        <v>0.44730529080176601</v>
      </c>
      <c r="E2816">
        <v>0.26559596963598803</v>
      </c>
      <c r="F2816">
        <v>0.341546331731298</v>
      </c>
      <c r="G2816">
        <v>0.24343879614189001</v>
      </c>
      <c r="H2816">
        <v>0.157458369801695</v>
      </c>
      <c r="I2816">
        <v>0.12821006921573699</v>
      </c>
      <c r="J2816">
        <v>9.8930638531243398E-2</v>
      </c>
      <c r="K2816">
        <v>6.8221062988453096E-2</v>
      </c>
      <c r="L2816">
        <v>1302.0143506571001</v>
      </c>
      <c r="M2816">
        <v>28.745226462110299</v>
      </c>
      <c r="N2816">
        <v>45.972783153448098</v>
      </c>
      <c r="O2816">
        <v>45.077448337476802</v>
      </c>
      <c r="P2816">
        <v>-0.131886247088635</v>
      </c>
      <c r="Q2816">
        <v>0.17272510541408201</v>
      </c>
      <c r="R2816">
        <v>0.94497389845566804</v>
      </c>
      <c r="S2816" t="s">
        <v>8642</v>
      </c>
      <c r="T2816" t="s">
        <v>11650</v>
      </c>
      <c r="U2816" t="s">
        <v>11650</v>
      </c>
      <c r="V2816" t="s">
        <v>11650</v>
      </c>
      <c r="W2816" t="s">
        <v>14421</v>
      </c>
      <c r="X2816">
        <v>12</v>
      </c>
      <c r="Y2816" t="s">
        <v>20126</v>
      </c>
      <c r="Z2816" t="s">
        <v>25878</v>
      </c>
      <c r="AA2816">
        <v>0.32449713895147952</v>
      </c>
      <c r="AB2816" t="str">
        <f>HYPERLINK("Melting_Curves/meltCurve_P78347_2_GTF2I.pdf", "Melting_Curves/meltCurve_P78347_2_GTF2I.pdf")</f>
        <v>Melting_Curves/meltCurve_P78347_2_GTF2I.pdf</v>
      </c>
    </row>
    <row r="2817" spans="1:28" x14ac:dyDescent="0.25">
      <c r="A2817" t="s">
        <v>2821</v>
      </c>
      <c r="B2817">
        <v>0.99996721820229495</v>
      </c>
      <c r="C2817">
        <v>0.907806318009729</v>
      </c>
      <c r="D2817">
        <v>0.92798067063779599</v>
      </c>
      <c r="E2817">
        <v>0.93709865157260097</v>
      </c>
      <c r="F2817">
        <v>0.50928883741336495</v>
      </c>
      <c r="G2817">
        <v>0.48444993726396901</v>
      </c>
      <c r="H2817">
        <v>0.31884010403920099</v>
      </c>
      <c r="I2817">
        <v>0.21704632103695201</v>
      </c>
      <c r="J2817">
        <v>0.17173787491347101</v>
      </c>
      <c r="K2817">
        <v>0.13240946701677</v>
      </c>
      <c r="L2817">
        <v>701.75100226208394</v>
      </c>
      <c r="M2817">
        <v>12.7589465621957</v>
      </c>
      <c r="N2817">
        <v>55.873789509747397</v>
      </c>
      <c r="O2817">
        <v>53.702121333536397</v>
      </c>
      <c r="P2817">
        <v>-5.4038968229145501E-2</v>
      </c>
      <c r="Q2817">
        <v>9.0377711884006104E-2</v>
      </c>
      <c r="R2817">
        <v>0.95847895777583303</v>
      </c>
      <c r="S2817" t="s">
        <v>8643</v>
      </c>
      <c r="T2817" t="s">
        <v>11650</v>
      </c>
      <c r="U2817" t="s">
        <v>11650</v>
      </c>
      <c r="V2817" t="s">
        <v>11650</v>
      </c>
      <c r="W2817" t="s">
        <v>14422</v>
      </c>
      <c r="X2817">
        <v>8</v>
      </c>
      <c r="Y2817" t="s">
        <v>20127</v>
      </c>
      <c r="Z2817" t="s">
        <v>25879</v>
      </c>
      <c r="AA2817">
        <v>0.56559224829447485</v>
      </c>
      <c r="AB2817" t="str">
        <f>HYPERLINK("Melting_Curves/meltCurve_P78356_PIP4K2B.pdf", "Melting_Curves/meltCurve_P78356_PIP4K2B.pdf")</f>
        <v>Melting_Curves/meltCurve_P78356_PIP4K2B.pdf</v>
      </c>
    </row>
    <row r="2818" spans="1:28" x14ac:dyDescent="0.25">
      <c r="A2818" t="s">
        <v>2822</v>
      </c>
      <c r="B2818">
        <v>0.99996721820229495</v>
      </c>
      <c r="C2818">
        <v>0.99651640173735001</v>
      </c>
      <c r="D2818">
        <v>0.95256786489244905</v>
      </c>
      <c r="E2818">
        <v>1.2863874960163499</v>
      </c>
      <c r="F2818">
        <v>1.5090460847598499</v>
      </c>
      <c r="G2818">
        <v>1.9652530943378199</v>
      </c>
      <c r="H2818">
        <v>0.77897025053575797</v>
      </c>
      <c r="I2818">
        <v>0.32609192828681899</v>
      </c>
      <c r="J2818">
        <v>0.13968283719399199</v>
      </c>
      <c r="K2818">
        <v>0.12452657183350101</v>
      </c>
      <c r="L2818">
        <v>3773.8367473809999</v>
      </c>
      <c r="M2818">
        <v>60.466666990526498</v>
      </c>
      <c r="N2818">
        <v>62.738512920035497</v>
      </c>
      <c r="O2818">
        <v>62.343697695519801</v>
      </c>
      <c r="P2818">
        <v>-0.209729792172345</v>
      </c>
      <c r="Q2818">
        <v>0.135039113712321</v>
      </c>
      <c r="R2818">
        <v>0.59864204136182897</v>
      </c>
      <c r="S2818" t="s">
        <v>8644</v>
      </c>
      <c r="T2818" t="s">
        <v>11650</v>
      </c>
      <c r="U2818" t="s">
        <v>11650</v>
      </c>
      <c r="V2818" t="s">
        <v>11650</v>
      </c>
      <c r="W2818" t="s">
        <v>14423</v>
      </c>
      <c r="X2818">
        <v>32</v>
      </c>
      <c r="Y2818" t="s">
        <v>20128</v>
      </c>
      <c r="Z2818" t="s">
        <v>25880</v>
      </c>
      <c r="AA2818">
        <v>0.78278831420546457</v>
      </c>
      <c r="AB2818" t="str">
        <f>HYPERLINK("Melting_Curves/meltCurve_P78371_CCT2.pdf", "Melting_Curves/meltCurve_P78371_CCT2.pdf")</f>
        <v>Melting_Curves/meltCurve_P78371_CCT2.pdf</v>
      </c>
    </row>
    <row r="2819" spans="1:28" x14ac:dyDescent="0.25">
      <c r="A2819" t="s">
        <v>2823</v>
      </c>
      <c r="B2819">
        <v>0.99996721820229495</v>
      </c>
      <c r="C2819">
        <v>0.93003743498804403</v>
      </c>
      <c r="D2819">
        <v>0.81735601212892595</v>
      </c>
      <c r="E2819">
        <v>0.69125686020182298</v>
      </c>
      <c r="F2819">
        <v>0.368081297348689</v>
      </c>
      <c r="G2819">
        <v>0.30076732534359901</v>
      </c>
      <c r="H2819">
        <v>0.176065455511907</v>
      </c>
      <c r="I2819">
        <v>0.26317041498721699</v>
      </c>
      <c r="J2819">
        <v>9.44554798176373E-2</v>
      </c>
      <c r="K2819">
        <v>7.7910592642252904E-2</v>
      </c>
      <c r="L2819">
        <v>685.98796616840605</v>
      </c>
      <c r="M2819">
        <v>13.388532705802</v>
      </c>
      <c r="N2819">
        <v>52.067982618347003</v>
      </c>
      <c r="O2819">
        <v>50.134432273391099</v>
      </c>
      <c r="P2819">
        <v>-6.0350298794105799E-2</v>
      </c>
      <c r="Q2819">
        <v>9.6196609705324093E-2</v>
      </c>
      <c r="R2819">
        <v>0.97518637877919601</v>
      </c>
      <c r="S2819" t="s">
        <v>8645</v>
      </c>
      <c r="T2819" t="s">
        <v>11650</v>
      </c>
      <c r="U2819" t="s">
        <v>11650</v>
      </c>
      <c r="V2819" t="s">
        <v>11650</v>
      </c>
      <c r="W2819" t="s">
        <v>14424</v>
      </c>
      <c r="X2819">
        <v>10</v>
      </c>
      <c r="Y2819" t="s">
        <v>20129</v>
      </c>
      <c r="Z2819" t="s">
        <v>25881</v>
      </c>
      <c r="AA2819">
        <v>0.45950255434537801</v>
      </c>
      <c r="AB2819" t="str">
        <f>HYPERLINK("Melting_Curves/meltCurve_P78406_RAE1.pdf", "Melting_Curves/meltCurve_P78406_RAE1.pdf")</f>
        <v>Melting_Curves/meltCurve_P78406_RAE1.pdf</v>
      </c>
    </row>
    <row r="2820" spans="1:28" x14ac:dyDescent="0.25">
      <c r="A2820" t="s">
        <v>2824</v>
      </c>
      <c r="B2820">
        <v>0.99996721820229495</v>
      </c>
      <c r="C2820">
        <v>0.95573709091516701</v>
      </c>
      <c r="D2820">
        <v>0.99056243743900996</v>
      </c>
      <c r="E2820">
        <v>1.0377125122378701</v>
      </c>
      <c r="F2820">
        <v>1.23109087304537</v>
      </c>
      <c r="G2820">
        <v>1.0534124743973901</v>
      </c>
      <c r="H2820">
        <v>0.55635845323021604</v>
      </c>
      <c r="I2820">
        <v>0.27028640743823801</v>
      </c>
      <c r="J2820">
        <v>0.13851997460378901</v>
      </c>
      <c r="K2820">
        <v>9.5519624735013006E-2</v>
      </c>
      <c r="L2820">
        <v>2839.2177226020199</v>
      </c>
      <c r="M2820">
        <v>46.432959232143901</v>
      </c>
      <c r="N2820">
        <v>61.5245382538724</v>
      </c>
      <c r="O2820">
        <v>61.033509052332498</v>
      </c>
      <c r="P2820">
        <v>-0.16659550515412899</v>
      </c>
      <c r="Q2820">
        <v>0.124079376576051</v>
      </c>
      <c r="R2820">
        <v>0.95834002932561402</v>
      </c>
      <c r="S2820" t="s">
        <v>8646</v>
      </c>
      <c r="T2820" t="s">
        <v>11650</v>
      </c>
      <c r="U2820" t="s">
        <v>11650</v>
      </c>
      <c r="V2820" t="s">
        <v>11650</v>
      </c>
      <c r="W2820" t="s">
        <v>14425</v>
      </c>
      <c r="X2820">
        <v>21</v>
      </c>
      <c r="Y2820" t="s">
        <v>20130</v>
      </c>
      <c r="Z2820" t="s">
        <v>25882</v>
      </c>
      <c r="AA2820">
        <v>0.74409694118902114</v>
      </c>
      <c r="AB2820" t="str">
        <f>HYPERLINK("Melting_Curves/meltCurve_P78417_GSTO1.pdf", "Melting_Curves/meltCurve_P78417_GSTO1.pdf")</f>
        <v>Melting_Curves/meltCurve_P78417_GSTO1.pdf</v>
      </c>
    </row>
    <row r="2821" spans="1:28" x14ac:dyDescent="0.25">
      <c r="A2821" t="s">
        <v>2825</v>
      </c>
      <c r="B2821">
        <v>0.99996721820229495</v>
      </c>
      <c r="C2821">
        <v>0.86735696392288997</v>
      </c>
      <c r="D2821">
        <v>0.94767451076348497</v>
      </c>
      <c r="E2821">
        <v>1.2304721116661299</v>
      </c>
      <c r="F2821">
        <v>1.5928979851302001</v>
      </c>
      <c r="G2821">
        <v>1.6302919817002099</v>
      </c>
      <c r="H2821">
        <v>1.2825136625736799</v>
      </c>
      <c r="I2821">
        <v>0.68243878554865101</v>
      </c>
      <c r="J2821">
        <v>0.25157034430410502</v>
      </c>
      <c r="K2821">
        <v>0.26525451781853399</v>
      </c>
      <c r="L2821">
        <v>15000</v>
      </c>
      <c r="M2821">
        <v>234.085800393455</v>
      </c>
      <c r="N2821">
        <v>64.278786516141395</v>
      </c>
      <c r="O2821">
        <v>64.074391278792504</v>
      </c>
      <c r="P2821">
        <v>-0.67733156623369195</v>
      </c>
      <c r="Q2821">
        <v>0.25839828564087802</v>
      </c>
      <c r="R2821">
        <v>0.56972021678364904</v>
      </c>
      <c r="S2821" t="s">
        <v>8647</v>
      </c>
      <c r="T2821" t="s">
        <v>11650</v>
      </c>
      <c r="U2821" t="s">
        <v>11650</v>
      </c>
      <c r="V2821" t="s">
        <v>11650</v>
      </c>
      <c r="W2821" t="s">
        <v>14426</v>
      </c>
      <c r="X2821">
        <v>15</v>
      </c>
      <c r="Y2821" t="s">
        <v>20131</v>
      </c>
      <c r="Z2821" t="s">
        <v>25883</v>
      </c>
      <c r="AA2821">
        <v>0.85372935785204518</v>
      </c>
      <c r="AB2821" t="str">
        <f>HYPERLINK("Melting_Curves/meltCurve_P78536_ADAM17.pdf", "Melting_Curves/meltCurve_P78536_ADAM17.pdf")</f>
        <v>Melting_Curves/meltCurve_P78536_ADAM17.pdf</v>
      </c>
    </row>
    <row r="2822" spans="1:28" x14ac:dyDescent="0.25">
      <c r="A2822" t="s">
        <v>2826</v>
      </c>
      <c r="B2822">
        <v>0.99996721820229495</v>
      </c>
      <c r="C2822">
        <v>0.95038110188992297</v>
      </c>
      <c r="D2822">
        <v>0.84564780881762902</v>
      </c>
      <c r="E2822">
        <v>0.93837522935136397</v>
      </c>
      <c r="F2822">
        <v>0.99529882122025704</v>
      </c>
      <c r="G2822">
        <v>0.82263258582302201</v>
      </c>
      <c r="H2822">
        <v>0.45332610466029499</v>
      </c>
      <c r="I2822">
        <v>0.27122073881766601</v>
      </c>
      <c r="J2822">
        <v>0.19329490448315101</v>
      </c>
      <c r="K2822">
        <v>0.15914963007799801</v>
      </c>
      <c r="L2822">
        <v>1641.6365968863299</v>
      </c>
      <c r="M2822">
        <v>27.4737842061839</v>
      </c>
      <c r="N2822">
        <v>60.529918228441304</v>
      </c>
      <c r="O2822">
        <v>59.438955904928498</v>
      </c>
      <c r="P2822">
        <v>-9.8383173108873595E-2</v>
      </c>
      <c r="Q2822">
        <v>0.148608144833835</v>
      </c>
      <c r="R2822">
        <v>0.97303672229541704</v>
      </c>
      <c r="S2822" t="s">
        <v>8648</v>
      </c>
      <c r="T2822" t="s">
        <v>11650</v>
      </c>
      <c r="U2822" t="s">
        <v>11650</v>
      </c>
      <c r="V2822" t="s">
        <v>11650</v>
      </c>
      <c r="W2822" t="s">
        <v>14427</v>
      </c>
      <c r="X2822">
        <v>4</v>
      </c>
      <c r="Y2822" t="s">
        <v>20132</v>
      </c>
      <c r="Z2822" t="s">
        <v>25884</v>
      </c>
      <c r="AA2822">
        <v>0.71506724740285832</v>
      </c>
      <c r="AB2822" t="str">
        <f>HYPERLINK("Melting_Curves/meltCurve_P78537_BLOC1S1.pdf", "Melting_Curves/meltCurve_P78537_BLOC1S1.pdf")</f>
        <v>Melting_Curves/meltCurve_P78537_BLOC1S1.pdf</v>
      </c>
    </row>
    <row r="2823" spans="1:28" x14ac:dyDescent="0.25">
      <c r="A2823" t="s">
        <v>2827</v>
      </c>
      <c r="B2823">
        <v>0.99996721820229495</v>
      </c>
      <c r="C2823">
        <v>1.1473403150177901</v>
      </c>
      <c r="D2823">
        <v>1.0820397245198199</v>
      </c>
      <c r="E2823">
        <v>0.97042425451080905</v>
      </c>
      <c r="F2823">
        <v>1.0223086464216899</v>
      </c>
      <c r="G2823">
        <v>0.935175057843879</v>
      </c>
      <c r="H2823">
        <v>0.49623550279894502</v>
      </c>
      <c r="I2823">
        <v>0.33526632394513201</v>
      </c>
      <c r="J2823">
        <v>0.32927814260068899</v>
      </c>
      <c r="K2823">
        <v>0.15908302826972501</v>
      </c>
      <c r="L2823">
        <v>2235.9334483666198</v>
      </c>
      <c r="M2823">
        <v>37.182670707142599</v>
      </c>
      <c r="N2823">
        <v>61.197540705461499</v>
      </c>
      <c r="O2823">
        <v>59.960606091574498</v>
      </c>
      <c r="P2823">
        <v>-0.118129822182328</v>
      </c>
      <c r="Q2823">
        <v>0.23801965363879099</v>
      </c>
      <c r="R2823">
        <v>0.96463738823772505</v>
      </c>
      <c r="S2823" t="s">
        <v>8649</v>
      </c>
      <c r="T2823" t="s">
        <v>11650</v>
      </c>
      <c r="U2823" t="s">
        <v>11650</v>
      </c>
      <c r="V2823" t="s">
        <v>11650</v>
      </c>
      <c r="W2823" t="s">
        <v>14428</v>
      </c>
      <c r="X2823">
        <v>1</v>
      </c>
      <c r="Y2823" t="s">
        <v>20133</v>
      </c>
      <c r="Z2823" t="s">
        <v>25885</v>
      </c>
      <c r="AA2823">
        <v>0.75276090877027657</v>
      </c>
      <c r="AB2823" t="str">
        <f>HYPERLINK("Melting_Curves/meltCurve_P78539_4_SRPX.pdf", "Melting_Curves/meltCurve_P78539_4_SRPX.pdf")</f>
        <v>Melting_Curves/meltCurve_P78539_4_SRPX.pdf</v>
      </c>
    </row>
    <row r="2824" spans="1:28" x14ac:dyDescent="0.25">
      <c r="A2824" t="s">
        <v>2828</v>
      </c>
      <c r="B2824">
        <v>0.99996721820229495</v>
      </c>
      <c r="C2824">
        <v>1.0234218871507601</v>
      </c>
      <c r="D2824">
        <v>1.05099143295568</v>
      </c>
      <c r="E2824">
        <v>1.1181595743111099</v>
      </c>
      <c r="F2824">
        <v>1.1907382275473599</v>
      </c>
      <c r="G2824">
        <v>1.39648243146547</v>
      </c>
      <c r="H2824">
        <v>0.99500208899276599</v>
      </c>
      <c r="I2824">
        <v>0.58206140299902898</v>
      </c>
      <c r="J2824">
        <v>0.309242552196972</v>
      </c>
      <c r="K2824">
        <v>0.378968884986216</v>
      </c>
      <c r="L2824">
        <v>15000</v>
      </c>
      <c r="M2824">
        <v>234.938251124895</v>
      </c>
      <c r="N2824">
        <v>64.164851819428506</v>
      </c>
      <c r="O2824">
        <v>63.841937305084599</v>
      </c>
      <c r="P2824">
        <v>-0.60342628068821402</v>
      </c>
      <c r="Q2824">
        <v>0.34410165190738401</v>
      </c>
      <c r="R2824">
        <v>0.81577953668179204</v>
      </c>
      <c r="S2824" t="s">
        <v>8650</v>
      </c>
      <c r="T2824" t="s">
        <v>11650</v>
      </c>
      <c r="U2824" t="s">
        <v>11650</v>
      </c>
      <c r="V2824" t="s">
        <v>11650</v>
      </c>
      <c r="W2824" t="s">
        <v>14429</v>
      </c>
      <c r="X2824">
        <v>4</v>
      </c>
      <c r="Y2824" t="s">
        <v>20134</v>
      </c>
      <c r="Z2824" t="s">
        <v>25886</v>
      </c>
      <c r="AA2824">
        <v>0.86554892929762484</v>
      </c>
      <c r="AB2824" t="str">
        <f>HYPERLINK("Melting_Curves/meltCurve_P78552_IL13RA1.pdf", "Melting_Curves/meltCurve_P78552_IL13RA1.pdf")</f>
        <v>Melting_Curves/meltCurve_P78552_IL13RA1.pdf</v>
      </c>
    </row>
    <row r="2825" spans="1:28" x14ac:dyDescent="0.25">
      <c r="A2825" t="s">
        <v>2829</v>
      </c>
      <c r="B2825">
        <v>0.99996721820229495</v>
      </c>
      <c r="C2825">
        <v>0.99440628759331695</v>
      </c>
      <c r="D2825">
        <v>1.0399398555683499</v>
      </c>
      <c r="E2825">
        <v>1.1460512257646001</v>
      </c>
      <c r="F2825">
        <v>1.3117147592670699</v>
      </c>
      <c r="G2825">
        <v>0.83929904243071196</v>
      </c>
      <c r="H2825">
        <v>0.244754444641992</v>
      </c>
      <c r="I2825">
        <v>0.154125283755951</v>
      </c>
      <c r="J2825">
        <v>0.108476909420218</v>
      </c>
      <c r="K2825">
        <v>8.1984753839323701E-2</v>
      </c>
      <c r="L2825">
        <v>2967.8735916880801</v>
      </c>
      <c r="M2825">
        <v>50.420173653047101</v>
      </c>
      <c r="N2825">
        <v>59.153645507376297</v>
      </c>
      <c r="O2825">
        <v>58.770432891739901</v>
      </c>
      <c r="P2825">
        <v>-0.19093452302424499</v>
      </c>
      <c r="Q2825">
        <v>0.10977715849254201</v>
      </c>
      <c r="R2825">
        <v>0.94143990286616897</v>
      </c>
      <c r="S2825" t="s">
        <v>8651</v>
      </c>
      <c r="T2825" t="s">
        <v>11650</v>
      </c>
      <c r="U2825" t="s">
        <v>11650</v>
      </c>
      <c r="V2825" t="s">
        <v>11650</v>
      </c>
      <c r="W2825" t="s">
        <v>14430</v>
      </c>
      <c r="X2825">
        <v>16</v>
      </c>
      <c r="Y2825" t="s">
        <v>20135</v>
      </c>
      <c r="Z2825" t="s">
        <v>25887</v>
      </c>
      <c r="AA2825">
        <v>0.67177022056798019</v>
      </c>
      <c r="AB2825" t="str">
        <f>HYPERLINK("Melting_Curves/meltCurve_P80217_IFI35.pdf", "Melting_Curves/meltCurve_P80217_IFI35.pdf")</f>
        <v>Melting_Curves/meltCurve_P80217_IFI35.pdf</v>
      </c>
    </row>
    <row r="2826" spans="1:28" x14ac:dyDescent="0.25">
      <c r="A2826" t="s">
        <v>2830</v>
      </c>
      <c r="B2826">
        <v>0.99996721820229495</v>
      </c>
      <c r="C2826">
        <v>0.75101004615050304</v>
      </c>
      <c r="D2826">
        <v>0.84000734288341405</v>
      </c>
      <c r="E2826">
        <v>0.94896507850447398</v>
      </c>
      <c r="F2826">
        <v>1.4953919794502699</v>
      </c>
      <c r="G2826">
        <v>4.9308714236064199</v>
      </c>
      <c r="H2826">
        <v>3.66598629125814</v>
      </c>
      <c r="I2826">
        <v>4.2832388201770097</v>
      </c>
      <c r="J2826">
        <v>4.0990701339542204</v>
      </c>
      <c r="K2826">
        <v>2.4344979688564101</v>
      </c>
      <c r="L2826">
        <v>13004.7412102896</v>
      </c>
      <c r="M2826">
        <v>250</v>
      </c>
      <c r="O2826">
        <v>52.015636036568502</v>
      </c>
      <c r="P2826">
        <v>0.600780889292301</v>
      </c>
      <c r="Q2826">
        <v>1.5</v>
      </c>
      <c r="R2826">
        <v>-0.305337864653631</v>
      </c>
      <c r="S2826" t="s">
        <v>8652</v>
      </c>
      <c r="T2826" t="s">
        <v>11650</v>
      </c>
      <c r="U2826" t="s">
        <v>11650</v>
      </c>
      <c r="V2826" t="s">
        <v>11650</v>
      </c>
      <c r="W2826" t="s">
        <v>14431</v>
      </c>
      <c r="X2826">
        <v>8</v>
      </c>
      <c r="Y2826" t="s">
        <v>20136</v>
      </c>
      <c r="Z2826" t="s">
        <v>25888</v>
      </c>
      <c r="AA2826">
        <v>1.299638273077143</v>
      </c>
      <c r="AB2826" t="str">
        <f>HYPERLINK("Melting_Curves/meltCurve_P80297_MT1X.pdf", "Melting_Curves/meltCurve_P80297_MT1X.pdf")</f>
        <v>Melting_Curves/meltCurve_P80297_MT1X.pdf</v>
      </c>
    </row>
    <row r="2827" spans="1:28" x14ac:dyDescent="0.25">
      <c r="A2827" t="s">
        <v>2831</v>
      </c>
      <c r="B2827">
        <v>0.99996721820229495</v>
      </c>
      <c r="C2827">
        <v>1.05284057501755</v>
      </c>
      <c r="D2827">
        <v>1.00463399714669</v>
      </c>
      <c r="E2827">
        <v>1.0365378476753699</v>
      </c>
      <c r="F2827">
        <v>1.2881138797106499</v>
      </c>
      <c r="G2827">
        <v>1.52158135276469</v>
      </c>
      <c r="H2827">
        <v>1.16330750473626</v>
      </c>
      <c r="I2827">
        <v>0.91701399905305003</v>
      </c>
      <c r="J2827">
        <v>0.76015688637387502</v>
      </c>
      <c r="K2827">
        <v>0.62870968785095105</v>
      </c>
      <c r="L2827">
        <v>3584.85105611059</v>
      </c>
      <c r="M2827">
        <v>54.100092594166703</v>
      </c>
      <c r="O2827">
        <v>66.172953029663304</v>
      </c>
      <c r="P2827">
        <v>-7.9241420761354694E-2</v>
      </c>
      <c r="Q2827">
        <v>0.61230117793428696</v>
      </c>
      <c r="R2827">
        <v>0.32372992430758202</v>
      </c>
      <c r="S2827" t="s">
        <v>8653</v>
      </c>
      <c r="T2827" t="s">
        <v>11650</v>
      </c>
      <c r="U2827" t="s">
        <v>11650</v>
      </c>
      <c r="V2827" t="s">
        <v>11650</v>
      </c>
      <c r="W2827" t="s">
        <v>14432</v>
      </c>
      <c r="X2827">
        <v>37</v>
      </c>
      <c r="Y2827" t="s">
        <v>20137</v>
      </c>
      <c r="Z2827" t="s">
        <v>25889</v>
      </c>
      <c r="AA2827">
        <v>0.95167911804841154</v>
      </c>
      <c r="AB2827" t="str">
        <f>HYPERLINK("Melting_Curves/meltCurve_P80303_NUCB2.pdf", "Melting_Curves/meltCurve_P80303_NUCB2.pdf")</f>
        <v>Melting_Curves/meltCurve_P80303_NUCB2.pdf</v>
      </c>
    </row>
    <row r="2828" spans="1:28" x14ac:dyDescent="0.25">
      <c r="A2828" t="s">
        <v>2832</v>
      </c>
      <c r="B2828">
        <v>0.99996721820229495</v>
      </c>
      <c r="C2828">
        <v>0.88368800733543695</v>
      </c>
      <c r="D2828">
        <v>0.95720440857285505</v>
      </c>
      <c r="E2828">
        <v>1.3779404352439499</v>
      </c>
      <c r="F2828">
        <v>1.8145475883351201</v>
      </c>
      <c r="G2828">
        <v>2.30697163616296</v>
      </c>
      <c r="H2828">
        <v>2.3072035975791998</v>
      </c>
      <c r="I2828">
        <v>1.7825931790696801</v>
      </c>
      <c r="J2828">
        <v>1.34369067542137</v>
      </c>
      <c r="K2828">
        <v>1.5505231022810999</v>
      </c>
      <c r="L2828">
        <v>12443.488413512299</v>
      </c>
      <c r="M2828">
        <v>250</v>
      </c>
      <c r="O2828">
        <v>49.770768452965598</v>
      </c>
      <c r="P2828">
        <v>0.62787859237688304</v>
      </c>
      <c r="Q2828">
        <v>1.5</v>
      </c>
      <c r="R2828">
        <v>0.37478582570382002</v>
      </c>
      <c r="S2828" t="s">
        <v>8654</v>
      </c>
      <c r="T2828" t="s">
        <v>11650</v>
      </c>
      <c r="U2828" t="s">
        <v>11650</v>
      </c>
      <c r="V2828" t="s">
        <v>11650</v>
      </c>
      <c r="W2828" t="s">
        <v>14433</v>
      </c>
      <c r="X2828">
        <v>26</v>
      </c>
      <c r="Y2828" t="s">
        <v>20138</v>
      </c>
      <c r="Z2828" t="s">
        <v>25890</v>
      </c>
      <c r="AA2828">
        <v>1.3370570961755091</v>
      </c>
      <c r="AB2828" t="str">
        <f>HYPERLINK("Melting_Curves/meltCurve_P80723_BASP1.pdf", "Melting_Curves/meltCurve_P80723_BASP1.pdf")</f>
        <v>Melting_Curves/meltCurve_P80723_BASP1.pdf</v>
      </c>
    </row>
    <row r="2829" spans="1:28" x14ac:dyDescent="0.25">
      <c r="A2829" t="s">
        <v>2833</v>
      </c>
      <c r="B2829">
        <v>0.99996721820229495</v>
      </c>
      <c r="C2829">
        <v>0.81388132303286698</v>
      </c>
      <c r="D2829">
        <v>0.89726262854595495</v>
      </c>
      <c r="E2829">
        <v>1.0810666837895899</v>
      </c>
      <c r="F2829">
        <v>0.93361382417632399</v>
      </c>
      <c r="G2829">
        <v>0.673161903076546</v>
      </c>
      <c r="H2829">
        <v>0.46319914592976602</v>
      </c>
      <c r="I2829">
        <v>0.366314888601255</v>
      </c>
      <c r="J2829">
        <v>0.42192736474036202</v>
      </c>
      <c r="K2829">
        <v>0.78499937341611303</v>
      </c>
      <c r="L2829">
        <v>2635.41131701412</v>
      </c>
      <c r="M2829">
        <v>47.071290098541603</v>
      </c>
      <c r="O2829">
        <v>55.886905341238503</v>
      </c>
      <c r="P2829">
        <v>-0.103419033788683</v>
      </c>
      <c r="Q2829">
        <v>0.50885037241884101</v>
      </c>
      <c r="R2829">
        <v>0.72001909289826105</v>
      </c>
      <c r="S2829" t="s">
        <v>8655</v>
      </c>
      <c r="T2829" t="s">
        <v>11650</v>
      </c>
      <c r="U2829" t="s">
        <v>11650</v>
      </c>
      <c r="V2829" t="s">
        <v>11650</v>
      </c>
      <c r="W2829" t="s">
        <v>14434</v>
      </c>
      <c r="X2829">
        <v>2</v>
      </c>
      <c r="Y2829" t="s">
        <v>20139</v>
      </c>
      <c r="Z2829" t="s">
        <v>25891</v>
      </c>
      <c r="AA2829">
        <v>0.77196177425980494</v>
      </c>
      <c r="AB2829" t="str">
        <f>HYPERLINK("Melting_Curves/meltCurve_P81605_DCD.pdf", "Melting_Curves/meltCurve_P81605_DCD.pdf")</f>
        <v>Melting_Curves/meltCurve_P81605_DCD.pdf</v>
      </c>
    </row>
    <row r="2830" spans="1:28" x14ac:dyDescent="0.25">
      <c r="A2830" t="s">
        <v>2834</v>
      </c>
      <c r="B2830">
        <v>0.99996721820229495</v>
      </c>
      <c r="C2830">
        <v>0.97534471361326003</v>
      </c>
      <c r="D2830">
        <v>1.03769311510689</v>
      </c>
      <c r="E2830">
        <v>1.20459585372429</v>
      </c>
      <c r="F2830">
        <v>1.54574320119932</v>
      </c>
      <c r="G2830">
        <v>1.6614980380400599</v>
      </c>
      <c r="H2830">
        <v>1.26563680467966</v>
      </c>
      <c r="I2830">
        <v>1.0214600408141301</v>
      </c>
      <c r="J2830">
        <v>0.88423557350593895</v>
      </c>
      <c r="K2830">
        <v>0.89070642876074801</v>
      </c>
      <c r="L2830">
        <v>14357.461460577801</v>
      </c>
      <c r="M2830">
        <v>218.43531432322399</v>
      </c>
      <c r="O2830">
        <v>65.723160115384204</v>
      </c>
      <c r="P2830">
        <v>-9.4190523027805895E-2</v>
      </c>
      <c r="Q2830">
        <v>0.88663923978774195</v>
      </c>
      <c r="R2830">
        <v>-0.29909073757503601</v>
      </c>
      <c r="S2830" t="s">
        <v>8656</v>
      </c>
      <c r="T2830" t="s">
        <v>11650</v>
      </c>
      <c r="U2830" t="s">
        <v>11650</v>
      </c>
      <c r="V2830" t="s">
        <v>11650</v>
      </c>
      <c r="W2830" t="s">
        <v>14435</v>
      </c>
      <c r="X2830">
        <v>61</v>
      </c>
      <c r="Y2830" t="s">
        <v>20140</v>
      </c>
      <c r="Z2830" t="s">
        <v>25892</v>
      </c>
      <c r="AA2830">
        <v>0.98387706596043467</v>
      </c>
      <c r="AB2830" t="str">
        <f>HYPERLINK("Melting_Curves/meltCurve_P82094_TMF1.pdf", "Melting_Curves/meltCurve_P82094_TMF1.pdf")</f>
        <v>Melting_Curves/meltCurve_P82094_TMF1.pdf</v>
      </c>
    </row>
    <row r="2831" spans="1:28" x14ac:dyDescent="0.25">
      <c r="A2831" t="s">
        <v>2835</v>
      </c>
      <c r="B2831">
        <v>0.99996721820229495</v>
      </c>
      <c r="C2831">
        <v>1.0069066865629701</v>
      </c>
      <c r="D2831">
        <v>1.04532503236041</v>
      </c>
      <c r="E2831">
        <v>1.2173471669650699</v>
      </c>
      <c r="F2831">
        <v>2.8645639366242199</v>
      </c>
      <c r="G2831">
        <v>4.0898746248705597</v>
      </c>
      <c r="H2831">
        <v>3.06541496708435</v>
      </c>
      <c r="I2831">
        <v>2.5354256808618998</v>
      </c>
      <c r="J2831">
        <v>1.95534386537022</v>
      </c>
      <c r="K2831">
        <v>1.8267230644052701</v>
      </c>
      <c r="L2831">
        <v>12513.1342211969</v>
      </c>
      <c r="M2831">
        <v>250</v>
      </c>
      <c r="O2831">
        <v>50.049353934580601</v>
      </c>
      <c r="P2831">
        <v>0.62438393384009006</v>
      </c>
      <c r="Q2831">
        <v>1.5</v>
      </c>
      <c r="R2831">
        <v>-0.23560717210835699</v>
      </c>
      <c r="S2831" t="s">
        <v>8657</v>
      </c>
      <c r="T2831" t="s">
        <v>11650</v>
      </c>
      <c r="U2831" t="s">
        <v>11650</v>
      </c>
      <c r="V2831" t="s">
        <v>11650</v>
      </c>
      <c r="W2831" t="s">
        <v>14436</v>
      </c>
      <c r="X2831">
        <v>6</v>
      </c>
      <c r="Y2831" t="s">
        <v>20141</v>
      </c>
      <c r="Z2831" t="s">
        <v>25893</v>
      </c>
      <c r="AA2831">
        <v>1.3324137978752519</v>
      </c>
      <c r="AB2831" t="str">
        <f>HYPERLINK("Melting_Curves/meltCurve_P82909_MRPS36.pdf", "Melting_Curves/meltCurve_P82909_MRPS36.pdf")</f>
        <v>Melting_Curves/meltCurve_P82909_MRPS36.pdf</v>
      </c>
    </row>
    <row r="2832" spans="1:28" x14ac:dyDescent="0.25">
      <c r="A2832" t="s">
        <v>2836</v>
      </c>
      <c r="B2832">
        <v>0.99996721820229495</v>
      </c>
      <c r="C2832">
        <v>0.864509883639624</v>
      </c>
      <c r="D2832">
        <v>0.752132778929687</v>
      </c>
      <c r="E2832">
        <v>0.76428876953589497</v>
      </c>
      <c r="F2832">
        <v>0.70520407587072498</v>
      </c>
      <c r="G2832">
        <v>0.45777152106455699</v>
      </c>
      <c r="H2832">
        <v>0.33670270689331799</v>
      </c>
      <c r="I2832">
        <v>0.39463128252091001</v>
      </c>
      <c r="J2832">
        <v>0.272588513311317</v>
      </c>
      <c r="K2832">
        <v>0.23664052184789799</v>
      </c>
      <c r="L2832">
        <v>372.26371485746898</v>
      </c>
      <c r="M2832">
        <v>6.5014889706948296</v>
      </c>
      <c r="N2832">
        <v>57.262321856482799</v>
      </c>
      <c r="O2832">
        <v>52.564244066408101</v>
      </c>
      <c r="P2832">
        <v>-3.0989465257914298E-2</v>
      </c>
      <c r="Q2832">
        <v>2.32552012222792E-4</v>
      </c>
      <c r="R2832">
        <v>0.95618373770985698</v>
      </c>
      <c r="S2832" t="s">
        <v>8658</v>
      </c>
      <c r="T2832" t="s">
        <v>11650</v>
      </c>
      <c r="U2832" t="s">
        <v>11650</v>
      </c>
      <c r="V2832" t="s">
        <v>11650</v>
      </c>
      <c r="W2832" t="s">
        <v>14437</v>
      </c>
      <c r="X2832">
        <v>1</v>
      </c>
      <c r="Y2832" t="s">
        <v>20142</v>
      </c>
      <c r="Z2832" t="s">
        <v>25894</v>
      </c>
      <c r="AA2832">
        <v>0.57872617375354551</v>
      </c>
      <c r="AB2832" t="str">
        <f>HYPERLINK("Melting_Curves/meltCurve_P82932_MRPS6.pdf", "Melting_Curves/meltCurve_P82932_MRPS6.pdf")</f>
        <v>Melting_Curves/meltCurve_P82932_MRPS6.pdf</v>
      </c>
    </row>
    <row r="2833" spans="1:28" x14ac:dyDescent="0.25">
      <c r="A2833" t="s">
        <v>2837</v>
      </c>
      <c r="B2833">
        <v>0.99996721820229495</v>
      </c>
      <c r="C2833">
        <v>1.0222209917265901</v>
      </c>
      <c r="D2833">
        <v>0.94449990411491302</v>
      </c>
      <c r="E2833">
        <v>0.99093940664723701</v>
      </c>
      <c r="F2833">
        <v>1.37849438777887</v>
      </c>
      <c r="G2833">
        <v>1.46164130437563</v>
      </c>
      <c r="H2833">
        <v>1.0984951166219801</v>
      </c>
      <c r="I2833">
        <v>1.10681720055482</v>
      </c>
      <c r="J2833">
        <v>1.1580158346262299</v>
      </c>
      <c r="K2833">
        <v>0.77995229469076799</v>
      </c>
      <c r="L2833">
        <v>15000</v>
      </c>
      <c r="M2833">
        <v>213.02022285203699</v>
      </c>
      <c r="Q2833">
        <v>0</v>
      </c>
      <c r="R2833">
        <v>-0.10968441947148901</v>
      </c>
      <c r="S2833" t="s">
        <v>8659</v>
      </c>
      <c r="T2833" t="s">
        <v>11650</v>
      </c>
      <c r="U2833" t="s">
        <v>11650</v>
      </c>
      <c r="V2833" t="s">
        <v>11650</v>
      </c>
      <c r="W2833" t="s">
        <v>14438</v>
      </c>
      <c r="X2833">
        <v>15</v>
      </c>
      <c r="Y2833" t="s">
        <v>20143</v>
      </c>
      <c r="Z2833" t="s">
        <v>25895</v>
      </c>
      <c r="AA2833">
        <v>0.99732059887876801</v>
      </c>
      <c r="AB2833" t="str">
        <f>HYPERLINK("Melting_Curves/meltCurve_P82979_SARNP.pdf", "Melting_Curves/meltCurve_P82979_SARNP.pdf")</f>
        <v>Melting_Curves/meltCurve_P82979_SARNP.pdf</v>
      </c>
    </row>
    <row r="2834" spans="1:28" x14ac:dyDescent="0.25">
      <c r="A2834" t="s">
        <v>2838</v>
      </c>
      <c r="B2834">
        <v>0.99996721820229495</v>
      </c>
      <c r="C2834">
        <v>1.23000027902663</v>
      </c>
      <c r="D2834">
        <v>1.4871820224946299</v>
      </c>
      <c r="E2834">
        <v>2.5532043049556901</v>
      </c>
      <c r="F2834">
        <v>1.47120997805877</v>
      </c>
      <c r="G2834">
        <v>0.89607138907722805</v>
      </c>
      <c r="H2834">
        <v>0.50157154392634296</v>
      </c>
      <c r="I2834">
        <v>0.335915196982293</v>
      </c>
      <c r="J2834">
        <v>0.25464405097311099</v>
      </c>
      <c r="K2834">
        <v>0.23238401470617501</v>
      </c>
      <c r="L2834">
        <v>2582.19057811538</v>
      </c>
      <c r="M2834">
        <v>43.002418784035498</v>
      </c>
      <c r="N2834">
        <v>61.046131951964902</v>
      </c>
      <c r="O2834">
        <v>59.918145720805001</v>
      </c>
      <c r="P2834">
        <v>-0.13410824320058401</v>
      </c>
      <c r="Q2834">
        <v>0.25255324690801001</v>
      </c>
      <c r="R2834">
        <v>0.385602397178608</v>
      </c>
      <c r="S2834" t="s">
        <v>8660</v>
      </c>
      <c r="T2834" t="s">
        <v>11650</v>
      </c>
      <c r="U2834" t="s">
        <v>11650</v>
      </c>
      <c r="V2834" t="s">
        <v>11650</v>
      </c>
      <c r="W2834" t="s">
        <v>14439</v>
      </c>
      <c r="X2834">
        <v>7</v>
      </c>
      <c r="Y2834" t="s">
        <v>20144</v>
      </c>
      <c r="Z2834" t="s">
        <v>25896</v>
      </c>
      <c r="AA2834">
        <v>0.75460740630171597</v>
      </c>
      <c r="AB2834" t="str">
        <f>HYPERLINK("Melting_Curves/meltCurve_P83111_LACTB.pdf", "Melting_Curves/meltCurve_P83111_LACTB.pdf")</f>
        <v>Melting_Curves/meltCurve_P83111_LACTB.pdf</v>
      </c>
    </row>
    <row r="2835" spans="1:28" x14ac:dyDescent="0.25">
      <c r="A2835" t="s">
        <v>2839</v>
      </c>
      <c r="B2835">
        <v>0.99996721820229495</v>
      </c>
      <c r="C2835">
        <v>0.89123221707557099</v>
      </c>
      <c r="D2835">
        <v>0.82779711117977495</v>
      </c>
      <c r="E2835">
        <v>0.39998214078792299</v>
      </c>
      <c r="F2835">
        <v>0.28985161135533299</v>
      </c>
      <c r="G2835">
        <v>0.283118408024012</v>
      </c>
      <c r="H2835">
        <v>0.18215278253042999</v>
      </c>
      <c r="I2835">
        <v>0.14728722587872201</v>
      </c>
      <c r="J2835">
        <v>0.111125233669763</v>
      </c>
      <c r="K2835">
        <v>9.7538707173242797E-2</v>
      </c>
      <c r="L2835">
        <v>878.57615690211401</v>
      </c>
      <c r="M2835">
        <v>18.091736063416199</v>
      </c>
      <c r="N2835">
        <v>49.446995038953503</v>
      </c>
      <c r="O2835">
        <v>47.980646597063902</v>
      </c>
      <c r="P2835">
        <v>-8.1236078886604099E-2</v>
      </c>
      <c r="Q2835">
        <v>0.138265130036097</v>
      </c>
      <c r="R2835">
        <v>0.98153943964923696</v>
      </c>
      <c r="S2835" t="s">
        <v>8661</v>
      </c>
      <c r="T2835" t="s">
        <v>11650</v>
      </c>
      <c r="U2835" t="s">
        <v>11650</v>
      </c>
      <c r="V2835" t="s">
        <v>11650</v>
      </c>
      <c r="W2835" t="s">
        <v>14440</v>
      </c>
      <c r="X2835">
        <v>4</v>
      </c>
      <c r="Y2835" t="s">
        <v>20145</v>
      </c>
      <c r="Z2835" t="s">
        <v>25897</v>
      </c>
      <c r="AA2835">
        <v>0.39912042947922532</v>
      </c>
      <c r="AB2835" t="str">
        <f>HYPERLINK("Melting_Curves/meltCurve_P83436_COG7.pdf", "Melting_Curves/meltCurve_P83436_COG7.pdf")</f>
        <v>Melting_Curves/meltCurve_P83436_COG7.pdf</v>
      </c>
    </row>
    <row r="2836" spans="1:28" x14ac:dyDescent="0.25">
      <c r="A2836" t="s">
        <v>2840</v>
      </c>
      <c r="B2836">
        <v>0.99996721820229495</v>
      </c>
      <c r="C2836">
        <v>1.0508798166394</v>
      </c>
      <c r="D2836">
        <v>0.98754452405932402</v>
      </c>
      <c r="E2836">
        <v>0.54000780173553797</v>
      </c>
      <c r="F2836">
        <v>0.40824479374226402</v>
      </c>
      <c r="G2836">
        <v>0.402776176474749</v>
      </c>
      <c r="H2836">
        <v>0.27779723528915001</v>
      </c>
      <c r="I2836">
        <v>0.25432314381154297</v>
      </c>
      <c r="J2836">
        <v>0.178930731840511</v>
      </c>
      <c r="K2836">
        <v>0.142022642788284</v>
      </c>
      <c r="L2836">
        <v>1158.4151356520999</v>
      </c>
      <c r="M2836">
        <v>23.181625952209</v>
      </c>
      <c r="N2836">
        <v>51.3724074516321</v>
      </c>
      <c r="O2836">
        <v>49.603860983601102</v>
      </c>
      <c r="P2836">
        <v>-8.9460602827350605E-2</v>
      </c>
      <c r="Q2836">
        <v>0.23430559123303801</v>
      </c>
      <c r="R2836">
        <v>0.95998090703586603</v>
      </c>
      <c r="S2836" t="s">
        <v>8662</v>
      </c>
      <c r="T2836" t="s">
        <v>11650</v>
      </c>
      <c r="U2836" t="s">
        <v>11650</v>
      </c>
      <c r="V2836" t="s">
        <v>11650</v>
      </c>
      <c r="W2836" t="s">
        <v>14441</v>
      </c>
      <c r="X2836">
        <v>6</v>
      </c>
      <c r="Y2836" t="s">
        <v>20146</v>
      </c>
      <c r="Z2836" t="s">
        <v>25898</v>
      </c>
      <c r="AA2836">
        <v>0.49676422030228529</v>
      </c>
      <c r="AB2836" t="str">
        <f>HYPERLINK("Melting_Curves/meltCurve_P84022_SMAD3.pdf", "Melting_Curves/meltCurve_P84022_SMAD3.pdf")</f>
        <v>Melting_Curves/meltCurve_P84022_SMAD3.pdf</v>
      </c>
    </row>
    <row r="2837" spans="1:28" x14ac:dyDescent="0.25">
      <c r="A2837" t="s">
        <v>2841</v>
      </c>
      <c r="B2837">
        <v>0.99996721820229495</v>
      </c>
      <c r="C2837">
        <v>1.3092013175374</v>
      </c>
      <c r="D2837">
        <v>1.1006488652744799</v>
      </c>
      <c r="E2837">
        <v>1.01571131867356</v>
      </c>
      <c r="F2837">
        <v>1.15418511558282</v>
      </c>
      <c r="G2837">
        <v>1.0343017521506801</v>
      </c>
      <c r="H2837">
        <v>0.56653237733779405</v>
      </c>
      <c r="I2837">
        <v>0.30685535463323399</v>
      </c>
      <c r="J2837">
        <v>0.13324944791110299</v>
      </c>
      <c r="K2837">
        <v>0.11282726380595499</v>
      </c>
      <c r="L2837">
        <v>2497.9868349212802</v>
      </c>
      <c r="M2837">
        <v>40.751873489274999</v>
      </c>
      <c r="N2837">
        <v>61.722215569520401</v>
      </c>
      <c r="O2837">
        <v>61.150443628374397</v>
      </c>
      <c r="P2837">
        <v>-0.14623409640889101</v>
      </c>
      <c r="Q2837">
        <v>0.122272561945191</v>
      </c>
      <c r="R2837">
        <v>0.92317369318128495</v>
      </c>
      <c r="S2837" t="s">
        <v>8663</v>
      </c>
      <c r="T2837" t="s">
        <v>11650</v>
      </c>
      <c r="U2837" t="s">
        <v>11650</v>
      </c>
      <c r="V2837" t="s">
        <v>11650</v>
      </c>
      <c r="W2837" t="s">
        <v>14442</v>
      </c>
      <c r="X2837">
        <v>11</v>
      </c>
      <c r="Y2837" t="s">
        <v>20147</v>
      </c>
      <c r="Z2837" t="s">
        <v>25899</v>
      </c>
      <c r="AA2837">
        <v>0.74858505539948395</v>
      </c>
      <c r="AB2837" t="str">
        <f>HYPERLINK("Melting_Curves/meltCurve_P84077_ARF1.pdf", "Melting_Curves/meltCurve_P84077_ARF1.pdf")</f>
        <v>Melting_Curves/meltCurve_P84077_ARF1.pdf</v>
      </c>
    </row>
    <row r="2838" spans="1:28" x14ac:dyDescent="0.25">
      <c r="A2838" t="s">
        <v>2842</v>
      </c>
      <c r="B2838">
        <v>0.99996721820229495</v>
      </c>
      <c r="C2838">
        <v>1.1887609869142901</v>
      </c>
      <c r="D2838">
        <v>1.04252534947967</v>
      </c>
      <c r="E2838">
        <v>0.89420813358078599</v>
      </c>
      <c r="F2838">
        <v>0.90254325819126802</v>
      </c>
      <c r="G2838">
        <v>0.57828607438729795</v>
      </c>
      <c r="H2838">
        <v>0.194440513331186</v>
      </c>
      <c r="I2838">
        <v>0.121285581762234</v>
      </c>
      <c r="J2838">
        <v>9.4334520275263706E-2</v>
      </c>
      <c r="K2838">
        <v>8.06145700627139E-2</v>
      </c>
      <c r="L2838">
        <v>1507.6773684284201</v>
      </c>
      <c r="M2838">
        <v>26.3389126649963</v>
      </c>
      <c r="N2838">
        <v>57.554233015912402</v>
      </c>
      <c r="O2838">
        <v>56.914546538683602</v>
      </c>
      <c r="P2838">
        <v>-0.10798088659796699</v>
      </c>
      <c r="Q2838">
        <v>6.6686660741924003E-2</v>
      </c>
      <c r="R2838">
        <v>0.974369857632851</v>
      </c>
      <c r="S2838" t="s">
        <v>8664</v>
      </c>
      <c r="T2838" t="s">
        <v>11650</v>
      </c>
      <c r="U2838" t="s">
        <v>11650</v>
      </c>
      <c r="V2838" t="s">
        <v>11650</v>
      </c>
      <c r="W2838" t="s">
        <v>14443</v>
      </c>
      <c r="X2838">
        <v>8</v>
      </c>
      <c r="Y2838" t="s">
        <v>20148</v>
      </c>
      <c r="Z2838" t="s">
        <v>25900</v>
      </c>
      <c r="AA2838">
        <v>0.61077885952674515</v>
      </c>
      <c r="AB2838" t="str">
        <f>HYPERLINK("Melting_Curves/meltCurve_P84085_ARF5.pdf", "Melting_Curves/meltCurve_P84085_ARF5.pdf")</f>
        <v>Melting_Curves/meltCurve_P84085_ARF5.pdf</v>
      </c>
    </row>
    <row r="2839" spans="1:28" x14ac:dyDescent="0.25">
      <c r="A2839" t="s">
        <v>2843</v>
      </c>
      <c r="B2839">
        <v>0.99996721820229495</v>
      </c>
      <c r="C2839">
        <v>1.0115036371614901</v>
      </c>
      <c r="D2839">
        <v>1.0683656885661701</v>
      </c>
      <c r="E2839">
        <v>1.2739162066835099</v>
      </c>
      <c r="F2839">
        <v>1.63930128024444</v>
      </c>
      <c r="G2839">
        <v>2.67804963116517</v>
      </c>
      <c r="H2839">
        <v>2.0784362039075099</v>
      </c>
      <c r="I2839">
        <v>1.62013786345119</v>
      </c>
      <c r="J2839">
        <v>0.845961688872649</v>
      </c>
      <c r="K2839">
        <v>0.60406670373756</v>
      </c>
      <c r="L2839">
        <v>15000</v>
      </c>
      <c r="M2839">
        <v>223.42860223681899</v>
      </c>
      <c r="O2839">
        <v>67.130161277015404</v>
      </c>
      <c r="P2839">
        <v>-0.329486171675759</v>
      </c>
      <c r="Q2839">
        <v>0.60401739462023396</v>
      </c>
      <c r="R2839">
        <v>-0.35778536861818999</v>
      </c>
      <c r="S2839" t="s">
        <v>8665</v>
      </c>
      <c r="T2839" t="s">
        <v>11650</v>
      </c>
      <c r="U2839" t="s">
        <v>11650</v>
      </c>
      <c r="V2839" t="s">
        <v>11650</v>
      </c>
      <c r="W2839" t="s">
        <v>14444</v>
      </c>
      <c r="X2839">
        <v>7</v>
      </c>
      <c r="Y2839" t="s">
        <v>20149</v>
      </c>
      <c r="Z2839" t="s">
        <v>25901</v>
      </c>
      <c r="AA2839">
        <v>0.96224874694178719</v>
      </c>
      <c r="AB2839" t="str">
        <f>HYPERLINK("Melting_Curves/meltCurve_P84090_ERH.pdf", "Melting_Curves/meltCurve_P84090_ERH.pdf")</f>
        <v>Melting_Curves/meltCurve_P84090_ERH.pdf</v>
      </c>
    </row>
    <row r="2840" spans="1:28" x14ac:dyDescent="0.25">
      <c r="A2840" t="s">
        <v>2844</v>
      </c>
      <c r="B2840">
        <v>0.99996721820229495</v>
      </c>
      <c r="C2840">
        <v>0.84963508800019305</v>
      </c>
      <c r="D2840">
        <v>0.916871648654628</v>
      </c>
      <c r="E2840">
        <v>0.82730596460105099</v>
      </c>
      <c r="F2840">
        <v>0.81448444555571198</v>
      </c>
      <c r="G2840">
        <v>0.79316355877097799</v>
      </c>
      <c r="H2840">
        <v>0.28016115709210399</v>
      </c>
      <c r="I2840">
        <v>0.152808764993415</v>
      </c>
      <c r="J2840">
        <v>0.13007487936331</v>
      </c>
      <c r="K2840">
        <v>8.6983669162105495E-2</v>
      </c>
      <c r="L2840">
        <v>1018.5061435784399</v>
      </c>
      <c r="M2840">
        <v>17.2863614425078</v>
      </c>
      <c r="N2840">
        <v>58.919637762573601</v>
      </c>
      <c r="O2840">
        <v>58.148091520656202</v>
      </c>
      <c r="P2840">
        <v>-7.4324717329387696E-2</v>
      </c>
      <c r="Q2840">
        <v>0</v>
      </c>
      <c r="R2840">
        <v>0.93536614186474099</v>
      </c>
      <c r="S2840" t="s">
        <v>8666</v>
      </c>
      <c r="T2840" t="s">
        <v>11650</v>
      </c>
      <c r="U2840" t="s">
        <v>11650</v>
      </c>
      <c r="V2840" t="s">
        <v>11650</v>
      </c>
      <c r="W2840" t="s">
        <v>14445</v>
      </c>
      <c r="X2840">
        <v>12</v>
      </c>
      <c r="Y2840" t="s">
        <v>20150</v>
      </c>
      <c r="Z2840" t="s">
        <v>25902</v>
      </c>
      <c r="AA2840">
        <v>0.64152301035473858</v>
      </c>
      <c r="AB2840" t="str">
        <f>HYPERLINK("Melting_Curves/meltCurve_P84095_RHOG.pdf", "Melting_Curves/meltCurve_P84095_RHOG.pdf")</f>
        <v>Melting_Curves/meltCurve_P84095_RHOG.pdf</v>
      </c>
    </row>
    <row r="2841" spans="1:28" x14ac:dyDescent="0.25">
      <c r="A2841" t="s">
        <v>2845</v>
      </c>
      <c r="B2841">
        <v>0.99996721820229495</v>
      </c>
      <c r="C2841">
        <v>0.91814586695054201</v>
      </c>
      <c r="D2841">
        <v>1.21805561716794</v>
      </c>
      <c r="E2841">
        <v>1.4396145063808801</v>
      </c>
      <c r="F2841">
        <v>1.49144130231409</v>
      </c>
      <c r="G2841">
        <v>1.0100721926563301</v>
      </c>
      <c r="H2841">
        <v>0.71536624648316505</v>
      </c>
      <c r="I2841">
        <v>0.430028204567661</v>
      </c>
      <c r="J2841">
        <v>0.22799758776671</v>
      </c>
      <c r="K2841">
        <v>0.32847974844290501</v>
      </c>
      <c r="L2841">
        <v>2827.7763666529399</v>
      </c>
      <c r="M2841">
        <v>45.833933806511297</v>
      </c>
      <c r="N2841">
        <v>62.820367820360701</v>
      </c>
      <c r="O2841">
        <v>61.579028602072498</v>
      </c>
      <c r="P2841">
        <v>-0.13400614074440401</v>
      </c>
      <c r="Q2841">
        <v>0.27983856330187301</v>
      </c>
      <c r="R2841">
        <v>0.72190758365996599</v>
      </c>
      <c r="S2841" t="s">
        <v>8667</v>
      </c>
      <c r="T2841" t="s">
        <v>11650</v>
      </c>
      <c r="U2841" t="s">
        <v>11650</v>
      </c>
      <c r="V2841" t="s">
        <v>11650</v>
      </c>
      <c r="W2841" t="s">
        <v>14446</v>
      </c>
      <c r="X2841">
        <v>7</v>
      </c>
      <c r="Y2841" t="s">
        <v>20151</v>
      </c>
      <c r="Z2841" t="s">
        <v>25903</v>
      </c>
      <c r="AA2841">
        <v>0.80280698388134275</v>
      </c>
      <c r="AB2841" t="str">
        <f>HYPERLINK("Melting_Curves/meltCurve_P84098_RPL19.pdf", "Melting_Curves/meltCurve_P84098_RPL19.pdf")</f>
        <v>Melting_Curves/meltCurve_P84098_RPL19.pdf</v>
      </c>
    </row>
    <row r="2842" spans="1:28" x14ac:dyDescent="0.25">
      <c r="A2842" t="s">
        <v>2846</v>
      </c>
      <c r="B2842">
        <v>0.99996721820229495</v>
      </c>
      <c r="C2842">
        <v>0.71600119904819304</v>
      </c>
      <c r="D2842">
        <v>0.60049511118773102</v>
      </c>
      <c r="E2842">
        <v>0.91143526852150003</v>
      </c>
      <c r="F2842">
        <v>1.12704483586813</v>
      </c>
      <c r="G2842">
        <v>0.74954379264806104</v>
      </c>
      <c r="H2842">
        <v>0.78604197536356002</v>
      </c>
      <c r="I2842">
        <v>0.91497704409410097</v>
      </c>
      <c r="J2842">
        <v>0.84613761208360205</v>
      </c>
      <c r="K2842">
        <v>0.71469436059055602</v>
      </c>
      <c r="L2842">
        <v>10238.395035916201</v>
      </c>
      <c r="M2842">
        <v>250</v>
      </c>
      <c r="O2842">
        <v>40.950952871118503</v>
      </c>
      <c r="P2842">
        <v>-0.277029973724292</v>
      </c>
      <c r="Q2842">
        <v>0.818485708897006</v>
      </c>
      <c r="R2842">
        <v>0.13586561904343999</v>
      </c>
      <c r="S2842" t="s">
        <v>8668</v>
      </c>
      <c r="T2842" t="s">
        <v>11650</v>
      </c>
      <c r="U2842" t="s">
        <v>11650</v>
      </c>
      <c r="V2842" t="s">
        <v>11650</v>
      </c>
      <c r="W2842" t="s">
        <v>14447</v>
      </c>
      <c r="X2842">
        <v>5</v>
      </c>
      <c r="Y2842" t="s">
        <v>20152</v>
      </c>
      <c r="Z2842" t="s">
        <v>25904</v>
      </c>
      <c r="AA2842">
        <v>0.82427078670810927</v>
      </c>
      <c r="AB2842" t="str">
        <f>HYPERLINK("Melting_Curves/meltCurve_P84101_4_SERF2.pdf", "Melting_Curves/meltCurve_P84101_4_SERF2.pdf")</f>
        <v>Melting_Curves/meltCurve_P84101_4_SERF2.pdf</v>
      </c>
    </row>
    <row r="2843" spans="1:28" x14ac:dyDescent="0.25">
      <c r="A2843" t="s">
        <v>2847</v>
      </c>
      <c r="B2843">
        <v>0.99996721820229495</v>
      </c>
      <c r="C2843">
        <v>1.01552456260914</v>
      </c>
      <c r="D2843">
        <v>1.0733283082485701</v>
      </c>
      <c r="E2843">
        <v>1.0849150110464301</v>
      </c>
      <c r="F2843">
        <v>1.4606942023670499</v>
      </c>
      <c r="G2843">
        <v>1.81848434791767</v>
      </c>
      <c r="H2843">
        <v>1.5032140886590999</v>
      </c>
      <c r="I2843">
        <v>1.2023911487902501</v>
      </c>
      <c r="J2843">
        <v>1.0724967372966301</v>
      </c>
      <c r="K2843">
        <v>0.87563801387094897</v>
      </c>
      <c r="L2843">
        <v>12551.3696506818</v>
      </c>
      <c r="M2843">
        <v>250</v>
      </c>
      <c r="O2843">
        <v>50.202265788136103</v>
      </c>
      <c r="P2843">
        <v>0.401068914516651</v>
      </c>
      <c r="Q2843">
        <v>1.32215309153771</v>
      </c>
      <c r="R2843">
        <v>0.242929960939895</v>
      </c>
      <c r="S2843" t="s">
        <v>8669</v>
      </c>
      <c r="T2843" t="s">
        <v>11650</v>
      </c>
      <c r="U2843" t="s">
        <v>11650</v>
      </c>
      <c r="V2843" t="s">
        <v>11650</v>
      </c>
      <c r="W2843" t="s">
        <v>12744</v>
      </c>
      <c r="X2843">
        <v>15</v>
      </c>
      <c r="Y2843" t="s">
        <v>18498</v>
      </c>
      <c r="Z2843" t="s">
        <v>25905</v>
      </c>
      <c r="AA2843">
        <v>1.2125338239327439</v>
      </c>
      <c r="AB2843" t="str">
        <f>HYPERLINK("Melting_Curves/meltCurve_P84157_MXRA7.pdf", "Melting_Curves/meltCurve_P84157_MXRA7.pdf")</f>
        <v>Melting_Curves/meltCurve_P84157_MXRA7.pdf</v>
      </c>
    </row>
    <row r="2844" spans="1:28" x14ac:dyDescent="0.25">
      <c r="A2844" t="s">
        <v>2848</v>
      </c>
      <c r="B2844">
        <v>0.99996721820229495</v>
      </c>
      <c r="C2844">
        <v>0.82588115125028105</v>
      </c>
      <c r="D2844">
        <v>0.899200723397799</v>
      </c>
      <c r="E2844">
        <v>0.76975616147568804</v>
      </c>
      <c r="F2844">
        <v>1.2448650924725699</v>
      </c>
      <c r="G2844">
        <v>1.5199504300612801</v>
      </c>
      <c r="H2844">
        <v>1.25195563140503</v>
      </c>
      <c r="I2844">
        <v>0.853784955404704</v>
      </c>
      <c r="J2844">
        <v>0.78788689501874998</v>
      </c>
      <c r="K2844">
        <v>0.66778593827986499</v>
      </c>
      <c r="L2844">
        <v>15000</v>
      </c>
      <c r="M2844">
        <v>234.52389139348799</v>
      </c>
      <c r="O2844">
        <v>63.954717478450597</v>
      </c>
      <c r="P2844">
        <v>-0.24951461853561199</v>
      </c>
      <c r="Q2844">
        <v>0.72782923137574096</v>
      </c>
      <c r="R2844">
        <v>0.25169170635488702</v>
      </c>
      <c r="S2844" t="s">
        <v>8670</v>
      </c>
      <c r="T2844" t="s">
        <v>11650</v>
      </c>
      <c r="U2844" t="s">
        <v>11650</v>
      </c>
      <c r="V2844" t="s">
        <v>11650</v>
      </c>
      <c r="W2844" t="s">
        <v>14448</v>
      </c>
      <c r="X2844">
        <v>9</v>
      </c>
      <c r="Y2844" t="s">
        <v>18498</v>
      </c>
      <c r="Z2844" t="s">
        <v>25906</v>
      </c>
      <c r="AA2844">
        <v>0.94523193969211661</v>
      </c>
      <c r="AB2844" t="str">
        <f>HYPERLINK("Melting_Curves/meltCurve_P84157_3_MXRA7.pdf", "Melting_Curves/meltCurve_P84157_3_MXRA7.pdf")</f>
        <v>Melting_Curves/meltCurve_P84157_3_MXRA7.pdf</v>
      </c>
    </row>
    <row r="2845" spans="1:28" x14ac:dyDescent="0.25">
      <c r="A2845" t="s">
        <v>2849</v>
      </c>
      <c r="B2845">
        <v>0.99996721820229495</v>
      </c>
      <c r="C2845">
        <v>1.0026870211669801</v>
      </c>
      <c r="D2845">
        <v>0.84477938941826403</v>
      </c>
      <c r="E2845">
        <v>0.81862091667154702</v>
      </c>
      <c r="F2845">
        <v>0.54867347704888703</v>
      </c>
      <c r="G2845">
        <v>0.36322918833025603</v>
      </c>
      <c r="H2845">
        <v>0.21700350124196399</v>
      </c>
      <c r="I2845">
        <v>0.188594075779042</v>
      </c>
      <c r="J2845">
        <v>0.14408604064168401</v>
      </c>
      <c r="K2845">
        <v>0.12648398014725401</v>
      </c>
      <c r="L2845">
        <v>767.46937161265805</v>
      </c>
      <c r="M2845">
        <v>14.3549349552459</v>
      </c>
      <c r="N2845">
        <v>54.287648158411798</v>
      </c>
      <c r="O2845">
        <v>52.458361852516603</v>
      </c>
      <c r="P2845">
        <v>-6.1722765605152503E-2</v>
      </c>
      <c r="Q2845">
        <v>9.7874901749284093E-2</v>
      </c>
      <c r="R2845">
        <v>0.99025594846269704</v>
      </c>
      <c r="S2845" t="s">
        <v>8671</v>
      </c>
      <c r="T2845" t="s">
        <v>11650</v>
      </c>
      <c r="U2845" t="s">
        <v>11650</v>
      </c>
      <c r="V2845" t="s">
        <v>11650</v>
      </c>
      <c r="W2845" t="s">
        <v>14449</v>
      </c>
      <c r="X2845">
        <v>11</v>
      </c>
      <c r="Y2845" t="s">
        <v>20153</v>
      </c>
      <c r="Z2845" t="s">
        <v>25907</v>
      </c>
      <c r="AA2845">
        <v>0.52287241667399253</v>
      </c>
      <c r="AB2845" t="str">
        <f>HYPERLINK("Melting_Curves/meltCurve_P85037_FOXK1.pdf", "Melting_Curves/meltCurve_P85037_FOXK1.pdf")</f>
        <v>Melting_Curves/meltCurve_P85037_FOXK1.pdf</v>
      </c>
    </row>
    <row r="2846" spans="1:28" x14ac:dyDescent="0.25">
      <c r="A2846" t="s">
        <v>2850</v>
      </c>
      <c r="B2846">
        <v>0.99996721820229495</v>
      </c>
      <c r="C2846">
        <v>1.02813391163846</v>
      </c>
      <c r="D2846">
        <v>0.85146581326308901</v>
      </c>
      <c r="E2846">
        <v>0.54486982999927402</v>
      </c>
      <c r="F2846">
        <v>0.48316257632482601</v>
      </c>
      <c r="G2846">
        <v>0.456255868800439</v>
      </c>
      <c r="H2846">
        <v>0.31659583137744501</v>
      </c>
      <c r="I2846">
        <v>0.26942482782215299</v>
      </c>
      <c r="J2846">
        <v>0.27182503543041298</v>
      </c>
      <c r="K2846">
        <v>0.21951081731673</v>
      </c>
      <c r="L2846">
        <v>757.10673093907997</v>
      </c>
      <c r="M2846">
        <v>15.1664852316405</v>
      </c>
      <c r="N2846">
        <v>52.464873793786801</v>
      </c>
      <c r="O2846">
        <v>49.075997215869201</v>
      </c>
      <c r="P2846">
        <v>-5.71451079476233E-2</v>
      </c>
      <c r="Q2846">
        <v>0.26042688396320002</v>
      </c>
      <c r="R2846">
        <v>0.96859618263570701</v>
      </c>
      <c r="S2846" t="s">
        <v>8672</v>
      </c>
      <c r="T2846" t="s">
        <v>11650</v>
      </c>
      <c r="U2846" t="s">
        <v>11650</v>
      </c>
      <c r="V2846" t="s">
        <v>11650</v>
      </c>
      <c r="W2846" t="s">
        <v>14450</v>
      </c>
      <c r="X2846">
        <v>36</v>
      </c>
      <c r="Y2846" t="s">
        <v>20154</v>
      </c>
      <c r="Z2846" t="s">
        <v>25908</v>
      </c>
      <c r="AA2846">
        <v>0.52230924605095141</v>
      </c>
      <c r="AB2846" t="str">
        <f>HYPERLINK("Melting_Curves/meltCurve_P98082_3_DAB2.pdf", "Melting_Curves/meltCurve_P98082_3_DAB2.pdf")</f>
        <v>Melting_Curves/meltCurve_P98082_3_DAB2.pdf</v>
      </c>
    </row>
    <row r="2847" spans="1:28" x14ac:dyDescent="0.25">
      <c r="A2847" t="s">
        <v>2851</v>
      </c>
      <c r="B2847">
        <v>0.99996721820229495</v>
      </c>
      <c r="C2847">
        <v>0.95405425968857904</v>
      </c>
      <c r="D2847">
        <v>1.04419155677992</v>
      </c>
      <c r="E2847">
        <v>1.15562338074788</v>
      </c>
      <c r="F2847">
        <v>1.4282000149763301</v>
      </c>
      <c r="G2847">
        <v>1.18170839857094</v>
      </c>
      <c r="H2847">
        <v>0.51138671002821001</v>
      </c>
      <c r="I2847">
        <v>0.24862260741228201</v>
      </c>
      <c r="J2847">
        <v>0.16052711752687501</v>
      </c>
      <c r="K2847">
        <v>0.13819285787059399</v>
      </c>
      <c r="L2847">
        <v>5865.9872317258996</v>
      </c>
      <c r="M2847">
        <v>96.534702877477699</v>
      </c>
      <c r="N2847">
        <v>61.047133382372799</v>
      </c>
      <c r="O2847">
        <v>60.739527440735102</v>
      </c>
      <c r="P2847">
        <v>-0.32594663797462797</v>
      </c>
      <c r="Q2847">
        <v>0.17965915598979201</v>
      </c>
      <c r="R2847">
        <v>0.87571726900468205</v>
      </c>
      <c r="S2847" t="s">
        <v>8673</v>
      </c>
      <c r="T2847" t="s">
        <v>11650</v>
      </c>
      <c r="U2847" t="s">
        <v>11650</v>
      </c>
      <c r="V2847" t="s">
        <v>11650</v>
      </c>
      <c r="W2847" t="s">
        <v>14451</v>
      </c>
      <c r="X2847">
        <v>12</v>
      </c>
      <c r="Y2847" t="s">
        <v>20155</v>
      </c>
      <c r="Z2847" t="s">
        <v>25909</v>
      </c>
      <c r="AA2847">
        <v>0.74807501350476069</v>
      </c>
      <c r="AB2847" t="str">
        <f>HYPERLINK("Melting_Curves/meltCurve_P98155_2_VLDLR.pdf", "Melting_Curves/meltCurve_P98155_2_VLDLR.pdf")</f>
        <v>Melting_Curves/meltCurve_P98155_2_VLDLR.pdf</v>
      </c>
    </row>
    <row r="2848" spans="1:28" x14ac:dyDescent="0.25">
      <c r="A2848" t="s">
        <v>2852</v>
      </c>
      <c r="B2848">
        <v>0.99996721820229495</v>
      </c>
      <c r="C2848">
        <v>1.00079044237668</v>
      </c>
      <c r="D2848">
        <v>1.03520049778054</v>
      </c>
      <c r="E2848">
        <v>1.11339515293984</v>
      </c>
      <c r="F2848">
        <v>1.38149663586814</v>
      </c>
      <c r="G2848">
        <v>1.43458014892784</v>
      </c>
      <c r="H2848">
        <v>0.86252193001753796</v>
      </c>
      <c r="I2848">
        <v>0.64530423487192301</v>
      </c>
      <c r="J2848">
        <v>0.51298290208992403</v>
      </c>
      <c r="K2848">
        <v>0.35577033235556499</v>
      </c>
      <c r="L2848">
        <v>2613.5791760985398</v>
      </c>
      <c r="M2848">
        <v>41.077293846185597</v>
      </c>
      <c r="N2848">
        <v>65.992702440498704</v>
      </c>
      <c r="O2848">
        <v>63.475647757681003</v>
      </c>
      <c r="P2848">
        <v>-9.9431153924385798E-2</v>
      </c>
      <c r="Q2848">
        <v>0.38540789594337599</v>
      </c>
      <c r="R2848">
        <v>0.67254999179615405</v>
      </c>
      <c r="S2848" t="s">
        <v>8674</v>
      </c>
      <c r="T2848" t="s">
        <v>11650</v>
      </c>
      <c r="U2848" t="s">
        <v>11650</v>
      </c>
      <c r="V2848" t="s">
        <v>11650</v>
      </c>
      <c r="W2848" t="s">
        <v>14452</v>
      </c>
      <c r="X2848">
        <v>27</v>
      </c>
      <c r="Y2848" t="s">
        <v>20156</v>
      </c>
      <c r="Z2848" t="s">
        <v>25910</v>
      </c>
      <c r="AA2848">
        <v>0.87102567373880002</v>
      </c>
      <c r="AB2848" t="str">
        <f>HYPERLINK("Melting_Curves/meltCurve_P98160_HSPG2.pdf", "Melting_Curves/meltCurve_P98160_HSPG2.pdf")</f>
        <v>Melting_Curves/meltCurve_P98160_HSPG2.pdf</v>
      </c>
    </row>
    <row r="2849" spans="1:28" x14ac:dyDescent="0.25">
      <c r="A2849" t="s">
        <v>2853</v>
      </c>
      <c r="B2849">
        <v>0.99996721820229495</v>
      </c>
      <c r="C2849">
        <v>1.03760569006295</v>
      </c>
      <c r="D2849">
        <v>1.06014991097072</v>
      </c>
      <c r="E2849">
        <v>0.93702819685953798</v>
      </c>
      <c r="F2849">
        <v>0.99062572879778799</v>
      </c>
      <c r="G2849">
        <v>0.99199307511824997</v>
      </c>
      <c r="H2849">
        <v>0.65733752865746298</v>
      </c>
      <c r="I2849">
        <v>0.54942305547118198</v>
      </c>
      <c r="J2849">
        <v>0.435254139446906</v>
      </c>
      <c r="K2849">
        <v>0.29730699032950197</v>
      </c>
      <c r="L2849">
        <v>1448.56239680665</v>
      </c>
      <c r="M2849">
        <v>23.3010358733784</v>
      </c>
      <c r="N2849">
        <v>64.471873191648498</v>
      </c>
      <c r="O2849">
        <v>61.714836116027499</v>
      </c>
      <c r="P2849">
        <v>-6.7715775815077997E-2</v>
      </c>
      <c r="Q2849">
        <v>0.28260809128144299</v>
      </c>
      <c r="R2849">
        <v>0.97127635843404103</v>
      </c>
      <c r="S2849" t="s">
        <v>8675</v>
      </c>
      <c r="T2849" t="s">
        <v>11650</v>
      </c>
      <c r="U2849" t="s">
        <v>11650</v>
      </c>
      <c r="V2849" t="s">
        <v>11650</v>
      </c>
      <c r="W2849" t="s">
        <v>14453</v>
      </c>
      <c r="X2849">
        <v>4</v>
      </c>
      <c r="Y2849" t="s">
        <v>20157</v>
      </c>
      <c r="Z2849" t="s">
        <v>25911</v>
      </c>
      <c r="AA2849">
        <v>0.81552272253038738</v>
      </c>
      <c r="AB2849" t="str">
        <f>HYPERLINK("Melting_Curves/meltCurve_P98170_XIAP.pdf", "Melting_Curves/meltCurve_P98170_XIAP.pdf")</f>
        <v>Melting_Curves/meltCurve_P98170_XIAP.pdf</v>
      </c>
    </row>
    <row r="2850" spans="1:28" x14ac:dyDescent="0.25">
      <c r="A2850" t="s">
        <v>2854</v>
      </c>
      <c r="B2850">
        <v>0.99996721820229495</v>
      </c>
      <c r="C2850">
        <v>0.94295015461651599</v>
      </c>
      <c r="D2850">
        <v>0.98842912422288798</v>
      </c>
      <c r="E2850">
        <v>0.98028106319629105</v>
      </c>
      <c r="F2850">
        <v>1.03689238730671</v>
      </c>
      <c r="G2850">
        <v>0.92749665635863199</v>
      </c>
      <c r="H2850">
        <v>0.57275415735105695</v>
      </c>
      <c r="I2850">
        <v>0.35333513853902299</v>
      </c>
      <c r="J2850">
        <v>0.23908756847506801</v>
      </c>
      <c r="K2850">
        <v>0.21007445959902499</v>
      </c>
      <c r="L2850">
        <v>1994.4684781623901</v>
      </c>
      <c r="M2850">
        <v>32.785734245240597</v>
      </c>
      <c r="N2850">
        <v>61.830009652149599</v>
      </c>
      <c r="O2850">
        <v>60.608463641160299</v>
      </c>
      <c r="P2850">
        <v>-0.107480410600513</v>
      </c>
      <c r="Q2850">
        <v>0.20524087810125699</v>
      </c>
      <c r="R2850">
        <v>0.99420812568742201</v>
      </c>
      <c r="S2850" t="s">
        <v>8676</v>
      </c>
      <c r="T2850" t="s">
        <v>11650</v>
      </c>
      <c r="U2850" t="s">
        <v>11650</v>
      </c>
      <c r="V2850" t="s">
        <v>11650</v>
      </c>
      <c r="W2850" t="s">
        <v>14454</v>
      </c>
      <c r="X2850">
        <v>9</v>
      </c>
      <c r="Y2850" t="s">
        <v>20158</v>
      </c>
      <c r="Z2850" t="s">
        <v>25912</v>
      </c>
      <c r="AA2850">
        <v>0.76120428241132643</v>
      </c>
      <c r="AB2850" t="str">
        <f>HYPERLINK("Melting_Curves/meltCurve_P98172_EFNB1.pdf", "Melting_Curves/meltCurve_P98172_EFNB1.pdf")</f>
        <v>Melting_Curves/meltCurve_P98172_EFNB1.pdf</v>
      </c>
    </row>
    <row r="2851" spans="1:28" x14ac:dyDescent="0.25">
      <c r="A2851" t="s">
        <v>2855</v>
      </c>
      <c r="B2851">
        <v>0.99996721820229495</v>
      </c>
      <c r="C2851">
        <v>0.72053357518017003</v>
      </c>
      <c r="D2851">
        <v>0.77901613376715895</v>
      </c>
      <c r="E2851">
        <v>0.67981528863987495</v>
      </c>
      <c r="F2851">
        <v>0.461991190558392</v>
      </c>
      <c r="G2851">
        <v>0.40967533943506701</v>
      </c>
      <c r="H2851">
        <v>0.224212849597939</v>
      </c>
      <c r="I2851">
        <v>9.1589359773357595E-2</v>
      </c>
      <c r="J2851">
        <v>4.6441588342823997E-2</v>
      </c>
      <c r="K2851">
        <v>3.0988189959416299E-2</v>
      </c>
      <c r="L2851">
        <v>490.87679956766999</v>
      </c>
      <c r="M2851">
        <v>9.3660383401113307</v>
      </c>
      <c r="N2851">
        <v>52.410288409197697</v>
      </c>
      <c r="O2851">
        <v>50.1875564999361</v>
      </c>
      <c r="P2851">
        <v>-4.66843161628075E-2</v>
      </c>
      <c r="Q2851">
        <v>0</v>
      </c>
      <c r="R2851">
        <v>0.94702528174010103</v>
      </c>
      <c r="S2851" t="s">
        <v>8677</v>
      </c>
      <c r="T2851" t="s">
        <v>11650</v>
      </c>
      <c r="U2851" t="s">
        <v>11650</v>
      </c>
      <c r="V2851" t="s">
        <v>11650</v>
      </c>
      <c r="W2851" t="s">
        <v>14455</v>
      </c>
      <c r="X2851">
        <v>2</v>
      </c>
      <c r="Y2851" t="s">
        <v>20159</v>
      </c>
      <c r="Z2851" t="s">
        <v>25913</v>
      </c>
      <c r="AA2851">
        <v>0.45253146555161539</v>
      </c>
      <c r="AB2851" t="str">
        <f>HYPERLINK("Melting_Curves/meltCurve_P98173_FAM3A.pdf", "Melting_Curves/meltCurve_P98173_FAM3A.pdf")</f>
        <v>Melting_Curves/meltCurve_P98173_FAM3A.pdf</v>
      </c>
    </row>
    <row r="2852" spans="1:28" x14ac:dyDescent="0.25">
      <c r="A2852" t="s">
        <v>2856</v>
      </c>
      <c r="B2852">
        <v>0.99996721820229495</v>
      </c>
      <c r="C2852">
        <v>1.0388803041300001</v>
      </c>
      <c r="D2852">
        <v>0.99746403001351602</v>
      </c>
      <c r="E2852">
        <v>0.90380970399762695</v>
      </c>
      <c r="F2852">
        <v>0.96620825383779696</v>
      </c>
      <c r="G2852">
        <v>0.827413706908664</v>
      </c>
      <c r="H2852">
        <v>0.551574542451716</v>
      </c>
      <c r="I2852">
        <v>0.44280864366060002</v>
      </c>
      <c r="J2852">
        <v>0.35417806243755501</v>
      </c>
      <c r="K2852">
        <v>0.243527458298578</v>
      </c>
      <c r="L2852">
        <v>1008.17708562824</v>
      </c>
      <c r="M2852">
        <v>16.526833689991101</v>
      </c>
      <c r="N2852">
        <v>62.6190919543211</v>
      </c>
      <c r="O2852">
        <v>60.130287051558803</v>
      </c>
      <c r="P2852">
        <v>-5.6783693510406102E-2</v>
      </c>
      <c r="Q2852">
        <v>0.17366296396377701</v>
      </c>
      <c r="R2852">
        <v>0.98664586580161995</v>
      </c>
      <c r="S2852" t="s">
        <v>8678</v>
      </c>
      <c r="T2852" t="s">
        <v>11650</v>
      </c>
      <c r="U2852" t="s">
        <v>11650</v>
      </c>
      <c r="V2852" t="s">
        <v>11650</v>
      </c>
      <c r="W2852" t="s">
        <v>14456</v>
      </c>
      <c r="X2852">
        <v>2</v>
      </c>
      <c r="Y2852" t="s">
        <v>20160</v>
      </c>
      <c r="Z2852" t="s">
        <v>25914</v>
      </c>
      <c r="AA2852">
        <v>0.75564881319317556</v>
      </c>
      <c r="AB2852" t="str">
        <f>HYPERLINK("Melting_Curves/meltCurve_P98175_2_RBM10.pdf", "Melting_Curves/meltCurve_P98175_2_RBM10.pdf")</f>
        <v>Melting_Curves/meltCurve_P98175_2_RBM10.pdf</v>
      </c>
    </row>
    <row r="2853" spans="1:28" x14ac:dyDescent="0.25">
      <c r="A2853" t="s">
        <v>2857</v>
      </c>
      <c r="B2853">
        <v>0.99996721820229495</v>
      </c>
      <c r="C2853">
        <v>0.89070562134864195</v>
      </c>
      <c r="D2853">
        <v>0.81499340476948501</v>
      </c>
      <c r="E2853">
        <v>1.0417550651893099</v>
      </c>
      <c r="F2853">
        <v>1.41069336391926</v>
      </c>
      <c r="G2853">
        <v>1.4229975678134199</v>
      </c>
      <c r="H2853">
        <v>1.31303306919153</v>
      </c>
      <c r="I2853">
        <v>1.52141504123557</v>
      </c>
      <c r="J2853">
        <v>1.4530587318514501</v>
      </c>
      <c r="K2853">
        <v>1.25557728431903</v>
      </c>
      <c r="L2853">
        <v>12606.925617618101</v>
      </c>
      <c r="M2853">
        <v>250</v>
      </c>
      <c r="O2853">
        <v>50.424498809684003</v>
      </c>
      <c r="P2853">
        <v>0.49099358532391102</v>
      </c>
      <c r="Q2853">
        <v>1.3961295045520401</v>
      </c>
      <c r="R2853">
        <v>0.84146001365909895</v>
      </c>
      <c r="S2853" t="s">
        <v>8679</v>
      </c>
      <c r="T2853" t="s">
        <v>11650</v>
      </c>
      <c r="U2853" t="s">
        <v>11650</v>
      </c>
      <c r="V2853" t="s">
        <v>11650</v>
      </c>
      <c r="W2853" t="s">
        <v>14457</v>
      </c>
      <c r="X2853">
        <v>6</v>
      </c>
      <c r="Y2853" t="s">
        <v>20161</v>
      </c>
      <c r="Z2853" t="s">
        <v>25915</v>
      </c>
      <c r="AA2853">
        <v>1.258403760048894</v>
      </c>
      <c r="AB2853" t="str">
        <f>HYPERLINK("Melting_Curves/meltCurve_P98179_RBM3.pdf", "Melting_Curves/meltCurve_P98179_RBM3.pdf")</f>
        <v>Melting_Curves/meltCurve_P98179_RBM3.pdf</v>
      </c>
    </row>
    <row r="2854" spans="1:28" x14ac:dyDescent="0.25">
      <c r="A2854" t="s">
        <v>2858</v>
      </c>
      <c r="B2854">
        <v>0.99996721820229495</v>
      </c>
      <c r="C2854">
        <v>0.95410160700920599</v>
      </c>
      <c r="D2854">
        <v>0.74479459424902705</v>
      </c>
      <c r="E2854">
        <v>0.389335014711712</v>
      </c>
      <c r="F2854">
        <v>0.311482495122546</v>
      </c>
      <c r="G2854">
        <v>0.30532334165218</v>
      </c>
      <c r="H2854">
        <v>0.155720569825162</v>
      </c>
      <c r="I2854">
        <v>0.11852128344296101</v>
      </c>
      <c r="J2854">
        <v>0.11330515424031901</v>
      </c>
      <c r="K2854">
        <v>7.66099780482489E-2</v>
      </c>
      <c r="L2854">
        <v>789.44733588365705</v>
      </c>
      <c r="M2854">
        <v>16.275125535336699</v>
      </c>
      <c r="N2854">
        <v>49.343817419170101</v>
      </c>
      <c r="O2854">
        <v>47.791805981587899</v>
      </c>
      <c r="P2854">
        <v>-7.4867334319794004E-2</v>
      </c>
      <c r="Q2854">
        <v>0.120674963258409</v>
      </c>
      <c r="R2854">
        <v>0.97907346319238997</v>
      </c>
      <c r="S2854" t="s">
        <v>8680</v>
      </c>
      <c r="T2854" t="s">
        <v>11650</v>
      </c>
      <c r="U2854" t="s">
        <v>11650</v>
      </c>
      <c r="V2854" t="s">
        <v>11650</v>
      </c>
      <c r="W2854" t="s">
        <v>14458</v>
      </c>
      <c r="X2854">
        <v>7</v>
      </c>
      <c r="Y2854" t="s">
        <v>20162</v>
      </c>
      <c r="Z2854" t="s">
        <v>25916</v>
      </c>
      <c r="AA2854">
        <v>0.38886006107675453</v>
      </c>
      <c r="AB2854" t="str">
        <f>HYPERLINK("Melting_Curves/meltCurve_Q00013_2_MPP1.pdf", "Melting_Curves/meltCurve_Q00013_2_MPP1.pdf")</f>
        <v>Melting_Curves/meltCurve_Q00013_2_MPP1.pdf</v>
      </c>
    </row>
    <row r="2855" spans="1:28" x14ac:dyDescent="0.25">
      <c r="A2855" t="s">
        <v>2859</v>
      </c>
      <c r="B2855">
        <v>0.99996721820229495</v>
      </c>
      <c r="C2855">
        <v>1.00065639688186</v>
      </c>
      <c r="D2855">
        <v>0.89396745730622096</v>
      </c>
      <c r="E2855">
        <v>0.82439424787469295</v>
      </c>
      <c r="F2855">
        <v>1.0374543965731</v>
      </c>
      <c r="G2855">
        <v>0.90952983123238895</v>
      </c>
      <c r="H2855">
        <v>0.582416644231179</v>
      </c>
      <c r="I2855">
        <v>0.69764584628663895</v>
      </c>
      <c r="J2855">
        <v>0.45804082839972798</v>
      </c>
      <c r="K2855">
        <v>0.35167316088571998</v>
      </c>
      <c r="L2855">
        <v>687.56832844445501</v>
      </c>
      <c r="M2855">
        <v>10.3629739590447</v>
      </c>
      <c r="N2855">
        <v>66.348549402786801</v>
      </c>
      <c r="O2855">
        <v>64.020499306687796</v>
      </c>
      <c r="P2855">
        <v>-4.0484583297172798E-2</v>
      </c>
      <c r="Q2855">
        <v>0</v>
      </c>
      <c r="R2855">
        <v>0.86120032057206697</v>
      </c>
      <c r="S2855" t="s">
        <v>8681</v>
      </c>
      <c r="T2855" t="s">
        <v>11650</v>
      </c>
      <c r="U2855" t="s">
        <v>11650</v>
      </c>
      <c r="V2855" t="s">
        <v>11650</v>
      </c>
      <c r="W2855" t="s">
        <v>14459</v>
      </c>
      <c r="X2855">
        <v>3</v>
      </c>
      <c r="Y2855" t="s">
        <v>20163</v>
      </c>
      <c r="Z2855" t="s">
        <v>25917</v>
      </c>
      <c r="AA2855">
        <v>0.80911668011481086</v>
      </c>
      <c r="AB2855" t="str">
        <f>HYPERLINK("Melting_Curves/meltCurve_Q00059_TFAM.pdf", "Melting_Curves/meltCurve_Q00059_TFAM.pdf")</f>
        <v>Melting_Curves/meltCurve_Q00059_TFAM.pdf</v>
      </c>
    </row>
    <row r="2856" spans="1:28" x14ac:dyDescent="0.25">
      <c r="A2856" t="s">
        <v>2860</v>
      </c>
      <c r="B2856">
        <v>0.99996721820229495</v>
      </c>
      <c r="C2856">
        <v>0.86703006589620102</v>
      </c>
      <c r="D2856">
        <v>0.86014295115637895</v>
      </c>
      <c r="E2856">
        <v>0.88364441726524301</v>
      </c>
      <c r="F2856">
        <v>1.0525469852034699</v>
      </c>
      <c r="G2856">
        <v>0.77203504722508398</v>
      </c>
      <c r="H2856">
        <v>0.256946152829512</v>
      </c>
      <c r="I2856">
        <v>0.12635472570115899</v>
      </c>
      <c r="J2856">
        <v>7.5871485684603904E-2</v>
      </c>
      <c r="K2856">
        <v>6.4980774302151503E-2</v>
      </c>
      <c r="L2856">
        <v>2225.7796726782899</v>
      </c>
      <c r="M2856">
        <v>37.878071991155601</v>
      </c>
      <c r="N2856">
        <v>59.002582379741597</v>
      </c>
      <c r="O2856">
        <v>58.598606019707901</v>
      </c>
      <c r="P2856">
        <v>-0.15002390984091399</v>
      </c>
      <c r="Q2856">
        <v>7.16346422542367E-2</v>
      </c>
      <c r="R2856">
        <v>0.96346011394859599</v>
      </c>
      <c r="S2856" t="s">
        <v>8682</v>
      </c>
      <c r="T2856" t="s">
        <v>11650</v>
      </c>
      <c r="U2856" t="s">
        <v>11650</v>
      </c>
      <c r="V2856" t="s">
        <v>11650</v>
      </c>
      <c r="W2856" t="s">
        <v>14460</v>
      </c>
      <c r="X2856">
        <v>26</v>
      </c>
      <c r="Y2856" t="s">
        <v>18359</v>
      </c>
      <c r="Z2856" t="s">
        <v>25918</v>
      </c>
      <c r="AA2856">
        <v>0.65626916893400511</v>
      </c>
      <c r="AB2856" t="str">
        <f>HYPERLINK("Melting_Curves/meltCurve_Q00169_PITPNA.pdf", "Melting_Curves/meltCurve_Q00169_PITPNA.pdf")</f>
        <v>Melting_Curves/meltCurve_Q00169_PITPNA.pdf</v>
      </c>
    </row>
    <row r="2857" spans="1:28" x14ac:dyDescent="0.25">
      <c r="A2857" t="s">
        <v>2861</v>
      </c>
      <c r="B2857">
        <v>0.99996721820229495</v>
      </c>
      <c r="C2857">
        <v>0.79924618348104204</v>
      </c>
      <c r="D2857">
        <v>0.99720200661991298</v>
      </c>
      <c r="E2857">
        <v>1.49418689618395</v>
      </c>
      <c r="F2857">
        <v>2.2478388713892099</v>
      </c>
      <c r="G2857">
        <v>2.1800049132908499</v>
      </c>
      <c r="H2857">
        <v>1.9512302913653099</v>
      </c>
      <c r="I2857">
        <v>1.7148785789864101</v>
      </c>
      <c r="J2857">
        <v>1.0685440113286799</v>
      </c>
      <c r="K2857">
        <v>1.26981719086194</v>
      </c>
      <c r="L2857">
        <v>12277.854373890599</v>
      </c>
      <c r="M2857">
        <v>250</v>
      </c>
      <c r="O2857">
        <v>49.108274664911598</v>
      </c>
      <c r="P2857">
        <v>0.63634897038270899</v>
      </c>
      <c r="Q2857">
        <v>1.5</v>
      </c>
      <c r="R2857">
        <v>0.37885514468233</v>
      </c>
      <c r="S2857" t="s">
        <v>8683</v>
      </c>
      <c r="T2857" t="s">
        <v>11650</v>
      </c>
      <c r="U2857" t="s">
        <v>11650</v>
      </c>
      <c r="V2857" t="s">
        <v>11650</v>
      </c>
      <c r="W2857" t="s">
        <v>14461</v>
      </c>
      <c r="X2857">
        <v>14</v>
      </c>
      <c r="Y2857" t="s">
        <v>20164</v>
      </c>
      <c r="Z2857" t="s">
        <v>25919</v>
      </c>
      <c r="AA2857">
        <v>1.348099946853947</v>
      </c>
      <c r="AB2857" t="str">
        <f>HYPERLINK("Melting_Curves/meltCurve_Q00325_2_SLC25A3.pdf", "Melting_Curves/meltCurve_Q00325_2_SLC25A3.pdf")</f>
        <v>Melting_Curves/meltCurve_Q00325_2_SLC25A3.pdf</v>
      </c>
    </row>
    <row r="2858" spans="1:28" x14ac:dyDescent="0.25">
      <c r="A2858" t="s">
        <v>2862</v>
      </c>
      <c r="B2858">
        <v>0.99996721820229495</v>
      </c>
      <c r="C2858">
        <v>0.97456068821836495</v>
      </c>
      <c r="D2858">
        <v>0.50514371086079402</v>
      </c>
      <c r="E2858">
        <v>0.28722803348971598</v>
      </c>
      <c r="F2858">
        <v>0.294302855266801</v>
      </c>
      <c r="G2858">
        <v>0.25069114818458699</v>
      </c>
      <c r="H2858">
        <v>0.17398359254531101</v>
      </c>
      <c r="I2858">
        <v>0.128140073474626</v>
      </c>
      <c r="J2858">
        <v>0.11033172668711901</v>
      </c>
      <c r="K2858">
        <v>7.89138051556766E-2</v>
      </c>
      <c r="L2858">
        <v>1416.0021106694101</v>
      </c>
      <c r="M2858">
        <v>30.948069092944898</v>
      </c>
      <c r="N2858">
        <v>46.4032496643256</v>
      </c>
      <c r="O2858">
        <v>45.564372313158003</v>
      </c>
      <c r="P2858">
        <v>-0.13997141733172699</v>
      </c>
      <c r="Q2858">
        <v>0.17569360996394201</v>
      </c>
      <c r="R2858">
        <v>0.95937000655832405</v>
      </c>
      <c r="S2858" t="s">
        <v>8684</v>
      </c>
      <c r="T2858" t="s">
        <v>11650</v>
      </c>
      <c r="U2858" t="s">
        <v>11650</v>
      </c>
      <c r="V2858" t="s">
        <v>11650</v>
      </c>
      <c r="W2858" t="s">
        <v>14462</v>
      </c>
      <c r="X2858">
        <v>49</v>
      </c>
      <c r="Y2858" t="s">
        <v>20165</v>
      </c>
      <c r="Z2858" t="s">
        <v>25920</v>
      </c>
      <c r="AA2858">
        <v>0.33852059152135627</v>
      </c>
      <c r="AB2858" t="str">
        <f>HYPERLINK("Melting_Curves/meltCurve_Q00341_HDLBP.pdf", "Melting_Curves/meltCurve_Q00341_HDLBP.pdf")</f>
        <v>Melting_Curves/meltCurve_Q00341_HDLBP.pdf</v>
      </c>
    </row>
    <row r="2859" spans="1:28" x14ac:dyDescent="0.25">
      <c r="A2859" t="s">
        <v>2863</v>
      </c>
      <c r="B2859">
        <v>0.99996721820229495</v>
      </c>
      <c r="C2859">
        <v>1.0111128897433499</v>
      </c>
      <c r="D2859">
        <v>0.95057388328048398</v>
      </c>
      <c r="E2859">
        <v>1.0452486144097399</v>
      </c>
      <c r="F2859">
        <v>0.97799554791497501</v>
      </c>
      <c r="G2859">
        <v>0.54266149931692198</v>
      </c>
      <c r="H2859">
        <v>0.24356673801509199</v>
      </c>
      <c r="I2859">
        <v>0.159069259072432</v>
      </c>
      <c r="J2859">
        <v>0.1051865923739</v>
      </c>
      <c r="K2859">
        <v>8.8611020342906396E-2</v>
      </c>
      <c r="L2859">
        <v>1911.24092262613</v>
      </c>
      <c r="M2859">
        <v>33.473320355561903</v>
      </c>
      <c r="N2859">
        <v>57.544239352035902</v>
      </c>
      <c r="O2859">
        <v>56.894810696392803</v>
      </c>
      <c r="P2859">
        <v>-0.130252965473663</v>
      </c>
      <c r="Q2859">
        <v>0.11443663921113401</v>
      </c>
      <c r="R2859">
        <v>0.99357570342177104</v>
      </c>
      <c r="S2859" t="s">
        <v>8685</v>
      </c>
      <c r="T2859" t="s">
        <v>11650</v>
      </c>
      <c r="U2859" t="s">
        <v>11650</v>
      </c>
      <c r="V2859" t="s">
        <v>11650</v>
      </c>
      <c r="W2859" t="s">
        <v>14463</v>
      </c>
      <c r="X2859">
        <v>12</v>
      </c>
      <c r="Y2859" t="s">
        <v>20166</v>
      </c>
      <c r="Z2859" t="s">
        <v>25921</v>
      </c>
      <c r="AA2859">
        <v>0.62397258636656983</v>
      </c>
      <c r="AB2859" t="str">
        <f>HYPERLINK("Melting_Curves/meltCurve_Q00534_CDK6.pdf", "Melting_Curves/meltCurve_Q00534_CDK6.pdf")</f>
        <v>Melting_Curves/meltCurve_Q00534_CDK6.pdf</v>
      </c>
    </row>
    <row r="2860" spans="1:28" x14ac:dyDescent="0.25">
      <c r="A2860" t="s">
        <v>2864</v>
      </c>
      <c r="B2860">
        <v>0.99996721820229495</v>
      </c>
      <c r="C2860">
        <v>0.93459813659484803</v>
      </c>
      <c r="D2860">
        <v>0.80451150292943097</v>
      </c>
      <c r="E2860">
        <v>0.48831730294120301</v>
      </c>
      <c r="F2860">
        <v>0.300390378520557</v>
      </c>
      <c r="G2860">
        <v>0.24316892647969399</v>
      </c>
      <c r="H2860">
        <v>0.15339129337042201</v>
      </c>
      <c r="I2860">
        <v>9.9080284946964095E-2</v>
      </c>
      <c r="J2860">
        <v>7.2006273020984807E-2</v>
      </c>
      <c r="K2860">
        <v>5.9703538403315402E-2</v>
      </c>
      <c r="L2860">
        <v>767.99613879920003</v>
      </c>
      <c r="M2860">
        <v>15.4807253400503</v>
      </c>
      <c r="N2860">
        <v>50.1471042092235</v>
      </c>
      <c r="O2860">
        <v>48.804121745576097</v>
      </c>
      <c r="P2860">
        <v>-7.3246895739987397E-2</v>
      </c>
      <c r="Q2860">
        <v>7.6417624081225696E-2</v>
      </c>
      <c r="R2860">
        <v>0.99406641699033504</v>
      </c>
      <c r="S2860" t="s">
        <v>8686</v>
      </c>
      <c r="T2860" t="s">
        <v>11650</v>
      </c>
      <c r="U2860" t="s">
        <v>11650</v>
      </c>
      <c r="V2860" t="s">
        <v>11650</v>
      </c>
      <c r="W2860" t="s">
        <v>14464</v>
      </c>
      <c r="X2860">
        <v>11</v>
      </c>
      <c r="Y2860" t="s">
        <v>20167</v>
      </c>
      <c r="Z2860" t="s">
        <v>25922</v>
      </c>
      <c r="AA2860">
        <v>0.39332558061256151</v>
      </c>
      <c r="AB2860" t="str">
        <f>HYPERLINK("Melting_Curves/meltCurve_Q00535_CDK5.pdf", "Melting_Curves/meltCurve_Q00535_CDK5.pdf")</f>
        <v>Melting_Curves/meltCurve_Q00535_CDK5.pdf</v>
      </c>
    </row>
    <row r="2861" spans="1:28" x14ac:dyDescent="0.25">
      <c r="A2861" t="s">
        <v>2865</v>
      </c>
      <c r="B2861">
        <v>0.99996721820229495</v>
      </c>
      <c r="C2861">
        <v>0.99631673086094896</v>
      </c>
      <c r="D2861">
        <v>0.88056914854174495</v>
      </c>
      <c r="E2861">
        <v>0.67910404791206902</v>
      </c>
      <c r="F2861">
        <v>0.32146423141511099</v>
      </c>
      <c r="G2861">
        <v>0.204476475139827</v>
      </c>
      <c r="H2861">
        <v>0.120590594827842</v>
      </c>
      <c r="I2861">
        <v>7.8397427958216595E-2</v>
      </c>
      <c r="J2861">
        <v>6.2492314706965299E-2</v>
      </c>
      <c r="K2861">
        <v>4.4145225636645698E-2</v>
      </c>
      <c r="L2861">
        <v>1013.2571938566</v>
      </c>
      <c r="M2861">
        <v>19.804267938710499</v>
      </c>
      <c r="N2861">
        <v>51.5039581133464</v>
      </c>
      <c r="O2861">
        <v>50.650476924518699</v>
      </c>
      <c r="P2861">
        <v>-9.1756941589361901E-2</v>
      </c>
      <c r="Q2861">
        <v>6.13385662124252E-2</v>
      </c>
      <c r="R2861">
        <v>0.99461384267250796</v>
      </c>
      <c r="S2861" t="s">
        <v>8687</v>
      </c>
      <c r="T2861" t="s">
        <v>11650</v>
      </c>
      <c r="U2861" t="s">
        <v>11650</v>
      </c>
      <c r="V2861" t="s">
        <v>11650</v>
      </c>
      <c r="W2861" t="s">
        <v>14465</v>
      </c>
      <c r="X2861">
        <v>11</v>
      </c>
      <c r="Y2861" t="s">
        <v>20168</v>
      </c>
      <c r="Z2861" t="s">
        <v>25923</v>
      </c>
      <c r="AA2861">
        <v>0.42389722938715152</v>
      </c>
      <c r="AB2861" t="str">
        <f>HYPERLINK("Melting_Curves/meltCurve_Q00536_CDK16.pdf", "Melting_Curves/meltCurve_Q00536_CDK16.pdf")</f>
        <v>Melting_Curves/meltCurve_Q00536_CDK16.pdf</v>
      </c>
    </row>
    <row r="2862" spans="1:28" x14ac:dyDescent="0.25">
      <c r="A2862" t="s">
        <v>2866</v>
      </c>
      <c r="B2862">
        <v>0.99996721820229495</v>
      </c>
      <c r="C2862">
        <v>0.79433560369253498</v>
      </c>
      <c r="D2862">
        <v>0.86326368664503905</v>
      </c>
      <c r="E2862">
        <v>1.2006485315165201</v>
      </c>
      <c r="F2862">
        <v>1.7121587414110899</v>
      </c>
      <c r="G2862">
        <v>1.9574406338905801</v>
      </c>
      <c r="H2862">
        <v>2.07739976477301</v>
      </c>
      <c r="I2862">
        <v>1.0283265627398499</v>
      </c>
      <c r="J2862">
        <v>0.295306306486319</v>
      </c>
      <c r="K2862">
        <v>0.242831848532715</v>
      </c>
      <c r="L2862">
        <v>15000</v>
      </c>
      <c r="M2862">
        <v>226.47195395487299</v>
      </c>
      <c r="N2862">
        <v>66.428222575204103</v>
      </c>
      <c r="O2862">
        <v>66.228206805631899</v>
      </c>
      <c r="P2862">
        <v>-0.64742115145953305</v>
      </c>
      <c r="Q2862">
        <v>0.24268699958246701</v>
      </c>
      <c r="R2862">
        <v>0.25767182642068498</v>
      </c>
      <c r="S2862" t="s">
        <v>8688</v>
      </c>
      <c r="T2862" t="s">
        <v>11650</v>
      </c>
      <c r="U2862" t="s">
        <v>11650</v>
      </c>
      <c r="V2862" t="s">
        <v>11650</v>
      </c>
      <c r="W2862" t="s">
        <v>14466</v>
      </c>
      <c r="X2862">
        <v>2</v>
      </c>
      <c r="Y2862" t="s">
        <v>20169</v>
      </c>
      <c r="Z2862" t="s">
        <v>25924</v>
      </c>
      <c r="AA2862">
        <v>0.90502322308723637</v>
      </c>
      <c r="AB2862" t="str">
        <f>HYPERLINK("Melting_Curves/meltCurve_Q00577_PURA.pdf", "Melting_Curves/meltCurve_Q00577_PURA.pdf")</f>
        <v>Melting_Curves/meltCurve_Q00577_PURA.pdf</v>
      </c>
    </row>
    <row r="2863" spans="1:28" x14ac:dyDescent="0.25">
      <c r="A2863" t="s">
        <v>2867</v>
      </c>
      <c r="B2863">
        <v>0.99996721820229495</v>
      </c>
      <c r="C2863">
        <v>0.90903925445382106</v>
      </c>
      <c r="D2863">
        <v>0.85448143279730404</v>
      </c>
      <c r="E2863">
        <v>0.82855306526546502</v>
      </c>
      <c r="F2863">
        <v>0.95086705584926201</v>
      </c>
      <c r="G2863">
        <v>0.82134369648063299</v>
      </c>
      <c r="H2863">
        <v>0.60807232250905996</v>
      </c>
      <c r="I2863">
        <v>0.60082903331280002</v>
      </c>
      <c r="J2863">
        <v>0.64987913932701702</v>
      </c>
      <c r="K2863">
        <v>0.70677360323457294</v>
      </c>
      <c r="L2863">
        <v>357.70312654511901</v>
      </c>
      <c r="M2863">
        <v>6.2325928321292903</v>
      </c>
      <c r="O2863">
        <v>52.331010125408902</v>
      </c>
      <c r="P2863">
        <v>-1.45973576694533E-2</v>
      </c>
      <c r="Q2863">
        <v>0.51112374367392399</v>
      </c>
      <c r="R2863">
        <v>0.72620398752642301</v>
      </c>
      <c r="S2863" t="s">
        <v>8689</v>
      </c>
      <c r="T2863" t="s">
        <v>11650</v>
      </c>
      <c r="U2863" t="s">
        <v>11650</v>
      </c>
      <c r="V2863" t="s">
        <v>11650</v>
      </c>
      <c r="W2863" t="s">
        <v>14467</v>
      </c>
      <c r="X2863">
        <v>7</v>
      </c>
      <c r="Y2863" t="s">
        <v>20170</v>
      </c>
      <c r="Z2863" t="s">
        <v>25925</v>
      </c>
      <c r="AA2863">
        <v>0.79468320908890078</v>
      </c>
      <c r="AB2863" t="str">
        <f>HYPERLINK("Melting_Curves/meltCurve_Q00587_2_CDC42EP1.pdf", "Melting_Curves/meltCurve_Q00587_2_CDC42EP1.pdf")</f>
        <v>Melting_Curves/meltCurve_Q00587_2_CDC42EP1.pdf</v>
      </c>
    </row>
    <row r="2864" spans="1:28" x14ac:dyDescent="0.25">
      <c r="A2864" t="s">
        <v>2868</v>
      </c>
      <c r="B2864">
        <v>0.99996721820229495</v>
      </c>
      <c r="C2864">
        <v>1.00619017021144</v>
      </c>
      <c r="D2864">
        <v>1.0980551462013901</v>
      </c>
      <c r="E2864">
        <v>1.9079559746518</v>
      </c>
      <c r="F2864">
        <v>0.61711162262842001</v>
      </c>
      <c r="G2864">
        <v>0.48204154726260001</v>
      </c>
      <c r="H2864">
        <v>0.25289483925065498</v>
      </c>
      <c r="I2864">
        <v>0.15955512035996999</v>
      </c>
      <c r="J2864">
        <v>0.115808131576477</v>
      </c>
      <c r="K2864">
        <v>9.2652833231690296E-2</v>
      </c>
      <c r="L2864">
        <v>1830.9256041139399</v>
      </c>
      <c r="M2864">
        <v>32.746492347839698</v>
      </c>
      <c r="N2864">
        <v>56.4738215355287</v>
      </c>
      <c r="O2864">
        <v>55.704838684541002</v>
      </c>
      <c r="P2864">
        <v>-0.126538056121035</v>
      </c>
      <c r="Q2864">
        <v>0.13899180242041001</v>
      </c>
      <c r="R2864">
        <v>0.69090416694356804</v>
      </c>
      <c r="S2864" t="s">
        <v>8690</v>
      </c>
      <c r="T2864" t="s">
        <v>11650</v>
      </c>
      <c r="U2864" t="s">
        <v>11650</v>
      </c>
      <c r="V2864" t="s">
        <v>11650</v>
      </c>
      <c r="W2864" t="s">
        <v>14468</v>
      </c>
      <c r="X2864">
        <v>81</v>
      </c>
      <c r="Y2864" t="s">
        <v>20171</v>
      </c>
      <c r="Z2864" t="s">
        <v>25926</v>
      </c>
      <c r="AA2864">
        <v>0.60054779382318002</v>
      </c>
      <c r="AB2864" t="str">
        <f>HYPERLINK("Melting_Curves/meltCurve_Q00610_2_CLTC.pdf", "Melting_Curves/meltCurve_Q00610_2_CLTC.pdf")</f>
        <v>Melting_Curves/meltCurve_Q00610_2_CLTC.pdf</v>
      </c>
    </row>
    <row r="2865" spans="1:28" x14ac:dyDescent="0.25">
      <c r="A2865" t="s">
        <v>2869</v>
      </c>
      <c r="B2865">
        <v>0.99996721820229495</v>
      </c>
      <c r="C2865">
        <v>0.90044529310061605</v>
      </c>
      <c r="D2865">
        <v>0.68589848414390797</v>
      </c>
      <c r="E2865">
        <v>0.38485962530783402</v>
      </c>
      <c r="F2865">
        <v>0.42700226848834899</v>
      </c>
      <c r="G2865">
        <v>0.367559905483195</v>
      </c>
      <c r="H2865">
        <v>0.22281664042222901</v>
      </c>
      <c r="I2865">
        <v>0.16211396245818999</v>
      </c>
      <c r="J2865">
        <v>0.122972785000084</v>
      </c>
      <c r="K2865">
        <v>0.134345242375211</v>
      </c>
      <c r="L2865">
        <v>574.23010101190903</v>
      </c>
      <c r="M2865">
        <v>11.797733483903601</v>
      </c>
      <c r="N2865">
        <v>49.982855752749899</v>
      </c>
      <c r="O2865">
        <v>47.337640992953901</v>
      </c>
      <c r="P2865">
        <v>-5.4034709434793902E-2</v>
      </c>
      <c r="Q2865">
        <v>0.13298015298871599</v>
      </c>
      <c r="R2865">
        <v>0.96012294442585899</v>
      </c>
      <c r="S2865" t="s">
        <v>8691</v>
      </c>
      <c r="T2865" t="s">
        <v>11650</v>
      </c>
      <c r="U2865" t="s">
        <v>11650</v>
      </c>
      <c r="V2865" t="s">
        <v>11650</v>
      </c>
      <c r="W2865" t="s">
        <v>14469</v>
      </c>
      <c r="X2865">
        <v>7</v>
      </c>
      <c r="Y2865" t="s">
        <v>20172</v>
      </c>
      <c r="Z2865" t="s">
        <v>25927</v>
      </c>
      <c r="AA2865">
        <v>0.41708298332019722</v>
      </c>
      <c r="AB2865" t="str">
        <f>HYPERLINK("Melting_Curves/meltCurve_Q00653_4_NFKB2.pdf", "Melting_Curves/meltCurve_Q00653_4_NFKB2.pdf")</f>
        <v>Melting_Curves/meltCurve_Q00653_4_NFKB2.pdf</v>
      </c>
    </row>
    <row r="2866" spans="1:28" x14ac:dyDescent="0.25">
      <c r="A2866" t="s">
        <v>2870</v>
      </c>
      <c r="B2866">
        <v>0.99996721820229495</v>
      </c>
      <c r="C2866">
        <v>0.97690682318090705</v>
      </c>
      <c r="D2866">
        <v>0.83409922168541395</v>
      </c>
      <c r="E2866">
        <v>0.77036362308537698</v>
      </c>
      <c r="F2866">
        <v>0.70594482780199197</v>
      </c>
      <c r="G2866">
        <v>0.60647247648087499</v>
      </c>
      <c r="H2866">
        <v>0.42966605409207398</v>
      </c>
      <c r="I2866">
        <v>0.37371997410598601</v>
      </c>
      <c r="J2866">
        <v>0.36916190767069001</v>
      </c>
      <c r="K2866">
        <v>0.264966114917357</v>
      </c>
      <c r="L2866">
        <v>426.942167082818</v>
      </c>
      <c r="M2866">
        <v>7.3391156049361799</v>
      </c>
      <c r="N2866">
        <v>59.494410162726297</v>
      </c>
      <c r="O2866">
        <v>54.321886626923302</v>
      </c>
      <c r="P2866">
        <v>-3.1285406713997703E-2</v>
      </c>
      <c r="Q2866">
        <v>7.5180758299737804E-2</v>
      </c>
      <c r="R2866">
        <v>0.98484958856393301</v>
      </c>
      <c r="S2866" t="s">
        <v>8692</v>
      </c>
      <c r="T2866" t="s">
        <v>11650</v>
      </c>
      <c r="U2866" t="s">
        <v>11650</v>
      </c>
      <c r="V2866" t="s">
        <v>11650</v>
      </c>
      <c r="W2866" t="s">
        <v>14470</v>
      </c>
      <c r="X2866">
        <v>23</v>
      </c>
      <c r="Y2866" t="s">
        <v>20173</v>
      </c>
      <c r="Z2866" t="s">
        <v>25928</v>
      </c>
      <c r="AA2866">
        <v>0.63418385717632886</v>
      </c>
      <c r="AB2866" t="str">
        <f>HYPERLINK("Melting_Curves/meltCurve_Q00688_FKBP3.pdf", "Melting_Curves/meltCurve_Q00688_FKBP3.pdf")</f>
        <v>Melting_Curves/meltCurve_Q00688_FKBP3.pdf</v>
      </c>
    </row>
    <row r="2867" spans="1:28" x14ac:dyDescent="0.25">
      <c r="A2867" t="s">
        <v>2871</v>
      </c>
      <c r="B2867">
        <v>0.99996721820229495</v>
      </c>
      <c r="C2867">
        <v>1.0222182626723</v>
      </c>
      <c r="D2867">
        <v>1.01905481551651</v>
      </c>
      <c r="E2867">
        <v>1.12030176032252</v>
      </c>
      <c r="F2867">
        <v>1.50265778875181</v>
      </c>
      <c r="G2867">
        <v>1.77180593015304</v>
      </c>
      <c r="H2867">
        <v>1.26756528746701</v>
      </c>
      <c r="I2867">
        <v>1.00496195527609</v>
      </c>
      <c r="J2867">
        <v>0.84529046449551404</v>
      </c>
      <c r="K2867">
        <v>0.68635962914348803</v>
      </c>
      <c r="L2867">
        <v>15000</v>
      </c>
      <c r="M2867">
        <v>223.85353161732399</v>
      </c>
      <c r="O2867">
        <v>67.002748280197494</v>
      </c>
      <c r="P2867">
        <v>-0.26198343359214399</v>
      </c>
      <c r="Q2867">
        <v>0.68633756135865098</v>
      </c>
      <c r="R2867">
        <v>-3.4853262158810197E-2</v>
      </c>
      <c r="S2867" t="s">
        <v>8693</v>
      </c>
      <c r="T2867" t="s">
        <v>11650</v>
      </c>
      <c r="U2867" t="s">
        <v>11650</v>
      </c>
      <c r="V2867" t="s">
        <v>11650</v>
      </c>
      <c r="W2867" t="s">
        <v>14471</v>
      </c>
      <c r="X2867">
        <v>13</v>
      </c>
      <c r="Y2867" t="s">
        <v>17784</v>
      </c>
      <c r="Z2867" t="s">
        <v>25929</v>
      </c>
      <c r="AA2867">
        <v>0.9687642202954615</v>
      </c>
      <c r="AB2867" t="str">
        <f>HYPERLINK("Melting_Curves/meltCurve_Q00765_REEP5.pdf", "Melting_Curves/meltCurve_Q00765_REEP5.pdf")</f>
        <v>Melting_Curves/meltCurve_Q00765_REEP5.pdf</v>
      </c>
    </row>
    <row r="2868" spans="1:28" x14ac:dyDescent="0.25">
      <c r="A2868" t="s">
        <v>2872</v>
      </c>
      <c r="B2868">
        <v>0.99996721820229495</v>
      </c>
      <c r="C2868">
        <v>1.00996101689824</v>
      </c>
      <c r="D2868">
        <v>1.1156406981934699</v>
      </c>
      <c r="E2868">
        <v>1.4116146594583101</v>
      </c>
      <c r="F2868">
        <v>1.7391766688972401</v>
      </c>
      <c r="G2868">
        <v>1.65044866457427</v>
      </c>
      <c r="H2868">
        <v>0.73730066310015396</v>
      </c>
      <c r="I2868">
        <v>0.27217989456844099</v>
      </c>
      <c r="J2868">
        <v>0.131216151448764</v>
      </c>
      <c r="K2868">
        <v>9.2034502684830002E-2</v>
      </c>
      <c r="L2868">
        <v>3828.3380302284399</v>
      </c>
      <c r="M2868">
        <v>61.697624840851702</v>
      </c>
      <c r="N2868">
        <v>62.325010478791498</v>
      </c>
      <c r="O2868">
        <v>61.9849250303714</v>
      </c>
      <c r="P2868">
        <v>-0.21919041434740399</v>
      </c>
      <c r="Q2868">
        <v>0.119156051547557</v>
      </c>
      <c r="R2868">
        <v>0.64392672104453497</v>
      </c>
      <c r="S2868" t="s">
        <v>8694</v>
      </c>
      <c r="T2868" t="s">
        <v>11650</v>
      </c>
      <c r="U2868" t="s">
        <v>11650</v>
      </c>
      <c r="V2868" t="s">
        <v>11650</v>
      </c>
      <c r="W2868" t="s">
        <v>14472</v>
      </c>
      <c r="X2868">
        <v>17</v>
      </c>
      <c r="Y2868" t="s">
        <v>20174</v>
      </c>
      <c r="Z2868" t="s">
        <v>25930</v>
      </c>
      <c r="AA2868">
        <v>0.76812154864769744</v>
      </c>
      <c r="AB2868" t="str">
        <f>HYPERLINK("Melting_Curves/meltCurve_Q00796_SORD.pdf", "Melting_Curves/meltCurve_Q00796_SORD.pdf")</f>
        <v>Melting_Curves/meltCurve_Q00796_SORD.pdf</v>
      </c>
    </row>
    <row r="2869" spans="1:28" x14ac:dyDescent="0.25">
      <c r="A2869" t="s">
        <v>2873</v>
      </c>
      <c r="B2869">
        <v>0.99996721820229495</v>
      </c>
      <c r="C2869">
        <v>1.0954302468474499</v>
      </c>
      <c r="D2869">
        <v>0.98365123747330796</v>
      </c>
      <c r="E2869">
        <v>0.82129158355945098</v>
      </c>
      <c r="F2869">
        <v>0.92451973465482296</v>
      </c>
      <c r="G2869">
        <v>0.89299302461227703</v>
      </c>
      <c r="H2869">
        <v>0.56743322873596602</v>
      </c>
      <c r="I2869">
        <v>0.60402580181490095</v>
      </c>
      <c r="J2869">
        <v>0.40552801256007498</v>
      </c>
      <c r="K2869">
        <v>0.29878025631175198</v>
      </c>
      <c r="L2869">
        <v>673.836610873984</v>
      </c>
      <c r="M2869">
        <v>10.3938671878739</v>
      </c>
      <c r="N2869">
        <v>64.830196800681705</v>
      </c>
      <c r="O2869">
        <v>62.5681524492337</v>
      </c>
      <c r="P2869">
        <v>-4.1547603544527502E-2</v>
      </c>
      <c r="Q2869">
        <v>0</v>
      </c>
      <c r="R2869">
        <v>0.92598364127884603</v>
      </c>
      <c r="S2869" t="s">
        <v>8695</v>
      </c>
      <c r="T2869" t="s">
        <v>11650</v>
      </c>
      <c r="U2869" t="s">
        <v>11650</v>
      </c>
      <c r="V2869" t="s">
        <v>11650</v>
      </c>
      <c r="W2869" t="s">
        <v>14473</v>
      </c>
      <c r="X2869">
        <v>13</v>
      </c>
      <c r="Y2869" t="s">
        <v>20175</v>
      </c>
      <c r="Z2869" t="s">
        <v>25931</v>
      </c>
      <c r="AA2869">
        <v>0.77865067903715401</v>
      </c>
      <c r="AB2869" t="str">
        <f>HYPERLINK("Melting_Curves/meltCurve_Q00839_2_HNRNPU.pdf", "Melting_Curves/meltCurve_Q00839_2_HNRNPU.pdf")</f>
        <v>Melting_Curves/meltCurve_Q00839_2_HNRNPU.pdf</v>
      </c>
    </row>
    <row r="2870" spans="1:28" x14ac:dyDescent="0.25">
      <c r="A2870" t="s">
        <v>2874</v>
      </c>
      <c r="B2870">
        <v>0.99996721820229495</v>
      </c>
      <c r="C2870">
        <v>0.89351872165640001</v>
      </c>
      <c r="D2870">
        <v>0.53892996569905005</v>
      </c>
      <c r="E2870">
        <v>0.30448171253976802</v>
      </c>
      <c r="F2870">
        <v>0.31021189154825601</v>
      </c>
      <c r="G2870">
        <v>0.24369891628458801</v>
      </c>
      <c r="H2870">
        <v>0.15041476725827099</v>
      </c>
      <c r="I2870">
        <v>9.7759008818212895E-2</v>
      </c>
      <c r="J2870">
        <v>7.8677436510343604E-2</v>
      </c>
      <c r="K2870">
        <v>6.1388628068248997E-2</v>
      </c>
      <c r="L2870">
        <v>743.54453559752005</v>
      </c>
      <c r="M2870">
        <v>15.8986865613745</v>
      </c>
      <c r="N2870">
        <v>47.520866368210498</v>
      </c>
      <c r="O2870">
        <v>46.046527886687898</v>
      </c>
      <c r="P2870">
        <v>-7.6711110083064499E-2</v>
      </c>
      <c r="Q2870">
        <v>0.11137407864304801</v>
      </c>
      <c r="R2870">
        <v>0.967106650463053</v>
      </c>
      <c r="S2870" t="s">
        <v>8696</v>
      </c>
      <c r="T2870" t="s">
        <v>11650</v>
      </c>
      <c r="U2870" t="s">
        <v>11650</v>
      </c>
      <c r="V2870" t="s">
        <v>11650</v>
      </c>
      <c r="W2870" t="s">
        <v>14474</v>
      </c>
      <c r="X2870">
        <v>3</v>
      </c>
      <c r="Y2870" t="s">
        <v>20176</v>
      </c>
      <c r="Z2870" t="s">
        <v>25932</v>
      </c>
      <c r="AA2870">
        <v>0.33353289672525921</v>
      </c>
      <c r="AB2870" t="str">
        <f>HYPERLINK("Melting_Curves/meltCurve_Q00978_IRF9.pdf", "Melting_Curves/meltCurve_Q00978_IRF9.pdf")</f>
        <v>Melting_Curves/meltCurve_Q00978_IRF9.pdf</v>
      </c>
    </row>
    <row r="2871" spans="1:28" x14ac:dyDescent="0.25">
      <c r="A2871" t="s">
        <v>2875</v>
      </c>
      <c r="B2871">
        <v>0.99996721820229495</v>
      </c>
      <c r="C2871">
        <v>1.0576166857179801</v>
      </c>
      <c r="D2871">
        <v>1.1797069768064301</v>
      </c>
      <c r="E2871">
        <v>2.46510853356008</v>
      </c>
      <c r="F2871">
        <v>3.04755066536603</v>
      </c>
      <c r="G2871">
        <v>2.8462774267341699</v>
      </c>
      <c r="H2871">
        <v>0.88037979287916401</v>
      </c>
      <c r="I2871">
        <v>0.49002963195612098</v>
      </c>
      <c r="J2871">
        <v>0.31106925259252699</v>
      </c>
      <c r="K2871">
        <v>0.26450552866032701</v>
      </c>
      <c r="L2871">
        <v>4124.1896476674801</v>
      </c>
      <c r="M2871">
        <v>65.416623779559103</v>
      </c>
      <c r="N2871">
        <v>63.856823219781496</v>
      </c>
      <c r="O2871">
        <v>62.986140595497602</v>
      </c>
      <c r="P2871">
        <v>-0.18633804072711899</v>
      </c>
      <c r="Q2871">
        <v>0.28234079129128098</v>
      </c>
      <c r="R2871">
        <v>3.02525857644487E-3</v>
      </c>
      <c r="S2871" t="s">
        <v>8697</v>
      </c>
      <c r="T2871" t="s">
        <v>11650</v>
      </c>
      <c r="U2871" t="s">
        <v>11650</v>
      </c>
      <c r="V2871" t="s">
        <v>11650</v>
      </c>
      <c r="W2871" t="s">
        <v>14475</v>
      </c>
      <c r="X2871">
        <v>69</v>
      </c>
      <c r="Y2871" t="s">
        <v>20177</v>
      </c>
      <c r="Z2871" t="s">
        <v>25933</v>
      </c>
      <c r="AA2871">
        <v>0.83474113295353669</v>
      </c>
      <c r="AB2871" t="str">
        <f>HYPERLINK("Melting_Curves/meltCurve_Q01082_SPTBN1.pdf", "Melting_Curves/meltCurve_Q01082_SPTBN1.pdf")</f>
        <v>Melting_Curves/meltCurve_Q01082_SPTBN1.pdf</v>
      </c>
    </row>
    <row r="2872" spans="1:28" x14ac:dyDescent="0.25">
      <c r="A2872" t="s">
        <v>2876</v>
      </c>
      <c r="B2872">
        <v>0.99996721820229495</v>
      </c>
      <c r="C2872">
        <v>0.92458051185159695</v>
      </c>
      <c r="D2872">
        <v>0.88173871370338397</v>
      </c>
      <c r="E2872">
        <v>0.828372443628274</v>
      </c>
      <c r="F2872">
        <v>0.57343222501471702</v>
      </c>
      <c r="G2872">
        <v>0.36586166575003898</v>
      </c>
      <c r="H2872">
        <v>0.21588633703040999</v>
      </c>
      <c r="I2872">
        <v>0.21422267505248199</v>
      </c>
      <c r="J2872">
        <v>0.17970446571094001</v>
      </c>
      <c r="K2872">
        <v>9.7896366975814095E-2</v>
      </c>
      <c r="L2872">
        <v>750.08436700965694</v>
      </c>
      <c r="M2872">
        <v>13.9489792780332</v>
      </c>
      <c r="N2872">
        <v>54.5990738083092</v>
      </c>
      <c r="O2872">
        <v>52.704393979924298</v>
      </c>
      <c r="P2872">
        <v>-5.9882559963691899E-2</v>
      </c>
      <c r="Q2872">
        <v>9.5087584567704803E-2</v>
      </c>
      <c r="R2872">
        <v>0.98927423278732096</v>
      </c>
      <c r="S2872" t="s">
        <v>8698</v>
      </c>
      <c r="T2872" t="s">
        <v>11650</v>
      </c>
      <c r="U2872" t="s">
        <v>11650</v>
      </c>
      <c r="V2872" t="s">
        <v>11650</v>
      </c>
      <c r="W2872" t="s">
        <v>14476</v>
      </c>
      <c r="X2872">
        <v>7</v>
      </c>
      <c r="Y2872" t="s">
        <v>20178</v>
      </c>
      <c r="Z2872" t="s">
        <v>25934</v>
      </c>
      <c r="AA2872">
        <v>0.53108433099801255</v>
      </c>
      <c r="AB2872" t="str">
        <f>HYPERLINK("Melting_Curves/meltCurve_Q01085_2_TIAL1.pdf", "Melting_Curves/meltCurve_Q01085_2_TIAL1.pdf")</f>
        <v>Melting_Curves/meltCurve_Q01085_2_TIAL1.pdf</v>
      </c>
    </row>
    <row r="2873" spans="1:28" x14ac:dyDescent="0.25">
      <c r="A2873" t="s">
        <v>2877</v>
      </c>
      <c r="B2873">
        <v>0.99996721820229495</v>
      </c>
      <c r="C2873">
        <v>0.97444153483213003</v>
      </c>
      <c r="D2873">
        <v>0.94532870288617399</v>
      </c>
      <c r="E2873">
        <v>1.0075117980258601</v>
      </c>
      <c r="F2873">
        <v>1.3116564985736401</v>
      </c>
      <c r="G2873">
        <v>1.33856682945078</v>
      </c>
      <c r="H2873">
        <v>1.0795054220382101</v>
      </c>
      <c r="I2873">
        <v>0.68582619447467896</v>
      </c>
      <c r="J2873">
        <v>0.58510595744224503</v>
      </c>
      <c r="K2873">
        <v>0.34919812689517299</v>
      </c>
      <c r="L2873">
        <v>2782.8168894446999</v>
      </c>
      <c r="M2873">
        <v>42.917516590141197</v>
      </c>
      <c r="N2873">
        <v>66.970420872885597</v>
      </c>
      <c r="O2873">
        <v>64.700747018759202</v>
      </c>
      <c r="P2873">
        <v>-0.104099465891482</v>
      </c>
      <c r="Q2873">
        <v>0.37225607282206202</v>
      </c>
      <c r="R2873">
        <v>0.71270228776945699</v>
      </c>
      <c r="S2873" t="s">
        <v>8699</v>
      </c>
      <c r="T2873" t="s">
        <v>11650</v>
      </c>
      <c r="U2873" t="s">
        <v>11650</v>
      </c>
      <c r="V2873" t="s">
        <v>11650</v>
      </c>
      <c r="W2873" t="s">
        <v>14477</v>
      </c>
      <c r="X2873">
        <v>10</v>
      </c>
      <c r="Y2873" t="s">
        <v>20179</v>
      </c>
      <c r="Z2873" t="s">
        <v>25935</v>
      </c>
      <c r="AA2873">
        <v>0.89288132398320463</v>
      </c>
      <c r="AB2873" t="str">
        <f>HYPERLINK("Melting_Curves/meltCurve_Q01105_SET.pdf", "Melting_Curves/meltCurve_Q01105_SET.pdf")</f>
        <v>Melting_Curves/meltCurve_Q01105_SET.pdf</v>
      </c>
    </row>
    <row r="2874" spans="1:28" x14ac:dyDescent="0.25">
      <c r="A2874" t="s">
        <v>2878</v>
      </c>
      <c r="B2874">
        <v>0.99996721820229495</v>
      </c>
      <c r="C2874">
        <v>1.0033333423619499</v>
      </c>
      <c r="D2874">
        <v>0.73333898908157003</v>
      </c>
      <c r="E2874">
        <v>0.62375171836919296</v>
      </c>
      <c r="F2874">
        <v>0.707127512722597</v>
      </c>
      <c r="G2874">
        <v>0.73663472187776202</v>
      </c>
      <c r="H2874">
        <v>0.50878447336765797</v>
      </c>
      <c r="I2874">
        <v>0.50470594306471395</v>
      </c>
      <c r="J2874">
        <v>0.41298415979744701</v>
      </c>
      <c r="K2874">
        <v>0.35097627687606497</v>
      </c>
      <c r="L2874">
        <v>287.43130240512602</v>
      </c>
      <c r="M2874">
        <v>4.59114971243251</v>
      </c>
      <c r="N2874">
        <v>62.605519178187102</v>
      </c>
      <c r="O2874">
        <v>53.4940295010136</v>
      </c>
      <c r="P2874">
        <v>-2.1631881699624201E-2</v>
      </c>
      <c r="Q2874">
        <v>0</v>
      </c>
      <c r="R2874">
        <v>0.85452061541258395</v>
      </c>
      <c r="S2874" t="s">
        <v>8700</v>
      </c>
      <c r="T2874" t="s">
        <v>11650</v>
      </c>
      <c r="U2874" t="s">
        <v>11650</v>
      </c>
      <c r="V2874" t="s">
        <v>11650</v>
      </c>
      <c r="W2874" t="s">
        <v>14478</v>
      </c>
      <c r="X2874">
        <v>4</v>
      </c>
      <c r="Y2874" t="s">
        <v>20180</v>
      </c>
      <c r="Z2874" t="s">
        <v>25936</v>
      </c>
      <c r="AA2874">
        <v>0.65606165927535287</v>
      </c>
      <c r="AB2874" t="str">
        <f>HYPERLINK("Melting_Curves/meltCurve_Q01167_FOXK2.pdf", "Melting_Curves/meltCurve_Q01167_FOXK2.pdf")</f>
        <v>Melting_Curves/meltCurve_Q01167_FOXK2.pdf</v>
      </c>
    </row>
    <row r="2875" spans="1:28" x14ac:dyDescent="0.25">
      <c r="A2875" t="s">
        <v>2879</v>
      </c>
      <c r="B2875">
        <v>0.99996721820229495</v>
      </c>
      <c r="C2875">
        <v>0.945512562578944</v>
      </c>
      <c r="D2875">
        <v>0.902178699601072</v>
      </c>
      <c r="E2875">
        <v>0.87494316815289297</v>
      </c>
      <c r="F2875">
        <v>0.88011649667872105</v>
      </c>
      <c r="G2875">
        <v>0.48151478398966502</v>
      </c>
      <c r="H2875">
        <v>0.15340270324035299</v>
      </c>
      <c r="I2875">
        <v>9.9075443817074102E-2</v>
      </c>
      <c r="J2875">
        <v>6.2036185765971301E-2</v>
      </c>
      <c r="K2875">
        <v>6.3676719947624194E-2</v>
      </c>
      <c r="L2875">
        <v>1375.4589634062199</v>
      </c>
      <c r="M2875">
        <v>24.321610145442001</v>
      </c>
      <c r="N2875">
        <v>56.753790054470002</v>
      </c>
      <c r="O2875">
        <v>56.174798584050102</v>
      </c>
      <c r="P2875">
        <v>-0.10377916888519501</v>
      </c>
      <c r="Q2875">
        <v>4.1233440804818999E-2</v>
      </c>
      <c r="R2875">
        <v>0.98586307228715098</v>
      </c>
      <c r="S2875" t="s">
        <v>8701</v>
      </c>
      <c r="T2875" t="s">
        <v>11650</v>
      </c>
      <c r="U2875" t="s">
        <v>11650</v>
      </c>
      <c r="V2875" t="s">
        <v>11650</v>
      </c>
      <c r="W2875" t="s">
        <v>14479</v>
      </c>
      <c r="X2875">
        <v>10</v>
      </c>
      <c r="Y2875" t="s">
        <v>20181</v>
      </c>
      <c r="Z2875" t="s">
        <v>25937</v>
      </c>
      <c r="AA2875">
        <v>0.57936026048118794</v>
      </c>
      <c r="AB2875" t="str">
        <f>HYPERLINK("Melting_Curves/meltCurve_Q01415_GALK2.pdf", "Melting_Curves/meltCurve_Q01415_GALK2.pdf")</f>
        <v>Melting_Curves/meltCurve_Q01415_GALK2.pdf</v>
      </c>
    </row>
    <row r="2876" spans="1:28" x14ac:dyDescent="0.25">
      <c r="A2876" t="s">
        <v>2880</v>
      </c>
      <c r="B2876">
        <v>0.99996721820229495</v>
      </c>
      <c r="C2876">
        <v>1.0904080275973</v>
      </c>
      <c r="D2876">
        <v>1.03707454939941</v>
      </c>
      <c r="E2876">
        <v>1.01536088981433</v>
      </c>
      <c r="F2876">
        <v>1.2028937871040599</v>
      </c>
      <c r="G2876">
        <v>1.2562508871696001</v>
      </c>
      <c r="H2876">
        <v>0.57084524653143698</v>
      </c>
      <c r="I2876">
        <v>0.28049339170066001</v>
      </c>
      <c r="J2876">
        <v>0.243313881995708</v>
      </c>
      <c r="K2876">
        <v>0.23780783078163001</v>
      </c>
      <c r="L2876">
        <v>8616.3193532674395</v>
      </c>
      <c r="M2876">
        <v>141.55228526026201</v>
      </c>
      <c r="N2876">
        <v>61.176039166063497</v>
      </c>
      <c r="O2876">
        <v>60.858080400496398</v>
      </c>
      <c r="P2876">
        <v>-0.43402656815125301</v>
      </c>
      <c r="Q2876">
        <v>0.25358967338871602</v>
      </c>
      <c r="R2876">
        <v>0.92384796010597603</v>
      </c>
      <c r="S2876" t="s">
        <v>8702</v>
      </c>
      <c r="T2876" t="s">
        <v>11650</v>
      </c>
      <c r="U2876" t="s">
        <v>11650</v>
      </c>
      <c r="V2876" t="s">
        <v>11650</v>
      </c>
      <c r="W2876" t="s">
        <v>14480</v>
      </c>
      <c r="X2876">
        <v>13</v>
      </c>
      <c r="Y2876" t="s">
        <v>20182</v>
      </c>
      <c r="Z2876" t="s">
        <v>25938</v>
      </c>
      <c r="AA2876">
        <v>0.77309686945480871</v>
      </c>
      <c r="AB2876" t="str">
        <f>HYPERLINK("Melting_Curves/meltCurve_Q01459_CTBS.pdf", "Melting_Curves/meltCurve_Q01459_CTBS.pdf")</f>
        <v>Melting_Curves/meltCurve_Q01459_CTBS.pdf</v>
      </c>
    </row>
    <row r="2877" spans="1:28" x14ac:dyDescent="0.25">
      <c r="A2877" t="s">
        <v>2881</v>
      </c>
      <c r="B2877">
        <v>0.99996721820229495</v>
      </c>
      <c r="C2877">
        <v>1.1343762306809799</v>
      </c>
      <c r="D2877">
        <v>1.0635665508615599</v>
      </c>
      <c r="E2877">
        <v>1.02603469031656</v>
      </c>
      <c r="F2877">
        <v>1.16517321397804</v>
      </c>
      <c r="G2877">
        <v>1.1787071058632399</v>
      </c>
      <c r="H2877">
        <v>0.42254358927590502</v>
      </c>
      <c r="I2877">
        <v>0.246467955818503</v>
      </c>
      <c r="J2877">
        <v>0.169356591722856</v>
      </c>
      <c r="K2877">
        <v>0.111248772337648</v>
      </c>
      <c r="L2877">
        <v>7932.3342672676699</v>
      </c>
      <c r="M2877">
        <v>130.88337121025799</v>
      </c>
      <c r="N2877">
        <v>60.8066731821377</v>
      </c>
      <c r="O2877">
        <v>60.591980703186202</v>
      </c>
      <c r="P2877">
        <v>-0.445358871707907</v>
      </c>
      <c r="Q2877">
        <v>0.17529092811048</v>
      </c>
      <c r="R2877">
        <v>0.95063949174350804</v>
      </c>
      <c r="S2877" t="s">
        <v>8703</v>
      </c>
      <c r="T2877" t="s">
        <v>11650</v>
      </c>
      <c r="U2877" t="s">
        <v>11650</v>
      </c>
      <c r="V2877" t="s">
        <v>11650</v>
      </c>
      <c r="W2877" t="s">
        <v>14481</v>
      </c>
      <c r="X2877">
        <v>22</v>
      </c>
      <c r="Y2877" t="s">
        <v>20183</v>
      </c>
      <c r="Z2877" t="s">
        <v>25939</v>
      </c>
      <c r="AA2877">
        <v>0.74207982640726677</v>
      </c>
      <c r="AB2877" t="str">
        <f>HYPERLINK("Melting_Curves/meltCurve_Q01469_FABP5.pdf", "Melting_Curves/meltCurve_Q01469_FABP5.pdf")</f>
        <v>Melting_Curves/meltCurve_Q01469_FABP5.pdf</v>
      </c>
    </row>
    <row r="2878" spans="1:28" x14ac:dyDescent="0.25">
      <c r="A2878" t="s">
        <v>2882</v>
      </c>
      <c r="B2878">
        <v>0.99996721820229495</v>
      </c>
      <c r="C2878">
        <v>0.98908554225546397</v>
      </c>
      <c r="D2878">
        <v>1.28008351328569</v>
      </c>
      <c r="E2878">
        <v>2.0871529825987101</v>
      </c>
      <c r="F2878">
        <v>3.2195864329124602</v>
      </c>
      <c r="G2878">
        <v>0.98101262649745902</v>
      </c>
      <c r="H2878">
        <v>0.39248005155203097</v>
      </c>
      <c r="I2878">
        <v>0.25407165070712601</v>
      </c>
      <c r="J2878">
        <v>0.18879850040746901</v>
      </c>
      <c r="K2878">
        <v>0.18391474394499399</v>
      </c>
      <c r="L2878">
        <v>4342.0049785760502</v>
      </c>
      <c r="M2878">
        <v>72.335557146084597</v>
      </c>
      <c r="N2878">
        <v>60.466885687482801</v>
      </c>
      <c r="O2878">
        <v>59.980039839987299</v>
      </c>
      <c r="P2878">
        <v>-0.23969629287531799</v>
      </c>
      <c r="Q2878">
        <v>0.204983442983423</v>
      </c>
      <c r="R2878">
        <v>0.26346612381387002</v>
      </c>
      <c r="S2878" t="s">
        <v>8704</v>
      </c>
      <c r="T2878" t="s">
        <v>11650</v>
      </c>
      <c r="U2878" t="s">
        <v>11650</v>
      </c>
      <c r="V2878" t="s">
        <v>11650</v>
      </c>
      <c r="W2878" t="s">
        <v>14482</v>
      </c>
      <c r="X2878">
        <v>28</v>
      </c>
      <c r="Y2878" t="s">
        <v>20184</v>
      </c>
      <c r="Z2878" t="s">
        <v>25940</v>
      </c>
      <c r="AA2878">
        <v>0.73668191558906926</v>
      </c>
      <c r="AB2878" t="str">
        <f>HYPERLINK("Melting_Curves/meltCurve_Q01518_2_CAP1.pdf", "Melting_Curves/meltCurve_Q01518_2_CAP1.pdf")</f>
        <v>Melting_Curves/meltCurve_Q01518_2_CAP1.pdf</v>
      </c>
    </row>
    <row r="2879" spans="1:28" x14ac:dyDescent="0.25">
      <c r="A2879" t="s">
        <v>2883</v>
      </c>
      <c r="B2879">
        <v>0.99996721820229495</v>
      </c>
      <c r="C2879">
        <v>0.98355250706080399</v>
      </c>
      <c r="D2879">
        <v>1.0027963924028001</v>
      </c>
      <c r="E2879">
        <v>1.0376150973713001</v>
      </c>
      <c r="F2879">
        <v>0.70577420204072905</v>
      </c>
      <c r="G2879">
        <v>0.41048763950501799</v>
      </c>
      <c r="H2879">
        <v>0.16637488251600299</v>
      </c>
      <c r="I2879">
        <v>0.113584903501061</v>
      </c>
      <c r="J2879">
        <v>8.7272222078761494E-2</v>
      </c>
      <c r="K2879">
        <v>7.0660801222543201E-2</v>
      </c>
      <c r="L2879">
        <v>1342.07565386487</v>
      </c>
      <c r="M2879">
        <v>24.221810418697601</v>
      </c>
      <c r="N2879">
        <v>55.781799346235502</v>
      </c>
      <c r="O2879">
        <v>55.034234552014198</v>
      </c>
      <c r="P2879">
        <v>-0.101784210167428</v>
      </c>
      <c r="Q2879">
        <v>7.4961248889959003E-2</v>
      </c>
      <c r="R2879">
        <v>0.99088857503322603</v>
      </c>
      <c r="S2879" t="s">
        <v>8705</v>
      </c>
      <c r="T2879" t="s">
        <v>11650</v>
      </c>
      <c r="U2879" t="s">
        <v>11650</v>
      </c>
      <c r="V2879" t="s">
        <v>11650</v>
      </c>
      <c r="W2879" t="s">
        <v>14483</v>
      </c>
      <c r="X2879">
        <v>21</v>
      </c>
      <c r="Y2879" t="s">
        <v>20185</v>
      </c>
      <c r="Z2879" t="s">
        <v>25941</v>
      </c>
      <c r="AA2879">
        <v>0.55906511815470716</v>
      </c>
      <c r="AB2879" t="str">
        <f>HYPERLINK("Melting_Curves/meltCurve_Q01581_HMGCS1.pdf", "Melting_Curves/meltCurve_Q01581_HMGCS1.pdf")</f>
        <v>Melting_Curves/meltCurve_Q01581_HMGCS1.pdf</v>
      </c>
    </row>
    <row r="2880" spans="1:28" x14ac:dyDescent="0.25">
      <c r="A2880" t="s">
        <v>2884</v>
      </c>
      <c r="B2880">
        <v>0.99996721820229495</v>
      </c>
      <c r="C2880">
        <v>0.959314688144984</v>
      </c>
      <c r="D2880">
        <v>1.1407022899633501</v>
      </c>
      <c r="E2880">
        <v>1.5195542768704999</v>
      </c>
      <c r="F2880">
        <v>2.31472494208256</v>
      </c>
      <c r="G2880">
        <v>2.9645631520759799</v>
      </c>
      <c r="H2880">
        <v>1.7203756159538901</v>
      </c>
      <c r="I2880">
        <v>0.61424339985596599</v>
      </c>
      <c r="J2880">
        <v>0.39043069743513897</v>
      </c>
      <c r="K2880">
        <v>0.46561558123519797</v>
      </c>
      <c r="L2880">
        <v>15000</v>
      </c>
      <c r="M2880">
        <v>235.10266452995799</v>
      </c>
      <c r="N2880">
        <v>64.3322297454622</v>
      </c>
      <c r="O2880">
        <v>63.797274394004504</v>
      </c>
      <c r="P2880">
        <v>-0.52697187866259998</v>
      </c>
      <c r="Q2880">
        <v>0.42800509303820899</v>
      </c>
      <c r="R2880">
        <v>-2.4223230016472901E-2</v>
      </c>
      <c r="S2880" t="s">
        <v>8706</v>
      </c>
      <c r="T2880" t="s">
        <v>11650</v>
      </c>
      <c r="U2880" t="s">
        <v>11650</v>
      </c>
      <c r="V2880" t="s">
        <v>11650</v>
      </c>
      <c r="W2880" t="s">
        <v>14484</v>
      </c>
      <c r="X2880">
        <v>3</v>
      </c>
      <c r="Y2880" t="s">
        <v>20186</v>
      </c>
      <c r="Z2880" t="s">
        <v>25942</v>
      </c>
      <c r="AA2880">
        <v>0.88189663685229991</v>
      </c>
      <c r="AB2880" t="str">
        <f>HYPERLINK("Melting_Curves/meltCurve_Q01650_SLC7A5.pdf", "Melting_Curves/meltCurve_Q01650_SLC7A5.pdf")</f>
        <v>Melting_Curves/meltCurve_Q01650_SLC7A5.pdf</v>
      </c>
    </row>
    <row r="2881" spans="1:28" x14ac:dyDescent="0.25">
      <c r="A2881" t="s">
        <v>2885</v>
      </c>
      <c r="B2881">
        <v>0.99996721820229495</v>
      </c>
      <c r="C2881">
        <v>0.99060288886358405</v>
      </c>
      <c r="D2881">
        <v>0.93005798561584596</v>
      </c>
      <c r="E2881">
        <v>0.97106920090809401</v>
      </c>
      <c r="F2881">
        <v>1.19730117012947</v>
      </c>
      <c r="G2881">
        <v>0.97977874938838805</v>
      </c>
      <c r="H2881">
        <v>0.72693249698240303</v>
      </c>
      <c r="I2881">
        <v>0.70187608912244803</v>
      </c>
      <c r="J2881">
        <v>0.61452998322832497</v>
      </c>
      <c r="K2881">
        <v>0.45621812189036198</v>
      </c>
      <c r="L2881">
        <v>1404.2536915896901</v>
      </c>
      <c r="M2881">
        <v>22.390264322773898</v>
      </c>
      <c r="O2881">
        <v>62.223297623824699</v>
      </c>
      <c r="P2881">
        <v>-4.9063739673781498E-2</v>
      </c>
      <c r="Q2881">
        <v>0.45461222479839097</v>
      </c>
      <c r="R2881">
        <v>0.86027356889393702</v>
      </c>
      <c r="S2881" t="s">
        <v>8707</v>
      </c>
      <c r="T2881" t="s">
        <v>11650</v>
      </c>
      <c r="U2881" t="s">
        <v>11650</v>
      </c>
      <c r="V2881" t="s">
        <v>11650</v>
      </c>
      <c r="W2881" t="s">
        <v>14485</v>
      </c>
      <c r="X2881">
        <v>7</v>
      </c>
      <c r="Y2881" t="s">
        <v>20187</v>
      </c>
      <c r="Z2881" t="s">
        <v>25943</v>
      </c>
      <c r="AA2881">
        <v>0.86869397521813618</v>
      </c>
      <c r="AB2881" t="str">
        <f>HYPERLINK("Melting_Curves/meltCurve_Q01658_DR1.pdf", "Melting_Curves/meltCurve_Q01658_DR1.pdf")</f>
        <v>Melting_Curves/meltCurve_Q01658_DR1.pdf</v>
      </c>
    </row>
    <row r="2882" spans="1:28" x14ac:dyDescent="0.25">
      <c r="A2882" t="s">
        <v>2886</v>
      </c>
      <c r="B2882">
        <v>0.99996721820229495</v>
      </c>
      <c r="C2882">
        <v>0.99170201836058303</v>
      </c>
      <c r="D2882">
        <v>1.0735383373521601</v>
      </c>
      <c r="E2882">
        <v>1.59304735545999</v>
      </c>
      <c r="F2882">
        <v>2.56019012309687</v>
      </c>
      <c r="G2882">
        <v>3.4082901458885599</v>
      </c>
      <c r="H2882">
        <v>3.0522559190486098</v>
      </c>
      <c r="I2882">
        <v>1.8407088249138801</v>
      </c>
      <c r="J2882">
        <v>0.76826735877268704</v>
      </c>
      <c r="K2882">
        <v>0.243606670940551</v>
      </c>
      <c r="L2882">
        <v>15000</v>
      </c>
      <c r="M2882">
        <v>223.06289769909</v>
      </c>
      <c r="N2882">
        <v>67.447433828093907</v>
      </c>
      <c r="O2882">
        <v>67.240221474561906</v>
      </c>
      <c r="P2882">
        <v>-0.62741600849194601</v>
      </c>
      <c r="Q2882">
        <v>0.24348550038295599</v>
      </c>
      <c r="R2882">
        <v>-0.36884772208315603</v>
      </c>
      <c r="S2882" t="s">
        <v>8708</v>
      </c>
      <c r="T2882" t="s">
        <v>11650</v>
      </c>
      <c r="U2882" t="s">
        <v>11650</v>
      </c>
      <c r="V2882" t="s">
        <v>11650</v>
      </c>
      <c r="W2882" t="s">
        <v>14486</v>
      </c>
      <c r="X2882">
        <v>44</v>
      </c>
      <c r="Y2882" t="s">
        <v>20188</v>
      </c>
      <c r="Z2882" t="s">
        <v>25944</v>
      </c>
      <c r="AA2882">
        <v>0.93065293274592409</v>
      </c>
      <c r="AB2882" t="str">
        <f>HYPERLINK("Melting_Curves/meltCurve_Q01813_PFKP.pdf", "Melting_Curves/meltCurve_Q01813_PFKP.pdf")</f>
        <v>Melting_Curves/meltCurve_Q01813_PFKP.pdf</v>
      </c>
    </row>
    <row r="2883" spans="1:28" x14ac:dyDescent="0.25">
      <c r="A2883" t="s">
        <v>2887</v>
      </c>
      <c r="B2883">
        <v>0.99996721820229495</v>
      </c>
      <c r="C2883">
        <v>0.99762062897311099</v>
      </c>
      <c r="D2883">
        <v>0.86892353003412903</v>
      </c>
      <c r="E2883">
        <v>0.54411903382598203</v>
      </c>
      <c r="F2883">
        <v>0.64851350173601097</v>
      </c>
      <c r="G2883">
        <v>0.57707571415431202</v>
      </c>
      <c r="H2883">
        <v>0.45324514978341002</v>
      </c>
      <c r="I2883">
        <v>0.33958747483590801</v>
      </c>
      <c r="J2883">
        <v>0.28661625676673302</v>
      </c>
      <c r="K2883">
        <v>0.202297956992217</v>
      </c>
      <c r="L2883">
        <v>383.79980967265999</v>
      </c>
      <c r="M2883">
        <v>6.6934140668108899</v>
      </c>
      <c r="N2883">
        <v>57.538214985269597</v>
      </c>
      <c r="O2883">
        <v>52.871814532682798</v>
      </c>
      <c r="P2883">
        <v>-3.1356713634023398E-2</v>
      </c>
      <c r="Q2883">
        <v>1.14019528998314E-2</v>
      </c>
      <c r="R2883">
        <v>0.92725782314549299</v>
      </c>
      <c r="S2883" t="s">
        <v>8709</v>
      </c>
      <c r="T2883" t="s">
        <v>11650</v>
      </c>
      <c r="U2883" t="s">
        <v>11650</v>
      </c>
      <c r="V2883" t="s">
        <v>11650</v>
      </c>
      <c r="W2883" t="s">
        <v>14487</v>
      </c>
      <c r="X2883">
        <v>4</v>
      </c>
      <c r="Y2883" t="s">
        <v>20189</v>
      </c>
      <c r="Z2883" t="s">
        <v>25945</v>
      </c>
      <c r="AA2883">
        <v>0.58629504899367513</v>
      </c>
      <c r="AB2883" t="str">
        <f>HYPERLINK("Melting_Curves/meltCurve_Q01850_CDR2.pdf", "Melting_Curves/meltCurve_Q01850_CDR2.pdf")</f>
        <v>Melting_Curves/meltCurve_Q01850_CDR2.pdf</v>
      </c>
    </row>
    <row r="2884" spans="1:28" x14ac:dyDescent="0.25">
      <c r="A2884" t="s">
        <v>2888</v>
      </c>
      <c r="B2884">
        <v>0.99996721820229495</v>
      </c>
      <c r="C2884">
        <v>1.0068850359880099</v>
      </c>
      <c r="D2884">
        <v>0.94765717440569397</v>
      </c>
      <c r="E2884">
        <v>0.87631474014480004</v>
      </c>
      <c r="F2884">
        <v>0.51577334535753006</v>
      </c>
      <c r="G2884">
        <v>0.39996388518711501</v>
      </c>
      <c r="H2884">
        <v>0.22593455719854799</v>
      </c>
      <c r="I2884">
        <v>0.161742435829938</v>
      </c>
      <c r="J2884">
        <v>0.13377685167011499</v>
      </c>
      <c r="K2884">
        <v>9.7516099424248895E-2</v>
      </c>
      <c r="L2884">
        <v>906.31291153445102</v>
      </c>
      <c r="M2884">
        <v>16.8456975179785</v>
      </c>
      <c r="N2884">
        <v>54.546560262697199</v>
      </c>
      <c r="O2884">
        <v>53.059848365656698</v>
      </c>
      <c r="P2884">
        <v>-7.1212330793751097E-2</v>
      </c>
      <c r="Q2884">
        <v>0.102851408061717</v>
      </c>
      <c r="R2884">
        <v>0.98729329241386898</v>
      </c>
      <c r="S2884" t="s">
        <v>8710</v>
      </c>
      <c r="T2884" t="s">
        <v>11650</v>
      </c>
      <c r="U2884" t="s">
        <v>11650</v>
      </c>
      <c r="V2884" t="s">
        <v>11650</v>
      </c>
      <c r="W2884" t="s">
        <v>14488</v>
      </c>
      <c r="X2884">
        <v>17</v>
      </c>
      <c r="Y2884" t="s">
        <v>20190</v>
      </c>
      <c r="Z2884" t="s">
        <v>25946</v>
      </c>
      <c r="AA2884">
        <v>0.53147025020687644</v>
      </c>
      <c r="AB2884" t="str">
        <f>HYPERLINK("Melting_Curves/meltCurve_Q01968_OCRL.pdf", "Melting_Curves/meltCurve_Q01968_OCRL.pdf")</f>
        <v>Melting_Curves/meltCurve_Q01968_OCRL.pdf</v>
      </c>
    </row>
    <row r="2885" spans="1:28" x14ac:dyDescent="0.25">
      <c r="A2885" t="s">
        <v>2889</v>
      </c>
      <c r="B2885">
        <v>0.99996721820229495</v>
      </c>
      <c r="C2885">
        <v>0.96629163577880195</v>
      </c>
      <c r="D2885">
        <v>0.974436642005301</v>
      </c>
      <c r="E2885">
        <v>1.0694278604304099</v>
      </c>
      <c r="F2885">
        <v>0.53524608331280599</v>
      </c>
      <c r="G2885">
        <v>0.35585880344485599</v>
      </c>
      <c r="H2885">
        <v>0.21843201562928499</v>
      </c>
      <c r="I2885">
        <v>0.134290871746161</v>
      </c>
      <c r="J2885">
        <v>0.10066723069243599</v>
      </c>
      <c r="K2885">
        <v>9.7086245918957995E-2</v>
      </c>
      <c r="L2885">
        <v>1518.70813034352</v>
      </c>
      <c r="M2885">
        <v>28.267928501694101</v>
      </c>
      <c r="N2885">
        <v>54.334006028373203</v>
      </c>
      <c r="O2885">
        <v>53.458746595943097</v>
      </c>
      <c r="P2885">
        <v>-0.11425958583201699</v>
      </c>
      <c r="Q2885">
        <v>0.13568109254305</v>
      </c>
      <c r="R2885">
        <v>0.96558320010867005</v>
      </c>
      <c r="S2885" t="s">
        <v>8711</v>
      </c>
      <c r="T2885" t="s">
        <v>11650</v>
      </c>
      <c r="U2885" t="s">
        <v>11650</v>
      </c>
      <c r="V2885" t="s">
        <v>11650</v>
      </c>
      <c r="W2885" t="s">
        <v>14489</v>
      </c>
      <c r="X2885">
        <v>14</v>
      </c>
      <c r="Y2885" t="s">
        <v>20191</v>
      </c>
      <c r="Z2885" t="s">
        <v>25947</v>
      </c>
      <c r="AA2885">
        <v>0.53746625977125839</v>
      </c>
      <c r="AB2885" t="str">
        <f>HYPERLINK("Melting_Curves/meltCurve_Q01970_PLCB3.pdf", "Melting_Curves/meltCurve_Q01970_PLCB3.pdf")</f>
        <v>Melting_Curves/meltCurve_Q01970_PLCB3.pdf</v>
      </c>
    </row>
    <row r="2886" spans="1:28" x14ac:dyDescent="0.25">
      <c r="A2886" t="s">
        <v>2890</v>
      </c>
      <c r="B2886">
        <v>0.99996721820229495</v>
      </c>
      <c r="C2886">
        <v>0.74032954286931296</v>
      </c>
      <c r="D2886">
        <v>0.73339245700438305</v>
      </c>
      <c r="E2886">
        <v>0.83535577507353398</v>
      </c>
      <c r="F2886">
        <v>0.81336467849404603</v>
      </c>
      <c r="G2886">
        <v>0.62492715505732099</v>
      </c>
      <c r="H2886">
        <v>0.51328621020757703</v>
      </c>
      <c r="I2886">
        <v>0.58365606461836395</v>
      </c>
      <c r="J2886">
        <v>0.53867256014544496</v>
      </c>
      <c r="K2886">
        <v>0.48603621897810101</v>
      </c>
      <c r="L2886">
        <v>206.84963365264301</v>
      </c>
      <c r="M2886">
        <v>2.9965463389313101</v>
      </c>
      <c r="N2886">
        <v>69.029351219511597</v>
      </c>
      <c r="O2886">
        <v>50.8006761481941</v>
      </c>
      <c r="P2886">
        <v>-1.5203621548009401E-2</v>
      </c>
      <c r="Q2886">
        <v>0</v>
      </c>
      <c r="R2886">
        <v>0.76976259306112604</v>
      </c>
      <c r="S2886" t="s">
        <v>8712</v>
      </c>
      <c r="T2886" t="s">
        <v>11650</v>
      </c>
      <c r="U2886" t="s">
        <v>11650</v>
      </c>
      <c r="V2886" t="s">
        <v>11650</v>
      </c>
      <c r="W2886" t="s">
        <v>14490</v>
      </c>
      <c r="X2886">
        <v>1</v>
      </c>
      <c r="Y2886" t="s">
        <v>20192</v>
      </c>
      <c r="Z2886" t="s">
        <v>25948</v>
      </c>
      <c r="AA2886">
        <v>0.68708308144500874</v>
      </c>
      <c r="AB2886" t="str">
        <f>HYPERLINK("Melting_Curves/meltCurve_Q01974_ROR2.pdf", "Melting_Curves/meltCurve_Q01974_ROR2.pdf")</f>
        <v>Melting_Curves/meltCurve_Q01974_ROR2.pdf</v>
      </c>
    </row>
    <row r="2887" spans="1:28" x14ac:dyDescent="0.25">
      <c r="A2887" t="s">
        <v>2891</v>
      </c>
      <c r="B2887">
        <v>0.99996721820229495</v>
      </c>
      <c r="C2887">
        <v>1.11021433794945</v>
      </c>
      <c r="D2887">
        <v>1.09775797159016</v>
      </c>
      <c r="E2887">
        <v>0.92093321951435203</v>
      </c>
      <c r="F2887">
        <v>0.41564760479002999</v>
      </c>
      <c r="G2887">
        <v>0.31980314342195498</v>
      </c>
      <c r="H2887">
        <v>0.16349368680447801</v>
      </c>
      <c r="I2887">
        <v>0.114906326960665</v>
      </c>
      <c r="J2887">
        <v>9.6440512379128304E-2</v>
      </c>
      <c r="K2887">
        <v>7.7008569757322204E-2</v>
      </c>
      <c r="L2887">
        <v>2063.3141615237901</v>
      </c>
      <c r="M2887">
        <v>39.451361204138003</v>
      </c>
      <c r="N2887">
        <v>52.745212508841497</v>
      </c>
      <c r="O2887">
        <v>52.166339173708103</v>
      </c>
      <c r="P2887">
        <v>-0.162300825942474</v>
      </c>
      <c r="Q2887">
        <v>0.14156318650425601</v>
      </c>
      <c r="R2887">
        <v>0.96925956399936597</v>
      </c>
      <c r="S2887" t="s">
        <v>8713</v>
      </c>
      <c r="T2887" t="s">
        <v>11650</v>
      </c>
      <c r="U2887" t="s">
        <v>11650</v>
      </c>
      <c r="V2887" t="s">
        <v>11650</v>
      </c>
      <c r="W2887" t="s">
        <v>14491</v>
      </c>
      <c r="X2887">
        <v>27</v>
      </c>
      <c r="Y2887" t="s">
        <v>20193</v>
      </c>
      <c r="Z2887" t="s">
        <v>25949</v>
      </c>
      <c r="AA2887">
        <v>0.49671677635345179</v>
      </c>
      <c r="AB2887" t="str">
        <f>HYPERLINK("Melting_Curves/meltCurve_Q01995_TAGLN.pdf", "Melting_Curves/meltCurve_Q01995_TAGLN.pdf")</f>
        <v>Melting_Curves/meltCurve_Q01995_TAGLN.pdf</v>
      </c>
    </row>
    <row r="2888" spans="1:28" x14ac:dyDescent="0.25">
      <c r="A2888" t="s">
        <v>2892</v>
      </c>
      <c r="B2888">
        <v>0.99996721820229495</v>
      </c>
      <c r="C2888">
        <v>0.92701382745666805</v>
      </c>
      <c r="D2888">
        <v>1.0406882454156201</v>
      </c>
      <c r="E2888">
        <v>1.00883742293877</v>
      </c>
      <c r="F2888">
        <v>1.0478323775502201</v>
      </c>
      <c r="G2888">
        <v>1.05384629845459</v>
      </c>
      <c r="H2888">
        <v>0.74515893848802395</v>
      </c>
      <c r="I2888">
        <v>0.48354353052441701</v>
      </c>
      <c r="J2888">
        <v>0.34745793684315202</v>
      </c>
      <c r="K2888">
        <v>0.30067295652558301</v>
      </c>
      <c r="L2888">
        <v>2470.27736879649</v>
      </c>
      <c r="M2888">
        <v>39.802824914557597</v>
      </c>
      <c r="N2888">
        <v>63.578582591436799</v>
      </c>
      <c r="O2888">
        <v>61.9068230297244</v>
      </c>
      <c r="P2888">
        <v>-0.11148456659452501</v>
      </c>
      <c r="Q2888">
        <v>0.30641698676182799</v>
      </c>
      <c r="R2888">
        <v>0.98109373688069101</v>
      </c>
      <c r="S2888" t="s">
        <v>8714</v>
      </c>
      <c r="T2888" t="s">
        <v>11650</v>
      </c>
      <c r="U2888" t="s">
        <v>11650</v>
      </c>
      <c r="V2888" t="s">
        <v>11650</v>
      </c>
      <c r="W2888" t="s">
        <v>14492</v>
      </c>
      <c r="X2888">
        <v>4</v>
      </c>
      <c r="Y2888" t="s">
        <v>20194</v>
      </c>
      <c r="Z2888" t="s">
        <v>25950</v>
      </c>
      <c r="AA2888">
        <v>0.81897285663281016</v>
      </c>
      <c r="AB2888" t="str">
        <f>HYPERLINK("Melting_Curves/meltCurve_Q02083_2_NAAA.pdf", "Melting_Curves/meltCurve_Q02083_2_NAAA.pdf")</f>
        <v>Melting_Curves/meltCurve_Q02083_2_NAAA.pdf</v>
      </c>
    </row>
    <row r="2889" spans="1:28" x14ac:dyDescent="0.25">
      <c r="A2889" t="s">
        <v>2893</v>
      </c>
      <c r="B2889">
        <v>0.99996721820229495</v>
      </c>
      <c r="C2889">
        <v>0.95124042551743304</v>
      </c>
      <c r="D2889">
        <v>0.96930151645887297</v>
      </c>
      <c r="E2889">
        <v>1.0935199840877201</v>
      </c>
      <c r="F2889">
        <v>1.38058582872018</v>
      </c>
      <c r="G2889">
        <v>1.41431786756873</v>
      </c>
      <c r="H2889">
        <v>0.86347498065898498</v>
      </c>
      <c r="I2889">
        <v>0.38920430690163699</v>
      </c>
      <c r="J2889">
        <v>0.21899949497943599</v>
      </c>
      <c r="K2889">
        <v>0.153963881292208</v>
      </c>
      <c r="L2889">
        <v>3699.9766408236101</v>
      </c>
      <c r="M2889">
        <v>58.880982990766</v>
      </c>
      <c r="N2889">
        <v>63.3022999792679</v>
      </c>
      <c r="O2889">
        <v>62.765870527976404</v>
      </c>
      <c r="P2889">
        <v>-0.193417522665702</v>
      </c>
      <c r="Q2889">
        <v>0.17528460349185301</v>
      </c>
      <c r="R2889">
        <v>0.81588073073806899</v>
      </c>
      <c r="S2889" t="s">
        <v>8715</v>
      </c>
      <c r="T2889" t="s">
        <v>11650</v>
      </c>
      <c r="U2889" t="s">
        <v>11650</v>
      </c>
      <c r="V2889" t="s">
        <v>11650</v>
      </c>
      <c r="W2889" t="s">
        <v>14493</v>
      </c>
      <c r="X2889">
        <v>14</v>
      </c>
      <c r="Y2889" t="s">
        <v>20195</v>
      </c>
      <c r="Z2889" t="s">
        <v>25951</v>
      </c>
      <c r="AA2889">
        <v>0.80467350315816855</v>
      </c>
      <c r="AB2889" t="str">
        <f>HYPERLINK("Melting_Curves/meltCurve_Q02127_DHODH.pdf", "Melting_Curves/meltCurve_Q02127_DHODH.pdf")</f>
        <v>Melting_Curves/meltCurve_Q02127_DHODH.pdf</v>
      </c>
    </row>
    <row r="2890" spans="1:28" x14ac:dyDescent="0.25">
      <c r="A2890" t="s">
        <v>2894</v>
      </c>
      <c r="B2890">
        <v>0.99996721820229495</v>
      </c>
      <c r="C2890">
        <v>1.03586038574938</v>
      </c>
      <c r="D2890">
        <v>0.93184629463365598</v>
      </c>
      <c r="E2890">
        <v>0.61151182412206095</v>
      </c>
      <c r="F2890">
        <v>0.28385947909475201</v>
      </c>
      <c r="G2890">
        <v>0.24315996137929499</v>
      </c>
      <c r="H2890">
        <v>0.13837666259224701</v>
      </c>
      <c r="I2890">
        <v>9.3624869349928905E-2</v>
      </c>
      <c r="J2890">
        <v>7.4812962630968899E-2</v>
      </c>
      <c r="K2890">
        <v>5.3412132366040498E-2</v>
      </c>
      <c r="L2890">
        <v>1174.5259673814801</v>
      </c>
      <c r="M2890">
        <v>23.222713456346899</v>
      </c>
      <c r="N2890">
        <v>51.043325307462801</v>
      </c>
      <c r="O2890">
        <v>50.206044122578597</v>
      </c>
      <c r="P2890">
        <v>-0.10457768299075799</v>
      </c>
      <c r="Q2890">
        <v>9.5654835469895894E-2</v>
      </c>
      <c r="R2890">
        <v>0.98980846404906897</v>
      </c>
      <c r="S2890" t="s">
        <v>8716</v>
      </c>
      <c r="T2890" t="s">
        <v>11650</v>
      </c>
      <c r="U2890" t="s">
        <v>11650</v>
      </c>
      <c r="V2890" t="s">
        <v>11650</v>
      </c>
      <c r="W2890" t="s">
        <v>14494</v>
      </c>
      <c r="X2890">
        <v>5</v>
      </c>
      <c r="Y2890" t="s">
        <v>20196</v>
      </c>
      <c r="Z2890" t="s">
        <v>25952</v>
      </c>
      <c r="AA2890">
        <v>0.42389281841017012</v>
      </c>
      <c r="AB2890" t="str">
        <f>HYPERLINK("Melting_Curves/meltCurve_Q02156_PRKCE.pdf", "Melting_Curves/meltCurve_Q02156_PRKCE.pdf")</f>
        <v>Melting_Curves/meltCurve_Q02156_PRKCE.pdf</v>
      </c>
    </row>
    <row r="2891" spans="1:28" x14ac:dyDescent="0.25">
      <c r="A2891" t="s">
        <v>2895</v>
      </c>
      <c r="B2891">
        <v>0.99996721820229495</v>
      </c>
      <c r="C2891">
        <v>1.09136856228304</v>
      </c>
      <c r="D2891">
        <v>1.1829669099123401</v>
      </c>
      <c r="E2891">
        <v>1.3017741076626099</v>
      </c>
      <c r="F2891">
        <v>0.59087958311144695</v>
      </c>
      <c r="G2891">
        <v>0.393896528711491</v>
      </c>
      <c r="H2891">
        <v>0.195233621911726</v>
      </c>
      <c r="I2891">
        <v>0.124627545082375</v>
      </c>
      <c r="J2891">
        <v>8.9257236123895994E-2</v>
      </c>
      <c r="K2891">
        <v>7.3321954379199403E-2</v>
      </c>
      <c r="L2891">
        <v>1675.19466361641</v>
      </c>
      <c r="M2891">
        <v>30.624766213892698</v>
      </c>
      <c r="N2891">
        <v>55.177071843872298</v>
      </c>
      <c r="O2891">
        <v>54.469000697640297</v>
      </c>
      <c r="P2891">
        <v>-0.1242313344718</v>
      </c>
      <c r="Q2891">
        <v>0.116177283960295</v>
      </c>
      <c r="R2891">
        <v>0.90756029129703097</v>
      </c>
      <c r="S2891" t="s">
        <v>8717</v>
      </c>
      <c r="T2891" t="s">
        <v>11650</v>
      </c>
      <c r="U2891" t="s">
        <v>11650</v>
      </c>
      <c r="V2891" t="s">
        <v>11650</v>
      </c>
      <c r="W2891" t="s">
        <v>14495</v>
      </c>
      <c r="X2891">
        <v>21</v>
      </c>
      <c r="Y2891" t="s">
        <v>20197</v>
      </c>
      <c r="Z2891" t="s">
        <v>25953</v>
      </c>
      <c r="AA2891">
        <v>0.55489208481216823</v>
      </c>
      <c r="AB2891" t="str">
        <f>HYPERLINK("Melting_Curves/meltCurve_Q02252_ALDH6A1.pdf", "Melting_Curves/meltCurve_Q02252_ALDH6A1.pdf")</f>
        <v>Melting_Curves/meltCurve_Q02252_ALDH6A1.pdf</v>
      </c>
    </row>
    <row r="2892" spans="1:28" x14ac:dyDescent="0.25">
      <c r="A2892" t="s">
        <v>2896</v>
      </c>
      <c r="B2892">
        <v>0.99996721820229495</v>
      </c>
      <c r="C2892">
        <v>0.94098484920006997</v>
      </c>
      <c r="D2892">
        <v>0.89271334563518301</v>
      </c>
      <c r="E2892">
        <v>0.95108736349006495</v>
      </c>
      <c r="F2892">
        <v>0.87225352444080995</v>
      </c>
      <c r="G2892">
        <v>0.38087318052448099</v>
      </c>
      <c r="H2892">
        <v>0.18362562666559101</v>
      </c>
      <c r="I2892">
        <v>0.128553663677063</v>
      </c>
      <c r="J2892">
        <v>9.7101027354375299E-2</v>
      </c>
      <c r="K2892">
        <v>8.7616963658543198E-2</v>
      </c>
      <c r="L2892">
        <v>1750.31016568771</v>
      </c>
      <c r="M2892">
        <v>31.416827423474398</v>
      </c>
      <c r="N2892">
        <v>56.122288291367802</v>
      </c>
      <c r="O2892">
        <v>55.488236228524002</v>
      </c>
      <c r="P2892">
        <v>-0.12704046430434501</v>
      </c>
      <c r="Q2892">
        <v>0.102492035933358</v>
      </c>
      <c r="R2892">
        <v>0.98844725169363301</v>
      </c>
      <c r="S2892" t="s">
        <v>8718</v>
      </c>
      <c r="T2892" t="s">
        <v>11650</v>
      </c>
      <c r="U2892" t="s">
        <v>11650</v>
      </c>
      <c r="V2892" t="s">
        <v>11650</v>
      </c>
      <c r="W2892" t="s">
        <v>14496</v>
      </c>
      <c r="X2892">
        <v>3</v>
      </c>
      <c r="Y2892" t="s">
        <v>20198</v>
      </c>
      <c r="Z2892" t="s">
        <v>25954</v>
      </c>
      <c r="AA2892">
        <v>0.57804809251730627</v>
      </c>
      <c r="AB2892" t="str">
        <f>HYPERLINK("Melting_Curves/meltCurve_Q02318_CYP27A1.pdf", "Melting_Curves/meltCurve_Q02318_CYP27A1.pdf")</f>
        <v>Melting_Curves/meltCurve_Q02318_CYP27A1.pdf</v>
      </c>
    </row>
    <row r="2893" spans="1:28" x14ac:dyDescent="0.25">
      <c r="A2893" t="s">
        <v>2897</v>
      </c>
      <c r="B2893">
        <v>0.99996721820229495</v>
      </c>
      <c r="C2893">
        <v>0.85040334639349402</v>
      </c>
      <c r="D2893">
        <v>0.86453387676094395</v>
      </c>
      <c r="E2893">
        <v>0.31248492793741001</v>
      </c>
      <c r="F2893">
        <v>0.18258704154630101</v>
      </c>
      <c r="G2893">
        <v>0.142384211671678</v>
      </c>
      <c r="H2893">
        <v>8.9996486273260595E-2</v>
      </c>
      <c r="I2893">
        <v>3.3885424515012599E-2</v>
      </c>
      <c r="J2893">
        <v>4.1119491398398197E-2</v>
      </c>
      <c r="K2893">
        <v>1.8248777226053201E-2</v>
      </c>
      <c r="L2893">
        <v>1152.2920623533901</v>
      </c>
      <c r="M2893">
        <v>23.7743259756984</v>
      </c>
      <c r="N2893">
        <v>48.7094425707486</v>
      </c>
      <c r="O2893">
        <v>48.128927688499303</v>
      </c>
      <c r="P2893">
        <v>-0.116628581215084</v>
      </c>
      <c r="Q2893">
        <v>5.5600760536849397E-2</v>
      </c>
      <c r="R2893">
        <v>0.98094100410830298</v>
      </c>
      <c r="S2893" t="s">
        <v>8719</v>
      </c>
      <c r="T2893" t="s">
        <v>11650</v>
      </c>
      <c r="U2893" t="s">
        <v>11650</v>
      </c>
      <c r="V2893" t="s">
        <v>11650</v>
      </c>
      <c r="W2893" t="s">
        <v>14497</v>
      </c>
      <c r="X2893">
        <v>2</v>
      </c>
      <c r="Y2893" t="s">
        <v>20199</v>
      </c>
      <c r="Z2893" t="s">
        <v>25955</v>
      </c>
      <c r="AA2893">
        <v>0.33144523399647829</v>
      </c>
      <c r="AB2893" t="str">
        <f>HYPERLINK("Melting_Curves/meltCurve_Q02338_BDH1.pdf", "Melting_Curves/meltCurve_Q02338_BDH1.pdf")</f>
        <v>Melting_Curves/meltCurve_Q02338_BDH1.pdf</v>
      </c>
    </row>
    <row r="2894" spans="1:28" x14ac:dyDescent="0.25">
      <c r="A2894" t="s">
        <v>2898</v>
      </c>
      <c r="B2894">
        <v>0.99996721820229495</v>
      </c>
      <c r="C2894">
        <v>0.52941576929980405</v>
      </c>
      <c r="D2894">
        <v>0.96447501223249399</v>
      </c>
      <c r="E2894">
        <v>0.93386842474965104</v>
      </c>
      <c r="F2894">
        <v>0.77466382115703103</v>
      </c>
      <c r="G2894">
        <v>1.06713394330912</v>
      </c>
      <c r="H2894">
        <v>0.75383834822874096</v>
      </c>
      <c r="I2894">
        <v>0.90557139786541097</v>
      </c>
      <c r="J2894">
        <v>0.26630282113836001</v>
      </c>
      <c r="K2894">
        <v>0.45969442926493498</v>
      </c>
      <c r="L2894">
        <v>15000</v>
      </c>
      <c r="M2894">
        <v>232.62801161674301</v>
      </c>
      <c r="N2894">
        <v>64.841412109928498</v>
      </c>
      <c r="O2894">
        <v>64.475841525533497</v>
      </c>
      <c r="P2894">
        <v>-0.57460356566396498</v>
      </c>
      <c r="Q2894">
        <v>0.36296476932323601</v>
      </c>
      <c r="R2894">
        <v>0.42788641286132401</v>
      </c>
      <c r="S2894" t="s">
        <v>8720</v>
      </c>
      <c r="T2894" t="s">
        <v>11650</v>
      </c>
      <c r="U2894" t="s">
        <v>11650</v>
      </c>
      <c r="V2894" t="s">
        <v>11650</v>
      </c>
      <c r="W2894" t="s">
        <v>14498</v>
      </c>
      <c r="X2894">
        <v>1</v>
      </c>
      <c r="Y2894" t="s">
        <v>20200</v>
      </c>
      <c r="Z2894" t="s">
        <v>25956</v>
      </c>
      <c r="AA2894">
        <v>0.8828820873299239</v>
      </c>
      <c r="AB2894" t="str">
        <f>HYPERLINK("Melting_Curves/meltCurve_Q02383_SEMG2.pdf", "Melting_Curves/meltCurve_Q02383_SEMG2.pdf")</f>
        <v>Melting_Curves/meltCurve_Q02383_SEMG2.pdf</v>
      </c>
    </row>
    <row r="2895" spans="1:28" x14ac:dyDescent="0.25">
      <c r="A2895" t="s">
        <v>2899</v>
      </c>
      <c r="B2895">
        <v>0.99996721820229495</v>
      </c>
      <c r="C2895">
        <v>0.90933278112011195</v>
      </c>
      <c r="D2895">
        <v>0.91303013263781696</v>
      </c>
      <c r="E2895">
        <v>1.2644977957819401</v>
      </c>
      <c r="F2895">
        <v>1.8827050407975501</v>
      </c>
      <c r="G2895">
        <v>2.04127151735692</v>
      </c>
      <c r="H2895">
        <v>1.3572700487060601</v>
      </c>
      <c r="I2895">
        <v>0.46408755696638199</v>
      </c>
      <c r="J2895">
        <v>0.18317151517060201</v>
      </c>
      <c r="K2895">
        <v>0.18636805899554301</v>
      </c>
      <c r="L2895">
        <v>15000</v>
      </c>
      <c r="M2895">
        <v>235.02641372706299</v>
      </c>
      <c r="N2895">
        <v>63.948119023110202</v>
      </c>
      <c r="O2895">
        <v>63.817992537550801</v>
      </c>
      <c r="P2895">
        <v>-0.75058584945910101</v>
      </c>
      <c r="Q2895">
        <v>0.18475747001678999</v>
      </c>
      <c r="R2895">
        <v>0.43704592932804098</v>
      </c>
      <c r="S2895" t="s">
        <v>8721</v>
      </c>
      <c r="T2895" t="s">
        <v>11650</v>
      </c>
      <c r="U2895" t="s">
        <v>11650</v>
      </c>
      <c r="V2895" t="s">
        <v>11650</v>
      </c>
      <c r="W2895" t="s">
        <v>14499</v>
      </c>
      <c r="X2895">
        <v>13</v>
      </c>
      <c r="Y2895" t="s">
        <v>20201</v>
      </c>
      <c r="Z2895" t="s">
        <v>25957</v>
      </c>
      <c r="AA2895">
        <v>0.83223438628602486</v>
      </c>
      <c r="AB2895" t="str">
        <f>HYPERLINK("Melting_Curves/meltCurve_Q02388_2_COL7A1.pdf", "Melting_Curves/meltCurve_Q02388_2_COL7A1.pdf")</f>
        <v>Melting_Curves/meltCurve_Q02388_2_COL7A1.pdf</v>
      </c>
    </row>
    <row r="2896" spans="1:28" x14ac:dyDescent="0.25">
      <c r="A2896" t="s">
        <v>2900</v>
      </c>
      <c r="B2896">
        <v>0.99996721820229495</v>
      </c>
      <c r="C2896">
        <v>1.00624467316408</v>
      </c>
      <c r="D2896">
        <v>1.0368171346278501</v>
      </c>
      <c r="E2896">
        <v>0.82983764912464497</v>
      </c>
      <c r="F2896">
        <v>0.72712464635330698</v>
      </c>
      <c r="G2896">
        <v>0.62795317012303298</v>
      </c>
      <c r="H2896">
        <v>0.34407036757362502</v>
      </c>
      <c r="I2896">
        <v>0.222099461806295</v>
      </c>
      <c r="J2896">
        <v>0.17522250027066899</v>
      </c>
      <c r="K2896">
        <v>0.13229154957293601</v>
      </c>
      <c r="L2896">
        <v>713.63425981085902</v>
      </c>
      <c r="M2896">
        <v>12.2980003958734</v>
      </c>
      <c r="N2896">
        <v>58.141290022555999</v>
      </c>
      <c r="O2896">
        <v>56.5581404051525</v>
      </c>
      <c r="P2896">
        <v>-5.3730949591552703E-2</v>
      </c>
      <c r="Q2896">
        <v>1.17884179722056E-2</v>
      </c>
      <c r="R2896">
        <v>0.98677920895961202</v>
      </c>
      <c r="S2896" t="s">
        <v>8722</v>
      </c>
      <c r="T2896" t="s">
        <v>11650</v>
      </c>
      <c r="U2896" t="s">
        <v>11650</v>
      </c>
      <c r="V2896" t="s">
        <v>11650</v>
      </c>
      <c r="W2896" t="s">
        <v>14500</v>
      </c>
      <c r="X2896">
        <v>5</v>
      </c>
      <c r="Y2896" t="s">
        <v>20202</v>
      </c>
      <c r="Z2896" t="s">
        <v>25958</v>
      </c>
      <c r="AA2896">
        <v>0.61830095506021066</v>
      </c>
      <c r="AB2896" t="str">
        <f>HYPERLINK("Melting_Curves/meltCurve_Q02410_APBA1.pdf", "Melting_Curves/meltCurve_Q02410_APBA1.pdf")</f>
        <v>Melting_Curves/meltCurve_Q02410_APBA1.pdf</v>
      </c>
    </row>
    <row r="2897" spans="1:28" x14ac:dyDescent="0.25">
      <c r="A2897" t="s">
        <v>2901</v>
      </c>
      <c r="B2897">
        <v>0.99996721820229495</v>
      </c>
      <c r="C2897">
        <v>0.96231074880505196</v>
      </c>
      <c r="D2897">
        <v>1.2730460527298999</v>
      </c>
      <c r="E2897">
        <v>3.6795273910620598</v>
      </c>
      <c r="F2897">
        <v>2.0296988325170999</v>
      </c>
      <c r="G2897">
        <v>1.21921579748439</v>
      </c>
      <c r="H2897">
        <v>0.70690902185968696</v>
      </c>
      <c r="I2897">
        <v>0.239799150456878</v>
      </c>
      <c r="J2897">
        <v>0.25312661310628798</v>
      </c>
      <c r="K2897">
        <v>0</v>
      </c>
      <c r="L2897">
        <v>3483.8889776948399</v>
      </c>
      <c r="M2897">
        <v>56.324899461091299</v>
      </c>
      <c r="N2897">
        <v>62.155241666998798</v>
      </c>
      <c r="O2897">
        <v>61.775619775373002</v>
      </c>
      <c r="P2897">
        <v>-0.20067223436263701</v>
      </c>
      <c r="Q2897">
        <v>0.11963304323238801</v>
      </c>
      <c r="R2897">
        <v>0.192548137670704</v>
      </c>
      <c r="S2897" t="s">
        <v>8723</v>
      </c>
      <c r="T2897" t="s">
        <v>11650</v>
      </c>
      <c r="U2897" t="s">
        <v>11650</v>
      </c>
      <c r="V2897" t="s">
        <v>11650</v>
      </c>
      <c r="W2897" t="s">
        <v>14501</v>
      </c>
      <c r="X2897">
        <v>1</v>
      </c>
      <c r="Y2897" t="s">
        <v>20203</v>
      </c>
      <c r="Z2897" t="s">
        <v>25959</v>
      </c>
      <c r="AA2897">
        <v>0.7627640485953826</v>
      </c>
      <c r="AB2897" t="str">
        <f>HYPERLINK("Melting_Curves/meltCurve_Q02413_DSG1.pdf", "Melting_Curves/meltCurve_Q02413_DSG1.pdf")</f>
        <v>Melting_Curves/meltCurve_Q02413_DSG1.pdf</v>
      </c>
    </row>
    <row r="2898" spans="1:28" x14ac:dyDescent="0.25">
      <c r="A2898" t="s">
        <v>2902</v>
      </c>
      <c r="B2898">
        <v>0.99996721820229495</v>
      </c>
      <c r="C2898">
        <v>1.2374811231110301</v>
      </c>
      <c r="D2898">
        <v>1.3169049334458001</v>
      </c>
      <c r="E2898">
        <v>2.31871915648167</v>
      </c>
      <c r="F2898">
        <v>2.2709922168556198</v>
      </c>
      <c r="G2898">
        <v>2.3615246774726799</v>
      </c>
      <c r="H2898">
        <v>1.3913343394972399</v>
      </c>
      <c r="I2898">
        <v>0.73451185692257104</v>
      </c>
      <c r="J2898">
        <v>0.28954961467594797</v>
      </c>
      <c r="K2898">
        <v>0.33551364336771999</v>
      </c>
      <c r="L2898">
        <v>15000</v>
      </c>
      <c r="M2898">
        <v>233.911540542425</v>
      </c>
      <c r="N2898">
        <v>64.396857659450205</v>
      </c>
      <c r="O2898">
        <v>64.122131004856996</v>
      </c>
      <c r="P2898">
        <v>-0.626968496063254</v>
      </c>
      <c r="Q2898">
        <v>0.31251706364774501</v>
      </c>
      <c r="R2898">
        <v>-8.1786681784035108E-3</v>
      </c>
      <c r="S2898" t="s">
        <v>8724</v>
      </c>
      <c r="T2898" t="s">
        <v>11650</v>
      </c>
      <c r="U2898" t="s">
        <v>11650</v>
      </c>
      <c r="V2898" t="s">
        <v>11650</v>
      </c>
      <c r="W2898" t="s">
        <v>14502</v>
      </c>
      <c r="X2898">
        <v>5</v>
      </c>
      <c r="Y2898" t="s">
        <v>20204</v>
      </c>
      <c r="Z2898" t="s">
        <v>25960</v>
      </c>
      <c r="AA2898">
        <v>0.86549769550316991</v>
      </c>
      <c r="AB2898" t="str">
        <f>HYPERLINK("Melting_Curves/meltCurve_Q02543_RPL18A.pdf", "Melting_Curves/meltCurve_Q02543_RPL18A.pdf")</f>
        <v>Melting_Curves/meltCurve_Q02543_RPL18A.pdf</v>
      </c>
    </row>
    <row r="2899" spans="1:28" x14ac:dyDescent="0.25">
      <c r="A2899" t="s">
        <v>2903</v>
      </c>
      <c r="B2899">
        <v>0.99996721820229495</v>
      </c>
      <c r="C2899">
        <v>0.98044360447845202</v>
      </c>
      <c r="D2899">
        <v>0.90305941815324098</v>
      </c>
      <c r="E2899">
        <v>0.79957973436338403</v>
      </c>
      <c r="F2899">
        <v>0.539193509405125</v>
      </c>
      <c r="G2899">
        <v>0.22499878835627801</v>
      </c>
      <c r="H2899">
        <v>0.11542127868171</v>
      </c>
      <c r="I2899">
        <v>8.2693455827671195E-2</v>
      </c>
      <c r="J2899">
        <v>6.4388109511093E-2</v>
      </c>
      <c r="K2899">
        <v>5.1552987475833402E-2</v>
      </c>
      <c r="L2899">
        <v>1032.40549424905</v>
      </c>
      <c r="M2899">
        <v>19.4378355578149</v>
      </c>
      <c r="N2899">
        <v>53.361976112312</v>
      </c>
      <c r="O2899">
        <v>52.560615935062899</v>
      </c>
      <c r="P2899">
        <v>-8.8452225730012699E-2</v>
      </c>
      <c r="Q2899">
        <v>4.33226418634872E-2</v>
      </c>
      <c r="R2899">
        <v>0.99760131919372297</v>
      </c>
      <c r="S2899" t="s">
        <v>8725</v>
      </c>
      <c r="T2899" t="s">
        <v>11650</v>
      </c>
      <c r="U2899" t="s">
        <v>11650</v>
      </c>
      <c r="V2899" t="s">
        <v>11650</v>
      </c>
      <c r="W2899" t="s">
        <v>14503</v>
      </c>
      <c r="X2899">
        <v>16</v>
      </c>
      <c r="Y2899" t="s">
        <v>20205</v>
      </c>
      <c r="Z2899" t="s">
        <v>25961</v>
      </c>
      <c r="AA2899">
        <v>0.47528313543700329</v>
      </c>
      <c r="AB2899" t="str">
        <f>HYPERLINK("Melting_Curves/meltCurve_Q02750_MAP2K1.pdf", "Melting_Curves/meltCurve_Q02750_MAP2K1.pdf")</f>
        <v>Melting_Curves/meltCurve_Q02750_MAP2K1.pdf</v>
      </c>
    </row>
    <row r="2900" spans="1:28" x14ac:dyDescent="0.25">
      <c r="A2900" t="s">
        <v>2904</v>
      </c>
      <c r="B2900">
        <v>0.99996721820229495</v>
      </c>
      <c r="C2900">
        <v>0.96795800749957095</v>
      </c>
      <c r="D2900">
        <v>0.99642157705385304</v>
      </c>
      <c r="E2900">
        <v>0.77836502940557895</v>
      </c>
      <c r="F2900">
        <v>0.33602096587400998</v>
      </c>
      <c r="G2900">
        <v>0.31544841547785102</v>
      </c>
      <c r="H2900">
        <v>0.19759041154235199</v>
      </c>
      <c r="I2900">
        <v>0.12652289655934601</v>
      </c>
      <c r="J2900">
        <v>9.3488936840049899E-2</v>
      </c>
      <c r="K2900">
        <v>8.0609992235642594E-2</v>
      </c>
      <c r="L2900">
        <v>1439.31377897486</v>
      </c>
      <c r="M2900">
        <v>27.934649920162901</v>
      </c>
      <c r="N2900">
        <v>52.131704388340196</v>
      </c>
      <c r="O2900">
        <v>51.262441561153302</v>
      </c>
      <c r="P2900">
        <v>-0.11731097139775799</v>
      </c>
      <c r="Q2900">
        <v>0.13890529422630099</v>
      </c>
      <c r="R2900">
        <v>0.978119815855374</v>
      </c>
      <c r="S2900" t="s">
        <v>8726</v>
      </c>
      <c r="T2900" t="s">
        <v>11650</v>
      </c>
      <c r="U2900" t="s">
        <v>11650</v>
      </c>
      <c r="V2900" t="s">
        <v>11650</v>
      </c>
      <c r="W2900" t="s">
        <v>14504</v>
      </c>
      <c r="X2900">
        <v>31</v>
      </c>
      <c r="Y2900" t="s">
        <v>20206</v>
      </c>
      <c r="Z2900" t="s">
        <v>25962</v>
      </c>
      <c r="AA2900">
        <v>0.47598100514187103</v>
      </c>
      <c r="AB2900" t="str">
        <f>HYPERLINK("Melting_Curves/meltCurve_Q02790_FKBP4.pdf", "Melting_Curves/meltCurve_Q02790_FKBP4.pdf")</f>
        <v>Melting_Curves/meltCurve_Q02790_FKBP4.pdf</v>
      </c>
    </row>
    <row r="2901" spans="1:28" x14ac:dyDescent="0.25">
      <c r="A2901" t="s">
        <v>2905</v>
      </c>
      <c r="B2901">
        <v>0.99996721820229495</v>
      </c>
      <c r="C2901">
        <v>0.96078828118733395</v>
      </c>
      <c r="D2901">
        <v>1.13626760325896</v>
      </c>
      <c r="E2901">
        <v>1.4248048236331201</v>
      </c>
      <c r="F2901">
        <v>0.85001106112784197</v>
      </c>
      <c r="G2901">
        <v>0.65661291418838397</v>
      </c>
      <c r="H2901">
        <v>0.35687697368686999</v>
      </c>
      <c r="I2901">
        <v>0.14763854701585699</v>
      </c>
      <c r="J2901">
        <v>0.10559780506604299</v>
      </c>
      <c r="K2901">
        <v>9.5893075348663898E-2</v>
      </c>
      <c r="L2901">
        <v>1525.94237447356</v>
      </c>
      <c r="M2901">
        <v>26.118761688155502</v>
      </c>
      <c r="N2901">
        <v>58.827709234223398</v>
      </c>
      <c r="O2901">
        <v>58.083975729251698</v>
      </c>
      <c r="P2901">
        <v>-0.103179480196168</v>
      </c>
      <c r="Q2901">
        <v>8.2191297461772103E-2</v>
      </c>
      <c r="R2901">
        <v>0.89074757327471998</v>
      </c>
      <c r="S2901" t="s">
        <v>8727</v>
      </c>
      <c r="T2901" t="s">
        <v>11650</v>
      </c>
      <c r="U2901" t="s">
        <v>11650</v>
      </c>
      <c r="V2901" t="s">
        <v>11650</v>
      </c>
      <c r="W2901" t="s">
        <v>14505</v>
      </c>
      <c r="X2901">
        <v>19</v>
      </c>
      <c r="Y2901" t="s">
        <v>20207</v>
      </c>
      <c r="Z2901" t="s">
        <v>25963</v>
      </c>
      <c r="AA2901">
        <v>0.65318926724677473</v>
      </c>
      <c r="AB2901" t="str">
        <f>HYPERLINK("Melting_Curves/meltCurve_Q02809_PLOD1.pdf", "Melting_Curves/meltCurve_Q02809_PLOD1.pdf")</f>
        <v>Melting_Curves/meltCurve_Q02809_PLOD1.pdf</v>
      </c>
    </row>
    <row r="2902" spans="1:28" x14ac:dyDescent="0.25">
      <c r="A2902" t="s">
        <v>2906</v>
      </c>
      <c r="B2902">
        <v>0.99996721820229495</v>
      </c>
      <c r="C2902">
        <v>1.0253162301260701</v>
      </c>
      <c r="D2902">
        <v>0.98691432807443102</v>
      </c>
      <c r="E2902">
        <v>1.03313274598906</v>
      </c>
      <c r="F2902">
        <v>1.28220805700456</v>
      </c>
      <c r="G2902">
        <v>1.4348220045812301</v>
      </c>
      <c r="H2902">
        <v>1.1022654191964001</v>
      </c>
      <c r="I2902">
        <v>0.88462562339450601</v>
      </c>
      <c r="J2902">
        <v>0.72719771784420395</v>
      </c>
      <c r="K2902">
        <v>0.67731639890284701</v>
      </c>
      <c r="L2902">
        <v>8627.8898703860305</v>
      </c>
      <c r="M2902">
        <v>134.338406410781</v>
      </c>
      <c r="O2902">
        <v>64.210812543472599</v>
      </c>
      <c r="P2902">
        <v>-0.15610721099626201</v>
      </c>
      <c r="Q2902">
        <v>0.70153670938084101</v>
      </c>
      <c r="R2902">
        <v>0.40005256805979</v>
      </c>
      <c r="S2902" t="s">
        <v>8728</v>
      </c>
      <c r="T2902" t="s">
        <v>11650</v>
      </c>
      <c r="U2902" t="s">
        <v>11650</v>
      </c>
      <c r="V2902" t="s">
        <v>11650</v>
      </c>
      <c r="W2902" t="s">
        <v>14506</v>
      </c>
      <c r="X2902">
        <v>59</v>
      </c>
      <c r="Y2902" t="s">
        <v>20208</v>
      </c>
      <c r="Z2902" t="s">
        <v>25964</v>
      </c>
      <c r="AA2902">
        <v>0.94266272131120155</v>
      </c>
      <c r="AB2902" t="str">
        <f>HYPERLINK("Melting_Curves/meltCurve_Q02818_NUCB1.pdf", "Melting_Curves/meltCurve_Q02818_NUCB1.pdf")</f>
        <v>Melting_Curves/meltCurve_Q02818_NUCB1.pdf</v>
      </c>
    </row>
    <row r="2903" spans="1:28" x14ac:dyDescent="0.25">
      <c r="A2903" t="s">
        <v>2907</v>
      </c>
      <c r="B2903">
        <v>0.99996721820229495</v>
      </c>
      <c r="C2903">
        <v>0.95139081084667498</v>
      </c>
      <c r="D2903">
        <v>1.10868167563858</v>
      </c>
      <c r="E2903">
        <v>1.69459005842224</v>
      </c>
      <c r="F2903">
        <v>2.67053711846465</v>
      </c>
      <c r="G2903">
        <v>2.1598061210912398</v>
      </c>
      <c r="H2903">
        <v>1.5947117638224599</v>
      </c>
      <c r="I2903">
        <v>0.879489776799254</v>
      </c>
      <c r="J2903">
        <v>0.59009384234163698</v>
      </c>
      <c r="K2903">
        <v>0.511386876453374</v>
      </c>
      <c r="L2903">
        <v>11631.0177181452</v>
      </c>
      <c r="M2903">
        <v>180.72706094240101</v>
      </c>
      <c r="O2903">
        <v>64.348941745446893</v>
      </c>
      <c r="P2903">
        <v>-0.31560512608748098</v>
      </c>
      <c r="Q2903">
        <v>0.55050775374945804</v>
      </c>
      <c r="R2903">
        <v>-0.131741938807175</v>
      </c>
      <c r="S2903" t="s">
        <v>8729</v>
      </c>
      <c r="T2903" t="s">
        <v>11650</v>
      </c>
      <c r="U2903" t="s">
        <v>11650</v>
      </c>
      <c r="V2903" t="s">
        <v>11650</v>
      </c>
      <c r="W2903" t="s">
        <v>14507</v>
      </c>
      <c r="X2903">
        <v>5</v>
      </c>
      <c r="Y2903" t="s">
        <v>20209</v>
      </c>
      <c r="Z2903" t="s">
        <v>25965</v>
      </c>
      <c r="AA2903">
        <v>0.91554487339571233</v>
      </c>
      <c r="AB2903" t="str">
        <f>HYPERLINK("Melting_Curves/meltCurve_Q02878_RPL6.pdf", "Melting_Curves/meltCurve_Q02878_RPL6.pdf")</f>
        <v>Melting_Curves/meltCurve_Q02878_RPL6.pdf</v>
      </c>
    </row>
    <row r="2904" spans="1:28" x14ac:dyDescent="0.25">
      <c r="A2904" t="s">
        <v>2908</v>
      </c>
      <c r="B2904">
        <v>0.99996721820229495</v>
      </c>
      <c r="C2904">
        <v>1.0078420022738099</v>
      </c>
      <c r="D2904">
        <v>0.97939241479934602</v>
      </c>
      <c r="E2904">
        <v>1.03431613794323</v>
      </c>
      <c r="F2904">
        <v>1.30572139612845</v>
      </c>
      <c r="G2904">
        <v>1.5651893067568901</v>
      </c>
      <c r="H2904">
        <v>1.2664856230573001</v>
      </c>
      <c r="I2904">
        <v>1.07261221472322</v>
      </c>
      <c r="J2904">
        <v>0.87104278514115496</v>
      </c>
      <c r="K2904">
        <v>0.85272474257390196</v>
      </c>
      <c r="L2904">
        <v>15000</v>
      </c>
      <c r="M2904">
        <v>225.81898019544201</v>
      </c>
      <c r="O2904">
        <v>66.419683554791305</v>
      </c>
      <c r="P2904">
        <v>-0.12526323209675</v>
      </c>
      <c r="Q2904">
        <v>0.85262632404786598</v>
      </c>
      <c r="R2904">
        <v>-0.120896977067231</v>
      </c>
      <c r="S2904" t="s">
        <v>8730</v>
      </c>
      <c r="T2904" t="s">
        <v>11650</v>
      </c>
      <c r="U2904" t="s">
        <v>11650</v>
      </c>
      <c r="V2904" t="s">
        <v>11650</v>
      </c>
      <c r="W2904" t="s">
        <v>14508</v>
      </c>
      <c r="X2904">
        <v>98</v>
      </c>
      <c r="Y2904" t="s">
        <v>20210</v>
      </c>
      <c r="Z2904" t="s">
        <v>25966</v>
      </c>
      <c r="AA2904">
        <v>0.98245845144223609</v>
      </c>
      <c r="AB2904" t="str">
        <f>HYPERLINK("Melting_Curves/meltCurve_Q02952_3_AKAP12.pdf", "Melting_Curves/meltCurve_Q02952_3_AKAP12.pdf")</f>
        <v>Melting_Curves/meltCurve_Q02952_3_AKAP12.pdf</v>
      </c>
    </row>
    <row r="2905" spans="1:28" x14ac:dyDescent="0.25">
      <c r="A2905" t="s">
        <v>2909</v>
      </c>
      <c r="B2905">
        <v>0.99996721820229495</v>
      </c>
      <c r="C2905">
        <v>1.00251957173158</v>
      </c>
      <c r="D2905">
        <v>0.84581099993756304</v>
      </c>
      <c r="E2905">
        <v>0.75679156608465004</v>
      </c>
      <c r="F2905">
        <v>0.71031881796986895</v>
      </c>
      <c r="G2905">
        <v>0.66856956757650199</v>
      </c>
      <c r="H2905">
        <v>0.45489467620378199</v>
      </c>
      <c r="I2905">
        <v>0.36300245790033597</v>
      </c>
      <c r="J2905">
        <v>0.27027424317237198</v>
      </c>
      <c r="K2905">
        <v>0.212622865305019</v>
      </c>
      <c r="L2905">
        <v>460.04696536542701</v>
      </c>
      <c r="M2905">
        <v>7.7411850520733596</v>
      </c>
      <c r="N2905">
        <v>59.428482093222101</v>
      </c>
      <c r="O2905">
        <v>55.853226872831698</v>
      </c>
      <c r="P2905">
        <v>-3.4693974566923601E-2</v>
      </c>
      <c r="Q2905">
        <v>0</v>
      </c>
      <c r="R2905">
        <v>0.97544590698904099</v>
      </c>
      <c r="S2905" t="s">
        <v>8731</v>
      </c>
      <c r="T2905" t="s">
        <v>11650</v>
      </c>
      <c r="U2905" t="s">
        <v>11650</v>
      </c>
      <c r="V2905" t="s">
        <v>11650</v>
      </c>
      <c r="W2905" t="s">
        <v>14509</v>
      </c>
      <c r="X2905">
        <v>38</v>
      </c>
      <c r="Y2905" t="s">
        <v>20211</v>
      </c>
      <c r="Z2905" t="s">
        <v>25967</v>
      </c>
      <c r="AA2905">
        <v>0.63640476738658225</v>
      </c>
      <c r="AB2905" t="str">
        <f>HYPERLINK("Melting_Curves/meltCurve_Q03001_DST.pdf", "Melting_Curves/meltCurve_Q03001_DST.pdf")</f>
        <v>Melting_Curves/meltCurve_Q03001_DST.pdf</v>
      </c>
    </row>
    <row r="2906" spans="1:28" x14ac:dyDescent="0.25">
      <c r="A2906" t="s">
        <v>2910</v>
      </c>
      <c r="B2906">
        <v>0.99996721820229495</v>
      </c>
      <c r="C2906">
        <v>1.2154377827107401</v>
      </c>
      <c r="D2906">
        <v>0.980555447733374</v>
      </c>
      <c r="E2906">
        <v>0.72525502153191401</v>
      </c>
      <c r="F2906">
        <v>0.22610164232715699</v>
      </c>
      <c r="G2906">
        <v>0.21820162859088499</v>
      </c>
      <c r="H2906">
        <v>0.12167659682325201</v>
      </c>
      <c r="I2906">
        <v>0.13067684361871801</v>
      </c>
      <c r="J2906">
        <v>0.14356520121449701</v>
      </c>
      <c r="K2906">
        <v>6.2297717019154403E-2</v>
      </c>
      <c r="L2906">
        <v>2441.4173515928201</v>
      </c>
      <c r="M2906">
        <v>48.074356099752301</v>
      </c>
      <c r="N2906">
        <v>51.112314530295201</v>
      </c>
      <c r="O2906">
        <v>50.696530302328703</v>
      </c>
      <c r="P2906">
        <v>-0.205593598225049</v>
      </c>
      <c r="Q2906">
        <v>0.13277042062143701</v>
      </c>
      <c r="R2906">
        <v>0.96737160185093396</v>
      </c>
      <c r="S2906" t="s">
        <v>8732</v>
      </c>
      <c r="T2906" t="s">
        <v>11650</v>
      </c>
      <c r="U2906" t="s">
        <v>11650</v>
      </c>
      <c r="V2906" t="s">
        <v>11650</v>
      </c>
      <c r="W2906" t="s">
        <v>14510</v>
      </c>
      <c r="X2906">
        <v>7</v>
      </c>
      <c r="Y2906" t="s">
        <v>20211</v>
      </c>
      <c r="Z2906" t="s">
        <v>25968</v>
      </c>
      <c r="AA2906">
        <v>0.44661844843251652</v>
      </c>
      <c r="AB2906" t="str">
        <f>HYPERLINK("Melting_Curves/meltCurve_Q03001_3_DST.pdf", "Melting_Curves/meltCurve_Q03001_3_DST.pdf")</f>
        <v>Melting_Curves/meltCurve_Q03001_3_DST.pdf</v>
      </c>
    </row>
    <row r="2907" spans="1:28" x14ac:dyDescent="0.25">
      <c r="A2907" t="s">
        <v>2911</v>
      </c>
      <c r="B2907">
        <v>0.99996721820229495</v>
      </c>
      <c r="C2907">
        <v>0.98418318052028997</v>
      </c>
      <c r="D2907">
        <v>0.82895899318296895</v>
      </c>
      <c r="E2907">
        <v>0.53707890330950003</v>
      </c>
      <c r="F2907">
        <v>0.33504436069611798</v>
      </c>
      <c r="G2907">
        <v>0.32631110116905199</v>
      </c>
      <c r="H2907">
        <v>0.21310731988748799</v>
      </c>
      <c r="I2907">
        <v>0.16010203572017101</v>
      </c>
      <c r="J2907">
        <v>0.14072645401174599</v>
      </c>
      <c r="K2907">
        <v>0.112137693004854</v>
      </c>
      <c r="L2907">
        <v>816.44320283431398</v>
      </c>
      <c r="M2907">
        <v>16.408290963910598</v>
      </c>
      <c r="N2907">
        <v>50.831427095073998</v>
      </c>
      <c r="O2907">
        <v>49.036507800790702</v>
      </c>
      <c r="P2907">
        <v>-7.1409656807479793E-2</v>
      </c>
      <c r="Q2907">
        <v>0.14642384819677401</v>
      </c>
      <c r="R2907">
        <v>0.98728098458852998</v>
      </c>
      <c r="S2907" t="s">
        <v>8733</v>
      </c>
      <c r="T2907" t="s">
        <v>11650</v>
      </c>
      <c r="U2907" t="s">
        <v>11650</v>
      </c>
      <c r="V2907" t="s">
        <v>11650</v>
      </c>
      <c r="W2907" t="s">
        <v>14511</v>
      </c>
      <c r="X2907">
        <v>13</v>
      </c>
      <c r="Y2907" t="s">
        <v>20212</v>
      </c>
      <c r="Z2907" t="s">
        <v>25969</v>
      </c>
      <c r="AA2907">
        <v>0.44146728998596679</v>
      </c>
      <c r="AB2907" t="str">
        <f>HYPERLINK("Melting_Curves/meltCurve_Q03013_GSTM4.pdf", "Melting_Curves/meltCurve_Q03013_GSTM4.pdf")</f>
        <v>Melting_Curves/meltCurve_Q03013_GSTM4.pdf</v>
      </c>
    </row>
    <row r="2908" spans="1:28" x14ac:dyDescent="0.25">
      <c r="A2908" t="s">
        <v>2912</v>
      </c>
      <c r="B2908">
        <v>0.99996721820229495</v>
      </c>
      <c r="C2908">
        <v>0.920169381502145</v>
      </c>
      <c r="D2908">
        <v>0.90258269924662404</v>
      </c>
      <c r="E2908">
        <v>0.853005029726983</v>
      </c>
      <c r="F2908">
        <v>0.71913251607324102</v>
      </c>
      <c r="G2908">
        <v>0.62934240525192797</v>
      </c>
      <c r="H2908">
        <v>0.42368829903608202</v>
      </c>
      <c r="I2908">
        <v>0.26272917032590398</v>
      </c>
      <c r="J2908">
        <v>0.18867815192321699</v>
      </c>
      <c r="K2908">
        <v>0.183832066088046</v>
      </c>
      <c r="L2908">
        <v>581.39322109961597</v>
      </c>
      <c r="M2908">
        <v>9.9172890416660398</v>
      </c>
      <c r="N2908">
        <v>58.624205909711499</v>
      </c>
      <c r="O2908">
        <v>56.389923447927501</v>
      </c>
      <c r="P2908">
        <v>-4.3989543636024503E-2</v>
      </c>
      <c r="Q2908">
        <v>0</v>
      </c>
      <c r="R2908">
        <v>0.98706200696087598</v>
      </c>
      <c r="S2908" t="s">
        <v>8734</v>
      </c>
      <c r="T2908" t="s">
        <v>11650</v>
      </c>
      <c r="U2908" t="s">
        <v>11650</v>
      </c>
      <c r="V2908" t="s">
        <v>11650</v>
      </c>
      <c r="W2908" t="s">
        <v>14512</v>
      </c>
      <c r="X2908">
        <v>2</v>
      </c>
      <c r="Y2908" t="s">
        <v>20213</v>
      </c>
      <c r="Z2908" t="s">
        <v>25970</v>
      </c>
      <c r="AA2908">
        <v>0.62646874949173481</v>
      </c>
      <c r="AB2908" t="str">
        <f>HYPERLINK("Melting_Curves/meltCurve_Q03113_GNA12.pdf", "Melting_Curves/meltCurve_Q03113_GNA12.pdf")</f>
        <v>Melting_Curves/meltCurve_Q03113_GNA12.pdf</v>
      </c>
    </row>
    <row r="2909" spans="1:28" x14ac:dyDescent="0.25">
      <c r="A2909" t="s">
        <v>2913</v>
      </c>
      <c r="B2909">
        <v>0.99996721820229495</v>
      </c>
      <c r="C2909">
        <v>0.88612526335056796</v>
      </c>
      <c r="D2909">
        <v>0.92303035032049696</v>
      </c>
      <c r="E2909">
        <v>1.5945923410543701</v>
      </c>
      <c r="F2909">
        <v>2.0340915410614899</v>
      </c>
      <c r="G2909">
        <v>1.85500391297113</v>
      </c>
      <c r="H2909">
        <v>1.8291707683923599</v>
      </c>
      <c r="I2909">
        <v>0.86963463072304303</v>
      </c>
      <c r="J2909">
        <v>0.56629603277644203</v>
      </c>
      <c r="K2909">
        <v>0.80013061913706895</v>
      </c>
      <c r="L2909">
        <v>15000</v>
      </c>
      <c r="M2909">
        <v>234.017262352096</v>
      </c>
      <c r="O2909">
        <v>64.093154388183805</v>
      </c>
      <c r="P2909">
        <v>-0.28916514222545597</v>
      </c>
      <c r="Q2909">
        <v>0.68321130015492204</v>
      </c>
      <c r="R2909">
        <v>-0.132716922265184</v>
      </c>
      <c r="S2909" t="s">
        <v>8735</v>
      </c>
      <c r="T2909" t="s">
        <v>11650</v>
      </c>
      <c r="U2909" t="s">
        <v>11650</v>
      </c>
      <c r="V2909" t="s">
        <v>11650</v>
      </c>
      <c r="W2909" t="s">
        <v>14513</v>
      </c>
      <c r="X2909">
        <v>8</v>
      </c>
      <c r="Y2909" t="s">
        <v>20214</v>
      </c>
      <c r="Z2909" t="s">
        <v>25971</v>
      </c>
      <c r="AA2909">
        <v>0.93771603759455391</v>
      </c>
      <c r="AB2909" t="str">
        <f>HYPERLINK("Melting_Curves/meltCurve_Q03135_CAV1.pdf", "Melting_Curves/meltCurve_Q03135_CAV1.pdf")</f>
        <v>Melting_Curves/meltCurve_Q03135_CAV1.pdf</v>
      </c>
    </row>
    <row r="2910" spans="1:28" x14ac:dyDescent="0.25">
      <c r="A2910" t="s">
        <v>2914</v>
      </c>
      <c r="B2910">
        <v>0.99996721820229495</v>
      </c>
      <c r="C2910">
        <v>1.00482327436781</v>
      </c>
      <c r="D2910">
        <v>1.0293312325919699</v>
      </c>
      <c r="E2910">
        <v>1.02967729292666</v>
      </c>
      <c r="F2910">
        <v>1.17455117178353</v>
      </c>
      <c r="G2910">
        <v>1.1342442496087199</v>
      </c>
      <c r="H2910">
        <v>0.78717944880938295</v>
      </c>
      <c r="I2910">
        <v>0.56918356647761603</v>
      </c>
      <c r="J2910">
        <v>0.35739979444653103</v>
      </c>
      <c r="K2910">
        <v>0.27315269607439802</v>
      </c>
      <c r="L2910">
        <v>2228.19741537047</v>
      </c>
      <c r="M2910">
        <v>35.267683217199497</v>
      </c>
      <c r="N2910">
        <v>64.540132657118505</v>
      </c>
      <c r="O2910">
        <v>62.977482356200298</v>
      </c>
      <c r="P2910">
        <v>-0.103283558725954</v>
      </c>
      <c r="Q2910">
        <v>0.26226895956424101</v>
      </c>
      <c r="R2910">
        <v>0.93901795466113502</v>
      </c>
      <c r="S2910" t="s">
        <v>8736</v>
      </c>
      <c r="T2910" t="s">
        <v>11650</v>
      </c>
      <c r="U2910" t="s">
        <v>11650</v>
      </c>
      <c r="V2910" t="s">
        <v>11650</v>
      </c>
      <c r="W2910" t="s">
        <v>14514</v>
      </c>
      <c r="X2910">
        <v>23</v>
      </c>
      <c r="Y2910" t="s">
        <v>20215</v>
      </c>
      <c r="Z2910" t="s">
        <v>25972</v>
      </c>
      <c r="AA2910">
        <v>0.83460176095694516</v>
      </c>
      <c r="AB2910" t="str">
        <f>HYPERLINK("Melting_Curves/meltCurve_Q03154_ACY1.pdf", "Melting_Curves/meltCurve_Q03154_ACY1.pdf")</f>
        <v>Melting_Curves/meltCurve_Q03154_ACY1.pdf</v>
      </c>
    </row>
    <row r="2911" spans="1:28" x14ac:dyDescent="0.25">
      <c r="A2911" t="s">
        <v>2915</v>
      </c>
      <c r="B2911">
        <v>0.99996721820229495</v>
      </c>
      <c r="C2911">
        <v>0.75056120842275598</v>
      </c>
      <c r="D2911">
        <v>0.33698462734345602</v>
      </c>
      <c r="E2911">
        <v>0.25436821471389298</v>
      </c>
      <c r="F2911">
        <v>0.29033150572806199</v>
      </c>
      <c r="G2911">
        <v>0.13854157628122099</v>
      </c>
      <c r="H2911">
        <v>9.7742861507362597E-2</v>
      </c>
      <c r="I2911">
        <v>0.13565031961759</v>
      </c>
      <c r="J2911">
        <v>0.119948400324457</v>
      </c>
      <c r="K2911">
        <v>0.102239041767162</v>
      </c>
      <c r="L2911">
        <v>1211.6821037951299</v>
      </c>
      <c r="M2911">
        <v>27.388284223896601</v>
      </c>
      <c r="N2911">
        <v>44.835142540622797</v>
      </c>
      <c r="O2911">
        <v>44.007055457180897</v>
      </c>
      <c r="P2911">
        <v>-0.13190920639807399</v>
      </c>
      <c r="Q2911">
        <v>0.15220961066895999</v>
      </c>
      <c r="R2911">
        <v>0.96324636507028405</v>
      </c>
      <c r="S2911" t="s">
        <v>8737</v>
      </c>
      <c r="T2911" t="s">
        <v>11650</v>
      </c>
      <c r="U2911" t="s">
        <v>11650</v>
      </c>
      <c r="V2911" t="s">
        <v>11650</v>
      </c>
      <c r="W2911" t="s">
        <v>14515</v>
      </c>
      <c r="X2911">
        <v>2</v>
      </c>
      <c r="Y2911" t="s">
        <v>20216</v>
      </c>
      <c r="Z2911" t="s">
        <v>25973</v>
      </c>
      <c r="AA2911">
        <v>0.27950917058388802</v>
      </c>
      <c r="AB2911" t="str">
        <f>HYPERLINK("Melting_Curves/meltCurve_Q03169_TNFAIP2.pdf", "Melting_Curves/meltCurve_Q03169_TNFAIP2.pdf")</f>
        <v>Melting_Curves/meltCurve_Q03169_TNFAIP2.pdf</v>
      </c>
    </row>
    <row r="2912" spans="1:28" x14ac:dyDescent="0.25">
      <c r="A2912" t="s">
        <v>2916</v>
      </c>
      <c r="B2912">
        <v>0.99996721820229495</v>
      </c>
      <c r="C2912">
        <v>0.97003011328609501</v>
      </c>
      <c r="D2912">
        <v>1.0126281546596101</v>
      </c>
      <c r="E2912">
        <v>0.86205785410367797</v>
      </c>
      <c r="F2912">
        <v>0.74563532548386902</v>
      </c>
      <c r="G2912">
        <v>0.82182755846954703</v>
      </c>
      <c r="H2912">
        <v>0.454259136789818</v>
      </c>
      <c r="I2912">
        <v>0.23508886191175801</v>
      </c>
      <c r="J2912">
        <v>0.117877954331519</v>
      </c>
      <c r="K2912">
        <v>9.4727792575282105E-2</v>
      </c>
      <c r="L2912">
        <v>924.45810460541497</v>
      </c>
      <c r="M2912">
        <v>15.416357631684299</v>
      </c>
      <c r="N2912">
        <v>59.966052248761898</v>
      </c>
      <c r="O2912">
        <v>58.9842196238451</v>
      </c>
      <c r="P2912">
        <v>-6.5346953752500103E-2</v>
      </c>
      <c r="Q2912">
        <v>0</v>
      </c>
      <c r="R2912">
        <v>0.95922061666301695</v>
      </c>
      <c r="S2912" t="s">
        <v>8738</v>
      </c>
      <c r="T2912" t="s">
        <v>11650</v>
      </c>
      <c r="U2912" t="s">
        <v>11650</v>
      </c>
      <c r="V2912" t="s">
        <v>11650</v>
      </c>
      <c r="W2912" t="s">
        <v>14516</v>
      </c>
      <c r="X2912">
        <v>5</v>
      </c>
      <c r="Y2912" t="s">
        <v>20217</v>
      </c>
      <c r="Z2912" t="s">
        <v>25974</v>
      </c>
      <c r="AA2912">
        <v>0.67286126834247661</v>
      </c>
      <c r="AB2912" t="str">
        <f>HYPERLINK("Melting_Curves/meltCurve_Q03393_PTS.pdf", "Melting_Curves/meltCurve_Q03393_PTS.pdf")</f>
        <v>Melting_Curves/meltCurve_Q03393_PTS.pdf</v>
      </c>
    </row>
    <row r="2913" spans="1:28" x14ac:dyDescent="0.25">
      <c r="A2913" t="s">
        <v>2917</v>
      </c>
      <c r="B2913">
        <v>0.99996721820229495</v>
      </c>
      <c r="C2913">
        <v>0.87258711905881203</v>
      </c>
      <c r="D2913">
        <v>0.88028652324566103</v>
      </c>
      <c r="E2913">
        <v>0.97211385792070304</v>
      </c>
      <c r="F2913">
        <v>1.3276176950604499</v>
      </c>
      <c r="G2913">
        <v>1.68883839549329</v>
      </c>
      <c r="H2913">
        <v>1.26183436849106</v>
      </c>
      <c r="I2913">
        <v>0.895059785947242</v>
      </c>
      <c r="J2913">
        <v>0.68113963025570801</v>
      </c>
      <c r="K2913">
        <v>0.63600725641969102</v>
      </c>
      <c r="L2913">
        <v>13467.173458301701</v>
      </c>
      <c r="M2913">
        <v>209.61138659927599</v>
      </c>
      <c r="O2913">
        <v>64.242442920533193</v>
      </c>
      <c r="P2913">
        <v>-0.27853360169837799</v>
      </c>
      <c r="Q2913">
        <v>0.65853612576410803</v>
      </c>
      <c r="R2913">
        <v>0.259702942693957</v>
      </c>
      <c r="S2913" t="s">
        <v>8739</v>
      </c>
      <c r="T2913" t="s">
        <v>11650</v>
      </c>
      <c r="U2913" t="s">
        <v>11650</v>
      </c>
      <c r="V2913" t="s">
        <v>11650</v>
      </c>
      <c r="W2913" t="s">
        <v>14517</v>
      </c>
      <c r="X2913">
        <v>7</v>
      </c>
      <c r="Y2913" t="s">
        <v>20218</v>
      </c>
      <c r="Z2913" t="s">
        <v>25975</v>
      </c>
      <c r="AA2913">
        <v>0.93458808390823245</v>
      </c>
      <c r="AB2913" t="str">
        <f>HYPERLINK("Melting_Curves/meltCurve_Q03405_PLAUR.pdf", "Melting_Curves/meltCurve_Q03405_PLAUR.pdf")</f>
        <v>Melting_Curves/meltCurve_Q03405_PLAUR.pdf</v>
      </c>
    </row>
    <row r="2914" spans="1:28" x14ac:dyDescent="0.25">
      <c r="A2914" t="s">
        <v>2918</v>
      </c>
      <c r="B2914">
        <v>0.99996721820229495</v>
      </c>
      <c r="C2914">
        <v>0.89597639341806801</v>
      </c>
      <c r="D2914">
        <v>0.79230290060340602</v>
      </c>
      <c r="E2914">
        <v>0.40058373421728299</v>
      </c>
      <c r="F2914">
        <v>0.42126825337264601</v>
      </c>
      <c r="G2914">
        <v>0.32210270514577299</v>
      </c>
      <c r="H2914">
        <v>0.24079798062735699</v>
      </c>
      <c r="I2914">
        <v>0.14200493112236001</v>
      </c>
      <c r="J2914">
        <v>0.100889918780406</v>
      </c>
      <c r="K2914">
        <v>0.10464476995118099</v>
      </c>
      <c r="L2914">
        <v>605.10049480490898</v>
      </c>
      <c r="M2914">
        <v>12.2186256405655</v>
      </c>
      <c r="N2914">
        <v>50.507423417559103</v>
      </c>
      <c r="O2914">
        <v>48.252295258981903</v>
      </c>
      <c r="P2914">
        <v>-5.6609666078024902E-2</v>
      </c>
      <c r="Q2914">
        <v>0.105976934018432</v>
      </c>
      <c r="R2914">
        <v>0.96898693477852305</v>
      </c>
      <c r="S2914" t="s">
        <v>8740</v>
      </c>
      <c r="T2914" t="s">
        <v>11650</v>
      </c>
      <c r="U2914" t="s">
        <v>11650</v>
      </c>
      <c r="V2914" t="s">
        <v>11650</v>
      </c>
      <c r="W2914" t="s">
        <v>14518</v>
      </c>
      <c r="X2914">
        <v>5</v>
      </c>
      <c r="Y2914" t="s">
        <v>20219</v>
      </c>
      <c r="Z2914" t="s">
        <v>25976</v>
      </c>
      <c r="AA2914">
        <v>0.42067397045271082</v>
      </c>
      <c r="AB2914" t="str">
        <f>HYPERLINK("Melting_Curves/meltCurve_Q03519_TAP2.pdf", "Melting_Curves/meltCurve_Q03519_TAP2.pdf")</f>
        <v>Melting_Curves/meltCurve_Q03519_TAP2.pdf</v>
      </c>
    </row>
    <row r="2915" spans="1:28" x14ac:dyDescent="0.25">
      <c r="A2915" t="s">
        <v>2919</v>
      </c>
      <c r="B2915">
        <v>0.99996721820229495</v>
      </c>
      <c r="C2915">
        <v>1.01547876991986</v>
      </c>
      <c r="D2915">
        <v>0.99338715347370099</v>
      </c>
      <c r="E2915">
        <v>0.86293367589947101</v>
      </c>
      <c r="F2915">
        <v>0.34265695310099398</v>
      </c>
      <c r="G2915">
        <v>0.32532757948443902</v>
      </c>
      <c r="H2915">
        <v>0.20406342732628099</v>
      </c>
      <c r="I2915">
        <v>0.159371515842546</v>
      </c>
      <c r="J2915">
        <v>0.135277294984672</v>
      </c>
      <c r="K2915">
        <v>0.10884574525063501</v>
      </c>
      <c r="L2915">
        <v>2451.4312146677798</v>
      </c>
      <c r="M2915">
        <v>47.524231392799997</v>
      </c>
      <c r="N2915">
        <v>52.078392054049097</v>
      </c>
      <c r="O2915">
        <v>51.491677910647198</v>
      </c>
      <c r="P2915">
        <v>-0.18876226416358799</v>
      </c>
      <c r="Q2915">
        <v>0.18191834356574799</v>
      </c>
      <c r="R2915">
        <v>0.98092825018435503</v>
      </c>
      <c r="S2915" t="s">
        <v>8741</v>
      </c>
      <c r="T2915" t="s">
        <v>11650</v>
      </c>
      <c r="U2915" t="s">
        <v>11650</v>
      </c>
      <c r="V2915" t="s">
        <v>11650</v>
      </c>
      <c r="W2915" t="s">
        <v>14519</v>
      </c>
      <c r="X2915">
        <v>30</v>
      </c>
      <c r="Y2915" t="s">
        <v>20220</v>
      </c>
      <c r="Z2915" t="s">
        <v>25977</v>
      </c>
      <c r="AA2915">
        <v>0.49983468849823892</v>
      </c>
      <c r="AB2915" t="str">
        <f>HYPERLINK("Melting_Curves/meltCurve_Q04446_GBE1.pdf", "Melting_Curves/meltCurve_Q04446_GBE1.pdf")</f>
        <v>Melting_Curves/meltCurve_Q04446_GBE1.pdf</v>
      </c>
    </row>
    <row r="2916" spans="1:28" x14ac:dyDescent="0.25">
      <c r="A2916" t="s">
        <v>2920</v>
      </c>
      <c r="B2916">
        <v>0.99996721820229495</v>
      </c>
      <c r="C2916">
        <v>0.94902334161017299</v>
      </c>
      <c r="D2916">
        <v>0.97428038637348102</v>
      </c>
      <c r="E2916">
        <v>0.80371382062459196</v>
      </c>
      <c r="F2916">
        <v>0.46311972588723799</v>
      </c>
      <c r="G2916">
        <v>0.31341035939651402</v>
      </c>
      <c r="H2916">
        <v>0.156268789069443</v>
      </c>
      <c r="I2916">
        <v>7.7556908194084201E-2</v>
      </c>
      <c r="J2916">
        <v>5.6933737151351797E-2</v>
      </c>
      <c r="K2916">
        <v>4.4101778795039702E-2</v>
      </c>
      <c r="L2916">
        <v>924.09313561227998</v>
      </c>
      <c r="M2916">
        <v>17.370443639113599</v>
      </c>
      <c r="N2916">
        <v>53.456671970770202</v>
      </c>
      <c r="O2916">
        <v>52.509115169630697</v>
      </c>
      <c r="P2916">
        <v>-7.9387531998613897E-2</v>
      </c>
      <c r="Q2916">
        <v>4.0132221936014803E-2</v>
      </c>
      <c r="R2916">
        <v>0.99188667289815502</v>
      </c>
      <c r="S2916" t="s">
        <v>8742</v>
      </c>
      <c r="T2916" t="s">
        <v>11650</v>
      </c>
      <c r="U2916" t="s">
        <v>11650</v>
      </c>
      <c r="V2916" t="s">
        <v>11650</v>
      </c>
      <c r="W2916" t="s">
        <v>14520</v>
      </c>
      <c r="X2916">
        <v>11</v>
      </c>
      <c r="Y2916" t="s">
        <v>20221</v>
      </c>
      <c r="Z2916" t="s">
        <v>25978</v>
      </c>
      <c r="AA2916">
        <v>0.47899585358004548</v>
      </c>
      <c r="AB2916" t="str">
        <f>HYPERLINK("Melting_Curves/meltCurve_Q04656_5_ATP7A.pdf", "Melting_Curves/meltCurve_Q04656_5_ATP7A.pdf")</f>
        <v>Melting_Curves/meltCurve_Q04656_5_ATP7A.pdf</v>
      </c>
    </row>
    <row r="2917" spans="1:28" x14ac:dyDescent="0.25">
      <c r="A2917" t="s">
        <v>2921</v>
      </c>
      <c r="B2917">
        <v>0.99996721820229495</v>
      </c>
      <c r="C2917">
        <v>0.91037630091785804</v>
      </c>
      <c r="D2917">
        <v>0.63691834869475505</v>
      </c>
      <c r="E2917">
        <v>0.55322394831052402</v>
      </c>
      <c r="F2917">
        <v>0.68039502319293899</v>
      </c>
      <c r="G2917">
        <v>0.78463787825499998</v>
      </c>
      <c r="H2917">
        <v>0.55788604213806303</v>
      </c>
      <c r="I2917">
        <v>0.43243639153491298</v>
      </c>
      <c r="J2917">
        <v>0.30716910454521001</v>
      </c>
      <c r="K2917">
        <v>0.263805314196977</v>
      </c>
      <c r="L2917">
        <v>272.13062243305097</v>
      </c>
      <c r="M2917">
        <v>4.52907164011771</v>
      </c>
      <c r="N2917">
        <v>60.085319558915302</v>
      </c>
      <c r="O2917">
        <v>51.154707739782303</v>
      </c>
      <c r="P2917">
        <v>-2.2323669417215201E-2</v>
      </c>
      <c r="Q2917">
        <v>0</v>
      </c>
      <c r="R2917">
        <v>0.74774433625290904</v>
      </c>
      <c r="S2917" t="s">
        <v>8743</v>
      </c>
      <c r="T2917" t="s">
        <v>11650</v>
      </c>
      <c r="U2917" t="s">
        <v>11650</v>
      </c>
      <c r="V2917" t="s">
        <v>11650</v>
      </c>
      <c r="W2917" t="s">
        <v>14521</v>
      </c>
      <c r="X2917">
        <v>31</v>
      </c>
      <c r="Y2917" t="s">
        <v>20222</v>
      </c>
      <c r="Z2917" t="s">
        <v>25979</v>
      </c>
      <c r="AA2917">
        <v>0.61317612638821073</v>
      </c>
      <c r="AB2917" t="str">
        <f>HYPERLINK("Melting_Curves/meltCurve_Q04721_NOTCH2.pdf", "Melting_Curves/meltCurve_Q04721_NOTCH2.pdf")</f>
        <v>Melting_Curves/meltCurve_Q04721_NOTCH2.pdf</v>
      </c>
    </row>
    <row r="2918" spans="1:28" x14ac:dyDescent="0.25">
      <c r="A2918" t="s">
        <v>2922</v>
      </c>
      <c r="B2918">
        <v>0.99996721820229495</v>
      </c>
      <c r="C2918">
        <v>0.94782406098549199</v>
      </c>
      <c r="D2918">
        <v>0.76919998543061396</v>
      </c>
      <c r="E2918">
        <v>0.74491651366590605</v>
      </c>
      <c r="F2918">
        <v>0.82991297236569705</v>
      </c>
      <c r="G2918">
        <v>0.75132129669821102</v>
      </c>
      <c r="H2918">
        <v>0.36476973548633501</v>
      </c>
      <c r="I2918">
        <v>0.31740809691511601</v>
      </c>
      <c r="J2918">
        <v>0.235614961679457</v>
      </c>
      <c r="K2918">
        <v>0.17134614346388299</v>
      </c>
      <c r="L2918">
        <v>537.01395532158801</v>
      </c>
      <c r="M2918">
        <v>9.0602643318546097</v>
      </c>
      <c r="N2918">
        <v>59.2713331310987</v>
      </c>
      <c r="O2918">
        <v>56.597764829951601</v>
      </c>
      <c r="P2918">
        <v>-4.0048754500638703E-2</v>
      </c>
      <c r="Q2918">
        <v>0</v>
      </c>
      <c r="R2918">
        <v>0.91000234823031001</v>
      </c>
      <c r="S2918" t="s">
        <v>8744</v>
      </c>
      <c r="T2918" t="s">
        <v>11650</v>
      </c>
      <c r="U2918" t="s">
        <v>11650</v>
      </c>
      <c r="V2918" t="s">
        <v>11650</v>
      </c>
      <c r="W2918" t="s">
        <v>14522</v>
      </c>
      <c r="X2918">
        <v>6</v>
      </c>
      <c r="Y2918" t="s">
        <v>20223</v>
      </c>
      <c r="Z2918" t="s">
        <v>25980</v>
      </c>
      <c r="AA2918">
        <v>0.64006574676337769</v>
      </c>
      <c r="AB2918" t="str">
        <f>HYPERLINK("Melting_Curves/meltCurve_Q04724_TLE1.pdf", "Melting_Curves/meltCurve_Q04724_TLE1.pdf")</f>
        <v>Melting_Curves/meltCurve_Q04724_TLE1.pdf</v>
      </c>
    </row>
    <row r="2919" spans="1:28" x14ac:dyDescent="0.25">
      <c r="A2919" t="s">
        <v>2923</v>
      </c>
      <c r="B2919">
        <v>0.99996721820229495</v>
      </c>
      <c r="C2919">
        <v>0.959748535388524</v>
      </c>
      <c r="D2919">
        <v>0.91678778055434096</v>
      </c>
      <c r="E2919">
        <v>0.75579726381646495</v>
      </c>
      <c r="F2919">
        <v>0.81830186364107205</v>
      </c>
      <c r="G2919">
        <v>0.62741140403852902</v>
      </c>
      <c r="H2919">
        <v>0.272351752272051</v>
      </c>
      <c r="I2919">
        <v>0.14981803882776201</v>
      </c>
      <c r="J2919">
        <v>9.5762298255241601E-2</v>
      </c>
      <c r="K2919">
        <v>5.8258652330460597E-2</v>
      </c>
      <c r="L2919">
        <v>824.23655767872197</v>
      </c>
      <c r="M2919">
        <v>14.3271056506106</v>
      </c>
      <c r="N2919">
        <v>57.529872294081002</v>
      </c>
      <c r="O2919">
        <v>56.443893202861602</v>
      </c>
      <c r="P2919">
        <v>-6.3464961036360998E-2</v>
      </c>
      <c r="Q2919">
        <v>0</v>
      </c>
      <c r="R2919">
        <v>0.97064458829492195</v>
      </c>
      <c r="S2919" t="s">
        <v>8745</v>
      </c>
      <c r="T2919" t="s">
        <v>11650</v>
      </c>
      <c r="U2919" t="s">
        <v>11650</v>
      </c>
      <c r="V2919" t="s">
        <v>11650</v>
      </c>
      <c r="W2919" t="s">
        <v>14523</v>
      </c>
      <c r="X2919">
        <v>14</v>
      </c>
      <c r="Y2919" t="s">
        <v>20224</v>
      </c>
      <c r="Z2919" t="s">
        <v>25981</v>
      </c>
      <c r="AA2919">
        <v>0.5991600016979638</v>
      </c>
      <c r="AB2919" t="str">
        <f>HYPERLINK("Melting_Curves/meltCurve_Q04760_GLO1.pdf", "Melting_Curves/meltCurve_Q04760_GLO1.pdf")</f>
        <v>Melting_Curves/meltCurve_Q04760_GLO1.pdf</v>
      </c>
    </row>
    <row r="2920" spans="1:28" x14ac:dyDescent="0.25">
      <c r="A2920" t="s">
        <v>2924</v>
      </c>
      <c r="B2920">
        <v>0.99996721820229495</v>
      </c>
      <c r="C2920">
        <v>0.80193668896017301</v>
      </c>
      <c r="D2920">
        <v>0.76459065313396302</v>
      </c>
      <c r="E2920">
        <v>0.44988190674406903</v>
      </c>
      <c r="F2920">
        <v>0.32671276586096698</v>
      </c>
      <c r="G2920">
        <v>0.32910213239250502</v>
      </c>
      <c r="H2920">
        <v>0.236224681105007</v>
      </c>
      <c r="I2920">
        <v>0.15352270816651001</v>
      </c>
      <c r="J2920">
        <v>9.2730615190642907E-2</v>
      </c>
      <c r="K2920">
        <v>7.8889101800542497E-2</v>
      </c>
      <c r="L2920">
        <v>536.53954122377695</v>
      </c>
      <c r="M2920">
        <v>10.879028406517399</v>
      </c>
      <c r="N2920">
        <v>50.111596202659001</v>
      </c>
      <c r="O2920">
        <v>47.740062272440099</v>
      </c>
      <c r="P2920">
        <v>-5.2484132738075701E-2</v>
      </c>
      <c r="Q2920">
        <v>7.9067049246234603E-2</v>
      </c>
      <c r="R2920">
        <v>0.97206158832240197</v>
      </c>
      <c r="S2920" t="s">
        <v>8746</v>
      </c>
      <c r="T2920" t="s">
        <v>11650</v>
      </c>
      <c r="U2920" t="s">
        <v>11650</v>
      </c>
      <c r="V2920" t="s">
        <v>11650</v>
      </c>
      <c r="W2920" t="s">
        <v>14524</v>
      </c>
      <c r="X2920">
        <v>3</v>
      </c>
      <c r="Y2920" t="s">
        <v>20225</v>
      </c>
      <c r="Z2920" t="s">
        <v>25982</v>
      </c>
      <c r="AA2920">
        <v>0.40391241149311369</v>
      </c>
      <c r="AB2920" t="str">
        <f>HYPERLINK("Melting_Curves/meltCurve_Q04771_ACVR1.pdf", "Melting_Curves/meltCurve_Q04771_ACVR1.pdf")</f>
        <v>Melting_Curves/meltCurve_Q04771_ACVR1.pdf</v>
      </c>
    </row>
    <row r="2921" spans="1:28" x14ac:dyDescent="0.25">
      <c r="A2921" t="s">
        <v>2925</v>
      </c>
      <c r="B2921">
        <v>0.99996721820229495</v>
      </c>
      <c r="C2921">
        <v>0.98913709860666899</v>
      </c>
      <c r="D2921">
        <v>0.74915298234602601</v>
      </c>
      <c r="E2921">
        <v>0.36115895045709601</v>
      </c>
      <c r="F2921">
        <v>0.37301791845564197</v>
      </c>
      <c r="G2921">
        <v>0.36453232713540001</v>
      </c>
      <c r="H2921">
        <v>0.21595326843354801</v>
      </c>
      <c r="I2921">
        <v>0.13075844105214701</v>
      </c>
      <c r="J2921">
        <v>8.4962388638637296E-2</v>
      </c>
      <c r="K2921">
        <v>5.5552634915740501E-2</v>
      </c>
      <c r="L2921">
        <v>684.905186483585</v>
      </c>
      <c r="M2921">
        <v>13.9685749509594</v>
      </c>
      <c r="N2921">
        <v>49.942296040560699</v>
      </c>
      <c r="O2921">
        <v>48.059735037416601</v>
      </c>
      <c r="P2921">
        <v>-6.4503609225059294E-2</v>
      </c>
      <c r="Q2921">
        <v>0.112403856846907</v>
      </c>
      <c r="R2921">
        <v>0.94797610279088096</v>
      </c>
      <c r="S2921" t="s">
        <v>8747</v>
      </c>
      <c r="T2921" t="s">
        <v>11650</v>
      </c>
      <c r="U2921" t="s">
        <v>11650</v>
      </c>
      <c r="V2921" t="s">
        <v>11650</v>
      </c>
      <c r="W2921" t="s">
        <v>14525</v>
      </c>
      <c r="X2921">
        <v>22</v>
      </c>
      <c r="Y2921" t="s">
        <v>20226</v>
      </c>
      <c r="Z2921" t="s">
        <v>25983</v>
      </c>
      <c r="AA2921">
        <v>0.40458570289709828</v>
      </c>
      <c r="AB2921" t="str">
        <f>HYPERLINK("Melting_Curves/meltCurve_Q04828_AKR1C1.pdf", "Melting_Curves/meltCurve_Q04828_AKR1C1.pdf")</f>
        <v>Melting_Curves/meltCurve_Q04828_AKR1C1.pdf</v>
      </c>
    </row>
    <row r="2922" spans="1:28" x14ac:dyDescent="0.25">
      <c r="A2922" t="s">
        <v>2926</v>
      </c>
      <c r="B2922">
        <v>0.99996721820229495</v>
      </c>
      <c r="C2922">
        <v>1.0642153042003399</v>
      </c>
      <c r="D2922">
        <v>1.0874269819453799</v>
      </c>
      <c r="E2922">
        <v>1.11416503228123</v>
      </c>
      <c r="F2922">
        <v>0.80460122967530701</v>
      </c>
      <c r="G2922">
        <v>0.51972877059857603</v>
      </c>
      <c r="H2922">
        <v>0.188135165684367</v>
      </c>
      <c r="I2922">
        <v>0.110586754928232</v>
      </c>
      <c r="J2922">
        <v>8.1696636423269603E-2</v>
      </c>
      <c r="K2922">
        <v>6.5054021227128597E-2</v>
      </c>
      <c r="L2922">
        <v>1493.45673216055</v>
      </c>
      <c r="M2922">
        <v>26.326320187050499</v>
      </c>
      <c r="N2922">
        <v>57.023520778926198</v>
      </c>
      <c r="O2922">
        <v>56.404367085099302</v>
      </c>
      <c r="P2922">
        <v>-0.109261366869847</v>
      </c>
      <c r="Q2922">
        <v>6.3636587673629494E-2</v>
      </c>
      <c r="R2922">
        <v>0.98046864313519599</v>
      </c>
      <c r="S2922" t="s">
        <v>8748</v>
      </c>
      <c r="T2922" t="s">
        <v>11650</v>
      </c>
      <c r="U2922" t="s">
        <v>11650</v>
      </c>
      <c r="V2922" t="s">
        <v>11650</v>
      </c>
      <c r="W2922" t="s">
        <v>14526</v>
      </c>
      <c r="X2922">
        <v>20</v>
      </c>
      <c r="Y2922" t="s">
        <v>20227</v>
      </c>
      <c r="Z2922" t="s">
        <v>25984</v>
      </c>
      <c r="AA2922">
        <v>0.59358400557385904</v>
      </c>
      <c r="AB2922" t="str">
        <f>HYPERLINK("Melting_Curves/meltCurve_Q04917_YWHAH.pdf", "Melting_Curves/meltCurve_Q04917_YWHAH.pdf")</f>
        <v>Melting_Curves/meltCurve_Q04917_YWHAH.pdf</v>
      </c>
    </row>
    <row r="2923" spans="1:28" x14ac:dyDescent="0.25">
      <c r="A2923" t="s">
        <v>2927</v>
      </c>
      <c r="B2923">
        <v>0.99996721820229495</v>
      </c>
      <c r="C2923">
        <v>0.76996855679600196</v>
      </c>
      <c r="D2923">
        <v>0.99832432389527803</v>
      </c>
      <c r="E2923">
        <v>1.1038811556006001</v>
      </c>
      <c r="F2923">
        <v>1.49791136659873</v>
      </c>
      <c r="G2923">
        <v>1.6168513366366499</v>
      </c>
      <c r="H2923">
        <v>1.30228116071612</v>
      </c>
      <c r="I2923">
        <v>1.09558424270855</v>
      </c>
      <c r="J2923">
        <v>0.75527428029433097</v>
      </c>
      <c r="K2923">
        <v>0.79599019100062496</v>
      </c>
      <c r="L2923">
        <v>15000</v>
      </c>
      <c r="M2923">
        <v>228.37785158303899</v>
      </c>
      <c r="O2923">
        <v>65.675578183020704</v>
      </c>
      <c r="P2923">
        <v>-0.195923129134909</v>
      </c>
      <c r="Q2923">
        <v>0.77463021635617602</v>
      </c>
      <c r="R2923">
        <v>1.5937840230749699E-2</v>
      </c>
      <c r="S2923" t="s">
        <v>8749</v>
      </c>
      <c r="T2923" t="s">
        <v>11650</v>
      </c>
      <c r="U2923" t="s">
        <v>11650</v>
      </c>
      <c r="V2923" t="s">
        <v>11650</v>
      </c>
      <c r="W2923" t="s">
        <v>14527</v>
      </c>
      <c r="X2923">
        <v>1</v>
      </c>
      <c r="Y2923" t="s">
        <v>20228</v>
      </c>
      <c r="Z2923" t="s">
        <v>25985</v>
      </c>
      <c r="AA2923">
        <v>0.9675825748612682</v>
      </c>
      <c r="AB2923" t="str">
        <f>HYPERLINK("Melting_Curves/meltCurve_Q04941_PLP2.pdf", "Melting_Curves/meltCurve_Q04941_PLP2.pdf")</f>
        <v>Melting_Curves/meltCurve_Q04941_PLP2.pdf</v>
      </c>
    </row>
    <row r="2924" spans="1:28" x14ac:dyDescent="0.25">
      <c r="A2924" t="s">
        <v>2928</v>
      </c>
      <c r="B2924">
        <v>0.99996721820229495</v>
      </c>
      <c r="C2924">
        <v>1.0026094703744599</v>
      </c>
      <c r="D2924">
        <v>1.0939376288429901</v>
      </c>
      <c r="E2924">
        <v>1.3873552888034799</v>
      </c>
      <c r="F2924">
        <v>2.6304667439535701</v>
      </c>
      <c r="G2924">
        <v>2.0041430286147</v>
      </c>
      <c r="H2924">
        <v>0.97344834322694995</v>
      </c>
      <c r="I2924">
        <v>0.37872198993930301</v>
      </c>
      <c r="J2924">
        <v>0.156305005603873</v>
      </c>
      <c r="K2924">
        <v>9.2132456330290005E-2</v>
      </c>
      <c r="L2924">
        <v>5534.2763622449602</v>
      </c>
      <c r="M2924">
        <v>87.337808843523902</v>
      </c>
      <c r="N2924">
        <v>63.565292962242196</v>
      </c>
      <c r="O2924">
        <v>63.333129133265899</v>
      </c>
      <c r="P2924">
        <v>-0.30352411916626698</v>
      </c>
      <c r="Q2924">
        <v>0.119596386325678</v>
      </c>
      <c r="R2924">
        <v>0.32814252456130699</v>
      </c>
      <c r="S2924" t="s">
        <v>8750</v>
      </c>
      <c r="T2924" t="s">
        <v>11650</v>
      </c>
      <c r="U2924" t="s">
        <v>11650</v>
      </c>
      <c r="V2924" t="s">
        <v>11650</v>
      </c>
      <c r="W2924" t="s">
        <v>14528</v>
      </c>
      <c r="X2924">
        <v>4</v>
      </c>
      <c r="Y2924" t="s">
        <v>20229</v>
      </c>
      <c r="Z2924" t="s">
        <v>25986</v>
      </c>
      <c r="AA2924">
        <v>0.80611979120817268</v>
      </c>
      <c r="AB2924" t="str">
        <f>HYPERLINK("Melting_Curves/meltCurve_Q05048_CSTF1.pdf", "Melting_Curves/meltCurve_Q05048_CSTF1.pdf")</f>
        <v>Melting_Curves/meltCurve_Q05048_CSTF1.pdf</v>
      </c>
    </row>
    <row r="2925" spans="1:28" x14ac:dyDescent="0.25">
      <c r="A2925" t="s">
        <v>2929</v>
      </c>
      <c r="B2925">
        <v>0.99996721820229495</v>
      </c>
      <c r="C2925">
        <v>0.88804501999057095</v>
      </c>
      <c r="D2925">
        <v>0.91503980270921903</v>
      </c>
      <c r="E2925">
        <v>1.2043035666628401</v>
      </c>
      <c r="F2925">
        <v>0.98828293077016904</v>
      </c>
      <c r="G2925">
        <v>0.465986260757633</v>
      </c>
      <c r="H2925">
        <v>0.25770255924740898</v>
      </c>
      <c r="I2925">
        <v>0.17139683930862201</v>
      </c>
      <c r="J2925">
        <v>0.12443277764706399</v>
      </c>
      <c r="K2925">
        <v>0.116799541044684</v>
      </c>
      <c r="L2925">
        <v>2727.86542232382</v>
      </c>
      <c r="M2925">
        <v>48.3394490273473</v>
      </c>
      <c r="N2925">
        <v>56.881693031556203</v>
      </c>
      <c r="O2925">
        <v>56.335129328330197</v>
      </c>
      <c r="P2925">
        <v>-0.18041666898978301</v>
      </c>
      <c r="Q2925">
        <v>0.15896546933191899</v>
      </c>
      <c r="R2925">
        <v>0.956006241048729</v>
      </c>
      <c r="S2925" t="s">
        <v>8751</v>
      </c>
      <c r="T2925" t="s">
        <v>11650</v>
      </c>
      <c r="U2925" t="s">
        <v>11650</v>
      </c>
      <c r="V2925" t="s">
        <v>11650</v>
      </c>
      <c r="W2925" t="s">
        <v>14529</v>
      </c>
      <c r="X2925">
        <v>21</v>
      </c>
      <c r="Y2925" t="s">
        <v>20230</v>
      </c>
      <c r="Z2925" t="s">
        <v>25987</v>
      </c>
      <c r="AA2925">
        <v>0.62184899734555332</v>
      </c>
      <c r="AB2925" t="str">
        <f>HYPERLINK("Melting_Curves/meltCurve_Q05086_3_UBE3A.pdf", "Melting_Curves/meltCurve_Q05086_3_UBE3A.pdf")</f>
        <v>Melting_Curves/meltCurve_Q05086_3_UBE3A.pdf</v>
      </c>
    </row>
    <row r="2926" spans="1:28" x14ac:dyDescent="0.25">
      <c r="A2926" t="s">
        <v>2930</v>
      </c>
      <c r="B2926">
        <v>0.99996721820229495</v>
      </c>
      <c r="C2926">
        <v>0.96095801091201505</v>
      </c>
      <c r="D2926">
        <v>1.05115067050777</v>
      </c>
      <c r="E2926">
        <v>1.0185914629727799</v>
      </c>
      <c r="F2926">
        <v>0.246740527389191</v>
      </c>
      <c r="G2926">
        <v>0.17766889709618999</v>
      </c>
      <c r="H2926">
        <v>9.5366924586702304E-2</v>
      </c>
      <c r="I2926">
        <v>7.0592763117434107E-2</v>
      </c>
      <c r="J2926">
        <v>5.3690641829792898E-2</v>
      </c>
      <c r="K2926">
        <v>5.32874077042087E-2</v>
      </c>
      <c r="L2926">
        <v>13166.758708216899</v>
      </c>
      <c r="M2926">
        <v>250</v>
      </c>
      <c r="N2926">
        <v>52.708939685290602</v>
      </c>
      <c r="O2926">
        <v>52.663659809877899</v>
      </c>
      <c r="P2926">
        <v>-1.07982267705904</v>
      </c>
      <c r="Q2926">
        <v>9.0121294146275399E-2</v>
      </c>
      <c r="R2926">
        <v>0.99215313857698995</v>
      </c>
      <c r="S2926" t="s">
        <v>8752</v>
      </c>
      <c r="T2926" t="s">
        <v>11650</v>
      </c>
      <c r="U2926" t="s">
        <v>11650</v>
      </c>
      <c r="V2926" t="s">
        <v>11650</v>
      </c>
      <c r="W2926" t="s">
        <v>14530</v>
      </c>
      <c r="X2926">
        <v>5</v>
      </c>
      <c r="Y2926" t="s">
        <v>20231</v>
      </c>
      <c r="Z2926" t="s">
        <v>25988</v>
      </c>
      <c r="AA2926">
        <v>0.47438756943493671</v>
      </c>
      <c r="AB2926" t="str">
        <f>HYPERLINK("Melting_Curves/meltCurve_Q05193_3_DNM1.pdf", "Melting_Curves/meltCurve_Q05193_3_DNM1.pdf")</f>
        <v>Melting_Curves/meltCurve_Q05193_3_DNM1.pdf</v>
      </c>
    </row>
    <row r="2927" spans="1:28" x14ac:dyDescent="0.25">
      <c r="A2927" t="s">
        <v>2931</v>
      </c>
      <c r="B2927">
        <v>0.99996721820229495</v>
      </c>
      <c r="C2927">
        <v>1.0491172146611201</v>
      </c>
      <c r="D2927">
        <v>1.0228443085032199</v>
      </c>
      <c r="E2927">
        <v>0.64774467703021499</v>
      </c>
      <c r="F2927">
        <v>0.410055082648904</v>
      </c>
      <c r="G2927">
        <v>0.36510475194777797</v>
      </c>
      <c r="H2927">
        <v>0.249253112364831</v>
      </c>
      <c r="I2927">
        <v>0.17863141995370799</v>
      </c>
      <c r="J2927">
        <v>0.14031460920382599</v>
      </c>
      <c r="K2927">
        <v>0.105613905739438</v>
      </c>
      <c r="L2927">
        <v>1032.9006035477</v>
      </c>
      <c r="M2927">
        <v>20.120460587483301</v>
      </c>
      <c r="N2927">
        <v>52.386502231788498</v>
      </c>
      <c r="O2927">
        <v>50.836797954273898</v>
      </c>
      <c r="P2927">
        <v>-8.25215189833782E-2</v>
      </c>
      <c r="Q2927">
        <v>0.16602372983128399</v>
      </c>
      <c r="R2927">
        <v>0.97330439431843097</v>
      </c>
      <c r="S2927" t="s">
        <v>8753</v>
      </c>
      <c r="T2927" t="s">
        <v>11650</v>
      </c>
      <c r="U2927" t="s">
        <v>11650</v>
      </c>
      <c r="V2927" t="s">
        <v>11650</v>
      </c>
      <c r="W2927" t="s">
        <v>14531</v>
      </c>
      <c r="X2927">
        <v>24</v>
      </c>
      <c r="Y2927" t="s">
        <v>20232</v>
      </c>
      <c r="Z2927" t="s">
        <v>25989</v>
      </c>
      <c r="AA2927">
        <v>0.4925902345591236</v>
      </c>
      <c r="AB2927" t="str">
        <f>HYPERLINK("Melting_Curves/meltCurve_Q05209_PTPN12.pdf", "Melting_Curves/meltCurve_Q05209_PTPN12.pdf")</f>
        <v>Melting_Curves/meltCurve_Q05209_PTPN12.pdf</v>
      </c>
    </row>
    <row r="2928" spans="1:28" x14ac:dyDescent="0.25">
      <c r="A2928" t="s">
        <v>2932</v>
      </c>
      <c r="B2928">
        <v>0.99996721820229495</v>
      </c>
      <c r="C2928">
        <v>0.97240376288955299</v>
      </c>
      <c r="D2928">
        <v>0.85859731338719003</v>
      </c>
      <c r="E2928">
        <v>0.76393772459873799</v>
      </c>
      <c r="F2928">
        <v>0.60058637352171096</v>
      </c>
      <c r="G2928">
        <v>0.48965922517989802</v>
      </c>
      <c r="H2928">
        <v>0.30658313444101598</v>
      </c>
      <c r="I2928">
        <v>0.24352954147665001</v>
      </c>
      <c r="J2928">
        <v>0.19860270777841599</v>
      </c>
      <c r="K2928">
        <v>0.15423221489561001</v>
      </c>
      <c r="L2928">
        <v>540.93970563706398</v>
      </c>
      <c r="M2928">
        <v>9.7678587702882105</v>
      </c>
      <c r="N2928">
        <v>55.925580867156299</v>
      </c>
      <c r="O2928">
        <v>53.208033142443099</v>
      </c>
      <c r="P2928">
        <v>-4.3830656588830501E-2</v>
      </c>
      <c r="Q2928">
        <v>4.5480497207136601E-2</v>
      </c>
      <c r="R2928">
        <v>0.99593026978293997</v>
      </c>
      <c r="S2928" t="s">
        <v>8754</v>
      </c>
      <c r="T2928" t="s">
        <v>11650</v>
      </c>
      <c r="U2928" t="s">
        <v>11650</v>
      </c>
      <c r="V2928" t="s">
        <v>11650</v>
      </c>
      <c r="W2928" t="s">
        <v>14532</v>
      </c>
      <c r="X2928">
        <v>6</v>
      </c>
      <c r="Y2928" t="s">
        <v>20233</v>
      </c>
      <c r="Z2928" t="s">
        <v>25990</v>
      </c>
      <c r="AA2928">
        <v>0.55796229321624013</v>
      </c>
      <c r="AB2928" t="str">
        <f>HYPERLINK("Melting_Curves/meltCurve_Q05519_2_SRSF11.pdf", "Melting_Curves/meltCurve_Q05519_2_SRSF11.pdf")</f>
        <v>Melting_Curves/meltCurve_Q05519_2_SRSF11.pdf</v>
      </c>
    </row>
    <row r="2929" spans="1:28" x14ac:dyDescent="0.25">
      <c r="A2929" t="s">
        <v>2933</v>
      </c>
      <c r="B2929">
        <v>0.99996721820229495</v>
      </c>
      <c r="C2929">
        <v>1.06086851477237</v>
      </c>
      <c r="D2929">
        <v>1.05976816239855</v>
      </c>
      <c r="E2929">
        <v>1.02042227836267</v>
      </c>
      <c r="F2929">
        <v>1.12235137442772</v>
      </c>
      <c r="G2929">
        <v>1.0585942444719301</v>
      </c>
      <c r="H2929">
        <v>0.543094986783482</v>
      </c>
      <c r="I2929">
        <v>0.33329538237138401</v>
      </c>
      <c r="J2929">
        <v>0.20185372468432899</v>
      </c>
      <c r="K2929">
        <v>0.166786405577245</v>
      </c>
      <c r="L2929">
        <v>3033.8801699737901</v>
      </c>
      <c r="M2929">
        <v>49.880072719418798</v>
      </c>
      <c r="N2929">
        <v>61.470631028020797</v>
      </c>
      <c r="O2929">
        <v>60.725971040133601</v>
      </c>
      <c r="P2929">
        <v>-0.16340508679167401</v>
      </c>
      <c r="Q2929">
        <v>0.20425751162110201</v>
      </c>
      <c r="R2929">
        <v>0.973793398543077</v>
      </c>
      <c r="S2929" t="s">
        <v>8755</v>
      </c>
      <c r="T2929" t="s">
        <v>11650</v>
      </c>
      <c r="U2929" t="s">
        <v>11650</v>
      </c>
      <c r="V2929" t="s">
        <v>11650</v>
      </c>
      <c r="W2929" t="s">
        <v>14533</v>
      </c>
      <c r="X2929">
        <v>19</v>
      </c>
      <c r="Y2929" t="s">
        <v>20234</v>
      </c>
      <c r="Z2929" t="s">
        <v>25991</v>
      </c>
      <c r="AA2929">
        <v>0.75867570039884435</v>
      </c>
      <c r="AB2929" t="str">
        <f>HYPERLINK("Melting_Curves/meltCurve_Q05639_EEF1A2.pdf", "Melting_Curves/meltCurve_Q05639_EEF1A2.pdf")</f>
        <v>Melting_Curves/meltCurve_Q05639_EEF1A2.pdf</v>
      </c>
    </row>
    <row r="2930" spans="1:28" x14ac:dyDescent="0.25">
      <c r="A2930" t="s">
        <v>2934</v>
      </c>
      <c r="B2930">
        <v>0.99996721820229495</v>
      </c>
      <c r="C2930">
        <v>0.94231599134529298</v>
      </c>
      <c r="D2930">
        <v>0.91599079290451202</v>
      </c>
      <c r="E2930">
        <v>0.87839506481796603</v>
      </c>
      <c r="F2930">
        <v>0.56694637191953201</v>
      </c>
      <c r="G2930">
        <v>0.335080200022352</v>
      </c>
      <c r="H2930">
        <v>0.213679482774281</v>
      </c>
      <c r="I2930">
        <v>0.149260712114339</v>
      </c>
      <c r="J2930">
        <v>0.11215485340570901</v>
      </c>
      <c r="K2930">
        <v>8.6608255011367097E-2</v>
      </c>
      <c r="L2930">
        <v>943.89129582543103</v>
      </c>
      <c r="M2930">
        <v>17.5249258141572</v>
      </c>
      <c r="N2930">
        <v>54.453957892756101</v>
      </c>
      <c r="O2930">
        <v>53.173304457191399</v>
      </c>
      <c r="P2930">
        <v>-7.5230525168851897E-2</v>
      </c>
      <c r="Q2930">
        <v>8.70062951166896E-2</v>
      </c>
      <c r="R2930">
        <v>0.99179436229263496</v>
      </c>
      <c r="S2930" t="s">
        <v>8756</v>
      </c>
      <c r="T2930" t="s">
        <v>11650</v>
      </c>
      <c r="U2930" t="s">
        <v>11650</v>
      </c>
      <c r="V2930" t="s">
        <v>11650</v>
      </c>
      <c r="W2930" t="s">
        <v>14534</v>
      </c>
      <c r="X2930">
        <v>29</v>
      </c>
      <c r="Y2930" t="s">
        <v>20235</v>
      </c>
      <c r="Z2930" t="s">
        <v>25992</v>
      </c>
      <c r="AA2930">
        <v>0.52406457260831418</v>
      </c>
      <c r="AB2930" t="str">
        <f>HYPERLINK("Melting_Curves/meltCurve_Q05655_PRKCD.pdf", "Melting_Curves/meltCurve_Q05655_PRKCD.pdf")</f>
        <v>Melting_Curves/meltCurve_Q05655_PRKCD.pdf</v>
      </c>
    </row>
    <row r="2931" spans="1:28" x14ac:dyDescent="0.25">
      <c r="A2931" t="s">
        <v>2935</v>
      </c>
      <c r="B2931">
        <v>0.99996721820229495</v>
      </c>
      <c r="C2931">
        <v>0.78406579995000403</v>
      </c>
      <c r="D2931">
        <v>0.74326906756290401</v>
      </c>
      <c r="E2931">
        <v>0.91331482736120895</v>
      </c>
      <c r="F2931">
        <v>1.26708942235276</v>
      </c>
      <c r="G2931">
        <v>1.05298102666271</v>
      </c>
      <c r="H2931">
        <v>0.92056301467632096</v>
      </c>
      <c r="I2931">
        <v>0.81524840249800801</v>
      </c>
      <c r="J2931">
        <v>1.01563741112217</v>
      </c>
      <c r="K2931">
        <v>1.1475732266529699</v>
      </c>
      <c r="L2931">
        <v>15000</v>
      </c>
      <c r="M2931">
        <v>221.74684634912001</v>
      </c>
      <c r="O2931">
        <v>67.639203805543303</v>
      </c>
      <c r="P2931">
        <v>0.121019794410687</v>
      </c>
      <c r="Q2931">
        <v>1.14765815262784</v>
      </c>
      <c r="R2931">
        <v>4.2607864981421897E-2</v>
      </c>
      <c r="S2931" t="s">
        <v>8757</v>
      </c>
      <c r="T2931" t="s">
        <v>11650</v>
      </c>
      <c r="U2931" t="s">
        <v>11650</v>
      </c>
      <c r="V2931" t="s">
        <v>11650</v>
      </c>
      <c r="W2931" t="s">
        <v>14535</v>
      </c>
      <c r="X2931">
        <v>81</v>
      </c>
      <c r="Y2931" t="s">
        <v>20236</v>
      </c>
      <c r="Z2931" t="s">
        <v>25993</v>
      </c>
      <c r="AA2931">
        <v>1.011571268005532</v>
      </c>
      <c r="AB2931" t="str">
        <f>HYPERLINK("Melting_Curves/meltCurve_Q05682_CALD1.pdf", "Melting_Curves/meltCurve_Q05682_CALD1.pdf")</f>
        <v>Melting_Curves/meltCurve_Q05682_CALD1.pdf</v>
      </c>
    </row>
    <row r="2932" spans="1:28" x14ac:dyDescent="0.25">
      <c r="A2932" t="s">
        <v>2936</v>
      </c>
      <c r="B2932">
        <v>0.99996721820229495</v>
      </c>
      <c r="C2932">
        <v>0.99033303220346802</v>
      </c>
      <c r="D2932">
        <v>0.95366818419194699</v>
      </c>
      <c r="E2932">
        <v>1.0228899686072701</v>
      </c>
      <c r="F2932">
        <v>0.38072220544005497</v>
      </c>
      <c r="G2932">
        <v>0.26745761505315402</v>
      </c>
      <c r="H2932">
        <v>0.144994530983759</v>
      </c>
      <c r="I2932">
        <v>9.7127283308347606E-2</v>
      </c>
      <c r="J2932">
        <v>7.2559278427251697E-2</v>
      </c>
      <c r="K2932">
        <v>5.9417858338884702E-2</v>
      </c>
      <c r="L2932">
        <v>13202.432761964899</v>
      </c>
      <c r="M2932">
        <v>250</v>
      </c>
      <c r="N2932">
        <v>52.872448663532602</v>
      </c>
      <c r="O2932">
        <v>52.806348591467</v>
      </c>
      <c r="P2932">
        <v>-1.0317043724259101</v>
      </c>
      <c r="Q2932">
        <v>0.12831129998354801</v>
      </c>
      <c r="R2932">
        <v>0.98166183299485699</v>
      </c>
      <c r="S2932" t="s">
        <v>8758</v>
      </c>
      <c r="T2932" t="s">
        <v>11650</v>
      </c>
      <c r="U2932" t="s">
        <v>11650</v>
      </c>
      <c r="V2932" t="s">
        <v>11650</v>
      </c>
      <c r="W2932" t="s">
        <v>14536</v>
      </c>
      <c r="X2932">
        <v>35</v>
      </c>
      <c r="Y2932" t="s">
        <v>20237</v>
      </c>
      <c r="Z2932" t="s">
        <v>25994</v>
      </c>
      <c r="AA2932">
        <v>0.50059534847113174</v>
      </c>
      <c r="AB2932" t="str">
        <f>HYPERLINK("Melting_Curves/meltCurve_Q06124_PTPN11.pdf", "Melting_Curves/meltCurve_Q06124_PTPN11.pdf")</f>
        <v>Melting_Curves/meltCurve_Q06124_PTPN11.pdf</v>
      </c>
    </row>
    <row r="2933" spans="1:28" x14ac:dyDescent="0.25">
      <c r="A2933" t="s">
        <v>2937</v>
      </c>
      <c r="B2933">
        <v>0.99996721820229495</v>
      </c>
      <c r="C2933">
        <v>0.900151164522767</v>
      </c>
      <c r="D2933">
        <v>1.04557318963229</v>
      </c>
      <c r="E2933">
        <v>1.1355367340667799</v>
      </c>
      <c r="F2933">
        <v>1.50745401532388</v>
      </c>
      <c r="G2933">
        <v>1.6413586297894001</v>
      </c>
      <c r="H2933">
        <v>1.2463945534274501</v>
      </c>
      <c r="I2933">
        <v>0.71252233901075002</v>
      </c>
      <c r="J2933">
        <v>0.34372329116404599</v>
      </c>
      <c r="K2933">
        <v>0.18348573283802899</v>
      </c>
      <c r="L2933">
        <v>4954.9048417309696</v>
      </c>
      <c r="M2933">
        <v>76.757130730285397</v>
      </c>
      <c r="N2933">
        <v>65.0939534150329</v>
      </c>
      <c r="O2933">
        <v>64.509248781147903</v>
      </c>
      <c r="P2933">
        <v>-0.227327235745268</v>
      </c>
      <c r="Q2933">
        <v>0.23578663322645399</v>
      </c>
      <c r="R2933">
        <v>0.60030999586474498</v>
      </c>
      <c r="S2933" t="s">
        <v>8759</v>
      </c>
      <c r="T2933" t="s">
        <v>11650</v>
      </c>
      <c r="U2933" t="s">
        <v>11650</v>
      </c>
      <c r="V2933" t="s">
        <v>11650</v>
      </c>
      <c r="W2933" t="s">
        <v>14537</v>
      </c>
      <c r="X2933">
        <v>9</v>
      </c>
      <c r="Y2933" t="s">
        <v>20238</v>
      </c>
      <c r="Z2933" t="s">
        <v>25995</v>
      </c>
      <c r="AA2933">
        <v>0.86209933304094433</v>
      </c>
      <c r="AB2933" t="str">
        <f>HYPERLINK("Melting_Curves/meltCurve_Q06136_KDSR.pdf", "Melting_Curves/meltCurve_Q06136_KDSR.pdf")</f>
        <v>Melting_Curves/meltCurve_Q06136_KDSR.pdf</v>
      </c>
    </row>
    <row r="2934" spans="1:28" x14ac:dyDescent="0.25">
      <c r="A2934" t="s">
        <v>2938</v>
      </c>
      <c r="B2934">
        <v>0.99996721820229495</v>
      </c>
      <c r="C2934">
        <v>1.1600820282233599</v>
      </c>
      <c r="D2934">
        <v>0.95529609969651597</v>
      </c>
      <c r="E2934">
        <v>1.04089342445765</v>
      </c>
      <c r="F2934">
        <v>0.80223741429817097</v>
      </c>
      <c r="G2934">
        <v>0.82989810467291003</v>
      </c>
      <c r="H2934">
        <v>0.40951037837318899</v>
      </c>
      <c r="I2934">
        <v>0.16060524455217601</v>
      </c>
      <c r="J2934">
        <v>0.25616077810108501</v>
      </c>
      <c r="K2934">
        <v>0.175441838254845</v>
      </c>
      <c r="L2934">
        <v>1712.7127841910201</v>
      </c>
      <c r="M2934">
        <v>29.007963810553701</v>
      </c>
      <c r="N2934">
        <v>59.8723988415666</v>
      </c>
      <c r="O2934">
        <v>58.764390924376301</v>
      </c>
      <c r="P2934">
        <v>-0.10298702448845699</v>
      </c>
      <c r="Q2934">
        <v>0.16548104723672799</v>
      </c>
      <c r="R2934">
        <v>0.94701039937807197</v>
      </c>
      <c r="S2934" t="s">
        <v>8760</v>
      </c>
      <c r="T2934" t="s">
        <v>11650</v>
      </c>
      <c r="U2934" t="s">
        <v>11650</v>
      </c>
      <c r="V2934" t="s">
        <v>11650</v>
      </c>
      <c r="W2934" t="s">
        <v>14538</v>
      </c>
      <c r="X2934">
        <v>2</v>
      </c>
      <c r="Y2934" t="s">
        <v>20239</v>
      </c>
      <c r="Z2934" t="s">
        <v>25996</v>
      </c>
      <c r="AA2934">
        <v>0.7008087727031288</v>
      </c>
      <c r="AB2934" t="str">
        <f>HYPERLINK("Melting_Curves/meltCurve_Q06190_PPP2R3A.pdf", "Melting_Curves/meltCurve_Q06190_PPP2R3A.pdf")</f>
        <v>Melting_Curves/meltCurve_Q06190_PPP2R3A.pdf</v>
      </c>
    </row>
    <row r="2935" spans="1:28" x14ac:dyDescent="0.25">
      <c r="A2935" t="s">
        <v>2939</v>
      </c>
      <c r="B2935">
        <v>0.99996721820229495</v>
      </c>
      <c r="C2935">
        <v>0.96884357778646801</v>
      </c>
      <c r="D2935">
        <v>1.0631663582698301</v>
      </c>
      <c r="E2935">
        <v>1.28723907386569</v>
      </c>
      <c r="F2935">
        <v>1.8965269238688101</v>
      </c>
      <c r="G2935">
        <v>2.76583679946491</v>
      </c>
      <c r="H2935">
        <v>1.9986738857336599</v>
      </c>
      <c r="I2935">
        <v>1.0637966024329299</v>
      </c>
      <c r="J2935">
        <v>0.345300408601941</v>
      </c>
      <c r="K2935">
        <v>0.20000041377327599</v>
      </c>
      <c r="L2935">
        <v>15000</v>
      </c>
      <c r="M2935">
        <v>225.38519262096</v>
      </c>
      <c r="N2935">
        <v>66.703865269741897</v>
      </c>
      <c r="O2935">
        <v>66.5474907470891</v>
      </c>
      <c r="P2935">
        <v>-0.67740672774392996</v>
      </c>
      <c r="Q2935">
        <v>0.19995244905062401</v>
      </c>
      <c r="R2935">
        <v>7.3607943429372602E-2</v>
      </c>
      <c r="S2935" t="s">
        <v>8761</v>
      </c>
      <c r="T2935" t="s">
        <v>11650</v>
      </c>
      <c r="U2935" t="s">
        <v>11650</v>
      </c>
      <c r="V2935" t="s">
        <v>11650</v>
      </c>
      <c r="W2935" t="s">
        <v>14539</v>
      </c>
      <c r="X2935">
        <v>16</v>
      </c>
      <c r="Y2935" t="s">
        <v>20240</v>
      </c>
      <c r="Z2935" t="s">
        <v>25997</v>
      </c>
      <c r="AA2935">
        <v>0.90818219409688994</v>
      </c>
      <c r="AB2935" t="str">
        <f>HYPERLINK("Melting_Curves/meltCurve_Q06203_PPAT.pdf", "Melting_Curves/meltCurve_Q06203_PPAT.pdf")</f>
        <v>Melting_Curves/meltCurve_Q06203_PPAT.pdf</v>
      </c>
    </row>
    <row r="2936" spans="1:28" x14ac:dyDescent="0.25">
      <c r="A2936" t="s">
        <v>2940</v>
      </c>
      <c r="B2936">
        <v>0.99996721820229495</v>
      </c>
      <c r="C2936">
        <v>1.1748132926213499</v>
      </c>
      <c r="D2936">
        <v>1.65960782034336</v>
      </c>
      <c r="E2936">
        <v>2.2393685637942098</v>
      </c>
      <c r="F2936">
        <v>2.0564899570181501</v>
      </c>
      <c r="G2936">
        <v>1.46200476638</v>
      </c>
      <c r="H2936">
        <v>0.35338868527536199</v>
      </c>
      <c r="I2936">
        <v>0.201927834128492</v>
      </c>
      <c r="J2936">
        <v>0.132886181148827</v>
      </c>
      <c r="K2936">
        <v>0.104852594373416</v>
      </c>
      <c r="L2936">
        <v>12571.0907984595</v>
      </c>
      <c r="M2936">
        <v>207.22318224623999</v>
      </c>
      <c r="N2936">
        <v>60.766207108227</v>
      </c>
      <c r="O2936">
        <v>60.658838036697396</v>
      </c>
      <c r="P2936">
        <v>-0.72889298442109396</v>
      </c>
      <c r="Q2936">
        <v>0.14654702609301001</v>
      </c>
      <c r="R2936">
        <v>0.43688029101694997</v>
      </c>
      <c r="S2936" t="s">
        <v>8762</v>
      </c>
      <c r="T2936" t="s">
        <v>11650</v>
      </c>
      <c r="U2936" t="s">
        <v>11650</v>
      </c>
      <c r="V2936" t="s">
        <v>11650</v>
      </c>
      <c r="W2936" t="s">
        <v>14540</v>
      </c>
      <c r="X2936">
        <v>16</v>
      </c>
      <c r="Y2936" t="s">
        <v>20241</v>
      </c>
      <c r="Z2936" t="s">
        <v>25998</v>
      </c>
      <c r="AA2936">
        <v>0.73455192870048525</v>
      </c>
      <c r="AB2936" t="str">
        <f>HYPERLINK("Melting_Curves/meltCurve_Q06210_2_GFPT1.pdf", "Melting_Curves/meltCurve_Q06210_2_GFPT1.pdf")</f>
        <v>Melting_Curves/meltCurve_Q06210_2_GFPT1.pdf</v>
      </c>
    </row>
    <row r="2937" spans="1:28" x14ac:dyDescent="0.25">
      <c r="A2937" t="s">
        <v>2941</v>
      </c>
      <c r="B2937">
        <v>0.99996721820229495</v>
      </c>
      <c r="C2937">
        <v>0.87431395291352199</v>
      </c>
      <c r="D2937">
        <v>0.76538860454995195</v>
      </c>
      <c r="E2937">
        <v>0.82690736023806499</v>
      </c>
      <c r="F2937">
        <v>0.97960711524525201</v>
      </c>
      <c r="G2937">
        <v>1.0691024717251401</v>
      </c>
      <c r="H2937">
        <v>0.88755827005508803</v>
      </c>
      <c r="I2937">
        <v>0.65243421206901697</v>
      </c>
      <c r="J2937">
        <v>0.236739421492491</v>
      </c>
      <c r="K2937">
        <v>0.29670275000775398</v>
      </c>
      <c r="L2937">
        <v>3481.7306278025899</v>
      </c>
      <c r="M2937">
        <v>54.405789814315597</v>
      </c>
      <c r="N2937">
        <v>64.780160154343804</v>
      </c>
      <c r="O2937">
        <v>63.909303629578901</v>
      </c>
      <c r="P2937">
        <v>-0.16147070178401601</v>
      </c>
      <c r="Q2937">
        <v>0.24129590763946601</v>
      </c>
      <c r="R2937">
        <v>0.83975638895052096</v>
      </c>
      <c r="S2937" t="s">
        <v>8763</v>
      </c>
      <c r="T2937" t="s">
        <v>11650</v>
      </c>
      <c r="U2937" t="s">
        <v>11650</v>
      </c>
      <c r="V2937" t="s">
        <v>11650</v>
      </c>
      <c r="W2937" t="s">
        <v>14541</v>
      </c>
      <c r="X2937">
        <v>7</v>
      </c>
      <c r="Y2937" t="s">
        <v>20242</v>
      </c>
      <c r="Z2937" t="s">
        <v>25999</v>
      </c>
      <c r="AA2937">
        <v>0.84960757308747992</v>
      </c>
      <c r="AB2937" t="str">
        <f>HYPERLINK("Melting_Curves/meltCurve_Q06278_AOX1.pdf", "Melting_Curves/meltCurve_Q06278_AOX1.pdf")</f>
        <v>Melting_Curves/meltCurve_Q06278_AOX1.pdf</v>
      </c>
    </row>
    <row r="2938" spans="1:28" x14ac:dyDescent="0.25">
      <c r="A2938" t="s">
        <v>2942</v>
      </c>
      <c r="B2938">
        <v>0.99996721820229495</v>
      </c>
      <c r="C2938">
        <v>1.0611297905062</v>
      </c>
      <c r="D2938">
        <v>1.2967419002290399</v>
      </c>
      <c r="E2938">
        <v>1.81004459820633</v>
      </c>
      <c r="F2938">
        <v>1.76742768766901</v>
      </c>
      <c r="G2938">
        <v>1.41156560596294</v>
      </c>
      <c r="H2938">
        <v>0.81963115796406305</v>
      </c>
      <c r="I2938">
        <v>0.47515228974462198</v>
      </c>
      <c r="J2938">
        <v>0.31198202072081699</v>
      </c>
      <c r="K2938">
        <v>0.233564068514127</v>
      </c>
      <c r="L2938">
        <v>3156.13226754982</v>
      </c>
      <c r="M2938">
        <v>50.287095094965899</v>
      </c>
      <c r="N2938">
        <v>63.681251331041899</v>
      </c>
      <c r="O2938">
        <v>62.663253176342799</v>
      </c>
      <c r="P2938">
        <v>-0.14886300082041301</v>
      </c>
      <c r="Q2938">
        <v>0.258001883721236</v>
      </c>
      <c r="R2938">
        <v>0.47298827281031902</v>
      </c>
      <c r="S2938" t="s">
        <v>8764</v>
      </c>
      <c r="T2938" t="s">
        <v>11650</v>
      </c>
      <c r="U2938" t="s">
        <v>11650</v>
      </c>
      <c r="V2938" t="s">
        <v>11650</v>
      </c>
      <c r="W2938" t="s">
        <v>14542</v>
      </c>
      <c r="X2938">
        <v>22</v>
      </c>
      <c r="Y2938" t="s">
        <v>20243</v>
      </c>
      <c r="Z2938" t="s">
        <v>26000</v>
      </c>
      <c r="AA2938">
        <v>0.82279652871729003</v>
      </c>
      <c r="AB2938" t="str">
        <f>HYPERLINK("Melting_Curves/meltCurve_Q06323_PSME1.pdf", "Melting_Curves/meltCurve_Q06323_PSME1.pdf")</f>
        <v>Melting_Curves/meltCurve_Q06323_PSME1.pdf</v>
      </c>
    </row>
    <row r="2939" spans="1:28" x14ac:dyDescent="0.25">
      <c r="A2939" t="s">
        <v>2943</v>
      </c>
      <c r="B2939">
        <v>0.99996721820229495</v>
      </c>
      <c r="C2939">
        <v>0.97436384478667304</v>
      </c>
      <c r="D2939">
        <v>0.95642179196144295</v>
      </c>
      <c r="E2939">
        <v>1.0985774646399999</v>
      </c>
      <c r="F2939">
        <v>1.4502591995337399</v>
      </c>
      <c r="G2939">
        <v>1.1373784948644501</v>
      </c>
      <c r="H2939">
        <v>0.42569955163051798</v>
      </c>
      <c r="I2939">
        <v>0.22928987202005099</v>
      </c>
      <c r="J2939">
        <v>0.233833915639173</v>
      </c>
      <c r="K2939">
        <v>0.115602250076066</v>
      </c>
      <c r="L2939">
        <v>9259.4745642221205</v>
      </c>
      <c r="M2939">
        <v>152.69660604189599</v>
      </c>
      <c r="N2939">
        <v>60.833725389042897</v>
      </c>
      <c r="O2939">
        <v>60.629288013272799</v>
      </c>
      <c r="P2939">
        <v>-0.50824191475719405</v>
      </c>
      <c r="Q2939">
        <v>0.19279554504342</v>
      </c>
      <c r="R2939">
        <v>0.87616653708279801</v>
      </c>
      <c r="S2939" t="s">
        <v>8765</v>
      </c>
      <c r="T2939" t="s">
        <v>11650</v>
      </c>
      <c r="U2939" t="s">
        <v>11650</v>
      </c>
      <c r="V2939" t="s">
        <v>11650</v>
      </c>
      <c r="W2939" t="s">
        <v>14543</v>
      </c>
      <c r="X2939">
        <v>8</v>
      </c>
      <c r="Y2939" t="s">
        <v>20244</v>
      </c>
      <c r="Z2939" t="s">
        <v>26001</v>
      </c>
      <c r="AA2939">
        <v>0.74837417223635272</v>
      </c>
      <c r="AB2939" t="str">
        <f>HYPERLINK("Melting_Curves/meltCurve_Q06330_RBPJ.pdf", "Melting_Curves/meltCurve_Q06330_RBPJ.pdf")</f>
        <v>Melting_Curves/meltCurve_Q06330_RBPJ.pdf</v>
      </c>
    </row>
    <row r="2940" spans="1:28" x14ac:dyDescent="0.25">
      <c r="A2940" t="s">
        <v>2944</v>
      </c>
      <c r="B2940">
        <v>0.99996721820229495</v>
      </c>
      <c r="C2940">
        <v>0.95597116691322603</v>
      </c>
      <c r="D2940">
        <v>0.94966793874772104</v>
      </c>
      <c r="E2940">
        <v>1.1069310920344899</v>
      </c>
      <c r="F2940">
        <v>1.2731720633569299</v>
      </c>
      <c r="G2940">
        <v>1.25352206794429</v>
      </c>
      <c r="H2940">
        <v>0.83762259505137404</v>
      </c>
      <c r="I2940">
        <v>0.59377954823123702</v>
      </c>
      <c r="J2940">
        <v>0.48165424863254602</v>
      </c>
      <c r="K2940">
        <v>0.36352543664362602</v>
      </c>
      <c r="L2940">
        <v>2711.1779121260702</v>
      </c>
      <c r="M2940">
        <v>43.108525136103196</v>
      </c>
      <c r="N2940">
        <v>65.2749729313404</v>
      </c>
      <c r="O2940">
        <v>62.757025359360902</v>
      </c>
      <c r="P2940">
        <v>-0.103659878474988</v>
      </c>
      <c r="Q2940">
        <v>0.396372178048014</v>
      </c>
      <c r="R2940">
        <v>0.81414175428767999</v>
      </c>
      <c r="S2940" t="s">
        <v>8766</v>
      </c>
      <c r="T2940" t="s">
        <v>11650</v>
      </c>
      <c r="U2940" t="s">
        <v>11650</v>
      </c>
      <c r="V2940" t="s">
        <v>11650</v>
      </c>
      <c r="W2940" t="s">
        <v>14544</v>
      </c>
      <c r="X2940">
        <v>19</v>
      </c>
      <c r="Y2940" t="s">
        <v>20245</v>
      </c>
      <c r="Z2940" t="s">
        <v>26002</v>
      </c>
      <c r="AA2940">
        <v>0.85875665268079227</v>
      </c>
      <c r="AB2940" t="str">
        <f>HYPERLINK("Melting_Curves/meltCurve_Q06481_3_APLP2.pdf", "Melting_Curves/meltCurve_Q06481_3_APLP2.pdf")</f>
        <v>Melting_Curves/meltCurve_Q06481_3_APLP2.pdf</v>
      </c>
    </row>
    <row r="2941" spans="1:28" x14ac:dyDescent="0.25">
      <c r="A2941" t="s">
        <v>2945</v>
      </c>
      <c r="B2941">
        <v>0.99996721820229495</v>
      </c>
      <c r="C2941">
        <v>0.98758682993066005</v>
      </c>
      <c r="D2941">
        <v>0.72309449788094904</v>
      </c>
      <c r="E2941">
        <v>0.35826921310929599</v>
      </c>
      <c r="F2941">
        <v>0.31551486373444598</v>
      </c>
      <c r="G2941">
        <v>0.24929077727604901</v>
      </c>
      <c r="H2941">
        <v>0.17400861441674401</v>
      </c>
      <c r="I2941">
        <v>0.10442291813651899</v>
      </c>
      <c r="J2941">
        <v>8.5838548701756195E-2</v>
      </c>
      <c r="K2941">
        <v>6.9153414228927207E-2</v>
      </c>
      <c r="L2941">
        <v>858.173303420465</v>
      </c>
      <c r="M2941">
        <v>17.7839435121729</v>
      </c>
      <c r="N2941">
        <v>48.986255129354902</v>
      </c>
      <c r="O2941">
        <v>47.657762127561902</v>
      </c>
      <c r="P2941">
        <v>-8.2425152240338903E-2</v>
      </c>
      <c r="Q2941">
        <v>0.116507531330433</v>
      </c>
      <c r="R2941">
        <v>0.97877838259086902</v>
      </c>
      <c r="S2941" t="s">
        <v>8767</v>
      </c>
      <c r="T2941" t="s">
        <v>11650</v>
      </c>
      <c r="U2941" t="s">
        <v>11650</v>
      </c>
      <c r="V2941" t="s">
        <v>11650</v>
      </c>
      <c r="W2941" t="s">
        <v>14545</v>
      </c>
      <c r="X2941">
        <v>5</v>
      </c>
      <c r="Y2941" t="s">
        <v>20246</v>
      </c>
      <c r="Z2941" t="s">
        <v>26003</v>
      </c>
      <c r="AA2941">
        <v>0.37558423345018388</v>
      </c>
      <c r="AB2941" t="str">
        <f>HYPERLINK("Melting_Curves/meltCurve_Q06546_GABPA.pdf", "Melting_Curves/meltCurve_Q06546_GABPA.pdf")</f>
        <v>Melting_Curves/meltCurve_Q06546_GABPA.pdf</v>
      </c>
    </row>
    <row r="2942" spans="1:28" x14ac:dyDescent="0.25">
      <c r="A2942" t="s">
        <v>2946</v>
      </c>
      <c r="B2942">
        <v>0.99996721820229495</v>
      </c>
      <c r="C2942">
        <v>1.0207458448566999</v>
      </c>
      <c r="D2942">
        <v>1.181691555475</v>
      </c>
      <c r="E2942">
        <v>1.5933362935984501</v>
      </c>
      <c r="F2942">
        <v>1.2354137599171</v>
      </c>
      <c r="G2942">
        <v>0.92609579966111999</v>
      </c>
      <c r="H2942">
        <v>0.53660798630034701</v>
      </c>
      <c r="I2942">
        <v>0.401146200001818</v>
      </c>
      <c r="J2942">
        <v>0.27202810766969299</v>
      </c>
      <c r="K2942">
        <v>0.16646344225135301</v>
      </c>
      <c r="L2942">
        <v>2021.1578675128601</v>
      </c>
      <c r="M2942">
        <v>33.254970175078</v>
      </c>
      <c r="N2942">
        <v>61.8098591804265</v>
      </c>
      <c r="O2942">
        <v>60.559122165696401</v>
      </c>
      <c r="P2942">
        <v>-0.10803278440244</v>
      </c>
      <c r="Q2942">
        <v>0.21306919245741199</v>
      </c>
      <c r="R2942">
        <v>0.768921997622946</v>
      </c>
      <c r="S2942" t="s">
        <v>8768</v>
      </c>
      <c r="T2942" t="s">
        <v>11650</v>
      </c>
      <c r="U2942" t="s">
        <v>11650</v>
      </c>
      <c r="V2942" t="s">
        <v>11650</v>
      </c>
      <c r="W2942" t="s">
        <v>14546</v>
      </c>
      <c r="X2942">
        <v>21</v>
      </c>
      <c r="Y2942" t="s">
        <v>20247</v>
      </c>
      <c r="Z2942" t="s">
        <v>26004</v>
      </c>
      <c r="AA2942">
        <v>0.76203896861614906</v>
      </c>
      <c r="AB2942" t="str">
        <f>HYPERLINK("Melting_Curves/meltCurve_Q06830_PRDX1.pdf", "Melting_Curves/meltCurve_Q06830_PRDX1.pdf")</f>
        <v>Melting_Curves/meltCurve_Q06830_PRDX1.pdf</v>
      </c>
    </row>
    <row r="2943" spans="1:28" x14ac:dyDescent="0.25">
      <c r="A2943" t="s">
        <v>2947</v>
      </c>
      <c r="B2943">
        <v>0.99996721820229495</v>
      </c>
      <c r="C2943">
        <v>1.17978560766108</v>
      </c>
      <c r="D2943">
        <v>1.18489129535267</v>
      </c>
      <c r="E2943">
        <v>1.2286212152918801</v>
      </c>
      <c r="F2943">
        <v>0.56836001216477094</v>
      </c>
      <c r="G2943">
        <v>0.61234669604700798</v>
      </c>
      <c r="H2943">
        <v>0.36423074450819198</v>
      </c>
      <c r="I2943">
        <v>0.26554041682208401</v>
      </c>
      <c r="J2943">
        <v>0.18512528462938599</v>
      </c>
      <c r="K2943">
        <v>0.14285676967542901</v>
      </c>
      <c r="L2943">
        <v>1064.4223320777201</v>
      </c>
      <c r="M2943">
        <v>18.758527503294701</v>
      </c>
      <c r="N2943">
        <v>57.865540677595099</v>
      </c>
      <c r="O2943">
        <v>56.110304202548797</v>
      </c>
      <c r="P2943">
        <v>-7.0837883581298805E-2</v>
      </c>
      <c r="Q2943">
        <v>0.152477298281707</v>
      </c>
      <c r="R2943">
        <v>0.86931912591290805</v>
      </c>
      <c r="S2943" t="s">
        <v>8769</v>
      </c>
      <c r="T2943" t="s">
        <v>11650</v>
      </c>
      <c r="U2943" t="s">
        <v>11650</v>
      </c>
      <c r="V2943" t="s">
        <v>11650</v>
      </c>
      <c r="W2943" t="s">
        <v>14547</v>
      </c>
      <c r="X2943">
        <v>4</v>
      </c>
      <c r="Y2943" t="s">
        <v>20248</v>
      </c>
      <c r="Z2943" t="s">
        <v>26005</v>
      </c>
      <c r="AA2943">
        <v>0.63684849151883116</v>
      </c>
      <c r="AB2943" t="str">
        <f>HYPERLINK("Melting_Curves/meltCurve_Q07021_C1QBP.pdf", "Melting_Curves/meltCurve_Q07021_C1QBP.pdf")</f>
        <v>Melting_Curves/meltCurve_Q07021_C1QBP.pdf</v>
      </c>
    </row>
    <row r="2944" spans="1:28" x14ac:dyDescent="0.25">
      <c r="A2944" t="s">
        <v>2948</v>
      </c>
      <c r="B2944">
        <v>0.99996721820229495</v>
      </c>
      <c r="C2944">
        <v>0.87083243878025896</v>
      </c>
      <c r="D2944">
        <v>1.02163285715295</v>
      </c>
      <c r="E2944">
        <v>1.3233835841257799</v>
      </c>
      <c r="F2944">
        <v>1.51009162838374</v>
      </c>
      <c r="G2944">
        <v>1.3602490109884799</v>
      </c>
      <c r="H2944">
        <v>0.99810241976430403</v>
      </c>
      <c r="I2944">
        <v>0.65688059109561903</v>
      </c>
      <c r="J2944">
        <v>0.55930718772091204</v>
      </c>
      <c r="K2944">
        <v>0.65229325090433898</v>
      </c>
      <c r="L2944">
        <v>15000</v>
      </c>
      <c r="M2944">
        <v>236.27974975252201</v>
      </c>
      <c r="O2944">
        <v>63.479521362694797</v>
      </c>
      <c r="P2944">
        <v>-0.36681641590143599</v>
      </c>
      <c r="Q2944">
        <v>0.60580065855772203</v>
      </c>
      <c r="R2944">
        <v>0.45354641975670701</v>
      </c>
      <c r="S2944" t="s">
        <v>8770</v>
      </c>
      <c r="T2944" t="s">
        <v>11650</v>
      </c>
      <c r="U2944" t="s">
        <v>11650</v>
      </c>
      <c r="V2944" t="s">
        <v>11650</v>
      </c>
      <c r="W2944" t="s">
        <v>14548</v>
      </c>
      <c r="X2944">
        <v>43</v>
      </c>
      <c r="Y2944" t="s">
        <v>20249</v>
      </c>
      <c r="Z2944" t="s">
        <v>26006</v>
      </c>
      <c r="AA2944">
        <v>0.91442998234019512</v>
      </c>
      <c r="AB2944" t="str">
        <f>HYPERLINK("Melting_Curves/meltCurve_Q07065_CKAP4.pdf", "Melting_Curves/meltCurve_Q07065_CKAP4.pdf")</f>
        <v>Melting_Curves/meltCurve_Q07065_CKAP4.pdf</v>
      </c>
    </row>
    <row r="2945" spans="1:28" x14ac:dyDescent="0.25">
      <c r="A2945" t="s">
        <v>2949</v>
      </c>
      <c r="B2945">
        <v>0.99996721820229495</v>
      </c>
      <c r="C2945">
        <v>1.0670938380115</v>
      </c>
      <c r="D2945">
        <v>1.14804859158171</v>
      </c>
      <c r="E2945">
        <v>1.4105799156070999</v>
      </c>
      <c r="F2945">
        <v>2.1414983805381498</v>
      </c>
      <c r="G2945">
        <v>2.1423455582355699</v>
      </c>
      <c r="H2945">
        <v>1.3841543044470399</v>
      </c>
      <c r="I2945">
        <v>0.76554407779710798</v>
      </c>
      <c r="J2945">
        <v>0.48931585763226798</v>
      </c>
      <c r="K2945">
        <v>0.43188531811090197</v>
      </c>
      <c r="L2945">
        <v>15000</v>
      </c>
      <c r="M2945">
        <v>234.11197973417799</v>
      </c>
      <c r="N2945">
        <v>64.774821172183195</v>
      </c>
      <c r="O2945">
        <v>64.067227269019</v>
      </c>
      <c r="P2945">
        <v>-0.49277431186645498</v>
      </c>
      <c r="Q2945">
        <v>0.46058832516087</v>
      </c>
      <c r="R2945">
        <v>7.6531356735278097E-2</v>
      </c>
      <c r="S2945" t="s">
        <v>8771</v>
      </c>
      <c r="T2945" t="s">
        <v>11650</v>
      </c>
      <c r="U2945" t="s">
        <v>11650</v>
      </c>
      <c r="V2945" t="s">
        <v>11650</v>
      </c>
      <c r="W2945" t="s">
        <v>14549</v>
      </c>
      <c r="X2945">
        <v>8</v>
      </c>
      <c r="Y2945" t="s">
        <v>20250</v>
      </c>
      <c r="Z2945" t="s">
        <v>26007</v>
      </c>
      <c r="AA2945">
        <v>0.89347967294452058</v>
      </c>
      <c r="AB2945" t="str">
        <f>HYPERLINK("Melting_Curves/meltCurve_Q07092_2_COL16A1.pdf", "Melting_Curves/meltCurve_Q07092_2_COL16A1.pdf")</f>
        <v>Melting_Curves/meltCurve_Q07092_2_COL16A1.pdf</v>
      </c>
    </row>
    <row r="2946" spans="1:28" x14ac:dyDescent="0.25">
      <c r="A2946" t="s">
        <v>2950</v>
      </c>
      <c r="B2946">
        <v>0.99996721820229495</v>
      </c>
      <c r="C2946">
        <v>0.88806834826040204</v>
      </c>
      <c r="D2946">
        <v>0.71004257084057898</v>
      </c>
      <c r="E2946">
        <v>0.48288071238790797</v>
      </c>
      <c r="F2946">
        <v>0.41203457399649002</v>
      </c>
      <c r="G2946">
        <v>0.33041550610534498</v>
      </c>
      <c r="H2946">
        <v>0.16757241350038601</v>
      </c>
      <c r="I2946">
        <v>0.107031096400184</v>
      </c>
      <c r="J2946">
        <v>0.12339668522625501</v>
      </c>
      <c r="K2946">
        <v>0.105028846629541</v>
      </c>
      <c r="L2946">
        <v>540.49234451899804</v>
      </c>
      <c r="M2946">
        <v>10.807549669142301</v>
      </c>
      <c r="N2946">
        <v>50.648278237920501</v>
      </c>
      <c r="O2946">
        <v>48.389727411492601</v>
      </c>
      <c r="P2946">
        <v>-5.2303301070578803E-2</v>
      </c>
      <c r="Q2946">
        <v>6.3606872894775596E-2</v>
      </c>
      <c r="R2946">
        <v>0.98602884381284095</v>
      </c>
      <c r="S2946" t="s">
        <v>8772</v>
      </c>
      <c r="T2946" t="s">
        <v>11650</v>
      </c>
      <c r="U2946" t="s">
        <v>11650</v>
      </c>
      <c r="V2946" t="s">
        <v>11650</v>
      </c>
      <c r="W2946" t="s">
        <v>14550</v>
      </c>
      <c r="X2946">
        <v>6</v>
      </c>
      <c r="Y2946" t="s">
        <v>20251</v>
      </c>
      <c r="Z2946" t="s">
        <v>26008</v>
      </c>
      <c r="AA2946">
        <v>0.41398878804048772</v>
      </c>
      <c r="AB2946" t="str">
        <f>HYPERLINK("Melting_Curves/meltCurve_Q07352_ZFP36L1.pdf", "Melting_Curves/meltCurve_Q07352_ZFP36L1.pdf")</f>
        <v>Melting_Curves/meltCurve_Q07352_ZFP36L1.pdf</v>
      </c>
    </row>
    <row r="2947" spans="1:28" x14ac:dyDescent="0.25">
      <c r="A2947" t="s">
        <v>2951</v>
      </c>
      <c r="B2947">
        <v>0.99996721820229495</v>
      </c>
      <c r="C2947">
        <v>0.87662074257358702</v>
      </c>
      <c r="D2947">
        <v>0.84802257023010597</v>
      </c>
      <c r="E2947">
        <v>0.84653275990231303</v>
      </c>
      <c r="F2947">
        <v>1.4317068557472401</v>
      </c>
      <c r="G2947">
        <v>1.65583301281863</v>
      </c>
      <c r="H2947">
        <v>1.00696975515237</v>
      </c>
      <c r="I2947">
        <v>0.831835528474689</v>
      </c>
      <c r="J2947">
        <v>0.572939655238898</v>
      </c>
      <c r="K2947">
        <v>0.26946686345138199</v>
      </c>
      <c r="L2947">
        <v>2588.0485938956999</v>
      </c>
      <c r="M2947">
        <v>38.710551791989197</v>
      </c>
      <c r="N2947">
        <v>67.463754496021593</v>
      </c>
      <c r="O2947">
        <v>66.678741533785399</v>
      </c>
      <c r="P2947">
        <v>-0.123785093344499</v>
      </c>
      <c r="Q2947">
        <v>0.147125087359468</v>
      </c>
      <c r="R2947">
        <v>0.50521723728528201</v>
      </c>
      <c r="S2947" t="s">
        <v>8773</v>
      </c>
      <c r="T2947" t="s">
        <v>11650</v>
      </c>
      <c r="U2947" t="s">
        <v>11650</v>
      </c>
      <c r="V2947" t="s">
        <v>11650</v>
      </c>
      <c r="W2947" t="s">
        <v>14551</v>
      </c>
      <c r="X2947">
        <v>2</v>
      </c>
      <c r="Y2947" t="s">
        <v>20252</v>
      </c>
      <c r="Z2947" t="s">
        <v>26009</v>
      </c>
      <c r="AA2947">
        <v>0.90558891666899777</v>
      </c>
      <c r="AB2947" t="str">
        <f>HYPERLINK("Melting_Curves/meltCurve_Q07507_DPT.pdf", "Melting_Curves/meltCurve_Q07507_DPT.pdf")</f>
        <v>Melting_Curves/meltCurve_Q07507_DPT.pdf</v>
      </c>
    </row>
    <row r="2948" spans="1:28" x14ac:dyDescent="0.25">
      <c r="A2948" t="s">
        <v>2952</v>
      </c>
      <c r="B2948">
        <v>0.99996721820229495</v>
      </c>
      <c r="C2948">
        <v>0.92802698512269499</v>
      </c>
      <c r="D2948">
        <v>0.80639387803854601</v>
      </c>
      <c r="E2948">
        <v>0.80794484286512303</v>
      </c>
      <c r="F2948">
        <v>0.57399980446846999</v>
      </c>
      <c r="G2948">
        <v>0.36307181230337598</v>
      </c>
      <c r="H2948">
        <v>0.22813468236013301</v>
      </c>
      <c r="I2948">
        <v>0.18546279025158099</v>
      </c>
      <c r="J2948">
        <v>0.148523985792233</v>
      </c>
      <c r="K2948">
        <v>0.158379184821373</v>
      </c>
      <c r="L2948">
        <v>644.69826790047296</v>
      </c>
      <c r="M2948">
        <v>12.016452363451499</v>
      </c>
      <c r="N2948">
        <v>54.397190315220101</v>
      </c>
      <c r="O2948">
        <v>52.230227635109898</v>
      </c>
      <c r="P2948">
        <v>-5.3160907908031997E-2</v>
      </c>
      <c r="Q2948">
        <v>7.59533388761756E-2</v>
      </c>
      <c r="R2948">
        <v>0.98471186966397095</v>
      </c>
      <c r="S2948" t="s">
        <v>8774</v>
      </c>
      <c r="T2948" t="s">
        <v>11650</v>
      </c>
      <c r="U2948" t="s">
        <v>11650</v>
      </c>
      <c r="V2948" t="s">
        <v>11650</v>
      </c>
      <c r="W2948" t="s">
        <v>14552</v>
      </c>
      <c r="X2948">
        <v>5</v>
      </c>
      <c r="Y2948" t="s">
        <v>20253</v>
      </c>
      <c r="Z2948" t="s">
        <v>26010</v>
      </c>
      <c r="AA2948">
        <v>0.52132131566920659</v>
      </c>
      <c r="AB2948" t="str">
        <f>HYPERLINK("Melting_Curves/meltCurve_Q07666_KHDRBS1.pdf", "Melting_Curves/meltCurve_Q07666_KHDRBS1.pdf")</f>
        <v>Melting_Curves/meltCurve_Q07666_KHDRBS1.pdf</v>
      </c>
    </row>
    <row r="2949" spans="1:28" x14ac:dyDescent="0.25">
      <c r="A2949" t="s">
        <v>2953</v>
      </c>
      <c r="B2949">
        <v>0.99996721820229495</v>
      </c>
      <c r="C2949">
        <v>0.95735115007020399</v>
      </c>
      <c r="D2949">
        <v>0.97392789548293202</v>
      </c>
      <c r="E2949">
        <v>1.00330766400038</v>
      </c>
      <c r="F2949">
        <v>1.3296720750570199</v>
      </c>
      <c r="G2949">
        <v>1.4615037714769099</v>
      </c>
      <c r="H2949">
        <v>1.12831308155799</v>
      </c>
      <c r="I2949">
        <v>1.07767992633151</v>
      </c>
      <c r="J2949">
        <v>0.76348675580463998</v>
      </c>
      <c r="K2949">
        <v>0.56448990387879705</v>
      </c>
      <c r="L2949">
        <v>15000</v>
      </c>
      <c r="M2949">
        <v>224.053076259726</v>
      </c>
      <c r="O2949">
        <v>66.943088259987206</v>
      </c>
      <c r="P2949">
        <v>-0.36442764222734703</v>
      </c>
      <c r="Q2949">
        <v>0.56446191596612005</v>
      </c>
      <c r="R2949">
        <v>0.40793233034429699</v>
      </c>
      <c r="S2949" t="s">
        <v>8775</v>
      </c>
      <c r="T2949" t="s">
        <v>11650</v>
      </c>
      <c r="U2949" t="s">
        <v>11650</v>
      </c>
      <c r="V2949" t="s">
        <v>11650</v>
      </c>
      <c r="W2949" t="s">
        <v>14553</v>
      </c>
      <c r="X2949">
        <v>11</v>
      </c>
      <c r="Y2949" t="s">
        <v>20254</v>
      </c>
      <c r="Z2949" t="s">
        <v>26011</v>
      </c>
      <c r="AA2949">
        <v>0.95576083267915024</v>
      </c>
      <c r="AB2949" t="str">
        <f>HYPERLINK("Melting_Curves/meltCurve_Q07812_5_BAX.pdf", "Melting_Curves/meltCurve_Q07812_5_BAX.pdf")</f>
        <v>Melting_Curves/meltCurve_Q07812_5_BAX.pdf</v>
      </c>
    </row>
    <row r="2950" spans="1:28" x14ac:dyDescent="0.25">
      <c r="A2950" t="s">
        <v>2954</v>
      </c>
      <c r="B2950">
        <v>0.99996721820229495</v>
      </c>
      <c r="C2950">
        <v>0.57538769049697902</v>
      </c>
      <c r="D2950">
        <v>0.48298888311982202</v>
      </c>
      <c r="E2950">
        <v>0.76148591437569002</v>
      </c>
      <c r="F2950">
        <v>0.72034854322652297</v>
      </c>
      <c r="G2950">
        <v>0.468042110941572</v>
      </c>
      <c r="H2950">
        <v>0.43515429860233401</v>
      </c>
      <c r="I2950">
        <v>0.33192741927567698</v>
      </c>
      <c r="J2950">
        <v>0.16603089815456501</v>
      </c>
      <c r="K2950">
        <v>0.14575826369307501</v>
      </c>
      <c r="L2950">
        <v>265.55057976210901</v>
      </c>
      <c r="M2950">
        <v>4.8851531104571704</v>
      </c>
      <c r="N2950">
        <v>54.358701492957302</v>
      </c>
      <c r="O2950">
        <v>47.181649922609601</v>
      </c>
      <c r="P2950">
        <v>-2.60565309105452E-2</v>
      </c>
      <c r="Q2950">
        <v>0</v>
      </c>
      <c r="R2950">
        <v>0.67694949351570499</v>
      </c>
      <c r="S2950" t="s">
        <v>8776</v>
      </c>
      <c r="T2950" t="s">
        <v>11650</v>
      </c>
      <c r="U2950" t="s">
        <v>11650</v>
      </c>
      <c r="V2950" t="s">
        <v>11650</v>
      </c>
      <c r="W2950" t="s">
        <v>14554</v>
      </c>
      <c r="X2950">
        <v>4</v>
      </c>
      <c r="Y2950" t="s">
        <v>20255</v>
      </c>
      <c r="Z2950" t="s">
        <v>26012</v>
      </c>
      <c r="AA2950">
        <v>0.51157387014344025</v>
      </c>
      <c r="AB2950" t="str">
        <f>HYPERLINK("Melting_Curves/meltCurve_Q07820_2_MCL1.pdf", "Melting_Curves/meltCurve_Q07820_2_MCL1.pdf")</f>
        <v>Melting_Curves/meltCurve_Q07820_2_MCL1.pdf</v>
      </c>
    </row>
    <row r="2951" spans="1:28" x14ac:dyDescent="0.25">
      <c r="A2951" t="s">
        <v>2955</v>
      </c>
      <c r="B2951">
        <v>0.99996721820229495</v>
      </c>
      <c r="C2951">
        <v>1.0116924282959101</v>
      </c>
      <c r="D2951">
        <v>1.12121094585237</v>
      </c>
      <c r="E2951">
        <v>1.3999170468997</v>
      </c>
      <c r="F2951">
        <v>0.74520646204602703</v>
      </c>
      <c r="G2951">
        <v>0.49309443205583298</v>
      </c>
      <c r="H2951">
        <v>0.34664486717077297</v>
      </c>
      <c r="I2951">
        <v>0.146932326713242</v>
      </c>
      <c r="J2951">
        <v>0.19513838809411299</v>
      </c>
      <c r="K2951">
        <v>0.14164306080613701</v>
      </c>
      <c r="L2951">
        <v>1637.04782581841</v>
      </c>
      <c r="M2951">
        <v>29.1676430150467</v>
      </c>
      <c r="N2951">
        <v>56.978355300760498</v>
      </c>
      <c r="O2951">
        <v>55.863638060999001</v>
      </c>
      <c r="P2951">
        <v>-0.107442362200331</v>
      </c>
      <c r="Q2951">
        <v>0.17688549710187601</v>
      </c>
      <c r="R2951">
        <v>0.88086236416549901</v>
      </c>
      <c r="S2951" t="s">
        <v>8777</v>
      </c>
      <c r="T2951" t="s">
        <v>11650</v>
      </c>
      <c r="U2951" t="s">
        <v>11650</v>
      </c>
      <c r="V2951" t="s">
        <v>11650</v>
      </c>
      <c r="W2951" t="s">
        <v>14555</v>
      </c>
      <c r="X2951">
        <v>28</v>
      </c>
      <c r="Y2951" t="s">
        <v>20256</v>
      </c>
      <c r="Z2951" t="s">
        <v>26013</v>
      </c>
      <c r="AA2951">
        <v>0.62510022193187231</v>
      </c>
      <c r="AB2951" t="str">
        <f>HYPERLINK("Melting_Curves/meltCurve_Q07866_3_KLC1.pdf", "Melting_Curves/meltCurve_Q07866_3_KLC1.pdf")</f>
        <v>Melting_Curves/meltCurve_Q07866_3_KLC1.pdf</v>
      </c>
    </row>
    <row r="2952" spans="1:28" x14ac:dyDescent="0.25">
      <c r="A2952" t="s">
        <v>2956</v>
      </c>
      <c r="B2952">
        <v>0.99996721820229495</v>
      </c>
      <c r="C2952">
        <v>0.68690785798127196</v>
      </c>
      <c r="D2952">
        <v>0.62225993447741501</v>
      </c>
      <c r="E2952">
        <v>1.1137035229365999</v>
      </c>
      <c r="F2952">
        <v>0.73811766085972796</v>
      </c>
      <c r="G2952">
        <v>0.447154402364278</v>
      </c>
      <c r="H2952">
        <v>0.39362325900599499</v>
      </c>
      <c r="I2952">
        <v>0.41506269258897099</v>
      </c>
      <c r="J2952">
        <v>0.38857761114549499</v>
      </c>
      <c r="K2952">
        <v>0.32655887372629</v>
      </c>
      <c r="L2952">
        <v>313.90103779722602</v>
      </c>
      <c r="M2952">
        <v>5.2383495721488904</v>
      </c>
      <c r="N2952">
        <v>59.923666241289297</v>
      </c>
      <c r="O2952">
        <v>52.852539528068498</v>
      </c>
      <c r="P2952">
        <v>-2.4907477912395001E-2</v>
      </c>
      <c r="Q2952">
        <v>0</v>
      </c>
      <c r="R2952">
        <v>0.61665166060888998</v>
      </c>
      <c r="S2952" t="s">
        <v>8778</v>
      </c>
      <c r="T2952" t="s">
        <v>11650</v>
      </c>
      <c r="U2952" t="s">
        <v>11650</v>
      </c>
      <c r="V2952" t="s">
        <v>11650</v>
      </c>
      <c r="W2952" t="s">
        <v>14556</v>
      </c>
      <c r="X2952">
        <v>35</v>
      </c>
      <c r="Y2952" t="s">
        <v>20256</v>
      </c>
      <c r="Z2952" t="s">
        <v>26014</v>
      </c>
      <c r="AA2952">
        <v>0.62133307637733537</v>
      </c>
      <c r="AB2952" t="str">
        <f>HYPERLINK("Melting_Curves/meltCurve_Q07866_6_KLC1.pdf", "Melting_Curves/meltCurve_Q07866_6_KLC1.pdf")</f>
        <v>Melting_Curves/meltCurve_Q07866_6_KLC1.pdf</v>
      </c>
    </row>
    <row r="2953" spans="1:28" x14ac:dyDescent="0.25">
      <c r="A2953" t="s">
        <v>2957</v>
      </c>
      <c r="B2953">
        <v>0.99996721820229495</v>
      </c>
      <c r="C2953">
        <v>1.1359521362668099</v>
      </c>
      <c r="D2953">
        <v>0.96601545911705899</v>
      </c>
      <c r="E2953">
        <v>0.83152671682821799</v>
      </c>
      <c r="F2953">
        <v>1.11362487452718</v>
      </c>
      <c r="G2953">
        <v>1.4551933143479601</v>
      </c>
      <c r="H2953">
        <v>1.0826162967292901</v>
      </c>
      <c r="I2953">
        <v>1.25893004967606</v>
      </c>
      <c r="J2953">
        <v>0.78166178208423398</v>
      </c>
      <c r="K2953">
        <v>0.53707900662949903</v>
      </c>
      <c r="L2953">
        <v>15000</v>
      </c>
      <c r="M2953">
        <v>223.76669823052899</v>
      </c>
      <c r="O2953">
        <v>67.028743460853406</v>
      </c>
      <c r="P2953">
        <v>-0.38638451512437699</v>
      </c>
      <c r="Q2953">
        <v>0.537037979741807</v>
      </c>
      <c r="R2953">
        <v>0.43124363946986199</v>
      </c>
      <c r="S2953" t="s">
        <v>8779</v>
      </c>
      <c r="T2953" t="s">
        <v>11650</v>
      </c>
      <c r="U2953" t="s">
        <v>11650</v>
      </c>
      <c r="V2953" t="s">
        <v>11650</v>
      </c>
      <c r="W2953" t="s">
        <v>14557</v>
      </c>
      <c r="X2953">
        <v>2</v>
      </c>
      <c r="Y2953" t="s">
        <v>20257</v>
      </c>
      <c r="Z2953" t="s">
        <v>26015</v>
      </c>
      <c r="AA2953">
        <v>0.95429768388924963</v>
      </c>
      <c r="AB2953" t="str">
        <f>HYPERLINK("Melting_Curves/meltCurve_Q07912_TNK2.pdf", "Melting_Curves/meltCurve_Q07912_TNK2.pdf")</f>
        <v>Melting_Curves/meltCurve_Q07912_TNK2.pdf</v>
      </c>
    </row>
    <row r="2954" spans="1:28" x14ac:dyDescent="0.25">
      <c r="A2954" t="s">
        <v>2958</v>
      </c>
      <c r="B2954">
        <v>0.99996721820229495</v>
      </c>
      <c r="C2954">
        <v>0.981016041795156</v>
      </c>
      <c r="D2954">
        <v>1.10863859853647</v>
      </c>
      <c r="E2954">
        <v>1.43993963517084</v>
      </c>
      <c r="F2954">
        <v>1.7410491123360401</v>
      </c>
      <c r="G2954">
        <v>1.7414791536393801</v>
      </c>
      <c r="H2954">
        <v>1.0295448634515401</v>
      </c>
      <c r="I2954">
        <v>0.615803775232726</v>
      </c>
      <c r="J2954">
        <v>0.390630592356699</v>
      </c>
      <c r="K2954">
        <v>0.42381712871268601</v>
      </c>
      <c r="L2954">
        <v>15000</v>
      </c>
      <c r="M2954">
        <v>234.985800478453</v>
      </c>
      <c r="N2954">
        <v>64.294485893181502</v>
      </c>
      <c r="O2954">
        <v>63.829020780795602</v>
      </c>
      <c r="P2954">
        <v>-0.54557872609616598</v>
      </c>
      <c r="Q2954">
        <v>0.40721940306898602</v>
      </c>
      <c r="R2954">
        <v>0.388019525516761</v>
      </c>
      <c r="S2954" t="s">
        <v>8780</v>
      </c>
      <c r="T2954" t="s">
        <v>11650</v>
      </c>
      <c r="U2954" t="s">
        <v>11650</v>
      </c>
      <c r="V2954" t="s">
        <v>11650</v>
      </c>
      <c r="W2954" t="s">
        <v>14558</v>
      </c>
      <c r="X2954">
        <v>137</v>
      </c>
      <c r="Y2954" t="s">
        <v>20258</v>
      </c>
      <c r="Z2954" t="s">
        <v>26016</v>
      </c>
      <c r="AA2954">
        <v>0.87823196613974519</v>
      </c>
      <c r="AB2954" t="str">
        <f>HYPERLINK("Melting_Curves/meltCurve_Q07954_LRP1.pdf", "Melting_Curves/meltCurve_Q07954_LRP1.pdf")</f>
        <v>Melting_Curves/meltCurve_Q07954_LRP1.pdf</v>
      </c>
    </row>
    <row r="2955" spans="1:28" x14ac:dyDescent="0.25">
      <c r="A2955" t="s">
        <v>2959</v>
      </c>
      <c r="B2955">
        <v>0.99996721820229495</v>
      </c>
      <c r="C2955">
        <v>1.0879977095207001</v>
      </c>
      <c r="D2955">
        <v>0.99509798205205602</v>
      </c>
      <c r="E2955">
        <v>0.90792549860475003</v>
      </c>
      <c r="F2955">
        <v>0.54105032116224006</v>
      </c>
      <c r="G2955">
        <v>0.32502994106976602</v>
      </c>
      <c r="H2955">
        <v>0.14609723799241001</v>
      </c>
      <c r="I2955">
        <v>8.9726670502694894E-2</v>
      </c>
      <c r="J2955">
        <v>6.7532354734062897E-2</v>
      </c>
      <c r="K2955">
        <v>5.1808395896765898E-2</v>
      </c>
      <c r="L2955">
        <v>1162.25127360234</v>
      </c>
      <c r="M2955">
        <v>21.583968388808799</v>
      </c>
      <c r="N2955">
        <v>54.184249004846301</v>
      </c>
      <c r="O2955">
        <v>53.392059746035002</v>
      </c>
      <c r="P2955">
        <v>-9.4729354215537798E-2</v>
      </c>
      <c r="Q2955">
        <v>6.2698117714372198E-2</v>
      </c>
      <c r="R2955">
        <v>0.98860149801208297</v>
      </c>
      <c r="S2955" t="s">
        <v>8781</v>
      </c>
      <c r="T2955" t="s">
        <v>11650</v>
      </c>
      <c r="U2955" t="s">
        <v>11650</v>
      </c>
      <c r="V2955" t="s">
        <v>11650</v>
      </c>
      <c r="W2955" t="s">
        <v>14559</v>
      </c>
      <c r="X2955">
        <v>26</v>
      </c>
      <c r="Y2955" t="s">
        <v>20259</v>
      </c>
      <c r="Z2955" t="s">
        <v>26017</v>
      </c>
      <c r="AA2955">
        <v>0.50659902903959897</v>
      </c>
      <c r="AB2955" t="str">
        <f>HYPERLINK("Melting_Curves/meltCurve_Q07960_ARHGAP1.pdf", "Melting_Curves/meltCurve_Q07960_ARHGAP1.pdf")</f>
        <v>Melting_Curves/meltCurve_Q07960_ARHGAP1.pdf</v>
      </c>
    </row>
    <row r="2956" spans="1:28" x14ac:dyDescent="0.25">
      <c r="A2956" t="s">
        <v>2960</v>
      </c>
      <c r="B2956">
        <v>0.99996721820229495</v>
      </c>
      <c r="C2956">
        <v>0.95557672881329603</v>
      </c>
      <c r="D2956">
        <v>0.95402864861316905</v>
      </c>
      <c r="E2956">
        <v>0.98378577953920099</v>
      </c>
      <c r="F2956">
        <v>1.1520455547393</v>
      </c>
      <c r="G2956">
        <v>0.909691082160901</v>
      </c>
      <c r="H2956">
        <v>0.28168415765036797</v>
      </c>
      <c r="I2956">
        <v>0.15923663468096999</v>
      </c>
      <c r="J2956">
        <v>0.11143007551590101</v>
      </c>
      <c r="K2956">
        <v>7.5906372021569801E-2</v>
      </c>
      <c r="L2956">
        <v>3105.7629158622799</v>
      </c>
      <c r="M2956">
        <v>52.285041013064102</v>
      </c>
      <c r="N2956">
        <v>59.6730394581908</v>
      </c>
      <c r="O2956">
        <v>59.313900273803398</v>
      </c>
      <c r="P2956">
        <v>-0.196975686451656</v>
      </c>
      <c r="Q2956">
        <v>0.10617742440068401</v>
      </c>
      <c r="R2956">
        <v>0.98270346997254798</v>
      </c>
      <c r="S2956" t="s">
        <v>8782</v>
      </c>
      <c r="T2956" t="s">
        <v>11650</v>
      </c>
      <c r="U2956" t="s">
        <v>11650</v>
      </c>
      <c r="V2956" t="s">
        <v>11650</v>
      </c>
      <c r="W2956" t="s">
        <v>14560</v>
      </c>
      <c r="X2956">
        <v>23</v>
      </c>
      <c r="Y2956" t="s">
        <v>20260</v>
      </c>
      <c r="Z2956" t="s">
        <v>26018</v>
      </c>
      <c r="AA2956">
        <v>0.68632338651334424</v>
      </c>
      <c r="AB2956" t="str">
        <f>HYPERLINK("Melting_Curves/meltCurve_Q08209_2_PPP3CA.pdf", "Melting_Curves/meltCurve_Q08209_2_PPP3CA.pdf")</f>
        <v>Melting_Curves/meltCurve_Q08209_2_PPP3CA.pdf</v>
      </c>
    </row>
    <row r="2957" spans="1:28" x14ac:dyDescent="0.25">
      <c r="A2957" t="s">
        <v>2961</v>
      </c>
      <c r="B2957">
        <v>0.99996721820229495</v>
      </c>
      <c r="C2957">
        <v>0.95840489408952401</v>
      </c>
      <c r="D2957">
        <v>1.05004261385178</v>
      </c>
      <c r="E2957">
        <v>1.2737850007637599</v>
      </c>
      <c r="F2957">
        <v>1.46449413203007</v>
      </c>
      <c r="G2957">
        <v>0.86373262737947698</v>
      </c>
      <c r="H2957">
        <v>0.26858011583856201</v>
      </c>
      <c r="I2957">
        <v>0.18958567689869801</v>
      </c>
      <c r="J2957">
        <v>0.132778298532195</v>
      </c>
      <c r="K2957">
        <v>0.11785880626329</v>
      </c>
      <c r="L2957">
        <v>3165.9064797279998</v>
      </c>
      <c r="M2957">
        <v>53.706776311292003</v>
      </c>
      <c r="N2957">
        <v>59.319832363864002</v>
      </c>
      <c r="O2957">
        <v>58.866434888505701</v>
      </c>
      <c r="P2957">
        <v>-0.19548853792514501</v>
      </c>
      <c r="Q2957">
        <v>0.14292340976410201</v>
      </c>
      <c r="R2957">
        <v>0.87085236334376104</v>
      </c>
      <c r="S2957" t="s">
        <v>8783</v>
      </c>
      <c r="T2957" t="s">
        <v>11650</v>
      </c>
      <c r="U2957" t="s">
        <v>11650</v>
      </c>
      <c r="V2957" t="s">
        <v>11650</v>
      </c>
      <c r="W2957" t="s">
        <v>14561</v>
      </c>
      <c r="X2957">
        <v>16</v>
      </c>
      <c r="Y2957" t="s">
        <v>20261</v>
      </c>
      <c r="Z2957" t="s">
        <v>26019</v>
      </c>
      <c r="AA2957">
        <v>0.68617319083038519</v>
      </c>
      <c r="AB2957" t="str">
        <f>HYPERLINK("Melting_Curves/meltCurve_Q08257_CRYZ.pdf", "Melting_Curves/meltCurve_Q08257_CRYZ.pdf")</f>
        <v>Melting_Curves/meltCurve_Q08257_CRYZ.pdf</v>
      </c>
    </row>
    <row r="2958" spans="1:28" x14ac:dyDescent="0.25">
      <c r="A2958" t="s">
        <v>2962</v>
      </c>
      <c r="B2958">
        <v>0.99996721820229495</v>
      </c>
      <c r="C2958">
        <v>0.74329859636384799</v>
      </c>
      <c r="D2958">
        <v>1.04537943708583</v>
      </c>
      <c r="E2958">
        <v>1.2145211481360401</v>
      </c>
      <c r="F2958">
        <v>1.5230812849997899</v>
      </c>
      <c r="G2958">
        <v>1.7838357656982999</v>
      </c>
      <c r="H2958">
        <v>1.3570217547786401</v>
      </c>
      <c r="I2958">
        <v>0.94116292428536596</v>
      </c>
      <c r="J2958">
        <v>0.54887657571598603</v>
      </c>
      <c r="K2958">
        <v>0.683053106605919</v>
      </c>
      <c r="L2958">
        <v>15000</v>
      </c>
      <c r="M2958">
        <v>232.66676735638899</v>
      </c>
      <c r="O2958">
        <v>64.465122272746896</v>
      </c>
      <c r="P2958">
        <v>-0.346530238029508</v>
      </c>
      <c r="Q2958">
        <v>0.61594662399269295</v>
      </c>
      <c r="R2958">
        <v>0.16674835509394401</v>
      </c>
      <c r="S2958" t="s">
        <v>8784</v>
      </c>
      <c r="T2958" t="s">
        <v>11650</v>
      </c>
      <c r="U2958" t="s">
        <v>11650</v>
      </c>
      <c r="V2958" t="s">
        <v>11650</v>
      </c>
      <c r="W2958" t="s">
        <v>14562</v>
      </c>
      <c r="X2958">
        <v>4</v>
      </c>
      <c r="Y2958" t="s">
        <v>20262</v>
      </c>
      <c r="Z2958" t="s">
        <v>26020</v>
      </c>
      <c r="AA2958">
        <v>0.92925487380734884</v>
      </c>
      <c r="AB2958" t="str">
        <f>HYPERLINK("Melting_Curves/meltCurve_Q08357_SLC20A2.pdf", "Melting_Curves/meltCurve_Q08357_SLC20A2.pdf")</f>
        <v>Melting_Curves/meltCurve_Q08357_SLC20A2.pdf</v>
      </c>
    </row>
    <row r="2959" spans="1:28" x14ac:dyDescent="0.25">
      <c r="A2959" t="s">
        <v>2963</v>
      </c>
      <c r="B2959">
        <v>0.99996721820229495</v>
      </c>
      <c r="C2959">
        <v>1.0502725627788601</v>
      </c>
      <c r="D2959">
        <v>1.1085513611726501</v>
      </c>
      <c r="E2959">
        <v>1.3395767465221</v>
      </c>
      <c r="F2959">
        <v>1.74256904019228</v>
      </c>
      <c r="G2959">
        <v>1.38347999580046</v>
      </c>
      <c r="H2959">
        <v>0.86556640606077395</v>
      </c>
      <c r="I2959">
        <v>0.66569142866199904</v>
      </c>
      <c r="J2959">
        <v>0.55593535638415903</v>
      </c>
      <c r="K2959">
        <v>0.434262050197603</v>
      </c>
      <c r="L2959">
        <v>2782.22318904042</v>
      </c>
      <c r="M2959">
        <v>44.002583226725797</v>
      </c>
      <c r="N2959">
        <v>67.409347872032299</v>
      </c>
      <c r="O2959">
        <v>63.098458899781598</v>
      </c>
      <c r="P2959">
        <v>-9.2861315409317496E-2</v>
      </c>
      <c r="Q2959">
        <v>0.46735876378639302</v>
      </c>
      <c r="R2959">
        <v>0.431427950355528</v>
      </c>
      <c r="S2959" t="s">
        <v>8785</v>
      </c>
      <c r="T2959" t="s">
        <v>11650</v>
      </c>
      <c r="U2959" t="s">
        <v>11650</v>
      </c>
      <c r="V2959" t="s">
        <v>11650</v>
      </c>
      <c r="W2959" t="s">
        <v>14563</v>
      </c>
      <c r="X2959">
        <v>61</v>
      </c>
      <c r="Y2959" t="s">
        <v>20263</v>
      </c>
      <c r="Z2959" t="s">
        <v>26021</v>
      </c>
      <c r="AA2959">
        <v>0.88123352128364341</v>
      </c>
      <c r="AB2959" t="str">
        <f>HYPERLINK("Melting_Curves/meltCurve_Q08378_GOLGA3.pdf", "Melting_Curves/meltCurve_Q08378_GOLGA3.pdf")</f>
        <v>Melting_Curves/meltCurve_Q08378_GOLGA3.pdf</v>
      </c>
    </row>
    <row r="2960" spans="1:28" x14ac:dyDescent="0.25">
      <c r="A2960" t="s">
        <v>2964</v>
      </c>
      <c r="B2960">
        <v>0.99996721820229495</v>
      </c>
      <c r="C2960">
        <v>0.94035949888653703</v>
      </c>
      <c r="D2960">
        <v>0.93309863112792302</v>
      </c>
      <c r="E2960">
        <v>0.90126845344183604</v>
      </c>
      <c r="F2960">
        <v>0.96000184054558402</v>
      </c>
      <c r="G2960">
        <v>0.91722379569210299</v>
      </c>
      <c r="H2960">
        <v>0.59719835234095198</v>
      </c>
      <c r="I2960">
        <v>0.46964150500261198</v>
      </c>
      <c r="J2960">
        <v>0.40544500653069698</v>
      </c>
      <c r="K2960">
        <v>0.34475548828606001</v>
      </c>
      <c r="L2960">
        <v>1672.7474943367199</v>
      </c>
      <c r="M2960">
        <v>27.766706133191899</v>
      </c>
      <c r="N2960">
        <v>62.978096593268504</v>
      </c>
      <c r="O2960">
        <v>59.933061394637498</v>
      </c>
      <c r="P2960">
        <v>-7.5252365597084606E-2</v>
      </c>
      <c r="Q2960">
        <v>0.35029186129971501</v>
      </c>
      <c r="R2960">
        <v>0.96708892485918596</v>
      </c>
      <c r="S2960" t="s">
        <v>8786</v>
      </c>
      <c r="T2960" t="s">
        <v>11650</v>
      </c>
      <c r="U2960" t="s">
        <v>11650</v>
      </c>
      <c r="V2960" t="s">
        <v>11650</v>
      </c>
      <c r="W2960" t="s">
        <v>14564</v>
      </c>
      <c r="X2960">
        <v>23</v>
      </c>
      <c r="Y2960" t="s">
        <v>20264</v>
      </c>
      <c r="Z2960" t="s">
        <v>26022</v>
      </c>
      <c r="AA2960">
        <v>0.7929266400266729</v>
      </c>
      <c r="AB2960" t="str">
        <f>HYPERLINK("Melting_Curves/meltCurve_Q08379_GOLGA2.pdf", "Melting_Curves/meltCurve_Q08379_GOLGA2.pdf")</f>
        <v>Melting_Curves/meltCurve_Q08379_GOLGA2.pdf</v>
      </c>
    </row>
    <row r="2961" spans="1:28" x14ac:dyDescent="0.25">
      <c r="A2961" t="s">
        <v>2965</v>
      </c>
      <c r="B2961">
        <v>0.99996721820229495</v>
      </c>
      <c r="C2961">
        <v>0.79102022525423599</v>
      </c>
      <c r="D2961">
        <v>0.69394749069137296</v>
      </c>
      <c r="E2961">
        <v>0.85459942431874902</v>
      </c>
      <c r="F2961">
        <v>0.88780349631298805</v>
      </c>
      <c r="G2961">
        <v>0.48593950440543598</v>
      </c>
      <c r="H2961">
        <v>0.59391890427627303</v>
      </c>
      <c r="I2961">
        <v>0.62560619498297299</v>
      </c>
      <c r="J2961">
        <v>0.52731556106441402</v>
      </c>
      <c r="K2961">
        <v>0.68960251348133605</v>
      </c>
      <c r="L2961">
        <v>330.73340905218703</v>
      </c>
      <c r="M2961">
        <v>6.7928145005982099</v>
      </c>
      <c r="O2961">
        <v>44.991539777872603</v>
      </c>
      <c r="P2961">
        <v>-1.7524871889601602E-2</v>
      </c>
      <c r="Q2961">
        <v>0.536661691004091</v>
      </c>
      <c r="R2961">
        <v>0.51542591540234795</v>
      </c>
      <c r="S2961" t="s">
        <v>8787</v>
      </c>
      <c r="T2961" t="s">
        <v>11650</v>
      </c>
      <c r="U2961" t="s">
        <v>11650</v>
      </c>
      <c r="V2961" t="s">
        <v>11650</v>
      </c>
      <c r="W2961" t="s">
        <v>14565</v>
      </c>
      <c r="X2961">
        <v>3</v>
      </c>
      <c r="Y2961" t="s">
        <v>20265</v>
      </c>
      <c r="Z2961" t="s">
        <v>26023</v>
      </c>
      <c r="AA2961">
        <v>0.70885300569136944</v>
      </c>
      <c r="AB2961" t="str">
        <f>HYPERLINK("Melting_Curves/meltCurve_Q08380_LGALS3BP.pdf", "Melting_Curves/meltCurve_Q08380_LGALS3BP.pdf")</f>
        <v>Melting_Curves/meltCurve_Q08380_LGALS3BP.pdf</v>
      </c>
    </row>
    <row r="2962" spans="1:28" x14ac:dyDescent="0.25">
      <c r="A2962" t="s">
        <v>2966</v>
      </c>
      <c r="B2962">
        <v>0.99996721820229495</v>
      </c>
      <c r="C2962">
        <v>0.83333224229158998</v>
      </c>
      <c r="D2962">
        <v>0.80101591136191697</v>
      </c>
      <c r="E2962">
        <v>1.02931506283703</v>
      </c>
      <c r="F2962">
        <v>0.44728396148066302</v>
      </c>
      <c r="G2962">
        <v>0.322599511488455</v>
      </c>
      <c r="H2962">
        <v>0.17659769256440699</v>
      </c>
      <c r="I2962">
        <v>0.112611696573786</v>
      </c>
      <c r="J2962">
        <v>8.4651352242318206E-2</v>
      </c>
      <c r="K2962">
        <v>6.4406623171359395E-2</v>
      </c>
      <c r="S2962" t="s">
        <v>8788</v>
      </c>
      <c r="T2962" t="s">
        <v>11650</v>
      </c>
      <c r="U2962" t="s">
        <v>11651</v>
      </c>
      <c r="V2962" t="s">
        <v>11650</v>
      </c>
      <c r="W2962" t="s">
        <v>14566</v>
      </c>
      <c r="X2962">
        <v>11</v>
      </c>
      <c r="Y2962" t="s">
        <v>20266</v>
      </c>
      <c r="Z2962" t="s">
        <v>26024</v>
      </c>
      <c r="AB2962" t="str">
        <f>HYPERLINK("Melting_Curves/meltCurve_Q08426_EHHADH.pdf", "Melting_Curves/meltCurve_Q08426_EHHADH.pdf")</f>
        <v>Melting_Curves/meltCurve_Q08426_EHHADH.pdf</v>
      </c>
    </row>
    <row r="2963" spans="1:28" x14ac:dyDescent="0.25">
      <c r="A2963" t="s">
        <v>2967</v>
      </c>
      <c r="B2963">
        <v>0.99996721820229495</v>
      </c>
      <c r="C2963">
        <v>0.83230273307955605</v>
      </c>
      <c r="D2963">
        <v>0.76009633658114795</v>
      </c>
      <c r="E2963">
        <v>0.67020810503443795</v>
      </c>
      <c r="F2963">
        <v>0.77929277345860404</v>
      </c>
      <c r="G2963">
        <v>0.85715441040436202</v>
      </c>
      <c r="H2963">
        <v>0.63413482330436799</v>
      </c>
      <c r="I2963">
        <v>0.45645086417923397</v>
      </c>
      <c r="J2963">
        <v>0.38823814138749402</v>
      </c>
      <c r="K2963">
        <v>0.215066674934449</v>
      </c>
      <c r="L2963">
        <v>338.24024403649003</v>
      </c>
      <c r="M2963">
        <v>5.3832961821801604</v>
      </c>
      <c r="N2963">
        <v>62.831438845668799</v>
      </c>
      <c r="O2963">
        <v>55.741224274225303</v>
      </c>
      <c r="P2963">
        <v>-2.4258769445259301E-2</v>
      </c>
      <c r="Q2963">
        <v>0</v>
      </c>
      <c r="R2963">
        <v>0.75974721313260496</v>
      </c>
      <c r="S2963" t="s">
        <v>8789</v>
      </c>
      <c r="T2963" t="s">
        <v>11650</v>
      </c>
      <c r="U2963" t="s">
        <v>11650</v>
      </c>
      <c r="V2963" t="s">
        <v>11650</v>
      </c>
      <c r="W2963" t="s">
        <v>14567</v>
      </c>
      <c r="X2963">
        <v>2</v>
      </c>
      <c r="Y2963" t="s">
        <v>20267</v>
      </c>
      <c r="Z2963" t="s">
        <v>26025</v>
      </c>
      <c r="AA2963">
        <v>0.67634870422324622</v>
      </c>
      <c r="AB2963" t="str">
        <f>HYPERLINK("Melting_Curves/meltCurve_Q08629_SPOCK1.pdf", "Melting_Curves/meltCurve_Q08629_SPOCK1.pdf")</f>
        <v>Melting_Curves/meltCurve_Q08629_SPOCK1.pdf</v>
      </c>
    </row>
    <row r="2964" spans="1:28" x14ac:dyDescent="0.25">
      <c r="A2964" t="s">
        <v>2968</v>
      </c>
      <c r="B2964">
        <v>0.99996721820229495</v>
      </c>
      <c r="C2964">
        <v>0.85289992475404697</v>
      </c>
      <c r="D2964">
        <v>0.98588013437851796</v>
      </c>
      <c r="E2964">
        <v>1.28245736054703</v>
      </c>
      <c r="F2964">
        <v>1.4280382198003601</v>
      </c>
      <c r="G2964">
        <v>1.1797771766691401</v>
      </c>
      <c r="H2964">
        <v>1.13253077236553</v>
      </c>
      <c r="I2964">
        <v>0.92316502165022296</v>
      </c>
      <c r="J2964">
        <v>0.64481768874823098</v>
      </c>
      <c r="K2964">
        <v>0.91209848138411898</v>
      </c>
      <c r="L2964">
        <v>15000</v>
      </c>
      <c r="M2964">
        <v>233.742520567713</v>
      </c>
      <c r="O2964">
        <v>64.1684787201239</v>
      </c>
      <c r="P2964">
        <v>-0.20174663178615801</v>
      </c>
      <c r="Q2964">
        <v>0.77846094263966004</v>
      </c>
      <c r="R2964">
        <v>0.19961914767560801</v>
      </c>
      <c r="S2964" t="s">
        <v>8790</v>
      </c>
      <c r="T2964" t="s">
        <v>11650</v>
      </c>
      <c r="U2964" t="s">
        <v>11650</v>
      </c>
      <c r="V2964" t="s">
        <v>11650</v>
      </c>
      <c r="W2964" t="s">
        <v>14568</v>
      </c>
      <c r="X2964">
        <v>7</v>
      </c>
      <c r="Y2964" t="s">
        <v>20268</v>
      </c>
      <c r="Z2964" t="s">
        <v>26026</v>
      </c>
      <c r="AA2964">
        <v>0.95699957565214389</v>
      </c>
      <c r="AB2964" t="str">
        <f>HYPERLINK("Melting_Curves/meltCurve_Q08722_CD47.pdf", "Melting_Curves/meltCurve_Q08722_CD47.pdf")</f>
        <v>Melting_Curves/meltCurve_Q08722_CD47.pdf</v>
      </c>
    </row>
    <row r="2965" spans="1:28" x14ac:dyDescent="0.25">
      <c r="A2965" t="s">
        <v>2969</v>
      </c>
      <c r="B2965">
        <v>0.99996721820229495</v>
      </c>
      <c r="C2965">
        <v>1.0373390558053199</v>
      </c>
      <c r="D2965">
        <v>0.82115461173790105</v>
      </c>
      <c r="E2965">
        <v>0.35251504503131897</v>
      </c>
      <c r="F2965">
        <v>0.24975019456370601</v>
      </c>
      <c r="G2965">
        <v>0.16932265394547399</v>
      </c>
      <c r="H2965">
        <v>9.2920507954017698E-2</v>
      </c>
      <c r="I2965">
        <v>7.0020374981710806E-2</v>
      </c>
      <c r="J2965">
        <v>5.5022505900926201E-2</v>
      </c>
      <c r="K2965">
        <v>4.1614069232445899E-2</v>
      </c>
      <c r="L2965">
        <v>1158.2383912400501</v>
      </c>
      <c r="M2965">
        <v>23.791273833495602</v>
      </c>
      <c r="N2965">
        <v>49.048008937626001</v>
      </c>
      <c r="O2965">
        <v>48.343267502994699</v>
      </c>
      <c r="P2965">
        <v>-0.113061161681769</v>
      </c>
      <c r="Q2965">
        <v>8.1064928793255803E-2</v>
      </c>
      <c r="R2965">
        <v>0.98857355980774697</v>
      </c>
      <c r="S2965" t="s">
        <v>8791</v>
      </c>
      <c r="T2965" t="s">
        <v>11650</v>
      </c>
      <c r="U2965" t="s">
        <v>11650</v>
      </c>
      <c r="V2965" t="s">
        <v>11650</v>
      </c>
      <c r="W2965" t="s">
        <v>14569</v>
      </c>
      <c r="X2965">
        <v>18</v>
      </c>
      <c r="Y2965" t="s">
        <v>20269</v>
      </c>
      <c r="Z2965" t="s">
        <v>26027</v>
      </c>
      <c r="AA2965">
        <v>0.35605703220579549</v>
      </c>
      <c r="AB2965" t="str">
        <f>HYPERLINK("Melting_Curves/meltCurve_Q08752_PPID.pdf", "Melting_Curves/meltCurve_Q08752_PPID.pdf")</f>
        <v>Melting_Curves/meltCurve_Q08752_PPID.pdf</v>
      </c>
    </row>
    <row r="2966" spans="1:28" x14ac:dyDescent="0.25">
      <c r="A2966" t="s">
        <v>2970</v>
      </c>
      <c r="B2966">
        <v>0.99996721820229495</v>
      </c>
      <c r="C2966">
        <v>1.01474493600277</v>
      </c>
      <c r="D2966">
        <v>0.90740488733968905</v>
      </c>
      <c r="E2966">
        <v>0.82631070098869897</v>
      </c>
      <c r="F2966">
        <v>0.689248328076288</v>
      </c>
      <c r="G2966">
        <v>0.60355706915798701</v>
      </c>
      <c r="H2966">
        <v>0.387235406887041</v>
      </c>
      <c r="I2966">
        <v>0.32215687182314001</v>
      </c>
      <c r="J2966">
        <v>0.25125128442903999</v>
      </c>
      <c r="K2966">
        <v>0.232801249327797</v>
      </c>
      <c r="L2966">
        <v>580.75855875181196</v>
      </c>
      <c r="M2966">
        <v>10.1680642903299</v>
      </c>
      <c r="N2966">
        <v>58.385619221235899</v>
      </c>
      <c r="O2966">
        <v>55.038881975420402</v>
      </c>
      <c r="P2966">
        <v>-4.1623666647204703E-2</v>
      </c>
      <c r="Q2966">
        <v>9.9189368684348994E-2</v>
      </c>
      <c r="R2966">
        <v>0.99220362253156802</v>
      </c>
      <c r="S2966" t="s">
        <v>8792</v>
      </c>
      <c r="T2966" t="s">
        <v>11650</v>
      </c>
      <c r="U2966" t="s">
        <v>11650</v>
      </c>
      <c r="V2966" t="s">
        <v>11650</v>
      </c>
      <c r="W2966" t="s">
        <v>14570</v>
      </c>
      <c r="X2966">
        <v>8</v>
      </c>
      <c r="Y2966" t="s">
        <v>20270</v>
      </c>
      <c r="Z2966" t="s">
        <v>26028</v>
      </c>
      <c r="AA2966">
        <v>0.62695533709461748</v>
      </c>
      <c r="AB2966" t="str">
        <f>HYPERLINK("Melting_Curves/meltCurve_Q08AD1_2_CAMSAP2.pdf", "Melting_Curves/meltCurve_Q08AD1_2_CAMSAP2.pdf")</f>
        <v>Melting_Curves/meltCurve_Q08AD1_2_CAMSAP2.pdf</v>
      </c>
    </row>
    <row r="2967" spans="1:28" x14ac:dyDescent="0.25">
      <c r="A2967" t="s">
        <v>2971</v>
      </c>
      <c r="B2967">
        <v>0.99996721820229495</v>
      </c>
      <c r="C2967">
        <v>0.881488476524941</v>
      </c>
      <c r="D2967">
        <v>1.1300873010750501</v>
      </c>
      <c r="E2967">
        <v>1.4244467866016199</v>
      </c>
      <c r="F2967">
        <v>1.4656501966964099</v>
      </c>
      <c r="G2967">
        <v>1.4903774547383499</v>
      </c>
      <c r="H2967">
        <v>0.90497708535467702</v>
      </c>
      <c r="I2967">
        <v>0.37084767323440798</v>
      </c>
      <c r="J2967">
        <v>0.11973763652932901</v>
      </c>
      <c r="K2967">
        <v>0.108036989788097</v>
      </c>
      <c r="L2967">
        <v>4142.3939790562599</v>
      </c>
      <c r="M2967">
        <v>65.603990957640605</v>
      </c>
      <c r="N2967">
        <v>63.368020644050198</v>
      </c>
      <c r="O2967">
        <v>63.083814936924</v>
      </c>
      <c r="P2967">
        <v>-0.23290973171654999</v>
      </c>
      <c r="Q2967">
        <v>0.10415022269704501</v>
      </c>
      <c r="R2967">
        <v>0.73455178684912703</v>
      </c>
      <c r="S2967" t="s">
        <v>8793</v>
      </c>
      <c r="T2967" t="s">
        <v>11650</v>
      </c>
      <c r="U2967" t="s">
        <v>11650</v>
      </c>
      <c r="V2967" t="s">
        <v>11650</v>
      </c>
      <c r="W2967" t="s">
        <v>14571</v>
      </c>
      <c r="X2967">
        <v>4</v>
      </c>
      <c r="Y2967" t="s">
        <v>20271</v>
      </c>
      <c r="Z2967" t="s">
        <v>26029</v>
      </c>
      <c r="AA2967">
        <v>0.79660776768144292</v>
      </c>
      <c r="AB2967" t="str">
        <f>HYPERLINK("Melting_Curves/meltCurve_Q08AE8_2_SPIRE1.pdf", "Melting_Curves/meltCurve_Q08AE8_2_SPIRE1.pdf")</f>
        <v>Melting_Curves/meltCurve_Q08AE8_2_SPIRE1.pdf</v>
      </c>
    </row>
    <row r="2968" spans="1:28" x14ac:dyDescent="0.25">
      <c r="A2968" t="s">
        <v>2972</v>
      </c>
      <c r="B2968">
        <v>0.99996721820229495</v>
      </c>
      <c r="C2968">
        <v>0.94793449789937401</v>
      </c>
      <c r="D2968">
        <v>0.78871471049544895</v>
      </c>
      <c r="E2968">
        <v>0.66570618233398904</v>
      </c>
      <c r="F2968">
        <v>0.22912566880826399</v>
      </c>
      <c r="G2968">
        <v>0.175435929585845</v>
      </c>
      <c r="H2968">
        <v>0.104645592036887</v>
      </c>
      <c r="I2968">
        <v>6.6369321707124104E-2</v>
      </c>
      <c r="J2968">
        <v>5.63481453805856E-2</v>
      </c>
      <c r="K2968">
        <v>4.5955793007776302E-2</v>
      </c>
      <c r="L2968">
        <v>894.31787143766201</v>
      </c>
      <c r="M2968">
        <v>17.7346460322815</v>
      </c>
      <c r="N2968">
        <v>50.694943101867601</v>
      </c>
      <c r="O2968">
        <v>49.799664984661803</v>
      </c>
      <c r="P2968">
        <v>-8.5061687428384894E-2</v>
      </c>
      <c r="Q2968">
        <v>4.4622212057235301E-2</v>
      </c>
      <c r="R2968">
        <v>0.98105995001141399</v>
      </c>
      <c r="S2968" t="s">
        <v>8794</v>
      </c>
      <c r="T2968" t="s">
        <v>11650</v>
      </c>
      <c r="U2968" t="s">
        <v>11650</v>
      </c>
      <c r="V2968" t="s">
        <v>11650</v>
      </c>
      <c r="W2968" t="s">
        <v>14572</v>
      </c>
      <c r="X2968">
        <v>7</v>
      </c>
      <c r="Y2968" t="s">
        <v>20272</v>
      </c>
      <c r="Z2968" t="s">
        <v>26030</v>
      </c>
      <c r="AA2968">
        <v>0.39336102408214468</v>
      </c>
      <c r="AB2968" t="str">
        <f>HYPERLINK("Melting_Curves/meltCurve_Q08AF3_SLFN5.pdf", "Melting_Curves/meltCurve_Q08AF3_SLFN5.pdf")</f>
        <v>Melting_Curves/meltCurve_Q08AF3_SLFN5.pdf</v>
      </c>
    </row>
    <row r="2969" spans="1:28" x14ac:dyDescent="0.25">
      <c r="A2969" t="s">
        <v>2973</v>
      </c>
      <c r="B2969">
        <v>0.99996721820229495</v>
      </c>
      <c r="C2969">
        <v>1.08947437721686</v>
      </c>
      <c r="D2969">
        <v>1.09587543919786</v>
      </c>
      <c r="E2969">
        <v>1.0346005548389701</v>
      </c>
      <c r="F2969">
        <v>1.4930637614204001</v>
      </c>
      <c r="G2969">
        <v>2.0002348917027502</v>
      </c>
      <c r="H2969">
        <v>1.6161541709912399</v>
      </c>
      <c r="I2969">
        <v>1.6398654381947699</v>
      </c>
      <c r="J2969">
        <v>1.4156136064050799</v>
      </c>
      <c r="K2969">
        <v>0.85786963301509001</v>
      </c>
      <c r="L2969">
        <v>6105.7918865051197</v>
      </c>
      <c r="M2969">
        <v>119.51585791712399</v>
      </c>
      <c r="O2969">
        <v>51.073413796041898</v>
      </c>
      <c r="P2969">
        <v>0.29250996811719099</v>
      </c>
      <c r="Q2969">
        <v>1.5</v>
      </c>
      <c r="R2969">
        <v>0.39625710582538498</v>
      </c>
      <c r="S2969" t="s">
        <v>8795</v>
      </c>
      <c r="T2969" t="s">
        <v>11650</v>
      </c>
      <c r="U2969" t="s">
        <v>11650</v>
      </c>
      <c r="V2969" t="s">
        <v>11650</v>
      </c>
      <c r="W2969" t="s">
        <v>14573</v>
      </c>
      <c r="X2969">
        <v>3</v>
      </c>
      <c r="Y2969" t="s">
        <v>20273</v>
      </c>
      <c r="Z2969" t="s">
        <v>26031</v>
      </c>
      <c r="AA2969">
        <v>1.315008481083983</v>
      </c>
      <c r="AB2969" t="str">
        <f>HYPERLINK("Melting_Curves/meltCurve_Q08AG7_MZT1.pdf", "Melting_Curves/meltCurve_Q08AG7_MZT1.pdf")</f>
        <v>Melting_Curves/meltCurve_Q08AG7_MZT1.pdf</v>
      </c>
    </row>
    <row r="2970" spans="1:28" x14ac:dyDescent="0.25">
      <c r="A2970" t="s">
        <v>2974</v>
      </c>
      <c r="B2970">
        <v>0.99996721820229495</v>
      </c>
      <c r="C2970">
        <v>1.1319119100384301</v>
      </c>
      <c r="D2970">
        <v>1.38310200182604</v>
      </c>
      <c r="E2970">
        <v>2.26458442514252</v>
      </c>
      <c r="F2970">
        <v>2.80429965560959</v>
      </c>
      <c r="G2970">
        <v>1.0065433713901999</v>
      </c>
      <c r="H2970">
        <v>0.42398697414588898</v>
      </c>
      <c r="I2970">
        <v>0.26522003312744002</v>
      </c>
      <c r="J2970">
        <v>0.20027078756083999</v>
      </c>
      <c r="K2970">
        <v>0.17495447261083499</v>
      </c>
      <c r="L2970">
        <v>4592.9274583680799</v>
      </c>
      <c r="M2970">
        <v>76.256409436532607</v>
      </c>
      <c r="N2970">
        <v>60.661766669626999</v>
      </c>
      <c r="O2970">
        <v>60.188668317333203</v>
      </c>
      <c r="P2970">
        <v>-0.25041013563474801</v>
      </c>
      <c r="Q2970">
        <v>0.20941201788734301</v>
      </c>
      <c r="R2970">
        <v>0.29928179263763799</v>
      </c>
      <c r="S2970" t="s">
        <v>8796</v>
      </c>
      <c r="T2970" t="s">
        <v>11650</v>
      </c>
      <c r="U2970" t="s">
        <v>11650</v>
      </c>
      <c r="V2970" t="s">
        <v>11650</v>
      </c>
      <c r="W2970" t="s">
        <v>14574</v>
      </c>
      <c r="X2970">
        <v>12</v>
      </c>
      <c r="Y2970" t="s">
        <v>20274</v>
      </c>
      <c r="Z2970" t="s">
        <v>26032</v>
      </c>
      <c r="AA2970">
        <v>0.74343263682048466</v>
      </c>
      <c r="AB2970" t="str">
        <f>HYPERLINK("Melting_Curves/meltCurve_Q08AM6_VAC14.pdf", "Melting_Curves/meltCurve_Q08AM6_VAC14.pdf")</f>
        <v>Melting_Curves/meltCurve_Q08AM6_VAC14.pdf</v>
      </c>
    </row>
    <row r="2971" spans="1:28" x14ac:dyDescent="0.25">
      <c r="A2971" t="s">
        <v>2975</v>
      </c>
      <c r="B2971">
        <v>0.99996721820229495</v>
      </c>
      <c r="C2971">
        <v>0.95787815120922504</v>
      </c>
      <c r="D2971">
        <v>1.08869615188669</v>
      </c>
      <c r="E2971">
        <v>1.2997662297885999</v>
      </c>
      <c r="F2971">
        <v>1.2747384389824301</v>
      </c>
      <c r="G2971">
        <v>1.0908411283923101</v>
      </c>
      <c r="H2971">
        <v>0.56829226289111501</v>
      </c>
      <c r="I2971">
        <v>0.318737265406145</v>
      </c>
      <c r="J2971">
        <v>0.246341987660259</v>
      </c>
      <c r="K2971">
        <v>0.16643284170315101</v>
      </c>
      <c r="L2971">
        <v>3711.8373268588098</v>
      </c>
      <c r="M2971">
        <v>60.997996169955201</v>
      </c>
      <c r="N2971">
        <v>61.462540286532104</v>
      </c>
      <c r="O2971">
        <v>60.786489552830801</v>
      </c>
      <c r="P2971">
        <v>-0.19385543110522199</v>
      </c>
      <c r="Q2971">
        <v>0.227267298867324</v>
      </c>
      <c r="R2971">
        <v>0.88657419709866603</v>
      </c>
      <c r="S2971" t="s">
        <v>8797</v>
      </c>
      <c r="T2971" t="s">
        <v>11650</v>
      </c>
      <c r="U2971" t="s">
        <v>11650</v>
      </c>
      <c r="V2971" t="s">
        <v>11650</v>
      </c>
      <c r="W2971" t="s">
        <v>14575</v>
      </c>
      <c r="X2971">
        <v>5</v>
      </c>
      <c r="Y2971" t="s">
        <v>20275</v>
      </c>
      <c r="Z2971" t="s">
        <v>26033</v>
      </c>
      <c r="AA2971">
        <v>0.76574154293086349</v>
      </c>
      <c r="AB2971" t="str">
        <f>HYPERLINK("Melting_Curves/meltCurve_Q08E86_KIAA0100.pdf", "Melting_Curves/meltCurve_Q08E86_KIAA0100.pdf")</f>
        <v>Melting_Curves/meltCurve_Q08E86_KIAA0100.pdf</v>
      </c>
    </row>
    <row r="2972" spans="1:28" x14ac:dyDescent="0.25">
      <c r="A2972" t="s">
        <v>2976</v>
      </c>
      <c r="B2972">
        <v>0.99996721820229495</v>
      </c>
      <c r="C2972">
        <v>0.91760379977915096</v>
      </c>
      <c r="D2972">
        <v>0.91638441987397101</v>
      </c>
      <c r="E2972">
        <v>0.88046253907807903</v>
      </c>
      <c r="F2972">
        <v>0.88358966653866799</v>
      </c>
      <c r="G2972">
        <v>0.59743742165755898</v>
      </c>
      <c r="H2972">
        <v>0.24014541082834001</v>
      </c>
      <c r="I2972">
        <v>0.15066503749121399</v>
      </c>
      <c r="J2972">
        <v>9.6002479524940398E-2</v>
      </c>
      <c r="K2972">
        <v>7.2559632704046903E-2</v>
      </c>
      <c r="L2972">
        <v>1148.9779108985199</v>
      </c>
      <c r="M2972">
        <v>19.934162111143799</v>
      </c>
      <c r="N2972">
        <v>57.844884773072103</v>
      </c>
      <c r="O2972">
        <v>57.067986914693101</v>
      </c>
      <c r="P2972">
        <v>-8.4333526048243707E-2</v>
      </c>
      <c r="Q2972">
        <v>3.4303883574734503E-2</v>
      </c>
      <c r="R2972">
        <v>0.98461077228957194</v>
      </c>
      <c r="S2972" t="s">
        <v>8798</v>
      </c>
      <c r="T2972" t="s">
        <v>11650</v>
      </c>
      <c r="U2972" t="s">
        <v>11650</v>
      </c>
      <c r="V2972" t="s">
        <v>11650</v>
      </c>
      <c r="W2972" t="s">
        <v>14576</v>
      </c>
      <c r="X2972">
        <v>31</v>
      </c>
      <c r="Y2972" t="s">
        <v>20276</v>
      </c>
      <c r="Z2972" t="s">
        <v>26034</v>
      </c>
      <c r="AA2972">
        <v>0.61342210775392803</v>
      </c>
      <c r="AB2972" t="str">
        <f>HYPERLINK("Melting_Curves/meltCurve_Q08J23_NSUN2.pdf", "Melting_Curves/meltCurve_Q08J23_NSUN2.pdf")</f>
        <v>Melting_Curves/meltCurve_Q08J23_NSUN2.pdf</v>
      </c>
    </row>
    <row r="2973" spans="1:28" x14ac:dyDescent="0.25">
      <c r="A2973" t="s">
        <v>2977</v>
      </c>
      <c r="B2973">
        <v>0.99996721820229495</v>
      </c>
      <c r="C2973">
        <v>1.0820402597665</v>
      </c>
      <c r="D2973">
        <v>1.10452051998853</v>
      </c>
      <c r="E2973">
        <v>1.28418447440636</v>
      </c>
      <c r="F2973">
        <v>1.88269316314014</v>
      </c>
      <c r="G2973">
        <v>1.99917408081062</v>
      </c>
      <c r="H2973">
        <v>0.62233233391128595</v>
      </c>
      <c r="I2973">
        <v>0.45613177705165697</v>
      </c>
      <c r="J2973">
        <v>0.23927480064398901</v>
      </c>
      <c r="K2973">
        <v>0.191938807599878</v>
      </c>
      <c r="L2973">
        <v>6440.0416452915297</v>
      </c>
      <c r="M2973">
        <v>105.673052042854</v>
      </c>
      <c r="N2973">
        <v>61.455884326621302</v>
      </c>
      <c r="O2973">
        <v>60.9212683365716</v>
      </c>
      <c r="P2973">
        <v>-0.30660052103141699</v>
      </c>
      <c r="Q2973">
        <v>0.29297050110603601</v>
      </c>
      <c r="R2973">
        <v>0.45961912881952799</v>
      </c>
      <c r="S2973" t="s">
        <v>8799</v>
      </c>
      <c r="T2973" t="s">
        <v>11650</v>
      </c>
      <c r="U2973" t="s">
        <v>11650</v>
      </c>
      <c r="V2973" t="s">
        <v>11650</v>
      </c>
      <c r="W2973" t="s">
        <v>14577</v>
      </c>
      <c r="X2973">
        <v>11</v>
      </c>
      <c r="Y2973" t="s">
        <v>20277</v>
      </c>
      <c r="Z2973" t="s">
        <v>26035</v>
      </c>
      <c r="AA2973">
        <v>0.786973414970079</v>
      </c>
      <c r="AB2973" t="str">
        <f>HYPERLINK("Melting_Curves/meltCurve_Q09028_3_RBBP4.pdf", "Melting_Curves/meltCurve_Q09028_3_RBBP4.pdf")</f>
        <v>Melting_Curves/meltCurve_Q09028_3_RBBP4.pdf</v>
      </c>
    </row>
    <row r="2974" spans="1:28" x14ac:dyDescent="0.25">
      <c r="A2974" t="s">
        <v>2978</v>
      </c>
      <c r="B2974">
        <v>0.99996721820229495</v>
      </c>
      <c r="C2974">
        <v>1.06216116399217</v>
      </c>
      <c r="D2974">
        <v>1.17829565436703</v>
      </c>
      <c r="E2974">
        <v>1.4273614033479201</v>
      </c>
      <c r="F2974">
        <v>1.30331653588154</v>
      </c>
      <c r="G2974">
        <v>1.0027693002362801</v>
      </c>
      <c r="H2974">
        <v>0.89142784070275605</v>
      </c>
      <c r="I2974">
        <v>0.69885859565130004</v>
      </c>
      <c r="J2974">
        <v>0.58736426786275098</v>
      </c>
      <c r="K2974">
        <v>0.52435241934270405</v>
      </c>
      <c r="L2974">
        <v>2348.0781484407498</v>
      </c>
      <c r="M2974">
        <v>37.204832248554403</v>
      </c>
      <c r="O2974">
        <v>62.930671528941303</v>
      </c>
      <c r="P2974">
        <v>-7.0441554876375004E-2</v>
      </c>
      <c r="Q2974">
        <v>0.52340357948712202</v>
      </c>
      <c r="R2974">
        <v>0.61058165748946602</v>
      </c>
      <c r="S2974" t="s">
        <v>8800</v>
      </c>
      <c r="T2974" t="s">
        <v>11650</v>
      </c>
      <c r="U2974" t="s">
        <v>11650</v>
      </c>
      <c r="V2974" t="s">
        <v>11650</v>
      </c>
      <c r="W2974" t="s">
        <v>14578</v>
      </c>
      <c r="X2974">
        <v>4</v>
      </c>
      <c r="Y2974" t="s">
        <v>20278</v>
      </c>
      <c r="Z2974" t="s">
        <v>26036</v>
      </c>
      <c r="AA2974">
        <v>0.89208644044396079</v>
      </c>
      <c r="AB2974" t="str">
        <f>HYPERLINK("Melting_Curves/meltCurve_Q09161_NCBP1.pdf", "Melting_Curves/meltCurve_Q09161_NCBP1.pdf")</f>
        <v>Melting_Curves/meltCurve_Q09161_NCBP1.pdf</v>
      </c>
    </row>
    <row r="2975" spans="1:28" x14ac:dyDescent="0.25">
      <c r="A2975" t="s">
        <v>2979</v>
      </c>
      <c r="B2975">
        <v>0.99996721820229495</v>
      </c>
      <c r="C2975">
        <v>0.91848724506956403</v>
      </c>
      <c r="D2975">
        <v>0.99645899916903902</v>
      </c>
      <c r="E2975">
        <v>1.2285814787573599</v>
      </c>
      <c r="F2975">
        <v>1.51078286391092</v>
      </c>
      <c r="G2975">
        <v>0.97891152746326504</v>
      </c>
      <c r="H2975">
        <v>0.27611887413483599</v>
      </c>
      <c r="I2975">
        <v>0.184779031719185</v>
      </c>
      <c r="J2975">
        <v>0.123242758368102</v>
      </c>
      <c r="K2975">
        <v>0.103445741535018</v>
      </c>
      <c r="L2975">
        <v>4461.7521150573602</v>
      </c>
      <c r="M2975">
        <v>74.7480501909141</v>
      </c>
      <c r="N2975">
        <v>59.941391634301702</v>
      </c>
      <c r="O2975">
        <v>59.647870956918901</v>
      </c>
      <c r="P2975">
        <v>-0.27121293326916901</v>
      </c>
      <c r="Q2975">
        <v>0.13430410833131001</v>
      </c>
      <c r="R2975">
        <v>0.86334292755768305</v>
      </c>
      <c r="S2975" t="s">
        <v>8801</v>
      </c>
      <c r="T2975" t="s">
        <v>11650</v>
      </c>
      <c r="U2975" t="s">
        <v>11650</v>
      </c>
      <c r="V2975" t="s">
        <v>11650</v>
      </c>
      <c r="W2975" t="s">
        <v>14579</v>
      </c>
      <c r="X2975">
        <v>19</v>
      </c>
      <c r="Y2975" t="s">
        <v>20279</v>
      </c>
      <c r="Z2975" t="s">
        <v>26037</v>
      </c>
      <c r="AA2975">
        <v>0.70352119791776757</v>
      </c>
      <c r="AB2975" t="str">
        <f>HYPERLINK("Melting_Curves/meltCurve_Q09328_MGAT5.pdf", "Melting_Curves/meltCurve_Q09328_MGAT5.pdf")</f>
        <v>Melting_Curves/meltCurve_Q09328_MGAT5.pdf</v>
      </c>
    </row>
    <row r="2976" spans="1:28" x14ac:dyDescent="0.25">
      <c r="A2976" t="s">
        <v>2980</v>
      </c>
      <c r="B2976">
        <v>0.99996721820229495</v>
      </c>
      <c r="C2976">
        <v>1.0554921845666101</v>
      </c>
      <c r="D2976">
        <v>1.0000601381985099</v>
      </c>
      <c r="E2976">
        <v>1.03874573652957</v>
      </c>
      <c r="F2976">
        <v>1.27915117086147</v>
      </c>
      <c r="G2976">
        <v>1.38092579604508</v>
      </c>
      <c r="H2976">
        <v>1.10531113515781</v>
      </c>
      <c r="I2976">
        <v>0.86780017959903499</v>
      </c>
      <c r="J2976">
        <v>0.69316495376988796</v>
      </c>
      <c r="K2976">
        <v>0.63902839111007503</v>
      </c>
      <c r="L2976">
        <v>8907.9288992259299</v>
      </c>
      <c r="M2976">
        <v>138.75285551243999</v>
      </c>
      <c r="O2976">
        <v>64.186633373953995</v>
      </c>
      <c r="P2976">
        <v>-0.18079234614467199</v>
      </c>
      <c r="Q2976">
        <v>0.66546412435107605</v>
      </c>
      <c r="R2976">
        <v>0.499945383734754</v>
      </c>
      <c r="S2976" t="s">
        <v>8802</v>
      </c>
      <c r="T2976" t="s">
        <v>11650</v>
      </c>
      <c r="U2976" t="s">
        <v>11650</v>
      </c>
      <c r="V2976" t="s">
        <v>11650</v>
      </c>
      <c r="W2976" t="s">
        <v>14580</v>
      </c>
      <c r="X2976">
        <v>507</v>
      </c>
      <c r="Y2976" t="s">
        <v>20280</v>
      </c>
      <c r="Z2976" t="s">
        <v>26038</v>
      </c>
      <c r="AA2976">
        <v>0.93544506808585259</v>
      </c>
      <c r="AB2976" t="str">
        <f>HYPERLINK("Melting_Curves/meltCurve_Q09666_AHNAK.pdf", "Melting_Curves/meltCurve_Q09666_AHNAK.pdf")</f>
        <v>Melting_Curves/meltCurve_Q09666_AHNAK.pdf</v>
      </c>
    </row>
    <row r="2977" spans="1:28" x14ac:dyDescent="0.25">
      <c r="A2977" t="s">
        <v>2981</v>
      </c>
      <c r="B2977">
        <v>0.99996721820229495</v>
      </c>
      <c r="C2977">
        <v>1.3206723085164001</v>
      </c>
      <c r="D2977">
        <v>1.0087001478467601</v>
      </c>
      <c r="E2977">
        <v>1.25526583373059</v>
      </c>
      <c r="F2977">
        <v>1.2806954897289899</v>
      </c>
      <c r="G2977">
        <v>2.9877568682429501</v>
      </c>
      <c r="H2977">
        <v>2.2471099862761501</v>
      </c>
      <c r="I2977">
        <v>1.72579404239697</v>
      </c>
      <c r="J2977">
        <v>1.5402501129495401</v>
      </c>
      <c r="K2977">
        <v>1.3705504766352901</v>
      </c>
      <c r="L2977">
        <v>2320.6584719613702</v>
      </c>
      <c r="M2977">
        <v>46.233064894288901</v>
      </c>
      <c r="O2977">
        <v>50.101140716455703</v>
      </c>
      <c r="P2977">
        <v>0.115349470088357</v>
      </c>
      <c r="Q2977">
        <v>1.5</v>
      </c>
      <c r="R2977">
        <v>0.127383259249057</v>
      </c>
      <c r="S2977" t="s">
        <v>8803</v>
      </c>
      <c r="T2977" t="s">
        <v>11650</v>
      </c>
      <c r="U2977" t="s">
        <v>11650</v>
      </c>
      <c r="V2977" t="s">
        <v>11650</v>
      </c>
      <c r="W2977" t="s">
        <v>14581</v>
      </c>
      <c r="X2977">
        <v>7</v>
      </c>
      <c r="Y2977" t="s">
        <v>20280</v>
      </c>
      <c r="Z2977" t="s">
        <v>26039</v>
      </c>
      <c r="AA2977">
        <v>1.3287909644218809</v>
      </c>
      <c r="AB2977" t="str">
        <f>HYPERLINK("Melting_Curves/meltCurve_Q09666_2_AHNAK.pdf", "Melting_Curves/meltCurve_Q09666_2_AHNAK.pdf")</f>
        <v>Melting_Curves/meltCurve_Q09666_2_AHNAK.pdf</v>
      </c>
    </row>
    <row r="2978" spans="1:28" x14ac:dyDescent="0.25">
      <c r="A2978" t="s">
        <v>2982</v>
      </c>
      <c r="B2978">
        <v>0.99996721820229495</v>
      </c>
      <c r="C2978">
        <v>1.0067213860670801</v>
      </c>
      <c r="D2978">
        <v>1.0020149919449199</v>
      </c>
      <c r="E2978">
        <v>1.1286287705862199</v>
      </c>
      <c r="F2978">
        <v>0.77235983507907002</v>
      </c>
      <c r="G2978">
        <v>0.643970094283978</v>
      </c>
      <c r="H2978">
        <v>0.37352486065768198</v>
      </c>
      <c r="I2978">
        <v>0.28366829387486298</v>
      </c>
      <c r="J2978">
        <v>0.26187419117462502</v>
      </c>
      <c r="K2978">
        <v>0.25479352999287902</v>
      </c>
      <c r="L2978">
        <v>1271.0875213807899</v>
      </c>
      <c r="M2978">
        <v>22.342315550833</v>
      </c>
      <c r="N2978">
        <v>58.576553105376</v>
      </c>
      <c r="O2978">
        <v>56.441602064875802</v>
      </c>
      <c r="P2978">
        <v>-7.5502746259599296E-2</v>
      </c>
      <c r="Q2978">
        <v>0.23706987115776901</v>
      </c>
      <c r="R2978">
        <v>0.96595850216262302</v>
      </c>
      <c r="S2978" t="s">
        <v>8804</v>
      </c>
      <c r="T2978" t="s">
        <v>11650</v>
      </c>
      <c r="U2978" t="s">
        <v>11650</v>
      </c>
      <c r="V2978" t="s">
        <v>11650</v>
      </c>
      <c r="W2978" t="s">
        <v>14582</v>
      </c>
      <c r="X2978">
        <v>7</v>
      </c>
      <c r="Y2978" t="s">
        <v>20281</v>
      </c>
      <c r="Z2978" t="s">
        <v>26040</v>
      </c>
      <c r="AA2978">
        <v>0.67477548998223746</v>
      </c>
      <c r="AB2978" t="str">
        <f>HYPERLINK("Melting_Curves/meltCurve_Q0JRZ9_FCHO2.pdf", "Melting_Curves/meltCurve_Q0JRZ9_FCHO2.pdf")</f>
        <v>Melting_Curves/meltCurve_Q0JRZ9_FCHO2.pdf</v>
      </c>
    </row>
    <row r="2979" spans="1:28" x14ac:dyDescent="0.25">
      <c r="A2979" t="s">
        <v>2983</v>
      </c>
      <c r="B2979">
        <v>0.99996721820229495</v>
      </c>
      <c r="C2979">
        <v>1.08691080170976</v>
      </c>
      <c r="D2979">
        <v>1.0626006332018401</v>
      </c>
      <c r="E2979">
        <v>1.12646392348444</v>
      </c>
      <c r="F2979">
        <v>1.49386962542014</v>
      </c>
      <c r="G2979">
        <v>1.96431670052971</v>
      </c>
      <c r="H2979">
        <v>1.43568586594418</v>
      </c>
      <c r="I2979">
        <v>0.82238715097548098</v>
      </c>
      <c r="J2979">
        <v>0.527849937923075</v>
      </c>
      <c r="K2979">
        <v>0.483221489001606</v>
      </c>
      <c r="L2979">
        <v>15000</v>
      </c>
      <c r="M2979">
        <v>233.79599402133601</v>
      </c>
      <c r="O2979">
        <v>64.153804332592301</v>
      </c>
      <c r="P2979">
        <v>-0.450507629660098</v>
      </c>
      <c r="Q2979">
        <v>0.50552141176486198</v>
      </c>
      <c r="R2979">
        <v>0.23172422230478101</v>
      </c>
      <c r="S2979" t="s">
        <v>8805</v>
      </c>
      <c r="T2979" t="s">
        <v>11650</v>
      </c>
      <c r="U2979" t="s">
        <v>11650</v>
      </c>
      <c r="V2979" t="s">
        <v>11650</v>
      </c>
      <c r="W2979" t="s">
        <v>14583</v>
      </c>
      <c r="X2979">
        <v>2</v>
      </c>
      <c r="Y2979" t="s">
        <v>20282</v>
      </c>
      <c r="Z2979" t="s">
        <v>26041</v>
      </c>
      <c r="AA2979">
        <v>0.90378042173469142</v>
      </c>
      <c r="AB2979" t="str">
        <f>HYPERLINK("Melting_Curves/meltCurve_Q0PNE2_ELP6.pdf", "Melting_Curves/meltCurve_Q0PNE2_ELP6.pdf")</f>
        <v>Melting_Curves/meltCurve_Q0PNE2_ELP6.pdf</v>
      </c>
    </row>
    <row r="2980" spans="1:28" x14ac:dyDescent="0.25">
      <c r="A2980" t="s">
        <v>2984</v>
      </c>
      <c r="B2980">
        <v>0.99996721820229495</v>
      </c>
      <c r="C2980">
        <v>0.85394069642454995</v>
      </c>
      <c r="D2980">
        <v>0.700743607986554</v>
      </c>
      <c r="E2980">
        <v>0.50617296212636798</v>
      </c>
      <c r="F2980">
        <v>0.36882323708034698</v>
      </c>
      <c r="G2980">
        <v>0.31774382031481901</v>
      </c>
      <c r="H2980">
        <v>0.19037587866074701</v>
      </c>
      <c r="I2980">
        <v>0.124030045307794</v>
      </c>
      <c r="J2980">
        <v>6.8490437584339994E-2</v>
      </c>
      <c r="K2980">
        <v>4.2433332344117898E-2</v>
      </c>
      <c r="L2980">
        <v>483.83394853920902</v>
      </c>
      <c r="M2980">
        <v>9.5495771798718305</v>
      </c>
      <c r="N2980">
        <v>50.665468395799799</v>
      </c>
      <c r="O2980">
        <v>48.593082373428999</v>
      </c>
      <c r="P2980">
        <v>-4.9158823063008603E-2</v>
      </c>
      <c r="Q2980">
        <v>0</v>
      </c>
      <c r="R2980">
        <v>0.98776104926581099</v>
      </c>
      <c r="S2980" t="s">
        <v>8806</v>
      </c>
      <c r="T2980" t="s">
        <v>11650</v>
      </c>
      <c r="U2980" t="s">
        <v>11650</v>
      </c>
      <c r="V2980" t="s">
        <v>11650</v>
      </c>
      <c r="W2980" t="s">
        <v>14584</v>
      </c>
      <c r="X2980">
        <v>3</v>
      </c>
      <c r="Y2980" t="s">
        <v>20283</v>
      </c>
      <c r="Z2980" t="s">
        <v>26042</v>
      </c>
      <c r="AA2980">
        <v>0.40086307593844828</v>
      </c>
      <c r="AB2980" t="str">
        <f>HYPERLINK("Melting_Curves/meltCurve_Q0VDF9_HSPA14.pdf", "Melting_Curves/meltCurve_Q0VDF9_HSPA14.pdf")</f>
        <v>Melting_Curves/meltCurve_Q0VDF9_HSPA14.pdf</v>
      </c>
    </row>
    <row r="2981" spans="1:28" x14ac:dyDescent="0.25">
      <c r="A2981" t="s">
        <v>2985</v>
      </c>
      <c r="B2981">
        <v>0.99996721820229495</v>
      </c>
      <c r="C2981">
        <v>1.0015953872026699</v>
      </c>
      <c r="D2981">
        <v>1.0235553415517</v>
      </c>
      <c r="E2981">
        <v>1.0034494828121301</v>
      </c>
      <c r="F2981">
        <v>0.985252909332339</v>
      </c>
      <c r="G2981">
        <v>0.51706444809906005</v>
      </c>
      <c r="H2981">
        <v>0.24115114820297601</v>
      </c>
      <c r="I2981">
        <v>0.15336247951088</v>
      </c>
      <c r="J2981">
        <v>0.117545612838723</v>
      </c>
      <c r="K2981">
        <v>6.9270751890819604E-2</v>
      </c>
      <c r="L2981">
        <v>1939.03581068321</v>
      </c>
      <c r="M2981">
        <v>34.058790648005399</v>
      </c>
      <c r="N2981">
        <v>57.366929464731399</v>
      </c>
      <c r="O2981">
        <v>56.7368267054079</v>
      </c>
      <c r="P2981">
        <v>-0.13299846921185299</v>
      </c>
      <c r="Q2981">
        <v>0.11378165419570201</v>
      </c>
      <c r="R2981">
        <v>0.99475298364431697</v>
      </c>
      <c r="S2981" t="s">
        <v>8807</v>
      </c>
      <c r="T2981" t="s">
        <v>11650</v>
      </c>
      <c r="U2981" t="s">
        <v>11650</v>
      </c>
      <c r="V2981" t="s">
        <v>11650</v>
      </c>
      <c r="W2981" t="s">
        <v>14585</v>
      </c>
      <c r="X2981">
        <v>11</v>
      </c>
      <c r="Y2981" t="s">
        <v>20284</v>
      </c>
      <c r="Z2981" t="s">
        <v>26043</v>
      </c>
      <c r="AA2981">
        <v>0.61865239412946382</v>
      </c>
      <c r="AB2981" t="str">
        <f>HYPERLINK("Melting_Curves/meltCurve_Q0VDG4_SCRN3.pdf", "Melting_Curves/meltCurve_Q0VDG4_SCRN3.pdf")</f>
        <v>Melting_Curves/meltCurve_Q0VDG4_SCRN3.pdf</v>
      </c>
    </row>
    <row r="2982" spans="1:28" x14ac:dyDescent="0.25">
      <c r="A2982" t="s">
        <v>2986</v>
      </c>
      <c r="B2982">
        <v>0.99996721820229495</v>
      </c>
      <c r="C2982">
        <v>0.97306016313317101</v>
      </c>
      <c r="D2982">
        <v>0.88931269069704699</v>
      </c>
      <c r="E2982">
        <v>0.619745275501843</v>
      </c>
      <c r="F2982">
        <v>0.41109649227956502</v>
      </c>
      <c r="G2982">
        <v>0.34850638291427899</v>
      </c>
      <c r="H2982">
        <v>0.17795073571103501</v>
      </c>
      <c r="I2982">
        <v>0.13323354164842099</v>
      </c>
      <c r="J2982">
        <v>6.9831226912976802E-2</v>
      </c>
      <c r="K2982">
        <v>6.1356795022019503E-2</v>
      </c>
      <c r="L2982">
        <v>678.32627996256895</v>
      </c>
      <c r="M2982">
        <v>13.036139640496501</v>
      </c>
      <c r="N2982">
        <v>52.417136746461999</v>
      </c>
      <c r="O2982">
        <v>50.855504052177302</v>
      </c>
      <c r="P2982">
        <v>-6.1184793316024902E-2</v>
      </c>
      <c r="Q2982">
        <v>4.5410717553734298E-2</v>
      </c>
      <c r="R2982">
        <v>0.99031459854029202</v>
      </c>
      <c r="S2982" t="s">
        <v>8808</v>
      </c>
      <c r="T2982" t="s">
        <v>11650</v>
      </c>
      <c r="U2982" t="s">
        <v>11650</v>
      </c>
      <c r="V2982" t="s">
        <v>11650</v>
      </c>
      <c r="W2982" t="s">
        <v>14586</v>
      </c>
      <c r="X2982">
        <v>4</v>
      </c>
      <c r="Y2982" t="s">
        <v>20285</v>
      </c>
      <c r="Z2982" t="s">
        <v>26044</v>
      </c>
      <c r="AA2982">
        <v>0.45445564325578691</v>
      </c>
      <c r="AB2982" t="str">
        <f>HYPERLINK("Melting_Curves/meltCurve_Q0VG06_FAAP100.pdf", "Melting_Curves/meltCurve_Q0VG06_FAAP100.pdf")</f>
        <v>Melting_Curves/meltCurve_Q0VG06_FAAP100.pdf</v>
      </c>
    </row>
    <row r="2983" spans="1:28" x14ac:dyDescent="0.25">
      <c r="A2983" t="s">
        <v>2987</v>
      </c>
      <c r="B2983">
        <v>0.99996721820229495</v>
      </c>
      <c r="C2983">
        <v>0.71070472173647303</v>
      </c>
      <c r="D2983">
        <v>0.96808517848336995</v>
      </c>
      <c r="E2983">
        <v>0.99620625407095498</v>
      </c>
      <c r="F2983">
        <v>1.50739511622651</v>
      </c>
      <c r="G2983">
        <v>1.1995069533981699</v>
      </c>
      <c r="H2983">
        <v>0.78069540174091601</v>
      </c>
      <c r="I2983">
        <v>0.30224845893145402</v>
      </c>
      <c r="J2983">
        <v>0.13054578455256799</v>
      </c>
      <c r="K2983">
        <v>5.8445859659516201E-2</v>
      </c>
      <c r="L2983">
        <v>3205.49048146519</v>
      </c>
      <c r="M2983">
        <v>51.266596278365299</v>
      </c>
      <c r="N2983">
        <v>62.736361956247599</v>
      </c>
      <c r="O2983">
        <v>62.430990060070101</v>
      </c>
      <c r="P2983">
        <v>-0.189073953635642</v>
      </c>
      <c r="Q2983">
        <v>7.9005374141630696E-2</v>
      </c>
      <c r="R2983">
        <v>0.80777620177092102</v>
      </c>
      <c r="S2983" t="s">
        <v>8809</v>
      </c>
      <c r="T2983" t="s">
        <v>11650</v>
      </c>
      <c r="U2983" t="s">
        <v>11650</v>
      </c>
      <c r="V2983" t="s">
        <v>11650</v>
      </c>
      <c r="W2983" t="s">
        <v>14587</v>
      </c>
      <c r="X2983">
        <v>2</v>
      </c>
      <c r="Y2983" t="s">
        <v>20286</v>
      </c>
      <c r="Z2983" t="s">
        <v>26045</v>
      </c>
      <c r="AA2983">
        <v>0.77275657290787392</v>
      </c>
      <c r="AB2983" t="str">
        <f>HYPERLINK("Melting_Curves/meltCurve_Q0VGL1_LAMTOR4.pdf", "Melting_Curves/meltCurve_Q0VGL1_LAMTOR4.pdf")</f>
        <v>Melting_Curves/meltCurve_Q0VGL1_LAMTOR4.pdf</v>
      </c>
    </row>
    <row r="2984" spans="1:28" x14ac:dyDescent="0.25">
      <c r="A2984" t="s">
        <v>2988</v>
      </c>
      <c r="B2984">
        <v>0.99996721820229495</v>
      </c>
      <c r="C2984">
        <v>0.69180357287901095</v>
      </c>
      <c r="D2984">
        <v>0.81562440854610196</v>
      </c>
      <c r="E2984">
        <v>0.73169592664821204</v>
      </c>
      <c r="F2984">
        <v>0.74331271319705905</v>
      </c>
      <c r="G2984">
        <v>0.93397123217517997</v>
      </c>
      <c r="H2984">
        <v>0.61427340919409801</v>
      </c>
      <c r="I2984">
        <v>0.68202814443282</v>
      </c>
      <c r="J2984">
        <v>0.89271888964324497</v>
      </c>
      <c r="K2984">
        <v>0.70859275421399204</v>
      </c>
      <c r="L2984">
        <v>10248.233090190601</v>
      </c>
      <c r="M2984">
        <v>250</v>
      </c>
      <c r="O2984">
        <v>40.990300087453001</v>
      </c>
      <c r="P2984">
        <v>-0.37034171531969101</v>
      </c>
      <c r="Q2984">
        <v>0.75711325805317597</v>
      </c>
      <c r="R2984">
        <v>0.38003918605381498</v>
      </c>
      <c r="S2984" t="s">
        <v>8810</v>
      </c>
      <c r="T2984" t="s">
        <v>11650</v>
      </c>
      <c r="U2984" t="s">
        <v>11650</v>
      </c>
      <c r="V2984" t="s">
        <v>11650</v>
      </c>
      <c r="W2984" t="s">
        <v>14588</v>
      </c>
      <c r="X2984">
        <v>33</v>
      </c>
      <c r="Y2984" t="s">
        <v>20287</v>
      </c>
      <c r="Z2984" t="s">
        <v>26046</v>
      </c>
      <c r="AA2984">
        <v>0.76517226343238565</v>
      </c>
      <c r="AB2984" t="str">
        <f>HYPERLINK("Melting_Curves/meltCurve_Q0ZGT2_2_NEXN.pdf", "Melting_Curves/meltCurve_Q0ZGT2_2_NEXN.pdf")</f>
        <v>Melting_Curves/meltCurve_Q0ZGT2_2_NEXN.pdf</v>
      </c>
    </row>
    <row r="2985" spans="1:28" x14ac:dyDescent="0.25">
      <c r="A2985" t="s">
        <v>2989</v>
      </c>
      <c r="B2985">
        <v>0.99996721820229495</v>
      </c>
      <c r="C2985">
        <v>0.75989542264847998</v>
      </c>
      <c r="D2985">
        <v>1.0055696787885</v>
      </c>
      <c r="E2985">
        <v>1.11627591972063</v>
      </c>
      <c r="F2985">
        <v>1.0132724293653901</v>
      </c>
      <c r="G2985">
        <v>0.50655538598070904</v>
      </c>
      <c r="H2985">
        <v>0.27601866239633399</v>
      </c>
      <c r="I2985">
        <v>0.16981666510413199</v>
      </c>
      <c r="J2985">
        <v>0.110476843820452</v>
      </c>
      <c r="K2985">
        <v>7.4396437234678897E-2</v>
      </c>
      <c r="L2985">
        <v>2144.4108876443702</v>
      </c>
      <c r="M2985">
        <v>37.710978116867999</v>
      </c>
      <c r="N2985">
        <v>57.331857346713001</v>
      </c>
      <c r="O2985">
        <v>56.705171701919703</v>
      </c>
      <c r="P2985">
        <v>-0.14425360467981099</v>
      </c>
      <c r="Q2985">
        <v>0.132358362266496</v>
      </c>
      <c r="R2985">
        <v>0.94412016277405997</v>
      </c>
      <c r="S2985" t="s">
        <v>8811</v>
      </c>
      <c r="T2985" t="s">
        <v>11650</v>
      </c>
      <c r="U2985" t="s">
        <v>11650</v>
      </c>
      <c r="V2985" t="s">
        <v>11650</v>
      </c>
      <c r="W2985" t="s">
        <v>14589</v>
      </c>
      <c r="X2985">
        <v>9</v>
      </c>
      <c r="Y2985" t="s">
        <v>20288</v>
      </c>
      <c r="Z2985" t="s">
        <v>26047</v>
      </c>
      <c r="AA2985">
        <v>0.62388175271389146</v>
      </c>
      <c r="AB2985" t="str">
        <f>HYPERLINK("Melting_Curves/meltCurve_Q10469_MGAT2.pdf", "Melting_Curves/meltCurve_Q10469_MGAT2.pdf")</f>
        <v>Melting_Curves/meltCurve_Q10469_MGAT2.pdf</v>
      </c>
    </row>
    <row r="2986" spans="1:28" x14ac:dyDescent="0.25">
      <c r="A2986" t="s">
        <v>2990</v>
      </c>
      <c r="B2986">
        <v>0.99996721820229495</v>
      </c>
      <c r="C2986">
        <v>0.71758347205723605</v>
      </c>
      <c r="D2986">
        <v>0.97165436593419197</v>
      </c>
      <c r="E2986">
        <v>0.76673577120182002</v>
      </c>
      <c r="F2986">
        <v>0.26745766005398602</v>
      </c>
      <c r="G2986">
        <v>0.21834165118844301</v>
      </c>
      <c r="H2986">
        <v>0.13329181227180101</v>
      </c>
      <c r="I2986">
        <v>9.0142955940137395E-2</v>
      </c>
      <c r="J2986">
        <v>6.6625987380947702E-2</v>
      </c>
      <c r="K2986">
        <v>5.4313807968496997E-2</v>
      </c>
      <c r="L2986">
        <v>1988.5227489527399</v>
      </c>
      <c r="M2986">
        <v>38.820898566279602</v>
      </c>
      <c r="N2986">
        <v>51.534615557302402</v>
      </c>
      <c r="O2986">
        <v>51.0876414032276</v>
      </c>
      <c r="P2986">
        <v>-0.170098609721375</v>
      </c>
      <c r="Q2986">
        <v>0.10461461513381499</v>
      </c>
      <c r="R2986">
        <v>0.93015830150599099</v>
      </c>
      <c r="S2986" t="s">
        <v>8812</v>
      </c>
      <c r="T2986" t="s">
        <v>11650</v>
      </c>
      <c r="U2986" t="s">
        <v>11650</v>
      </c>
      <c r="V2986" t="s">
        <v>11650</v>
      </c>
      <c r="W2986" t="s">
        <v>14590</v>
      </c>
      <c r="X2986">
        <v>20</v>
      </c>
      <c r="Y2986" t="s">
        <v>20289</v>
      </c>
      <c r="Z2986" t="s">
        <v>26048</v>
      </c>
      <c r="AA2986">
        <v>0.44294483022457293</v>
      </c>
      <c r="AB2986" t="str">
        <f>HYPERLINK("Melting_Curves/meltCurve_Q10471_GALNT2.pdf", "Melting_Curves/meltCurve_Q10471_GALNT2.pdf")</f>
        <v>Melting_Curves/meltCurve_Q10471_GALNT2.pdf</v>
      </c>
    </row>
    <row r="2987" spans="1:28" x14ac:dyDescent="0.25">
      <c r="A2987" t="s">
        <v>2991</v>
      </c>
      <c r="B2987">
        <v>0.99996721820229495</v>
      </c>
      <c r="C2987">
        <v>0.45636572293207001</v>
      </c>
      <c r="D2987">
        <v>0.61276383426175296</v>
      </c>
      <c r="E2987">
        <v>0.63927600792006101</v>
      </c>
      <c r="F2987">
        <v>0.80315622379065499</v>
      </c>
      <c r="G2987">
        <v>0.89437220081992796</v>
      </c>
      <c r="H2987">
        <v>0.29477920687387998</v>
      </c>
      <c r="I2987">
        <v>0.193551639954259</v>
      </c>
      <c r="J2987">
        <v>0.14191782950326501</v>
      </c>
      <c r="K2987">
        <v>0.120757054700637</v>
      </c>
      <c r="L2987">
        <v>289.00312664663397</v>
      </c>
      <c r="M2987">
        <v>5.2271428600791801</v>
      </c>
      <c r="N2987">
        <v>55.288928261141699</v>
      </c>
      <c r="O2987">
        <v>48.741916481661399</v>
      </c>
      <c r="P2987">
        <v>-2.6951295284890198E-2</v>
      </c>
      <c r="Q2987">
        <v>0</v>
      </c>
      <c r="R2987">
        <v>0.49351939559191399</v>
      </c>
      <c r="S2987" t="s">
        <v>8813</v>
      </c>
      <c r="T2987" t="s">
        <v>11650</v>
      </c>
      <c r="U2987" t="s">
        <v>11650</v>
      </c>
      <c r="V2987" t="s">
        <v>11650</v>
      </c>
      <c r="W2987" t="s">
        <v>14591</v>
      </c>
      <c r="X2987">
        <v>34</v>
      </c>
      <c r="Y2987" t="s">
        <v>20290</v>
      </c>
      <c r="Z2987" t="s">
        <v>26049</v>
      </c>
      <c r="AA2987">
        <v>0.53070574804833415</v>
      </c>
      <c r="AB2987" t="str">
        <f>HYPERLINK("Melting_Curves/meltCurve_Q10567_2_AP1B1.pdf", "Melting_Curves/meltCurve_Q10567_2_AP1B1.pdf")</f>
        <v>Melting_Curves/meltCurve_Q10567_2_AP1B1.pdf</v>
      </c>
    </row>
    <row r="2988" spans="1:28" x14ac:dyDescent="0.25">
      <c r="A2988" t="s">
        <v>2992</v>
      </c>
      <c r="B2988">
        <v>0.99996721820229495</v>
      </c>
      <c r="C2988">
        <v>1.0445366464632999</v>
      </c>
      <c r="D2988">
        <v>1.1109561904962599</v>
      </c>
      <c r="E2988">
        <v>1.2771231844278499</v>
      </c>
      <c r="F2988">
        <v>1.2698473732427</v>
      </c>
      <c r="G2988">
        <v>1.2060328251085399</v>
      </c>
      <c r="H2988">
        <v>0.29651055750790301</v>
      </c>
      <c r="I2988">
        <v>0.18304582725497301</v>
      </c>
      <c r="J2988">
        <v>0.104969290725224</v>
      </c>
      <c r="K2988">
        <v>6.1133034720471602E-2</v>
      </c>
      <c r="L2988">
        <v>11093.1066203644</v>
      </c>
      <c r="M2988">
        <v>183.21622356440901</v>
      </c>
      <c r="N2988">
        <v>60.634195879640401</v>
      </c>
      <c r="O2988">
        <v>60.5393356629423</v>
      </c>
      <c r="P2988">
        <v>-0.66856329514968205</v>
      </c>
      <c r="Q2988">
        <v>0.116358491409686</v>
      </c>
      <c r="R2988">
        <v>0.91276603945305601</v>
      </c>
      <c r="S2988" t="s">
        <v>8814</v>
      </c>
      <c r="T2988" t="s">
        <v>11650</v>
      </c>
      <c r="U2988" t="s">
        <v>11650</v>
      </c>
      <c r="V2988" t="s">
        <v>11650</v>
      </c>
      <c r="W2988" t="s">
        <v>14592</v>
      </c>
      <c r="X2988">
        <v>34</v>
      </c>
      <c r="Y2988" t="s">
        <v>20290</v>
      </c>
      <c r="Z2988" t="s">
        <v>26050</v>
      </c>
      <c r="AA2988">
        <v>0.7217255771974741</v>
      </c>
      <c r="AB2988" t="str">
        <f>HYPERLINK("Melting_Curves/meltCurve_Q10567_3_AP1B1.pdf", "Melting_Curves/meltCurve_Q10567_3_AP1B1.pdf")</f>
        <v>Melting_Curves/meltCurve_Q10567_3_AP1B1.pdf</v>
      </c>
    </row>
    <row r="2989" spans="1:28" x14ac:dyDescent="0.25">
      <c r="A2989" t="s">
        <v>2993</v>
      </c>
      <c r="B2989">
        <v>0.99996721820229495</v>
      </c>
      <c r="C2989">
        <v>0.95430839137822199</v>
      </c>
      <c r="D2989">
        <v>1.0409420564169101</v>
      </c>
      <c r="E2989">
        <v>1.0495074688811099</v>
      </c>
      <c r="F2989">
        <v>0.61824846002043299</v>
      </c>
      <c r="G2989">
        <v>0.34582571438821702</v>
      </c>
      <c r="H2989">
        <v>0.193044295124423</v>
      </c>
      <c r="I2989">
        <v>0.138914807548431</v>
      </c>
      <c r="J2989">
        <v>9.1525142463871195E-2</v>
      </c>
      <c r="K2989">
        <v>7.0991980512497999E-2</v>
      </c>
      <c r="L2989">
        <v>1446.7409351701699</v>
      </c>
      <c r="M2989">
        <v>26.603504619457901</v>
      </c>
      <c r="N2989">
        <v>54.883003109147197</v>
      </c>
      <c r="O2989">
        <v>54.077125359714103</v>
      </c>
      <c r="P2989">
        <v>-0.109721424113669</v>
      </c>
      <c r="Q2989">
        <v>0.107883750964526</v>
      </c>
      <c r="R2989">
        <v>0.97993174131662797</v>
      </c>
      <c r="S2989" t="s">
        <v>8815</v>
      </c>
      <c r="T2989" t="s">
        <v>11650</v>
      </c>
      <c r="U2989" t="s">
        <v>11650</v>
      </c>
      <c r="V2989" t="s">
        <v>11650</v>
      </c>
      <c r="W2989" t="s">
        <v>14593</v>
      </c>
      <c r="X2989">
        <v>20</v>
      </c>
      <c r="Y2989" t="s">
        <v>20291</v>
      </c>
      <c r="Z2989" t="s">
        <v>26051</v>
      </c>
      <c r="AA2989">
        <v>0.54292899145092965</v>
      </c>
      <c r="AB2989" t="str">
        <f>HYPERLINK("Melting_Curves/meltCurve_Q10713_PMPCA.pdf", "Melting_Curves/meltCurve_Q10713_PMPCA.pdf")</f>
        <v>Melting_Curves/meltCurve_Q10713_PMPCA.pdf</v>
      </c>
    </row>
    <row r="2990" spans="1:28" x14ac:dyDescent="0.25">
      <c r="A2990" t="s">
        <v>2994</v>
      </c>
      <c r="B2990">
        <v>0.99996721820229495</v>
      </c>
      <c r="C2990">
        <v>0.91836476886324403</v>
      </c>
      <c r="D2990">
        <v>1.1341258281489901</v>
      </c>
      <c r="E2990">
        <v>1.5040766010773501</v>
      </c>
      <c r="F2990">
        <v>1.53172043295231</v>
      </c>
      <c r="G2990">
        <v>0.97469270699638699</v>
      </c>
      <c r="H2990">
        <v>0.58997205923469898</v>
      </c>
      <c r="I2990">
        <v>0.26029447358910501</v>
      </c>
      <c r="J2990">
        <v>0.19813904205852301</v>
      </c>
      <c r="K2990">
        <v>0.22888707051307799</v>
      </c>
      <c r="L2990">
        <v>3547.2337467776802</v>
      </c>
      <c r="M2990">
        <v>58.235415331149703</v>
      </c>
      <c r="N2990">
        <v>61.497129246451898</v>
      </c>
      <c r="O2990">
        <v>60.840265154111798</v>
      </c>
      <c r="P2990">
        <v>-0.18839455137755701</v>
      </c>
      <c r="Q2990">
        <v>0.212714868379274</v>
      </c>
      <c r="R2990">
        <v>0.74890145495075</v>
      </c>
      <c r="S2990" t="s">
        <v>8816</v>
      </c>
      <c r="T2990" t="s">
        <v>11650</v>
      </c>
      <c r="U2990" t="s">
        <v>11650</v>
      </c>
      <c r="V2990" t="s">
        <v>11650</v>
      </c>
      <c r="W2990" t="s">
        <v>14594</v>
      </c>
      <c r="X2990">
        <v>1</v>
      </c>
      <c r="Y2990" t="s">
        <v>20292</v>
      </c>
      <c r="Z2990" t="s">
        <v>26052</v>
      </c>
      <c r="AA2990">
        <v>0.7630416301924382</v>
      </c>
      <c r="AB2990" t="str">
        <f>HYPERLINK("Melting_Curves/meltCurve_Q11206_3_ST3GAL4.pdf", "Melting_Curves/meltCurve_Q11206_3_ST3GAL4.pdf")</f>
        <v>Melting_Curves/meltCurve_Q11206_3_ST3GAL4.pdf</v>
      </c>
    </row>
    <row r="2991" spans="1:28" x14ac:dyDescent="0.25">
      <c r="A2991" t="s">
        <v>2995</v>
      </c>
      <c r="B2991">
        <v>0.99996721820229495</v>
      </c>
      <c r="C2991">
        <v>1.05073236867369</v>
      </c>
      <c r="D2991">
        <v>1.0587349019746799</v>
      </c>
      <c r="E2991">
        <v>1.00053971690792</v>
      </c>
      <c r="F2991">
        <v>0.45278779879310599</v>
      </c>
      <c r="G2991">
        <v>0.31257685946584202</v>
      </c>
      <c r="H2991">
        <v>0.17770109086979599</v>
      </c>
      <c r="I2991">
        <v>0.111711141209415</v>
      </c>
      <c r="J2991">
        <v>8.0892706728657199E-2</v>
      </c>
      <c r="K2991">
        <v>7.1181705912062604E-2</v>
      </c>
      <c r="L2991">
        <v>3198.29771741696</v>
      </c>
      <c r="M2991">
        <v>60.867328543708098</v>
      </c>
      <c r="N2991">
        <v>52.849705017917501</v>
      </c>
      <c r="O2991">
        <v>52.488750655983203</v>
      </c>
      <c r="P2991">
        <v>-0.24705144218142699</v>
      </c>
      <c r="Q2991">
        <v>0.14782396478259899</v>
      </c>
      <c r="R2991">
        <v>0.97443428686998501</v>
      </c>
      <c r="S2991" t="s">
        <v>8817</v>
      </c>
      <c r="T2991" t="s">
        <v>11650</v>
      </c>
      <c r="U2991" t="s">
        <v>11650</v>
      </c>
      <c r="V2991" t="s">
        <v>11650</v>
      </c>
      <c r="W2991" t="s">
        <v>14595</v>
      </c>
      <c r="X2991">
        <v>22</v>
      </c>
      <c r="Y2991" t="s">
        <v>20293</v>
      </c>
      <c r="Z2991" t="s">
        <v>26053</v>
      </c>
      <c r="AA2991">
        <v>0.50551714035906969</v>
      </c>
      <c r="AB2991" t="str">
        <f>HYPERLINK("Melting_Curves/meltCurve_Q12765_SCRN1.pdf", "Melting_Curves/meltCurve_Q12765_SCRN1.pdf")</f>
        <v>Melting_Curves/meltCurve_Q12765_SCRN1.pdf</v>
      </c>
    </row>
    <row r="2992" spans="1:28" x14ac:dyDescent="0.25">
      <c r="A2992" t="s">
        <v>2996</v>
      </c>
      <c r="B2992">
        <v>0.99996721820229495</v>
      </c>
      <c r="C2992">
        <v>1.08481889669005</v>
      </c>
      <c r="D2992">
        <v>1.21998069239975</v>
      </c>
      <c r="E2992">
        <v>2.1520681961186598</v>
      </c>
      <c r="F2992">
        <v>1.03527477445328</v>
      </c>
      <c r="G2992">
        <v>0.90800428522149801</v>
      </c>
      <c r="H2992">
        <v>0.59961253841015405</v>
      </c>
      <c r="I2992">
        <v>0.41508675171415099</v>
      </c>
      <c r="J2992">
        <v>0.35783829409801698</v>
      </c>
      <c r="K2992">
        <v>0.32087847049763102</v>
      </c>
      <c r="L2992">
        <v>2185.0495937594301</v>
      </c>
      <c r="M2992">
        <v>36.221638566463298</v>
      </c>
      <c r="N2992">
        <v>62.194070933775798</v>
      </c>
      <c r="O2992">
        <v>60.141435714013099</v>
      </c>
      <c r="P2992">
        <v>-0.100625014637066</v>
      </c>
      <c r="Q2992">
        <v>0.33170170899585399</v>
      </c>
      <c r="R2992">
        <v>0.48403624782642402</v>
      </c>
      <c r="S2992" t="s">
        <v>8818</v>
      </c>
      <c r="T2992" t="s">
        <v>11650</v>
      </c>
      <c r="U2992" t="s">
        <v>11650</v>
      </c>
      <c r="V2992" t="s">
        <v>11650</v>
      </c>
      <c r="W2992" t="s">
        <v>14596</v>
      </c>
      <c r="X2992">
        <v>2</v>
      </c>
      <c r="Y2992" t="s">
        <v>20294</v>
      </c>
      <c r="Z2992" t="s">
        <v>26054</v>
      </c>
      <c r="AA2992">
        <v>0.78751004144257264</v>
      </c>
      <c r="AB2992" t="str">
        <f>HYPERLINK("Melting_Curves/meltCurve_Q12768_KIAA0196.pdf", "Melting_Curves/meltCurve_Q12768_KIAA0196.pdf")</f>
        <v>Melting_Curves/meltCurve_Q12768_KIAA0196.pdf</v>
      </c>
    </row>
    <row r="2993" spans="1:28" x14ac:dyDescent="0.25">
      <c r="A2993" t="s">
        <v>2997</v>
      </c>
      <c r="B2993">
        <v>0.99996721820229495</v>
      </c>
      <c r="C2993">
        <v>1.08984234763985</v>
      </c>
      <c r="D2993">
        <v>1.2871109929981199</v>
      </c>
      <c r="E2993">
        <v>1.6067403714031001</v>
      </c>
      <c r="F2993">
        <v>2.0149274859395998</v>
      </c>
      <c r="G2993">
        <v>1.671397698322</v>
      </c>
      <c r="H2993">
        <v>0.44767306731939799</v>
      </c>
      <c r="I2993">
        <v>0.34425884981731603</v>
      </c>
      <c r="J2993">
        <v>0.26003023766768801</v>
      </c>
      <c r="K2993">
        <v>0.19431649921062699</v>
      </c>
      <c r="L2993">
        <v>12522.656659026101</v>
      </c>
      <c r="M2993">
        <v>206.402334442625</v>
      </c>
      <c r="N2993">
        <v>60.895354091304903</v>
      </c>
      <c r="O2993">
        <v>60.665428919437097</v>
      </c>
      <c r="P2993">
        <v>-0.62415956267436801</v>
      </c>
      <c r="Q2993">
        <v>0.26619256023713</v>
      </c>
      <c r="R2993">
        <v>0.495989602836376</v>
      </c>
      <c r="S2993" t="s">
        <v>8819</v>
      </c>
      <c r="T2993" t="s">
        <v>11650</v>
      </c>
      <c r="U2993" t="s">
        <v>11650</v>
      </c>
      <c r="V2993" t="s">
        <v>11650</v>
      </c>
      <c r="W2993" t="s">
        <v>14597</v>
      </c>
      <c r="X2993">
        <v>10</v>
      </c>
      <c r="Y2993" t="s">
        <v>20295</v>
      </c>
      <c r="Z2993" t="s">
        <v>26055</v>
      </c>
      <c r="AA2993">
        <v>0.77192742997310715</v>
      </c>
      <c r="AB2993" t="str">
        <f>HYPERLINK("Melting_Curves/meltCurve_Q12792_TWF1.pdf", "Melting_Curves/meltCurve_Q12792_TWF1.pdf")</f>
        <v>Melting_Curves/meltCurve_Q12792_TWF1.pdf</v>
      </c>
    </row>
    <row r="2994" spans="1:28" x14ac:dyDescent="0.25">
      <c r="A2994" t="s">
        <v>2998</v>
      </c>
      <c r="B2994">
        <v>0.99996721820229495</v>
      </c>
      <c r="C2994">
        <v>1.0044567173269501</v>
      </c>
      <c r="D2994">
        <v>1.0423050607408</v>
      </c>
      <c r="E2994">
        <v>1.2195001687262801</v>
      </c>
      <c r="F2994">
        <v>0.87842235775429001</v>
      </c>
      <c r="G2994">
        <v>0.83700962665851197</v>
      </c>
      <c r="H2994">
        <v>0.56546367077253001</v>
      </c>
      <c r="I2994">
        <v>0.38444967095495303</v>
      </c>
      <c r="J2994">
        <v>0.300866903230955</v>
      </c>
      <c r="K2994">
        <v>0.28169551338663501</v>
      </c>
      <c r="L2994">
        <v>1413.1942446237099</v>
      </c>
      <c r="M2994">
        <v>23.5348235296286</v>
      </c>
      <c r="N2994">
        <v>61.8515459495041</v>
      </c>
      <c r="O2994">
        <v>59.618476856359401</v>
      </c>
      <c r="P2994">
        <v>-7.4178630036787596E-2</v>
      </c>
      <c r="Q2994">
        <v>0.24837514221276799</v>
      </c>
      <c r="R2994">
        <v>0.94134355330743502</v>
      </c>
      <c r="S2994" t="s">
        <v>8820</v>
      </c>
      <c r="T2994" t="s">
        <v>11650</v>
      </c>
      <c r="U2994" t="s">
        <v>11650</v>
      </c>
      <c r="V2994" t="s">
        <v>11650</v>
      </c>
      <c r="W2994" t="s">
        <v>14598</v>
      </c>
      <c r="X2994">
        <v>32</v>
      </c>
      <c r="Y2994" t="s">
        <v>20296</v>
      </c>
      <c r="Z2994" t="s">
        <v>26056</v>
      </c>
      <c r="AA2994">
        <v>0.75644366469665225</v>
      </c>
      <c r="AB2994" t="str">
        <f>HYPERLINK("Melting_Curves/meltCurve_Q12797_ASPH.pdf", "Melting_Curves/meltCurve_Q12797_ASPH.pdf")</f>
        <v>Melting_Curves/meltCurve_Q12797_ASPH.pdf</v>
      </c>
    </row>
    <row r="2995" spans="1:28" x14ac:dyDescent="0.25">
      <c r="A2995" t="s">
        <v>2999</v>
      </c>
      <c r="B2995">
        <v>0.99996721820229495</v>
      </c>
      <c r="C2995">
        <v>0.97897034073247002</v>
      </c>
      <c r="D2995">
        <v>0.90622772366576598</v>
      </c>
      <c r="E2995">
        <v>0.86889159942314398</v>
      </c>
      <c r="F2995">
        <v>0.80759329351929399</v>
      </c>
      <c r="G2995">
        <v>0.59669682098555799</v>
      </c>
      <c r="H2995">
        <v>0.35419659789385999</v>
      </c>
      <c r="I2995">
        <v>0.24034298385236599</v>
      </c>
      <c r="J2995">
        <v>0.195059440799598</v>
      </c>
      <c r="K2995">
        <v>0.176124523244684</v>
      </c>
      <c r="L2995">
        <v>759.75543430497203</v>
      </c>
      <c r="M2995">
        <v>13.1693801804565</v>
      </c>
      <c r="N2995">
        <v>58.336373705485002</v>
      </c>
      <c r="O2995">
        <v>56.409468617262597</v>
      </c>
      <c r="P2995">
        <v>-5.4418023557023701E-2</v>
      </c>
      <c r="Q2995">
        <v>6.7784157400319497E-2</v>
      </c>
      <c r="R2995">
        <v>0.99257660105971601</v>
      </c>
      <c r="S2995" t="s">
        <v>8821</v>
      </c>
      <c r="T2995" t="s">
        <v>11650</v>
      </c>
      <c r="U2995" t="s">
        <v>11650</v>
      </c>
      <c r="V2995" t="s">
        <v>11650</v>
      </c>
      <c r="W2995" t="s">
        <v>14599</v>
      </c>
      <c r="X2995">
        <v>15</v>
      </c>
      <c r="Y2995" t="s">
        <v>20297</v>
      </c>
      <c r="Z2995" t="s">
        <v>26057</v>
      </c>
      <c r="AA2995">
        <v>0.63096434376878996</v>
      </c>
      <c r="AB2995" t="str">
        <f>HYPERLINK("Melting_Curves/meltCurve_Q12802_4_AKAP13.pdf", "Melting_Curves/meltCurve_Q12802_4_AKAP13.pdf")</f>
        <v>Melting_Curves/meltCurve_Q12802_4_AKAP13.pdf</v>
      </c>
    </row>
    <row r="2996" spans="1:28" x14ac:dyDescent="0.25">
      <c r="A2996" t="s">
        <v>3000</v>
      </c>
      <c r="B2996">
        <v>0.99996721820229495</v>
      </c>
      <c r="C2996">
        <v>1.0437078906680399</v>
      </c>
      <c r="D2996">
        <v>1.0172388016552301</v>
      </c>
      <c r="E2996">
        <v>1.0194045391275</v>
      </c>
      <c r="F2996">
        <v>1.22732012483791</v>
      </c>
      <c r="G2996">
        <v>1.3755480035732699</v>
      </c>
      <c r="H2996">
        <v>0.79068468120376101</v>
      </c>
      <c r="I2996">
        <v>0.503888856758134</v>
      </c>
      <c r="J2996">
        <v>0.39689924855377301</v>
      </c>
      <c r="K2996">
        <v>0.35014794859056098</v>
      </c>
      <c r="L2996">
        <v>3455.9431934316399</v>
      </c>
      <c r="M2996">
        <v>55.718122385324797</v>
      </c>
      <c r="N2996">
        <v>63.635975585279297</v>
      </c>
      <c r="O2996">
        <v>61.945711589254799</v>
      </c>
      <c r="P2996">
        <v>-0.13988032336290601</v>
      </c>
      <c r="Q2996">
        <v>0.37794139505375002</v>
      </c>
      <c r="R2996">
        <v>0.817961394099049</v>
      </c>
      <c r="S2996" t="s">
        <v>8822</v>
      </c>
      <c r="T2996" t="s">
        <v>11650</v>
      </c>
      <c r="U2996" t="s">
        <v>11650</v>
      </c>
      <c r="V2996" t="s">
        <v>11650</v>
      </c>
      <c r="W2996" t="s">
        <v>14600</v>
      </c>
      <c r="X2996">
        <v>7</v>
      </c>
      <c r="Y2996" t="s">
        <v>17589</v>
      </c>
      <c r="Z2996" t="s">
        <v>26058</v>
      </c>
      <c r="AA2996">
        <v>0.83596138021538213</v>
      </c>
      <c r="AB2996" t="str">
        <f>HYPERLINK("Melting_Curves/meltCurve_Q12805_2_EFEMP1.pdf", "Melting_Curves/meltCurve_Q12805_2_EFEMP1.pdf")</f>
        <v>Melting_Curves/meltCurve_Q12805_2_EFEMP1.pdf</v>
      </c>
    </row>
    <row r="2997" spans="1:28" x14ac:dyDescent="0.25">
      <c r="A2997" t="s">
        <v>3001</v>
      </c>
      <c r="B2997">
        <v>0.99996721820229495</v>
      </c>
      <c r="C2997">
        <v>1.0275243884030201</v>
      </c>
      <c r="D2997">
        <v>0.989476035628853</v>
      </c>
      <c r="E2997">
        <v>0.999229688469779</v>
      </c>
      <c r="F2997">
        <v>1.25702442078628</v>
      </c>
      <c r="G2997">
        <v>1.5452309524817001</v>
      </c>
      <c r="H2997">
        <v>1.1833543233326</v>
      </c>
      <c r="I2997">
        <v>1.17364845547829</v>
      </c>
      <c r="J2997">
        <v>1.08987245415778</v>
      </c>
      <c r="K2997">
        <v>0.79419037319771302</v>
      </c>
      <c r="L2997">
        <v>15000</v>
      </c>
      <c r="M2997">
        <v>212.935283331135</v>
      </c>
      <c r="Q2997">
        <v>0</v>
      </c>
      <c r="R2997">
        <v>-0.19091139487388001</v>
      </c>
      <c r="S2997" t="s">
        <v>8823</v>
      </c>
      <c r="T2997" t="s">
        <v>11650</v>
      </c>
      <c r="U2997" t="s">
        <v>11650</v>
      </c>
      <c r="V2997" t="s">
        <v>11650</v>
      </c>
      <c r="W2997" t="s">
        <v>14601</v>
      </c>
      <c r="X2997">
        <v>34</v>
      </c>
      <c r="Y2997" t="s">
        <v>20298</v>
      </c>
      <c r="Z2997" t="s">
        <v>26059</v>
      </c>
      <c r="AA2997">
        <v>0.99751543369429219</v>
      </c>
      <c r="AB2997" t="str">
        <f>HYPERLINK("Melting_Curves/meltCurve_Q12841_FSTL1.pdf", "Melting_Curves/meltCurve_Q12841_FSTL1.pdf")</f>
        <v>Melting_Curves/meltCurve_Q12841_FSTL1.pdf</v>
      </c>
    </row>
    <row r="2998" spans="1:28" x14ac:dyDescent="0.25">
      <c r="A2998" t="s">
        <v>3002</v>
      </c>
      <c r="B2998">
        <v>0.99996721820229495</v>
      </c>
      <c r="C2998">
        <v>0.876626119879792</v>
      </c>
      <c r="D2998">
        <v>1.0032881385988</v>
      </c>
      <c r="E2998">
        <v>0.81094349812711997</v>
      </c>
      <c r="F2998">
        <v>0.65448378897812598</v>
      </c>
      <c r="G2998">
        <v>0.56117364787421198</v>
      </c>
      <c r="H2998">
        <v>0.29358806471390297</v>
      </c>
      <c r="I2998">
        <v>0.190583824354496</v>
      </c>
      <c r="J2998">
        <v>0.134949649806135</v>
      </c>
      <c r="K2998">
        <v>0.116305774043857</v>
      </c>
      <c r="L2998">
        <v>652.05850692496199</v>
      </c>
      <c r="M2998">
        <v>11.4797169209634</v>
      </c>
      <c r="N2998">
        <v>56.800922087459398</v>
      </c>
      <c r="O2998">
        <v>55.159309428777803</v>
      </c>
      <c r="P2998">
        <v>-5.2044731695910597E-2</v>
      </c>
      <c r="Q2998">
        <v>0</v>
      </c>
      <c r="R2998">
        <v>0.98020245603542799</v>
      </c>
      <c r="S2998" t="s">
        <v>8824</v>
      </c>
      <c r="T2998" t="s">
        <v>11650</v>
      </c>
      <c r="U2998" t="s">
        <v>11650</v>
      </c>
      <c r="V2998" t="s">
        <v>11650</v>
      </c>
      <c r="W2998" t="s">
        <v>14602</v>
      </c>
      <c r="X2998">
        <v>12</v>
      </c>
      <c r="Y2998" t="s">
        <v>20299</v>
      </c>
      <c r="Z2998" t="s">
        <v>26060</v>
      </c>
      <c r="AA2998">
        <v>0.57761070187575592</v>
      </c>
      <c r="AB2998" t="str">
        <f>HYPERLINK("Melting_Curves/meltCurve_Q12846_STX4.pdf", "Melting_Curves/meltCurve_Q12846_STX4.pdf")</f>
        <v>Melting_Curves/meltCurve_Q12846_STX4.pdf</v>
      </c>
    </row>
    <row r="2999" spans="1:28" x14ac:dyDescent="0.25">
      <c r="A2999" t="s">
        <v>3003</v>
      </c>
      <c r="B2999">
        <v>0.99996721820229495</v>
      </c>
      <c r="C2999">
        <v>0.96793035841133301</v>
      </c>
      <c r="D2999">
        <v>0.83159356451397703</v>
      </c>
      <c r="E2999">
        <v>0.62715883468742795</v>
      </c>
      <c r="F2999">
        <v>0.45309909278670502</v>
      </c>
      <c r="G2999">
        <v>0.288882888599785</v>
      </c>
      <c r="H2999">
        <v>0.20166899396600099</v>
      </c>
      <c r="I2999">
        <v>0.21960383920575799</v>
      </c>
      <c r="J2999">
        <v>0.190368871848103</v>
      </c>
      <c r="K2999">
        <v>0.14255305350143099</v>
      </c>
      <c r="L2999">
        <v>754.39849997217004</v>
      </c>
      <c r="M2999">
        <v>14.8630861243929</v>
      </c>
      <c r="N2999">
        <v>52.044687904493699</v>
      </c>
      <c r="O2999">
        <v>49.864284470545499</v>
      </c>
      <c r="P2999">
        <v>-6.3056097827317303E-2</v>
      </c>
      <c r="Q2999">
        <v>0.153899014211238</v>
      </c>
      <c r="R2999">
        <v>0.99713857878135703</v>
      </c>
      <c r="S2999" t="s">
        <v>8825</v>
      </c>
      <c r="T2999" t="s">
        <v>11650</v>
      </c>
      <c r="U2999" t="s">
        <v>11650</v>
      </c>
      <c r="V2999" t="s">
        <v>11650</v>
      </c>
      <c r="W2999" t="s">
        <v>14603</v>
      </c>
      <c r="X2999">
        <v>2</v>
      </c>
      <c r="Y2999" t="s">
        <v>20300</v>
      </c>
      <c r="Z2999" t="s">
        <v>26061</v>
      </c>
      <c r="AA2999">
        <v>0.47727400825923733</v>
      </c>
      <c r="AB2999" t="str">
        <f>HYPERLINK("Melting_Curves/meltCurve_Q12849_GRSF1.pdf", "Melting_Curves/meltCurve_Q12849_GRSF1.pdf")</f>
        <v>Melting_Curves/meltCurve_Q12849_GRSF1.pdf</v>
      </c>
    </row>
    <row r="3000" spans="1:28" x14ac:dyDescent="0.25">
      <c r="A3000" t="s">
        <v>3004</v>
      </c>
      <c r="B3000">
        <v>0.99996721820229495</v>
      </c>
      <c r="C3000">
        <v>1.0250233082221201</v>
      </c>
      <c r="D3000">
        <v>0.898788379617391</v>
      </c>
      <c r="E3000">
        <v>0.79447712868654297</v>
      </c>
      <c r="F3000">
        <v>0.44618037739133298</v>
      </c>
      <c r="G3000">
        <v>0.28295168058548598</v>
      </c>
      <c r="H3000">
        <v>0.188285235480075</v>
      </c>
      <c r="I3000">
        <v>0.13936550801751599</v>
      </c>
      <c r="J3000">
        <v>0.123162361402674</v>
      </c>
      <c r="K3000">
        <v>7.7918184024944104E-2</v>
      </c>
      <c r="L3000">
        <v>1000.07053263921</v>
      </c>
      <c r="M3000">
        <v>19.103283663128</v>
      </c>
      <c r="N3000">
        <v>53.012129103159303</v>
      </c>
      <c r="O3000">
        <v>51.787154266250603</v>
      </c>
      <c r="P3000">
        <v>-8.2444897976867604E-2</v>
      </c>
      <c r="Q3000">
        <v>0.106033993621048</v>
      </c>
      <c r="R3000">
        <v>0.99161627660830098</v>
      </c>
      <c r="S3000" t="s">
        <v>8826</v>
      </c>
      <c r="T3000" t="s">
        <v>11650</v>
      </c>
      <c r="U3000" t="s">
        <v>11650</v>
      </c>
      <c r="V3000" t="s">
        <v>11650</v>
      </c>
      <c r="W3000" t="s">
        <v>14604</v>
      </c>
      <c r="X3000">
        <v>10</v>
      </c>
      <c r="Y3000" t="s">
        <v>20301</v>
      </c>
      <c r="Z3000" t="s">
        <v>26062</v>
      </c>
      <c r="AA3000">
        <v>0.48745053251151149</v>
      </c>
      <c r="AB3000" t="str">
        <f>HYPERLINK("Melting_Curves/meltCurve_Q12874_SF3A3.pdf", "Melting_Curves/meltCurve_Q12874_SF3A3.pdf")</f>
        <v>Melting_Curves/meltCurve_Q12874_SF3A3.pdf</v>
      </c>
    </row>
    <row r="3001" spans="1:28" x14ac:dyDescent="0.25">
      <c r="A3001" t="s">
        <v>3005</v>
      </c>
      <c r="B3001">
        <v>0.99996721820229495</v>
      </c>
      <c r="C3001">
        <v>1.0477360401479401</v>
      </c>
      <c r="D3001">
        <v>1.2444659442807799</v>
      </c>
      <c r="E3001">
        <v>1.90268875651712</v>
      </c>
      <c r="F3001">
        <v>1.8146448356261999</v>
      </c>
      <c r="G3001">
        <v>0.82966378893919102</v>
      </c>
      <c r="H3001">
        <v>0.54981826059525896</v>
      </c>
      <c r="I3001">
        <v>0.39717918147682801</v>
      </c>
      <c r="J3001">
        <v>0.235022324451577</v>
      </c>
      <c r="K3001">
        <v>0.18983609913142299</v>
      </c>
      <c r="L3001">
        <v>2120.5535829662099</v>
      </c>
      <c r="M3001">
        <v>34.960708703487803</v>
      </c>
      <c r="N3001">
        <v>61.667588712776897</v>
      </c>
      <c r="O3001">
        <v>60.457912624155</v>
      </c>
      <c r="P3001">
        <v>-0.11300373294642101</v>
      </c>
      <c r="Q3001">
        <v>0.21832874261690699</v>
      </c>
      <c r="R3001">
        <v>0.52777694091497596</v>
      </c>
      <c r="S3001" t="s">
        <v>8827</v>
      </c>
      <c r="T3001" t="s">
        <v>11650</v>
      </c>
      <c r="U3001" t="s">
        <v>11650</v>
      </c>
      <c r="V3001" t="s">
        <v>11650</v>
      </c>
      <c r="W3001" t="s">
        <v>14605</v>
      </c>
      <c r="X3001">
        <v>12</v>
      </c>
      <c r="Y3001" t="s">
        <v>20302</v>
      </c>
      <c r="Z3001" t="s">
        <v>26063</v>
      </c>
      <c r="AA3001">
        <v>0.76021665759734813</v>
      </c>
      <c r="AB3001" t="str">
        <f>HYPERLINK("Melting_Curves/meltCurve_Q12882_DPYD.pdf", "Melting_Curves/meltCurve_Q12882_DPYD.pdf")</f>
        <v>Melting_Curves/meltCurve_Q12882_DPYD.pdf</v>
      </c>
    </row>
    <row r="3002" spans="1:28" x14ac:dyDescent="0.25">
      <c r="A3002" t="s">
        <v>3006</v>
      </c>
      <c r="B3002">
        <v>0.99996721820229495</v>
      </c>
      <c r="C3002">
        <v>0.90497181962148399</v>
      </c>
      <c r="D3002">
        <v>1.13286695561377</v>
      </c>
      <c r="E3002">
        <v>1.4179932948504399</v>
      </c>
      <c r="F3002">
        <v>1.7167854222547301</v>
      </c>
      <c r="G3002">
        <v>2.1676215187471199</v>
      </c>
      <c r="H3002">
        <v>1.5222862156266099</v>
      </c>
      <c r="I3002">
        <v>0.65841548511792103</v>
      </c>
      <c r="J3002">
        <v>0.30478999895141001</v>
      </c>
      <c r="K3002">
        <v>0.44654121691802701</v>
      </c>
      <c r="L3002">
        <v>15000</v>
      </c>
      <c r="M3002">
        <v>234.56388309985999</v>
      </c>
      <c r="N3002">
        <v>64.330106616162595</v>
      </c>
      <c r="O3002">
        <v>63.943828936253603</v>
      </c>
      <c r="P3002">
        <v>-0.57256612176763999</v>
      </c>
      <c r="Q3002">
        <v>0.37565729508656098</v>
      </c>
      <c r="R3002">
        <v>0.23722691128964399</v>
      </c>
      <c r="S3002" t="s">
        <v>8828</v>
      </c>
      <c r="T3002" t="s">
        <v>11650</v>
      </c>
      <c r="U3002" t="s">
        <v>11650</v>
      </c>
      <c r="V3002" t="s">
        <v>11650</v>
      </c>
      <c r="W3002" t="s">
        <v>14606</v>
      </c>
      <c r="X3002">
        <v>17</v>
      </c>
      <c r="Y3002" t="s">
        <v>20303</v>
      </c>
      <c r="Z3002" t="s">
        <v>26064</v>
      </c>
      <c r="AA3002">
        <v>0.87413851555472211</v>
      </c>
      <c r="AB3002" t="str">
        <f>HYPERLINK("Melting_Curves/meltCurve_Q12884_FAP.pdf", "Melting_Curves/meltCurve_Q12884_FAP.pdf")</f>
        <v>Melting_Curves/meltCurve_Q12884_FAP.pdf</v>
      </c>
    </row>
    <row r="3003" spans="1:28" x14ac:dyDescent="0.25">
      <c r="A3003" t="s">
        <v>3007</v>
      </c>
      <c r="B3003">
        <v>0.99996721820229495</v>
      </c>
      <c r="C3003">
        <v>0.84096546721495702</v>
      </c>
      <c r="D3003">
        <v>1.08835623670432</v>
      </c>
      <c r="E3003">
        <v>1.53257882843855</v>
      </c>
      <c r="F3003">
        <v>2.06884975660964</v>
      </c>
      <c r="G3003">
        <v>2.2781258245254898</v>
      </c>
      <c r="H3003">
        <v>1.4849025574655601</v>
      </c>
      <c r="I3003">
        <v>0.49011482673517398</v>
      </c>
      <c r="J3003">
        <v>0.106237902556975</v>
      </c>
      <c r="K3003">
        <v>0.31112096801884698</v>
      </c>
      <c r="L3003">
        <v>15000</v>
      </c>
      <c r="M3003">
        <v>234.96907309190999</v>
      </c>
      <c r="N3003">
        <v>63.9852776336202</v>
      </c>
      <c r="O3003">
        <v>63.833564090013901</v>
      </c>
      <c r="P3003">
        <v>-0.72821574021651303</v>
      </c>
      <c r="Q3003">
        <v>0.208668521113549</v>
      </c>
      <c r="R3003">
        <v>0.29002735385519501</v>
      </c>
      <c r="S3003" t="s">
        <v>8829</v>
      </c>
      <c r="T3003" t="s">
        <v>11650</v>
      </c>
      <c r="U3003" t="s">
        <v>11650</v>
      </c>
      <c r="V3003" t="s">
        <v>11650</v>
      </c>
      <c r="W3003" t="s">
        <v>14607</v>
      </c>
      <c r="X3003">
        <v>6</v>
      </c>
      <c r="Y3003" t="s">
        <v>20303</v>
      </c>
      <c r="Z3003" t="s">
        <v>26065</v>
      </c>
      <c r="AA3003">
        <v>0.83756585399944694</v>
      </c>
      <c r="AB3003" t="str">
        <f>HYPERLINK("Melting_Curves/meltCurve_Q12884_2_FAP.pdf", "Melting_Curves/meltCurve_Q12884_2_FAP.pdf")</f>
        <v>Melting_Curves/meltCurve_Q12884_2_FAP.pdf</v>
      </c>
    </row>
    <row r="3004" spans="1:28" x14ac:dyDescent="0.25">
      <c r="A3004" t="s">
        <v>3008</v>
      </c>
      <c r="B3004">
        <v>0.99996721820229495</v>
      </c>
      <c r="C3004">
        <v>1.0757264035918901</v>
      </c>
      <c r="D3004">
        <v>0.99753608649520598</v>
      </c>
      <c r="E3004">
        <v>0.875656497268262</v>
      </c>
      <c r="F3004">
        <v>1.0913491950712799</v>
      </c>
      <c r="G3004">
        <v>1.20606867990001</v>
      </c>
      <c r="H3004">
        <v>0.93340735423186305</v>
      </c>
      <c r="I3004">
        <v>0.80405186510747695</v>
      </c>
      <c r="J3004">
        <v>0.65917874640190499</v>
      </c>
      <c r="K3004">
        <v>0.52074809757392904</v>
      </c>
      <c r="L3004">
        <v>2169.55973383844</v>
      </c>
      <c r="M3004">
        <v>33.258869865446897</v>
      </c>
      <c r="O3004">
        <v>64.998037258172502</v>
      </c>
      <c r="P3004">
        <v>-6.6026816412609698E-2</v>
      </c>
      <c r="Q3004">
        <v>0.48385559129925798</v>
      </c>
      <c r="R3004">
        <v>0.80752364248515396</v>
      </c>
      <c r="S3004" t="s">
        <v>8830</v>
      </c>
      <c r="T3004" t="s">
        <v>11650</v>
      </c>
      <c r="U3004" t="s">
        <v>11650</v>
      </c>
      <c r="V3004" t="s">
        <v>11650</v>
      </c>
      <c r="W3004" t="s">
        <v>14608</v>
      </c>
      <c r="X3004">
        <v>37</v>
      </c>
      <c r="Y3004" t="s">
        <v>20304</v>
      </c>
      <c r="Z3004" t="s">
        <v>26066</v>
      </c>
      <c r="AA3004">
        <v>0.91723658299882371</v>
      </c>
      <c r="AB3004" t="str">
        <f>HYPERLINK("Melting_Curves/meltCurve_Q12888_TP53BP1.pdf", "Melting_Curves/meltCurve_Q12888_TP53BP1.pdf")</f>
        <v>Melting_Curves/meltCurve_Q12888_TP53BP1.pdf</v>
      </c>
    </row>
    <row r="3005" spans="1:28" x14ac:dyDescent="0.25">
      <c r="A3005" t="s">
        <v>3009</v>
      </c>
      <c r="B3005">
        <v>0.99996721820229495</v>
      </c>
      <c r="C3005">
        <v>1.0002907931059699</v>
      </c>
      <c r="D3005">
        <v>1.21692972657845</v>
      </c>
      <c r="E3005">
        <v>1.190711438513</v>
      </c>
      <c r="F3005">
        <v>2.00040085772478</v>
      </c>
      <c r="G3005">
        <v>2.22592044833547</v>
      </c>
      <c r="H3005">
        <v>1.3006416530988301</v>
      </c>
      <c r="I3005">
        <v>0.489277847350166</v>
      </c>
      <c r="J3005">
        <v>0.20605720396402</v>
      </c>
      <c r="K3005">
        <v>0</v>
      </c>
      <c r="L3005">
        <v>15000</v>
      </c>
      <c r="M3005">
        <v>234.65418982871699</v>
      </c>
      <c r="N3005">
        <v>63.986763169978197</v>
      </c>
      <c r="O3005">
        <v>63.919214952191197</v>
      </c>
      <c r="P3005">
        <v>-0.82323353372550401</v>
      </c>
      <c r="Q3005">
        <v>0.103013039540861</v>
      </c>
      <c r="R3005">
        <v>0.40411759450013401</v>
      </c>
      <c r="S3005" t="s">
        <v>8831</v>
      </c>
      <c r="T3005" t="s">
        <v>11650</v>
      </c>
      <c r="U3005" t="s">
        <v>11650</v>
      </c>
      <c r="V3005" t="s">
        <v>11650</v>
      </c>
      <c r="W3005" t="s">
        <v>14609</v>
      </c>
      <c r="X3005">
        <v>2</v>
      </c>
      <c r="Y3005" t="s">
        <v>20305</v>
      </c>
      <c r="Z3005" t="s">
        <v>26067</v>
      </c>
      <c r="AA3005">
        <v>0.81844007814504771</v>
      </c>
      <c r="AB3005" t="str">
        <f>HYPERLINK("Melting_Curves/meltCurve_Q12893_TMEM115.pdf", "Melting_Curves/meltCurve_Q12893_TMEM115.pdf")</f>
        <v>Melting_Curves/meltCurve_Q12893_TMEM115.pdf</v>
      </c>
    </row>
    <row r="3006" spans="1:28" x14ac:dyDescent="0.25">
      <c r="A3006" t="s">
        <v>3010</v>
      </c>
      <c r="B3006">
        <v>0.99996721820229495</v>
      </c>
      <c r="C3006">
        <v>1.1395181934573499</v>
      </c>
      <c r="D3006">
        <v>1.0573029070849</v>
      </c>
      <c r="E3006">
        <v>0.93105525353091301</v>
      </c>
      <c r="F3006">
        <v>1.0102183030320599</v>
      </c>
      <c r="G3006">
        <v>0.88010015256181995</v>
      </c>
      <c r="H3006">
        <v>0.60068259082229403</v>
      </c>
      <c r="I3006">
        <v>0.43880658201912098</v>
      </c>
      <c r="J3006">
        <v>0.43888196115878603</v>
      </c>
      <c r="K3006">
        <v>0.31220554763760999</v>
      </c>
      <c r="L3006">
        <v>1593.0658423556899</v>
      </c>
      <c r="M3006">
        <v>26.488195787761899</v>
      </c>
      <c r="N3006">
        <v>62.834563814318201</v>
      </c>
      <c r="O3006">
        <v>59.802829252738</v>
      </c>
      <c r="P3006">
        <v>-7.3164729232847406E-2</v>
      </c>
      <c r="Q3006">
        <v>0.33926627855111602</v>
      </c>
      <c r="R3006">
        <v>0.95950887592879297</v>
      </c>
      <c r="S3006" t="s">
        <v>8832</v>
      </c>
      <c r="T3006" t="s">
        <v>11650</v>
      </c>
      <c r="U3006" t="s">
        <v>11650</v>
      </c>
      <c r="V3006" t="s">
        <v>11650</v>
      </c>
      <c r="W3006" t="s">
        <v>14610</v>
      </c>
      <c r="X3006">
        <v>5</v>
      </c>
      <c r="Y3006" t="s">
        <v>20306</v>
      </c>
      <c r="Z3006" t="s">
        <v>26068</v>
      </c>
      <c r="AA3006">
        <v>0.78746175301403032</v>
      </c>
      <c r="AB3006" t="str">
        <f>HYPERLINK("Melting_Curves/meltCurve_Q12904_AIMP1.pdf", "Melting_Curves/meltCurve_Q12904_AIMP1.pdf")</f>
        <v>Melting_Curves/meltCurve_Q12904_AIMP1.pdf</v>
      </c>
    </row>
    <row r="3007" spans="1:28" x14ac:dyDescent="0.25">
      <c r="A3007" t="s">
        <v>3011</v>
      </c>
      <c r="B3007">
        <v>0.99996721820229495</v>
      </c>
      <c r="C3007">
        <v>0.88186325138641697</v>
      </c>
      <c r="D3007">
        <v>0.87089150257229997</v>
      </c>
      <c r="E3007">
        <v>1.13293455002461</v>
      </c>
      <c r="F3007">
        <v>1.60430362326006</v>
      </c>
      <c r="G3007">
        <v>1.2497885726164299</v>
      </c>
      <c r="H3007">
        <v>0.74817296788302301</v>
      </c>
      <c r="I3007">
        <v>0.49577665284000799</v>
      </c>
      <c r="J3007">
        <v>0.10335182892247299</v>
      </c>
      <c r="K3007">
        <v>6.7607478368490903E-2</v>
      </c>
      <c r="L3007">
        <v>2428.52293299843</v>
      </c>
      <c r="M3007">
        <v>38.217640059582699</v>
      </c>
      <c r="N3007">
        <v>63.621635543907502</v>
      </c>
      <c r="O3007">
        <v>63.371320693856198</v>
      </c>
      <c r="P3007">
        <v>-0.147357583417704</v>
      </c>
      <c r="Q3007">
        <v>2.2627094814222998E-2</v>
      </c>
      <c r="R3007">
        <v>0.76744228590471697</v>
      </c>
      <c r="S3007" t="s">
        <v>8833</v>
      </c>
      <c r="T3007" t="s">
        <v>11650</v>
      </c>
      <c r="U3007" t="s">
        <v>11650</v>
      </c>
      <c r="V3007" t="s">
        <v>11650</v>
      </c>
      <c r="W3007" t="s">
        <v>14611</v>
      </c>
      <c r="X3007">
        <v>6</v>
      </c>
      <c r="Y3007" t="s">
        <v>20307</v>
      </c>
      <c r="Z3007" t="s">
        <v>26069</v>
      </c>
      <c r="AA3007">
        <v>0.79236471456609803</v>
      </c>
      <c r="AB3007" t="str">
        <f>HYPERLINK("Melting_Curves/meltCurve_Q12905_ILF2.pdf", "Melting_Curves/meltCurve_Q12905_ILF2.pdf")</f>
        <v>Melting_Curves/meltCurve_Q12905_ILF2.pdf</v>
      </c>
    </row>
    <row r="3008" spans="1:28" x14ac:dyDescent="0.25">
      <c r="A3008" t="s">
        <v>3012</v>
      </c>
      <c r="B3008">
        <v>0.99996721820229495</v>
      </c>
      <c r="C3008">
        <v>0.85517011484496797</v>
      </c>
      <c r="D3008">
        <v>0.84208303448712696</v>
      </c>
      <c r="E3008">
        <v>1.14838896687535</v>
      </c>
      <c r="F3008">
        <v>1.3714962992270201</v>
      </c>
      <c r="G3008">
        <v>1.2942348674912001</v>
      </c>
      <c r="H3008">
        <v>0.74981874147495498</v>
      </c>
      <c r="I3008">
        <v>0.484694238369477</v>
      </c>
      <c r="J3008">
        <v>0.26629531476929902</v>
      </c>
      <c r="K3008">
        <v>0.22412633225568099</v>
      </c>
      <c r="L3008">
        <v>2695.2803138961599</v>
      </c>
      <c r="M3008">
        <v>43.038245720324397</v>
      </c>
      <c r="N3008">
        <v>63.520739045741401</v>
      </c>
      <c r="O3008">
        <v>62.490483380279002</v>
      </c>
      <c r="P3008">
        <v>-0.13301920836634501</v>
      </c>
      <c r="Q3008">
        <v>0.22743861465910201</v>
      </c>
      <c r="R3008">
        <v>0.78966872660451104</v>
      </c>
      <c r="S3008" t="s">
        <v>8834</v>
      </c>
      <c r="T3008" t="s">
        <v>11650</v>
      </c>
      <c r="U3008" t="s">
        <v>11650</v>
      </c>
      <c r="V3008" t="s">
        <v>11650</v>
      </c>
      <c r="W3008" t="s">
        <v>14612</v>
      </c>
      <c r="X3008">
        <v>12</v>
      </c>
      <c r="Y3008" t="s">
        <v>20308</v>
      </c>
      <c r="Z3008" t="s">
        <v>26070</v>
      </c>
      <c r="AA3008">
        <v>0.81244265055756959</v>
      </c>
      <c r="AB3008" t="str">
        <f>HYPERLINK("Melting_Curves/meltCurve_Q12906_ILF3.pdf", "Melting_Curves/meltCurve_Q12906_ILF3.pdf")</f>
        <v>Melting_Curves/meltCurve_Q12906_ILF3.pdf</v>
      </c>
    </row>
    <row r="3009" spans="1:28" x14ac:dyDescent="0.25">
      <c r="A3009" t="s">
        <v>3013</v>
      </c>
      <c r="B3009">
        <v>0.99996721820229495</v>
      </c>
      <c r="C3009">
        <v>0.99541783188103705</v>
      </c>
      <c r="D3009">
        <v>1.0374084780921899</v>
      </c>
      <c r="E3009">
        <v>0.90953139759314505</v>
      </c>
      <c r="F3009">
        <v>0.47132290895338602</v>
      </c>
      <c r="G3009">
        <v>0.34228117143351799</v>
      </c>
      <c r="H3009">
        <v>0.19893436902419501</v>
      </c>
      <c r="I3009">
        <v>0.122013461730214</v>
      </c>
      <c r="J3009">
        <v>8.3531080413732903E-2</v>
      </c>
      <c r="K3009">
        <v>7.4014327068988403E-2</v>
      </c>
      <c r="L3009">
        <v>1206.6969863373599</v>
      </c>
      <c r="M3009">
        <v>22.666053708872901</v>
      </c>
      <c r="N3009">
        <v>53.802998095523201</v>
      </c>
      <c r="O3009">
        <v>52.828865677824901</v>
      </c>
      <c r="P3009">
        <v>-9.5905083985299094E-2</v>
      </c>
      <c r="Q3009">
        <v>0.105895301375838</v>
      </c>
      <c r="R3009">
        <v>0.98059945668530901</v>
      </c>
      <c r="S3009" t="s">
        <v>8835</v>
      </c>
      <c r="T3009" t="s">
        <v>11650</v>
      </c>
      <c r="U3009" t="s">
        <v>11650</v>
      </c>
      <c r="V3009" t="s">
        <v>11650</v>
      </c>
      <c r="W3009" t="s">
        <v>14613</v>
      </c>
      <c r="X3009">
        <v>17</v>
      </c>
      <c r="Y3009" t="s">
        <v>20309</v>
      </c>
      <c r="Z3009" t="s">
        <v>26071</v>
      </c>
      <c r="AA3009">
        <v>0.51030258163307896</v>
      </c>
      <c r="AB3009" t="str">
        <f>HYPERLINK("Melting_Curves/meltCurve_Q12907_LMAN2.pdf", "Melting_Curves/meltCurve_Q12907_LMAN2.pdf")</f>
        <v>Melting_Curves/meltCurve_Q12907_LMAN2.pdf</v>
      </c>
    </row>
    <row r="3010" spans="1:28" x14ac:dyDescent="0.25">
      <c r="A3010" t="s">
        <v>3014</v>
      </c>
      <c r="B3010">
        <v>0.99996721820229495</v>
      </c>
      <c r="C3010">
        <v>0.69560228398980295</v>
      </c>
      <c r="D3010">
        <v>0.46825377567505599</v>
      </c>
      <c r="E3010">
        <v>0.47038638300436098</v>
      </c>
      <c r="F3010">
        <v>0.43823121092797601</v>
      </c>
      <c r="G3010">
        <v>0.51397490209063501</v>
      </c>
      <c r="H3010">
        <v>0.39508042244529501</v>
      </c>
      <c r="I3010">
        <v>0.39890942546834202</v>
      </c>
      <c r="J3010">
        <v>0.36547600895820298</v>
      </c>
      <c r="K3010">
        <v>0.35305808006411599</v>
      </c>
      <c r="L3010">
        <v>1867.2303212714901</v>
      </c>
      <c r="M3010">
        <v>43.574016924659396</v>
      </c>
      <c r="N3010">
        <v>44.750345590503599</v>
      </c>
      <c r="O3010">
        <v>42.761960800156899</v>
      </c>
      <c r="P3010">
        <v>-0.14743151472199101</v>
      </c>
      <c r="Q3010">
        <v>0.42126508540496499</v>
      </c>
      <c r="R3010">
        <v>0.94021210099337305</v>
      </c>
      <c r="S3010" t="s">
        <v>8836</v>
      </c>
      <c r="T3010" t="s">
        <v>11650</v>
      </c>
      <c r="U3010" t="s">
        <v>11650</v>
      </c>
      <c r="V3010" t="s">
        <v>11650</v>
      </c>
      <c r="W3010" t="s">
        <v>14614</v>
      </c>
      <c r="X3010">
        <v>2</v>
      </c>
      <c r="Y3010" t="s">
        <v>20310</v>
      </c>
      <c r="Z3010" t="s">
        <v>26072</v>
      </c>
      <c r="AA3010">
        <v>0.47841904084017461</v>
      </c>
      <c r="AB3010" t="str">
        <f>HYPERLINK("Melting_Curves/meltCurve_Q12923_2_PTPN13.pdf", "Melting_Curves/meltCurve_Q12923_2_PTPN13.pdf")</f>
        <v>Melting_Curves/meltCurve_Q12923_2_PTPN13.pdf</v>
      </c>
    </row>
    <row r="3011" spans="1:28" x14ac:dyDescent="0.25">
      <c r="A3011" t="s">
        <v>3015</v>
      </c>
      <c r="B3011">
        <v>0.99996721820229495</v>
      </c>
      <c r="C3011">
        <v>1.0310512656434401</v>
      </c>
      <c r="D3011">
        <v>0.908875063061649</v>
      </c>
      <c r="E3011">
        <v>0.62134025502852097</v>
      </c>
      <c r="F3011">
        <v>0.43274869030498497</v>
      </c>
      <c r="G3011">
        <v>0.39366969294974802</v>
      </c>
      <c r="H3011">
        <v>0.23482865555745699</v>
      </c>
      <c r="I3011">
        <v>0.169588299993084</v>
      </c>
      <c r="J3011">
        <v>0.13999418967110699</v>
      </c>
      <c r="K3011">
        <v>0.100248428579146</v>
      </c>
      <c r="L3011">
        <v>730.85871819121098</v>
      </c>
      <c r="M3011">
        <v>14.1148621563938</v>
      </c>
      <c r="N3011">
        <v>52.772899507445203</v>
      </c>
      <c r="O3011">
        <v>50.773278188258899</v>
      </c>
      <c r="P3011">
        <v>-6.1398308448624303E-2</v>
      </c>
      <c r="Q3011">
        <v>0.1166774690309</v>
      </c>
      <c r="R3011">
        <v>0.98152905698815496</v>
      </c>
      <c r="S3011" t="s">
        <v>8837</v>
      </c>
      <c r="T3011" t="s">
        <v>11650</v>
      </c>
      <c r="U3011" t="s">
        <v>11650</v>
      </c>
      <c r="V3011" t="s">
        <v>11650</v>
      </c>
      <c r="W3011" t="s">
        <v>14615</v>
      </c>
      <c r="X3011">
        <v>12</v>
      </c>
      <c r="Y3011" t="s">
        <v>20311</v>
      </c>
      <c r="Z3011" t="s">
        <v>26073</v>
      </c>
      <c r="AA3011">
        <v>0.48534290100778982</v>
      </c>
      <c r="AB3011" t="str">
        <f>HYPERLINK("Melting_Curves/meltCurve_Q12929_EPS8.pdf", "Melting_Curves/meltCurve_Q12929_EPS8.pdf")</f>
        <v>Melting_Curves/meltCurve_Q12929_EPS8.pdf</v>
      </c>
    </row>
    <row r="3012" spans="1:28" x14ac:dyDescent="0.25">
      <c r="A3012" t="s">
        <v>3016</v>
      </c>
      <c r="B3012">
        <v>0.99996721820229495</v>
      </c>
      <c r="C3012">
        <v>0.99246135106651201</v>
      </c>
      <c r="D3012">
        <v>0.89451536607174298</v>
      </c>
      <c r="E3012">
        <v>1.3227665884448401</v>
      </c>
      <c r="F3012">
        <v>0.595435734523591</v>
      </c>
      <c r="G3012">
        <v>0.26347471855908</v>
      </c>
      <c r="H3012">
        <v>0.19529357526070901</v>
      </c>
      <c r="I3012">
        <v>0.17403743744891201</v>
      </c>
      <c r="J3012">
        <v>0.13774036376129301</v>
      </c>
      <c r="K3012">
        <v>0.11941217447756799</v>
      </c>
      <c r="L3012">
        <v>13251.6611296501</v>
      </c>
      <c r="M3012">
        <v>250</v>
      </c>
      <c r="N3012">
        <v>53.100101449165301</v>
      </c>
      <c r="O3012">
        <v>53.003259503502001</v>
      </c>
      <c r="P3012">
        <v>-0.96929001413948701</v>
      </c>
      <c r="Q3012">
        <v>0.177991627747694</v>
      </c>
      <c r="R3012">
        <v>0.92953361408296697</v>
      </c>
      <c r="S3012" t="s">
        <v>8838</v>
      </c>
      <c r="T3012" t="s">
        <v>11650</v>
      </c>
      <c r="U3012" t="s">
        <v>11650</v>
      </c>
      <c r="V3012" t="s">
        <v>11650</v>
      </c>
      <c r="W3012" t="s">
        <v>14616</v>
      </c>
      <c r="X3012">
        <v>3</v>
      </c>
      <c r="Y3012" t="s">
        <v>20312</v>
      </c>
      <c r="Z3012" t="s">
        <v>26074</v>
      </c>
      <c r="AA3012">
        <v>0.5344537854038266</v>
      </c>
      <c r="AB3012" t="str">
        <f>HYPERLINK("Melting_Curves/meltCurve_Q12955_ANK3.pdf", "Melting_Curves/meltCurve_Q12955_ANK3.pdf")</f>
        <v>Melting_Curves/meltCurve_Q12955_ANK3.pdf</v>
      </c>
    </row>
    <row r="3013" spans="1:28" x14ac:dyDescent="0.25">
      <c r="A3013" t="s">
        <v>3017</v>
      </c>
      <c r="B3013">
        <v>0.99996721820229495</v>
      </c>
      <c r="C3013">
        <v>0.98859916962696803</v>
      </c>
      <c r="D3013">
        <v>1.03506602446032</v>
      </c>
      <c r="E3013">
        <v>1.23077810193263</v>
      </c>
      <c r="F3013">
        <v>0.73465077872338902</v>
      </c>
      <c r="G3013">
        <v>0.45093654193781602</v>
      </c>
      <c r="H3013">
        <v>0.26447661819603202</v>
      </c>
      <c r="I3013">
        <v>0.19143923085467801</v>
      </c>
      <c r="J3013">
        <v>0.15152437899020499</v>
      </c>
      <c r="K3013">
        <v>0.105298505617182</v>
      </c>
      <c r="L3013">
        <v>1571.0401568090699</v>
      </c>
      <c r="M3013">
        <v>28.2214734452869</v>
      </c>
      <c r="N3013">
        <v>56.3941521016826</v>
      </c>
      <c r="O3013">
        <v>55.390993308646003</v>
      </c>
      <c r="P3013">
        <v>-0.107976173412131</v>
      </c>
      <c r="Q3013">
        <v>0.15229691436527201</v>
      </c>
      <c r="R3013">
        <v>0.948027776777702</v>
      </c>
      <c r="S3013" t="s">
        <v>8839</v>
      </c>
      <c r="T3013" t="s">
        <v>11650</v>
      </c>
      <c r="U3013" t="s">
        <v>11650</v>
      </c>
      <c r="V3013" t="s">
        <v>11650</v>
      </c>
      <c r="W3013" t="s">
        <v>14617</v>
      </c>
      <c r="X3013">
        <v>14</v>
      </c>
      <c r="Y3013" t="s">
        <v>20313</v>
      </c>
      <c r="Z3013" t="s">
        <v>26075</v>
      </c>
      <c r="AA3013">
        <v>0.60134602000024318</v>
      </c>
      <c r="AB3013" t="str">
        <f>HYPERLINK("Melting_Curves/meltCurve_Q12959_5_DLG1.pdf", "Melting_Curves/meltCurve_Q12959_5_DLG1.pdf")</f>
        <v>Melting_Curves/meltCurve_Q12959_5_DLG1.pdf</v>
      </c>
    </row>
    <row r="3014" spans="1:28" x14ac:dyDescent="0.25">
      <c r="A3014" t="s">
        <v>3018</v>
      </c>
      <c r="B3014">
        <v>0.99996721820229495</v>
      </c>
      <c r="C3014">
        <v>0.94320605888939901</v>
      </c>
      <c r="D3014">
        <v>0.82729922168200598</v>
      </c>
      <c r="E3014">
        <v>0.83186393655223301</v>
      </c>
      <c r="F3014">
        <v>1.0356964810224201</v>
      </c>
      <c r="G3014">
        <v>0.98127209907841795</v>
      </c>
      <c r="H3014">
        <v>0.65021685099275695</v>
      </c>
      <c r="I3014">
        <v>0.57923753898806496</v>
      </c>
      <c r="J3014">
        <v>0.54449788506142704</v>
      </c>
      <c r="K3014">
        <v>0.34456196572334002</v>
      </c>
      <c r="L3014">
        <v>1227.82298287392</v>
      </c>
      <c r="M3014">
        <v>19.753565263558599</v>
      </c>
      <c r="N3014">
        <v>65.815645721699298</v>
      </c>
      <c r="O3014">
        <v>61.5305324513361</v>
      </c>
      <c r="P3014">
        <v>-5.3515121391173502E-2</v>
      </c>
      <c r="Q3014">
        <v>0.33324414155731502</v>
      </c>
      <c r="R3014">
        <v>0.82711683644119305</v>
      </c>
      <c r="S3014" t="s">
        <v>8840</v>
      </c>
      <c r="T3014" t="s">
        <v>11650</v>
      </c>
      <c r="U3014" t="s">
        <v>11650</v>
      </c>
      <c r="V3014" t="s">
        <v>11650</v>
      </c>
      <c r="W3014" t="s">
        <v>14618</v>
      </c>
      <c r="X3014">
        <v>3</v>
      </c>
      <c r="Y3014" t="s">
        <v>20314</v>
      </c>
      <c r="Z3014" t="s">
        <v>26076</v>
      </c>
      <c r="AA3014">
        <v>0.827257733898079</v>
      </c>
      <c r="AB3014" t="str">
        <f>HYPERLINK("Melting_Curves/meltCurve_Q12962_TAF10.pdf", "Melting_Curves/meltCurve_Q12962_TAF10.pdf")</f>
        <v>Melting_Curves/meltCurve_Q12962_TAF10.pdf</v>
      </c>
    </row>
    <row r="3015" spans="1:28" x14ac:dyDescent="0.25">
      <c r="A3015" t="s">
        <v>3019</v>
      </c>
      <c r="B3015">
        <v>0.99996721820229495</v>
      </c>
      <c r="C3015">
        <v>0.98929435415380795</v>
      </c>
      <c r="D3015">
        <v>1.0971436946941899</v>
      </c>
      <c r="E3015">
        <v>0.83989379273828801</v>
      </c>
      <c r="F3015">
        <v>0.50057914235054002</v>
      </c>
      <c r="G3015">
        <v>0.430510870642489</v>
      </c>
      <c r="H3015">
        <v>0.269947190236701</v>
      </c>
      <c r="I3015">
        <v>0.17298736535445999</v>
      </c>
      <c r="J3015">
        <v>0.12460507427166299</v>
      </c>
      <c r="K3015">
        <v>0.112638054484271</v>
      </c>
      <c r="L3015">
        <v>941.50587105208399</v>
      </c>
      <c r="M3015">
        <v>17.524182477153399</v>
      </c>
      <c r="N3015">
        <v>54.630419984039897</v>
      </c>
      <c r="O3015">
        <v>53.041119825833803</v>
      </c>
      <c r="P3015">
        <v>-7.2202066954714303E-2</v>
      </c>
      <c r="Q3015">
        <v>0.125900756389138</v>
      </c>
      <c r="R3015">
        <v>0.96938888148134905</v>
      </c>
      <c r="S3015" t="s">
        <v>8841</v>
      </c>
      <c r="T3015" t="s">
        <v>11650</v>
      </c>
      <c r="U3015" t="s">
        <v>11650</v>
      </c>
      <c r="V3015" t="s">
        <v>11650</v>
      </c>
      <c r="W3015" t="s">
        <v>14619</v>
      </c>
      <c r="X3015">
        <v>16</v>
      </c>
      <c r="Y3015" t="s">
        <v>20315</v>
      </c>
      <c r="Z3015" t="s">
        <v>26077</v>
      </c>
      <c r="AA3015">
        <v>0.54049797558521206</v>
      </c>
      <c r="AB3015" t="str">
        <f>HYPERLINK("Melting_Curves/meltCurve_Q12965_MYO1E.pdf", "Melting_Curves/meltCurve_Q12965_MYO1E.pdf")</f>
        <v>Melting_Curves/meltCurve_Q12965_MYO1E.pdf</v>
      </c>
    </row>
    <row r="3016" spans="1:28" x14ac:dyDescent="0.25">
      <c r="A3016" t="s">
        <v>3020</v>
      </c>
      <c r="B3016">
        <v>0.99996721820229495</v>
      </c>
      <c r="C3016">
        <v>1.01174480097869</v>
      </c>
      <c r="D3016">
        <v>0.95884409172136398</v>
      </c>
      <c r="E3016">
        <v>0.75825853766272799</v>
      </c>
      <c r="F3016">
        <v>0.44516190235959902</v>
      </c>
      <c r="G3016">
        <v>0.38117843841354898</v>
      </c>
      <c r="H3016">
        <v>0.23299859870821499</v>
      </c>
      <c r="I3016">
        <v>0.16891073445815699</v>
      </c>
      <c r="J3016">
        <v>0.103859277669631</v>
      </c>
      <c r="K3016">
        <v>7.5936359291327804E-2</v>
      </c>
      <c r="L3016">
        <v>800.15804703115805</v>
      </c>
      <c r="M3016">
        <v>15.111450777596099</v>
      </c>
      <c r="N3016">
        <v>53.645397480956603</v>
      </c>
      <c r="O3016">
        <v>52.049136852760903</v>
      </c>
      <c r="P3016">
        <v>-6.6136799652103298E-2</v>
      </c>
      <c r="Q3016">
        <v>8.8896074984597104E-2</v>
      </c>
      <c r="R3016">
        <v>0.98490805123368697</v>
      </c>
      <c r="S3016" t="s">
        <v>8842</v>
      </c>
      <c r="T3016" t="s">
        <v>11650</v>
      </c>
      <c r="U3016" t="s">
        <v>11650</v>
      </c>
      <c r="V3016" t="s">
        <v>11650</v>
      </c>
      <c r="W3016" t="s">
        <v>14620</v>
      </c>
      <c r="X3016">
        <v>5</v>
      </c>
      <c r="Y3016" t="s">
        <v>20316</v>
      </c>
      <c r="Z3016" t="s">
        <v>26078</v>
      </c>
      <c r="AA3016">
        <v>0.50164634328627811</v>
      </c>
      <c r="AB3016" t="str">
        <f>HYPERLINK("Melting_Curves/meltCurve_Q12972_PPP1R8.pdf", "Melting_Curves/meltCurve_Q12972_PPP1R8.pdf")</f>
        <v>Melting_Curves/meltCurve_Q12972_PPP1R8.pdf</v>
      </c>
    </row>
    <row r="3017" spans="1:28" x14ac:dyDescent="0.25">
      <c r="A3017" t="s">
        <v>3021</v>
      </c>
      <c r="B3017">
        <v>0.99996721820229495</v>
      </c>
      <c r="C3017">
        <v>0.96897326312044596</v>
      </c>
      <c r="D3017">
        <v>0.94549600788874999</v>
      </c>
      <c r="E3017">
        <v>0.86710447346638997</v>
      </c>
      <c r="F3017">
        <v>0.537571620445223</v>
      </c>
      <c r="G3017">
        <v>0.358350182887334</v>
      </c>
      <c r="H3017">
        <v>0.18738106255850601</v>
      </c>
      <c r="I3017">
        <v>0.12042104329971499</v>
      </c>
      <c r="J3017">
        <v>8.9757386775523404E-2</v>
      </c>
      <c r="K3017">
        <v>5.7292686491289498E-2</v>
      </c>
      <c r="L3017">
        <v>905.613628157736</v>
      </c>
      <c r="M3017">
        <v>16.759483965666799</v>
      </c>
      <c r="N3017">
        <v>54.402535756931002</v>
      </c>
      <c r="O3017">
        <v>53.284144998838798</v>
      </c>
      <c r="P3017">
        <v>-7.4438362046006706E-2</v>
      </c>
      <c r="Q3017">
        <v>5.3401547667678399E-2</v>
      </c>
      <c r="R3017">
        <v>0.99325796419131196</v>
      </c>
      <c r="S3017" t="s">
        <v>8843</v>
      </c>
      <c r="T3017" t="s">
        <v>11650</v>
      </c>
      <c r="U3017" t="s">
        <v>11650</v>
      </c>
      <c r="V3017" t="s">
        <v>11650</v>
      </c>
      <c r="W3017" t="s">
        <v>14621</v>
      </c>
      <c r="X3017">
        <v>4</v>
      </c>
      <c r="Y3017" t="s">
        <v>20317</v>
      </c>
      <c r="Z3017" t="s">
        <v>26079</v>
      </c>
      <c r="AA3017">
        <v>0.51304116773508601</v>
      </c>
      <c r="AB3017" t="str">
        <f>HYPERLINK("Melting_Curves/meltCurve_Q12974_PTP4A2.pdf", "Melting_Curves/meltCurve_Q12974_PTP4A2.pdf")</f>
        <v>Melting_Curves/meltCurve_Q12974_PTP4A2.pdf</v>
      </c>
    </row>
    <row r="3018" spans="1:28" x14ac:dyDescent="0.25">
      <c r="A3018" t="s">
        <v>3022</v>
      </c>
      <c r="B3018">
        <v>0.99996721820229495</v>
      </c>
      <c r="C3018">
        <v>0.92848180272008296</v>
      </c>
      <c r="D3018">
        <v>0.75113557985413004</v>
      </c>
      <c r="E3018">
        <v>0.44489072625130199</v>
      </c>
      <c r="F3018">
        <v>0.32193002215443101</v>
      </c>
      <c r="G3018">
        <v>0.24776021200155701</v>
      </c>
      <c r="H3018">
        <v>0.154399742903611</v>
      </c>
      <c r="I3018">
        <v>0.10016227131755499</v>
      </c>
      <c r="J3018">
        <v>7.2171747639338105E-2</v>
      </c>
      <c r="K3018">
        <v>6.9500089221630201E-2</v>
      </c>
      <c r="L3018">
        <v>705.94566352824802</v>
      </c>
      <c r="M3018">
        <v>14.345721689502801</v>
      </c>
      <c r="N3018">
        <v>49.790400152653902</v>
      </c>
      <c r="O3018">
        <v>48.282908574069197</v>
      </c>
      <c r="P3018">
        <v>-6.8563928003105706E-2</v>
      </c>
      <c r="Q3018">
        <v>7.7057887413961801E-2</v>
      </c>
      <c r="R3018">
        <v>0.99269009336324898</v>
      </c>
      <c r="S3018" t="s">
        <v>8844</v>
      </c>
      <c r="T3018" t="s">
        <v>11650</v>
      </c>
      <c r="U3018" t="s">
        <v>11650</v>
      </c>
      <c r="V3018" t="s">
        <v>11650</v>
      </c>
      <c r="W3018" t="s">
        <v>14622</v>
      </c>
      <c r="X3018">
        <v>11</v>
      </c>
      <c r="Y3018" t="s">
        <v>20318</v>
      </c>
      <c r="Z3018" t="s">
        <v>26080</v>
      </c>
      <c r="AA3018">
        <v>0.38492457391150647</v>
      </c>
      <c r="AB3018" t="str">
        <f>HYPERLINK("Melting_Curves/meltCurve_Q12979_4_ABR.pdf", "Melting_Curves/meltCurve_Q12979_4_ABR.pdf")</f>
        <v>Melting_Curves/meltCurve_Q12979_4_ABR.pdf</v>
      </c>
    </row>
    <row r="3019" spans="1:28" x14ac:dyDescent="0.25">
      <c r="A3019" t="s">
        <v>3023</v>
      </c>
      <c r="B3019">
        <v>0.99996721820229495</v>
      </c>
      <c r="C3019">
        <v>0.98295945122296802</v>
      </c>
      <c r="D3019">
        <v>0.95629139222844095</v>
      </c>
      <c r="E3019">
        <v>0.78126928744134905</v>
      </c>
      <c r="F3019">
        <v>0.90348168000315299</v>
      </c>
      <c r="G3019">
        <v>0.430128497756884</v>
      </c>
      <c r="H3019">
        <v>0.21503111796785601</v>
      </c>
      <c r="I3019">
        <v>0.170276746833878</v>
      </c>
      <c r="J3019">
        <v>0.10610880847231501</v>
      </c>
      <c r="K3019">
        <v>0.10441476282136899</v>
      </c>
      <c r="L3019">
        <v>1147.8789669073401</v>
      </c>
      <c r="M3019">
        <v>20.460457132516101</v>
      </c>
      <c r="N3019">
        <v>56.5949673097169</v>
      </c>
      <c r="O3019">
        <v>55.574640849995902</v>
      </c>
      <c r="P3019">
        <v>-8.4535077161198902E-2</v>
      </c>
      <c r="Q3019">
        <v>8.1571503356738906E-2</v>
      </c>
      <c r="R3019">
        <v>0.97191572845460295</v>
      </c>
      <c r="S3019" t="s">
        <v>8845</v>
      </c>
      <c r="T3019" t="s">
        <v>11650</v>
      </c>
      <c r="U3019" t="s">
        <v>11650</v>
      </c>
      <c r="V3019" t="s">
        <v>11650</v>
      </c>
      <c r="W3019" t="s">
        <v>14623</v>
      </c>
      <c r="X3019">
        <v>11</v>
      </c>
      <c r="Y3019" t="s">
        <v>20319</v>
      </c>
      <c r="Z3019" t="s">
        <v>26081</v>
      </c>
      <c r="AA3019">
        <v>0.58595309566415743</v>
      </c>
      <c r="AB3019" t="str">
        <f>HYPERLINK("Melting_Curves/meltCurve_Q12981_BNIP1.pdf", "Melting_Curves/meltCurve_Q12981_BNIP1.pdf")</f>
        <v>Melting_Curves/meltCurve_Q12981_BNIP1.pdf</v>
      </c>
    </row>
    <row r="3020" spans="1:28" x14ac:dyDescent="0.25">
      <c r="A3020" t="s">
        <v>3024</v>
      </c>
      <c r="B3020">
        <v>0.99996721820229495</v>
      </c>
      <c r="C3020">
        <v>0.99718962850826998</v>
      </c>
      <c r="D3020">
        <v>1.12159568735989</v>
      </c>
      <c r="E3020">
        <v>1.76884012003742</v>
      </c>
      <c r="F3020">
        <v>1.4627983304291801</v>
      </c>
      <c r="G3020">
        <v>0.91469881052053603</v>
      </c>
      <c r="H3020">
        <v>0.52277224012212098</v>
      </c>
      <c r="I3020">
        <v>0.30473036243096002</v>
      </c>
      <c r="J3020">
        <v>0.25678918980704901</v>
      </c>
      <c r="K3020">
        <v>0.17252153384364499</v>
      </c>
      <c r="L3020">
        <v>2521.1361294450398</v>
      </c>
      <c r="M3020">
        <v>41.727981369700402</v>
      </c>
      <c r="N3020">
        <v>61.238709592620097</v>
      </c>
      <c r="O3020">
        <v>60.2800926399673</v>
      </c>
      <c r="P3020">
        <v>-0.136006061375573</v>
      </c>
      <c r="Q3020">
        <v>0.21410590050563499</v>
      </c>
      <c r="R3020">
        <v>0.67681591736095803</v>
      </c>
      <c r="S3020" t="s">
        <v>8846</v>
      </c>
      <c r="T3020" t="s">
        <v>11650</v>
      </c>
      <c r="U3020" t="s">
        <v>11650</v>
      </c>
      <c r="V3020" t="s">
        <v>11650</v>
      </c>
      <c r="W3020" t="s">
        <v>14624</v>
      </c>
      <c r="X3020">
        <v>3</v>
      </c>
      <c r="Y3020" t="s">
        <v>20320</v>
      </c>
      <c r="Z3020" t="s">
        <v>26082</v>
      </c>
      <c r="AA3020">
        <v>0.75183111183732287</v>
      </c>
      <c r="AB3020" t="str">
        <f>HYPERLINK("Melting_Curves/meltCurve_Q12996_CSTF3.pdf", "Melting_Curves/meltCurve_Q12996_CSTF3.pdf")</f>
        <v>Melting_Curves/meltCurve_Q12996_CSTF3.pdf</v>
      </c>
    </row>
    <row r="3021" spans="1:28" x14ac:dyDescent="0.25">
      <c r="A3021" t="s">
        <v>3025</v>
      </c>
      <c r="B3021">
        <v>0.99996721820229495</v>
      </c>
      <c r="C3021">
        <v>1.01723746552564</v>
      </c>
      <c r="D3021">
        <v>1.2802804803874199</v>
      </c>
      <c r="E3021">
        <v>1.80128347351676</v>
      </c>
      <c r="F3021">
        <v>2.0652603581134201</v>
      </c>
      <c r="G3021">
        <v>0.76391785812846702</v>
      </c>
      <c r="H3021">
        <v>0.234925037842691</v>
      </c>
      <c r="I3021">
        <v>0.62812486473948403</v>
      </c>
      <c r="J3021">
        <v>9.8724501430224001E-2</v>
      </c>
      <c r="K3021">
        <v>9.2283408125668501E-2</v>
      </c>
      <c r="L3021">
        <v>14292.8203842967</v>
      </c>
      <c r="M3021">
        <v>250</v>
      </c>
      <c r="N3021">
        <v>57.3430058376725</v>
      </c>
      <c r="O3021">
        <v>57.167628808599197</v>
      </c>
      <c r="P3021">
        <v>-0.80518212984124005</v>
      </c>
      <c r="Q3021">
        <v>0.26351442620916199</v>
      </c>
      <c r="R3021">
        <v>0.50909670458318801</v>
      </c>
      <c r="S3021" t="s">
        <v>8847</v>
      </c>
      <c r="T3021" t="s">
        <v>11650</v>
      </c>
      <c r="U3021" t="s">
        <v>11650</v>
      </c>
      <c r="V3021" t="s">
        <v>11650</v>
      </c>
      <c r="W3021" t="s">
        <v>14625</v>
      </c>
      <c r="X3021">
        <v>8</v>
      </c>
      <c r="Y3021" t="s">
        <v>20321</v>
      </c>
      <c r="Z3021" t="s">
        <v>26083</v>
      </c>
      <c r="AA3021">
        <v>0.68513502579642604</v>
      </c>
      <c r="AB3021" t="str">
        <f>HYPERLINK("Melting_Curves/meltCurve_Q13011_ECH1.pdf", "Melting_Curves/meltCurve_Q13011_ECH1.pdf")</f>
        <v>Melting_Curves/meltCurve_Q13011_ECH1.pdf</v>
      </c>
    </row>
    <row r="3022" spans="1:28" x14ac:dyDescent="0.25">
      <c r="A3022" t="s">
        <v>3026</v>
      </c>
      <c r="B3022">
        <v>0.99996721820229495</v>
      </c>
      <c r="C3022">
        <v>1.0285595192511501</v>
      </c>
      <c r="D3022">
        <v>0.95816996770323004</v>
      </c>
      <c r="E3022">
        <v>0.45560597314011198</v>
      </c>
      <c r="F3022">
        <v>0.47392584608951999</v>
      </c>
      <c r="G3022">
        <v>0.32588436151209899</v>
      </c>
      <c r="H3022">
        <v>0.23021804569939</v>
      </c>
      <c r="I3022">
        <v>0.15174138173594001</v>
      </c>
      <c r="J3022">
        <v>0.10176504620563701</v>
      </c>
      <c r="K3022">
        <v>0.129629939264408</v>
      </c>
      <c r="L3022">
        <v>840.49498072845404</v>
      </c>
      <c r="M3022">
        <v>16.6285346504161</v>
      </c>
      <c r="N3022">
        <v>51.584532992185103</v>
      </c>
      <c r="O3022">
        <v>49.831305094123898</v>
      </c>
      <c r="P3022">
        <v>-7.1555552512592005E-2</v>
      </c>
      <c r="Q3022">
        <v>0.14232588152766701</v>
      </c>
      <c r="R3022">
        <v>0.95848768142886498</v>
      </c>
      <c r="S3022" t="s">
        <v>8848</v>
      </c>
      <c r="T3022" t="s">
        <v>11650</v>
      </c>
      <c r="U3022" t="s">
        <v>11650</v>
      </c>
      <c r="V3022" t="s">
        <v>11650</v>
      </c>
      <c r="W3022" t="s">
        <v>14626</v>
      </c>
      <c r="X3022">
        <v>6</v>
      </c>
      <c r="Y3022" t="s">
        <v>20322</v>
      </c>
      <c r="Z3022" t="s">
        <v>26084</v>
      </c>
      <c r="AA3022">
        <v>0.46059058711689133</v>
      </c>
      <c r="AB3022" t="str">
        <f>HYPERLINK("Melting_Curves/meltCurve_Q13017_2_ARHGAP5.pdf", "Melting_Curves/meltCurve_Q13017_2_ARHGAP5.pdf")</f>
        <v>Melting_Curves/meltCurve_Q13017_2_ARHGAP5.pdf</v>
      </c>
    </row>
    <row r="3023" spans="1:28" x14ac:dyDescent="0.25">
      <c r="A3023" t="s">
        <v>3027</v>
      </c>
      <c r="B3023">
        <v>0.99996721820229495</v>
      </c>
      <c r="C3023">
        <v>1.0200225529661899</v>
      </c>
      <c r="D3023">
        <v>1.31972763594175</v>
      </c>
      <c r="E3023">
        <v>2.2506372305307898</v>
      </c>
      <c r="F3023">
        <v>2.67906709542752</v>
      </c>
      <c r="G3023">
        <v>1.8829964482146699</v>
      </c>
      <c r="H3023">
        <v>0.60990499880354399</v>
      </c>
      <c r="I3023">
        <v>0.31337279971250798</v>
      </c>
      <c r="J3023">
        <v>0.197671409756001</v>
      </c>
      <c r="K3023">
        <v>0.20215646949183</v>
      </c>
      <c r="L3023">
        <v>7747.7661900109297</v>
      </c>
      <c r="M3023">
        <v>127.050792976094</v>
      </c>
      <c r="N3023">
        <v>61.291339721556099</v>
      </c>
      <c r="O3023">
        <v>60.966538520779302</v>
      </c>
      <c r="P3023">
        <v>-0.39758186174100202</v>
      </c>
      <c r="Q3023">
        <v>0.23686617485991601</v>
      </c>
      <c r="R3023">
        <v>0.241331077068347</v>
      </c>
      <c r="S3023" t="s">
        <v>8849</v>
      </c>
      <c r="T3023" t="s">
        <v>11650</v>
      </c>
      <c r="U3023" t="s">
        <v>11650</v>
      </c>
      <c r="V3023" t="s">
        <v>11650</v>
      </c>
      <c r="W3023" t="s">
        <v>14627</v>
      </c>
      <c r="X3023">
        <v>8</v>
      </c>
      <c r="Y3023" t="s">
        <v>20323</v>
      </c>
      <c r="Z3023" t="s">
        <v>26085</v>
      </c>
      <c r="AA3023">
        <v>0.77090933538301842</v>
      </c>
      <c r="AB3023" t="str">
        <f>HYPERLINK("Melting_Curves/meltCurve_Q13033_2_STRN3.pdf", "Melting_Curves/meltCurve_Q13033_2_STRN3.pdf")</f>
        <v>Melting_Curves/meltCurve_Q13033_2_STRN3.pdf</v>
      </c>
    </row>
    <row r="3024" spans="1:28" x14ac:dyDescent="0.25">
      <c r="A3024" t="s">
        <v>3028</v>
      </c>
      <c r="B3024">
        <v>0.99996721820229495</v>
      </c>
      <c r="C3024">
        <v>1.0394187655542999</v>
      </c>
      <c r="D3024">
        <v>0.98658453574008498</v>
      </c>
      <c r="E3024">
        <v>0.86357610153953801</v>
      </c>
      <c r="F3024">
        <v>0.56486510667718903</v>
      </c>
      <c r="G3024">
        <v>0.37661231721280702</v>
      </c>
      <c r="H3024">
        <v>0.21462554452906901</v>
      </c>
      <c r="I3024">
        <v>0.152155473753978</v>
      </c>
      <c r="J3024">
        <v>0.108642174451166</v>
      </c>
      <c r="K3024">
        <v>9.1146506410964195E-2</v>
      </c>
      <c r="L3024">
        <v>972.45357185132002</v>
      </c>
      <c r="M3024">
        <v>18.0014490586025</v>
      </c>
      <c r="N3024">
        <v>54.647955342164401</v>
      </c>
      <c r="O3024">
        <v>53.367434027564499</v>
      </c>
      <c r="P3024">
        <v>-7.6462446007179496E-2</v>
      </c>
      <c r="Q3024">
        <v>9.3316706394494894E-2</v>
      </c>
      <c r="R3024">
        <v>0.99346051837845395</v>
      </c>
      <c r="S3024" t="s">
        <v>8850</v>
      </c>
      <c r="T3024" t="s">
        <v>11650</v>
      </c>
      <c r="U3024" t="s">
        <v>11650</v>
      </c>
      <c r="V3024" t="s">
        <v>11650</v>
      </c>
      <c r="W3024" t="s">
        <v>14628</v>
      </c>
      <c r="X3024">
        <v>14</v>
      </c>
      <c r="Y3024" t="s">
        <v>20324</v>
      </c>
      <c r="Z3024" t="s">
        <v>26086</v>
      </c>
      <c r="AA3024">
        <v>0.53156240453356607</v>
      </c>
      <c r="AB3024" t="str">
        <f>HYPERLINK("Melting_Curves/meltCurve_Q13043_STK4.pdf", "Melting_Curves/meltCurve_Q13043_STK4.pdf")</f>
        <v>Melting_Curves/meltCurve_Q13043_STK4.pdf</v>
      </c>
    </row>
    <row r="3025" spans="1:28" x14ac:dyDescent="0.25">
      <c r="A3025" t="s">
        <v>3029</v>
      </c>
      <c r="B3025">
        <v>0.99996721820229495</v>
      </c>
      <c r="C3025">
        <v>0.92935807439319396</v>
      </c>
      <c r="D3025">
        <v>1.19068445803364</v>
      </c>
      <c r="E3025">
        <v>0.95061694018540499</v>
      </c>
      <c r="F3025">
        <v>0.657445293101942</v>
      </c>
      <c r="G3025">
        <v>0.58538847549957995</v>
      </c>
      <c r="H3025">
        <v>0.38395656318031701</v>
      </c>
      <c r="I3025">
        <v>0.29685414499135498</v>
      </c>
      <c r="J3025">
        <v>0.27529625274166902</v>
      </c>
      <c r="K3025">
        <v>0.47737739142295699</v>
      </c>
      <c r="L3025">
        <v>1292.2466604812</v>
      </c>
      <c r="M3025">
        <v>23.9755911405761</v>
      </c>
      <c r="N3025">
        <v>56.843539722910698</v>
      </c>
      <c r="O3025">
        <v>53.527672993069402</v>
      </c>
      <c r="P3025">
        <v>-7.2156693578054001E-2</v>
      </c>
      <c r="Q3025">
        <v>0.355625006003297</v>
      </c>
      <c r="R3025">
        <v>0.90566890023250601</v>
      </c>
      <c r="S3025" t="s">
        <v>8851</v>
      </c>
      <c r="T3025" t="s">
        <v>11650</v>
      </c>
      <c r="U3025" t="s">
        <v>11650</v>
      </c>
      <c r="V3025" t="s">
        <v>11650</v>
      </c>
      <c r="W3025" t="s">
        <v>14629</v>
      </c>
      <c r="X3025">
        <v>11</v>
      </c>
      <c r="Y3025" t="s">
        <v>20325</v>
      </c>
      <c r="Z3025" t="s">
        <v>26087</v>
      </c>
      <c r="AA3025">
        <v>0.66058206021489718</v>
      </c>
      <c r="AB3025" t="str">
        <f>HYPERLINK("Melting_Curves/meltCurve_Q13045_FLII.pdf", "Melting_Curves/meltCurve_Q13045_FLII.pdf")</f>
        <v>Melting_Curves/meltCurve_Q13045_FLII.pdf</v>
      </c>
    </row>
    <row r="3026" spans="1:28" x14ac:dyDescent="0.25">
      <c r="A3026" t="s">
        <v>3030</v>
      </c>
      <c r="B3026">
        <v>0.99996721820229495</v>
      </c>
      <c r="C3026">
        <v>0.94474312446664799</v>
      </c>
      <c r="D3026">
        <v>0.80262413567800495</v>
      </c>
      <c r="E3026">
        <v>0.39917823842440903</v>
      </c>
      <c r="F3026">
        <v>0.26353437141240998</v>
      </c>
      <c r="G3026">
        <v>0.21491806226582399</v>
      </c>
      <c r="H3026">
        <v>0.13672796567189399</v>
      </c>
      <c r="I3026">
        <v>0.117261715654406</v>
      </c>
      <c r="J3026">
        <v>8.1509795821339603E-2</v>
      </c>
      <c r="K3026">
        <v>6.5640413826841396E-2</v>
      </c>
      <c r="L3026">
        <v>947.55160608956396</v>
      </c>
      <c r="M3026">
        <v>19.4716880837695</v>
      </c>
      <c r="N3026">
        <v>49.252608155665897</v>
      </c>
      <c r="O3026">
        <v>48.158494434903503</v>
      </c>
      <c r="P3026">
        <v>-9.05766438486625E-2</v>
      </c>
      <c r="Q3026">
        <v>0.103955009107703</v>
      </c>
      <c r="R3026">
        <v>0.99293702771677095</v>
      </c>
      <c r="S3026" t="s">
        <v>8852</v>
      </c>
      <c r="T3026" t="s">
        <v>11650</v>
      </c>
      <c r="U3026" t="s">
        <v>11650</v>
      </c>
      <c r="V3026" t="s">
        <v>11650</v>
      </c>
      <c r="W3026" t="s">
        <v>14630</v>
      </c>
      <c r="X3026">
        <v>11</v>
      </c>
      <c r="Y3026" t="s">
        <v>20326</v>
      </c>
      <c r="Z3026" t="s">
        <v>26088</v>
      </c>
      <c r="AA3026">
        <v>0.37601521464094928</v>
      </c>
      <c r="AB3026" t="str">
        <f>HYPERLINK("Melting_Curves/meltCurve_Q13057_COASY.pdf", "Melting_Curves/meltCurve_Q13057_COASY.pdf")</f>
        <v>Melting_Curves/meltCurve_Q13057_COASY.pdf</v>
      </c>
    </row>
    <row r="3027" spans="1:28" x14ac:dyDescent="0.25">
      <c r="A3027" t="s">
        <v>3031</v>
      </c>
      <c r="B3027">
        <v>0.99996721820229495</v>
      </c>
      <c r="C3027">
        <v>1.0036709387840801</v>
      </c>
      <c r="D3027">
        <v>0.52335638424182596</v>
      </c>
      <c r="E3027">
        <v>0.26829607059946597</v>
      </c>
      <c r="F3027">
        <v>0.29954757881024702</v>
      </c>
      <c r="G3027">
        <v>0.249161109574808</v>
      </c>
      <c r="H3027">
        <v>0.11250898498433599</v>
      </c>
      <c r="I3027">
        <v>8.1131529090919502E-2</v>
      </c>
      <c r="J3027">
        <v>6.8401028206255696E-2</v>
      </c>
      <c r="K3027">
        <v>6.4977997891406694E-2</v>
      </c>
      <c r="L3027">
        <v>1094.4503128445699</v>
      </c>
      <c r="M3027">
        <v>23.5999503271204</v>
      </c>
      <c r="N3027">
        <v>46.983507344278202</v>
      </c>
      <c r="O3027">
        <v>46.045965346922998</v>
      </c>
      <c r="P3027">
        <v>-0.11126458137742699</v>
      </c>
      <c r="Q3027">
        <v>0.131659113544909</v>
      </c>
      <c r="R3027">
        <v>0.94976467512681595</v>
      </c>
      <c r="S3027" t="s">
        <v>8853</v>
      </c>
      <c r="T3027" t="s">
        <v>11650</v>
      </c>
      <c r="U3027" t="s">
        <v>11650</v>
      </c>
      <c r="V3027" t="s">
        <v>11650</v>
      </c>
      <c r="W3027" t="s">
        <v>14631</v>
      </c>
      <c r="X3027">
        <v>11</v>
      </c>
      <c r="Y3027" t="s">
        <v>20327</v>
      </c>
      <c r="Z3027" t="s">
        <v>26089</v>
      </c>
      <c r="AA3027">
        <v>0.32517846264321321</v>
      </c>
      <c r="AB3027" t="str">
        <f>HYPERLINK("Melting_Curves/meltCurve_Q13107_2_USP4.pdf", "Melting_Curves/meltCurve_Q13107_2_USP4.pdf")</f>
        <v>Melting_Curves/meltCurve_Q13107_2_USP4.pdf</v>
      </c>
    </row>
    <row r="3028" spans="1:28" x14ac:dyDescent="0.25">
      <c r="A3028" t="s">
        <v>3032</v>
      </c>
      <c r="B3028">
        <v>0.99996721820229495</v>
      </c>
      <c r="C3028">
        <v>0.97713122308037903</v>
      </c>
      <c r="D3028">
        <v>1.00384653594798</v>
      </c>
      <c r="E3028">
        <v>1.01650513251514</v>
      </c>
      <c r="F3028">
        <v>1.3370527330700199</v>
      </c>
      <c r="G3028">
        <v>1.31521203053466</v>
      </c>
      <c r="H3028">
        <v>0.97766218454840603</v>
      </c>
      <c r="I3028">
        <v>0.87850181568278995</v>
      </c>
      <c r="J3028">
        <v>0.64012554117546805</v>
      </c>
      <c r="K3028">
        <v>0.64151773373269805</v>
      </c>
      <c r="L3028">
        <v>6710.3451543866104</v>
      </c>
      <c r="M3028">
        <v>104.17212337050999</v>
      </c>
      <c r="O3028">
        <v>64.392190699641404</v>
      </c>
      <c r="P3028">
        <v>-0.14653972959655001</v>
      </c>
      <c r="Q3028">
        <v>0.63767594277619399</v>
      </c>
      <c r="R3028">
        <v>0.55598049270293903</v>
      </c>
      <c r="S3028" t="s">
        <v>8854</v>
      </c>
      <c r="T3028" t="s">
        <v>11650</v>
      </c>
      <c r="U3028" t="s">
        <v>11650</v>
      </c>
      <c r="V3028" t="s">
        <v>11650</v>
      </c>
      <c r="W3028" t="s">
        <v>14632</v>
      </c>
      <c r="X3028">
        <v>20</v>
      </c>
      <c r="Y3028" t="s">
        <v>20328</v>
      </c>
      <c r="Z3028" t="s">
        <v>26090</v>
      </c>
      <c r="AA3028">
        <v>0.93279261960336357</v>
      </c>
      <c r="AB3028" t="str">
        <f>HYPERLINK("Melting_Curves/meltCurve_Q13126_MTAP.pdf", "Melting_Curves/meltCurve_Q13126_MTAP.pdf")</f>
        <v>Melting_Curves/meltCurve_Q13126_MTAP.pdf</v>
      </c>
    </row>
    <row r="3029" spans="1:28" x14ac:dyDescent="0.25">
      <c r="A3029" t="s">
        <v>3033</v>
      </c>
      <c r="B3029">
        <v>0.99996721820229495</v>
      </c>
      <c r="C3029">
        <v>0.90443411657255102</v>
      </c>
      <c r="D3029">
        <v>0.99547253720152695</v>
      </c>
      <c r="E3029">
        <v>1.20229360108561</v>
      </c>
      <c r="F3029">
        <v>0.706435468137531</v>
      </c>
      <c r="G3029">
        <v>0.43351359861146299</v>
      </c>
      <c r="H3029">
        <v>0.25270992563324501</v>
      </c>
      <c r="I3029">
        <v>0.180315615952129</v>
      </c>
      <c r="J3029">
        <v>0.13473477681360299</v>
      </c>
      <c r="K3029">
        <v>0.113843440609739</v>
      </c>
      <c r="L3029">
        <v>1534.5874449215901</v>
      </c>
      <c r="M3029">
        <v>27.701452189431699</v>
      </c>
      <c r="N3029">
        <v>56.101770460384898</v>
      </c>
      <c r="O3029">
        <v>55.111083705363797</v>
      </c>
      <c r="P3029">
        <v>-0.107204967473725</v>
      </c>
      <c r="Q3029">
        <v>0.146885289631113</v>
      </c>
      <c r="R3029">
        <v>0.94674021525415997</v>
      </c>
      <c r="S3029" t="s">
        <v>8855</v>
      </c>
      <c r="T3029" t="s">
        <v>11650</v>
      </c>
      <c r="U3029" t="s">
        <v>11650</v>
      </c>
      <c r="V3029" t="s">
        <v>11650</v>
      </c>
      <c r="W3029" t="s">
        <v>14633</v>
      </c>
      <c r="X3029">
        <v>13</v>
      </c>
      <c r="Y3029" t="s">
        <v>20329</v>
      </c>
      <c r="Z3029" t="s">
        <v>26091</v>
      </c>
      <c r="AA3029">
        <v>0.59131368862774658</v>
      </c>
      <c r="AB3029" t="str">
        <f>HYPERLINK("Melting_Curves/meltCurve_Q13131_PRKAA1.pdf", "Melting_Curves/meltCurve_Q13131_PRKAA1.pdf")</f>
        <v>Melting_Curves/meltCurve_Q13131_PRKAA1.pdf</v>
      </c>
    </row>
    <row r="3030" spans="1:28" x14ac:dyDescent="0.25">
      <c r="A3030" t="s">
        <v>3034</v>
      </c>
      <c r="B3030">
        <v>0.99996721820229495</v>
      </c>
      <c r="C3030">
        <v>1.1153752561342101</v>
      </c>
      <c r="D3030">
        <v>1.20822679359193</v>
      </c>
      <c r="E3030">
        <v>1.1811592657968699</v>
      </c>
      <c r="F3030">
        <v>1.29490371367705</v>
      </c>
      <c r="G3030">
        <v>1.1118654923525699</v>
      </c>
      <c r="H3030">
        <v>0.87328887983966597</v>
      </c>
      <c r="I3030">
        <v>0.87455242848834702</v>
      </c>
      <c r="J3030">
        <v>0.76584088586089005</v>
      </c>
      <c r="K3030">
        <v>0.62131600700134804</v>
      </c>
      <c r="L3030">
        <v>1547.9837325624901</v>
      </c>
      <c r="M3030">
        <v>23.1120558946198</v>
      </c>
      <c r="O3030">
        <v>66.481952447376102</v>
      </c>
      <c r="P3030">
        <v>-4.4017036168328298E-2</v>
      </c>
      <c r="Q3030">
        <v>0.49354833946621401</v>
      </c>
      <c r="R3030">
        <v>0.52603938662373995</v>
      </c>
      <c r="S3030" t="s">
        <v>8856</v>
      </c>
      <c r="T3030" t="s">
        <v>11650</v>
      </c>
      <c r="U3030" t="s">
        <v>11650</v>
      </c>
      <c r="V3030" t="s">
        <v>11650</v>
      </c>
      <c r="W3030" t="s">
        <v>14634</v>
      </c>
      <c r="X3030">
        <v>14</v>
      </c>
      <c r="Y3030" t="s">
        <v>20330</v>
      </c>
      <c r="Z3030" t="s">
        <v>26092</v>
      </c>
      <c r="AA3030">
        <v>0.93743136258678506</v>
      </c>
      <c r="AB3030" t="str">
        <f>HYPERLINK("Melting_Curves/meltCurve_Q13136_PPFIA1.pdf", "Melting_Curves/meltCurve_Q13136_PPFIA1.pdf")</f>
        <v>Melting_Curves/meltCurve_Q13136_PPFIA1.pdf</v>
      </c>
    </row>
    <row r="3031" spans="1:28" x14ac:dyDescent="0.25">
      <c r="A3031" t="s">
        <v>3035</v>
      </c>
      <c r="B3031">
        <v>0.99996721820229495</v>
      </c>
      <c r="C3031">
        <v>0.77123323782811004</v>
      </c>
      <c r="D3031">
        <v>0.36803004445760401</v>
      </c>
      <c r="E3031">
        <v>0.184713803996994</v>
      </c>
      <c r="F3031">
        <v>0.16209601982312699</v>
      </c>
      <c r="G3031">
        <v>0.12772965697976499</v>
      </c>
      <c r="H3031">
        <v>9.5837069290523394E-2</v>
      </c>
      <c r="I3031">
        <v>8.4441468741884698E-2</v>
      </c>
      <c r="J3031">
        <v>6.1586167745033303E-2</v>
      </c>
      <c r="K3031">
        <v>5.9726359137297701E-2</v>
      </c>
      <c r="L3031">
        <v>1161.8979415931401</v>
      </c>
      <c r="M3031">
        <v>26.004100259762399</v>
      </c>
      <c r="N3031">
        <v>45.0607270651211</v>
      </c>
      <c r="O3031">
        <v>44.419609175413797</v>
      </c>
      <c r="P3031">
        <v>-0.13196731631068501</v>
      </c>
      <c r="Q3031">
        <v>9.8316164733192199E-2</v>
      </c>
      <c r="R3031">
        <v>0.99048936044034497</v>
      </c>
      <c r="S3031" t="s">
        <v>8857</v>
      </c>
      <c r="T3031" t="s">
        <v>11650</v>
      </c>
      <c r="U3031" t="s">
        <v>11650</v>
      </c>
      <c r="V3031" t="s">
        <v>11650</v>
      </c>
      <c r="W3031" t="s">
        <v>14635</v>
      </c>
      <c r="X3031">
        <v>8</v>
      </c>
      <c r="Y3031" t="s">
        <v>20331</v>
      </c>
      <c r="Z3031" t="s">
        <v>26093</v>
      </c>
      <c r="AA3031">
        <v>0.2474865516011335</v>
      </c>
      <c r="AB3031" t="str">
        <f>HYPERLINK("Melting_Curves/meltCurve_Q13148_TARDBP.pdf", "Melting_Curves/meltCurve_Q13148_TARDBP.pdf")</f>
        <v>Melting_Curves/meltCurve_Q13148_TARDBP.pdf</v>
      </c>
    </row>
    <row r="3032" spans="1:28" x14ac:dyDescent="0.25">
      <c r="A3032" t="s">
        <v>3036</v>
      </c>
      <c r="B3032">
        <v>0.99996721820229495</v>
      </c>
      <c r="C3032">
        <v>1.0673878352012101</v>
      </c>
      <c r="D3032">
        <v>1.0766619078158499</v>
      </c>
      <c r="E3032">
        <v>1.30078777244453</v>
      </c>
      <c r="F3032">
        <v>1.58627766649338</v>
      </c>
      <c r="G3032">
        <v>1.2467803364741501</v>
      </c>
      <c r="H3032">
        <v>0.37440124065154601</v>
      </c>
      <c r="I3032">
        <v>0.27554055009657802</v>
      </c>
      <c r="J3032">
        <v>0.21413116008129901</v>
      </c>
      <c r="K3032">
        <v>0.18329051407605601</v>
      </c>
      <c r="L3032">
        <v>12658.295453791299</v>
      </c>
      <c r="M3032">
        <v>208.94048276660899</v>
      </c>
      <c r="N3032">
        <v>60.7563769791212</v>
      </c>
      <c r="O3032">
        <v>60.577701240304201</v>
      </c>
      <c r="P3032">
        <v>-0.66886008427717503</v>
      </c>
      <c r="Q3032">
        <v>0.22431477018113299</v>
      </c>
      <c r="R3032">
        <v>0.78979546678317303</v>
      </c>
      <c r="S3032" t="s">
        <v>8858</v>
      </c>
      <c r="T3032" t="s">
        <v>11650</v>
      </c>
      <c r="U3032" t="s">
        <v>11650</v>
      </c>
      <c r="V3032" t="s">
        <v>11650</v>
      </c>
      <c r="W3032" t="s">
        <v>14636</v>
      </c>
      <c r="X3032">
        <v>25</v>
      </c>
      <c r="Y3032" t="s">
        <v>20332</v>
      </c>
      <c r="Z3032" t="s">
        <v>26094</v>
      </c>
      <c r="AA3032">
        <v>0.756637194962969</v>
      </c>
      <c r="AB3032" t="str">
        <f>HYPERLINK("Melting_Curves/meltCurve_Q13153_PAK1.pdf", "Melting_Curves/meltCurve_Q13153_PAK1.pdf")</f>
        <v>Melting_Curves/meltCurve_Q13153_PAK1.pdf</v>
      </c>
    </row>
    <row r="3033" spans="1:28" x14ac:dyDescent="0.25">
      <c r="A3033" t="s">
        <v>3037</v>
      </c>
      <c r="B3033">
        <v>0.99996721820229495</v>
      </c>
      <c r="C3033">
        <v>0.94033421904525305</v>
      </c>
      <c r="D3033">
        <v>0.88755886824836705</v>
      </c>
      <c r="E3033">
        <v>0.59465285171938198</v>
      </c>
      <c r="F3033">
        <v>0.38841135396359899</v>
      </c>
      <c r="G3033">
        <v>0.24794455622490799</v>
      </c>
      <c r="H3033">
        <v>0.11035079888202901</v>
      </c>
      <c r="I3033">
        <v>8.8659401301757298E-2</v>
      </c>
      <c r="J3033">
        <v>5.0290761389357903E-2</v>
      </c>
      <c r="K3033">
        <v>3.7862925613960298E-2</v>
      </c>
      <c r="L3033">
        <v>763.28946743331801</v>
      </c>
      <c r="M3033">
        <v>14.8549782327845</v>
      </c>
      <c r="N3033">
        <v>51.5980909910989</v>
      </c>
      <c r="O3033">
        <v>50.478539695796499</v>
      </c>
      <c r="P3033">
        <v>-7.1366841690999203E-2</v>
      </c>
      <c r="Q3033">
        <v>3.0058248379361999E-2</v>
      </c>
      <c r="R3033">
        <v>0.99734703931895696</v>
      </c>
      <c r="S3033" t="s">
        <v>8859</v>
      </c>
      <c r="T3033" t="s">
        <v>11650</v>
      </c>
      <c r="U3033" t="s">
        <v>11650</v>
      </c>
      <c r="V3033" t="s">
        <v>11650</v>
      </c>
      <c r="W3033" t="s">
        <v>14637</v>
      </c>
      <c r="X3033">
        <v>6</v>
      </c>
      <c r="Y3033" t="s">
        <v>20333</v>
      </c>
      <c r="Z3033" t="s">
        <v>26095</v>
      </c>
      <c r="AA3033">
        <v>0.42056325291808122</v>
      </c>
      <c r="AB3033" t="str">
        <f>HYPERLINK("Melting_Curves/meltCurve_Q13158_FADD.pdf", "Melting_Curves/meltCurve_Q13158_FADD.pdf")</f>
        <v>Melting_Curves/meltCurve_Q13158_FADD.pdf</v>
      </c>
    </row>
    <row r="3034" spans="1:28" x14ac:dyDescent="0.25">
      <c r="A3034" t="s">
        <v>3038</v>
      </c>
      <c r="B3034">
        <v>0.99996721820229495</v>
      </c>
      <c r="C3034">
        <v>1.0669425379490001</v>
      </c>
      <c r="D3034">
        <v>1.23664064711772</v>
      </c>
      <c r="E3034">
        <v>1.6505399021849001</v>
      </c>
      <c r="F3034">
        <v>2.0289465645037099</v>
      </c>
      <c r="G3034">
        <v>2.68442614740917</v>
      </c>
      <c r="H3034">
        <v>2.04090404498496</v>
      </c>
      <c r="I3034">
        <v>1.2436848927811901</v>
      </c>
      <c r="J3034">
        <v>0.60762592880077304</v>
      </c>
      <c r="K3034">
        <v>1.4031258074013699</v>
      </c>
      <c r="L3034">
        <v>6710.7384451641601</v>
      </c>
      <c r="M3034">
        <v>145.778739004024</v>
      </c>
      <c r="O3034">
        <v>46.025049381782097</v>
      </c>
      <c r="P3034">
        <v>0.39592216001365399</v>
      </c>
      <c r="Q3034">
        <v>1.5</v>
      </c>
      <c r="R3034">
        <v>0.148784417489567</v>
      </c>
      <c r="S3034" t="s">
        <v>8860</v>
      </c>
      <c r="T3034" t="s">
        <v>11650</v>
      </c>
      <c r="U3034" t="s">
        <v>11650</v>
      </c>
      <c r="V3034" t="s">
        <v>11650</v>
      </c>
      <c r="W3034" t="s">
        <v>14638</v>
      </c>
      <c r="X3034">
        <v>13</v>
      </c>
      <c r="Y3034" t="s">
        <v>20334</v>
      </c>
      <c r="Z3034" t="s">
        <v>26096</v>
      </c>
      <c r="AA3034">
        <v>1.3993190598737311</v>
      </c>
      <c r="AB3034" t="str">
        <f>HYPERLINK("Melting_Curves/meltCurve_Q13162_PRDX4.pdf", "Melting_Curves/meltCurve_Q13162_PRDX4.pdf")</f>
        <v>Melting_Curves/meltCurve_Q13162_PRDX4.pdf</v>
      </c>
    </row>
    <row r="3035" spans="1:28" x14ac:dyDescent="0.25">
      <c r="A3035" t="s">
        <v>3039</v>
      </c>
      <c r="B3035">
        <v>0.99996721820229495</v>
      </c>
      <c r="C3035">
        <v>1.05458690828104</v>
      </c>
      <c r="D3035">
        <v>0.89217220662475505</v>
      </c>
      <c r="E3035">
        <v>0.477811362929077</v>
      </c>
      <c r="F3035">
        <v>0.39011275052598099</v>
      </c>
      <c r="G3035">
        <v>0.31903095224409</v>
      </c>
      <c r="H3035">
        <v>0.18737115331353599</v>
      </c>
      <c r="I3035">
        <v>0.18548088857497499</v>
      </c>
      <c r="J3035">
        <v>0.161661964510872</v>
      </c>
      <c r="K3035">
        <v>0.12983558736890299</v>
      </c>
      <c r="L3035">
        <v>1017.17004271911</v>
      </c>
      <c r="M3035">
        <v>20.514145050592202</v>
      </c>
      <c r="N3035">
        <v>50.672960355979399</v>
      </c>
      <c r="O3035">
        <v>49.119859336284399</v>
      </c>
      <c r="P3035">
        <v>-8.57972788015261E-2</v>
      </c>
      <c r="Q3035">
        <v>0.17827869283484199</v>
      </c>
      <c r="R3035">
        <v>0.97789072589978299</v>
      </c>
      <c r="S3035" t="s">
        <v>8861</v>
      </c>
      <c r="T3035" t="s">
        <v>11650</v>
      </c>
      <c r="U3035" t="s">
        <v>11650</v>
      </c>
      <c r="V3035" t="s">
        <v>11650</v>
      </c>
      <c r="W3035" t="s">
        <v>14639</v>
      </c>
      <c r="X3035">
        <v>6</v>
      </c>
      <c r="Y3035" t="s">
        <v>20335</v>
      </c>
      <c r="Z3035" t="s">
        <v>26097</v>
      </c>
      <c r="AA3035">
        <v>0.45168415107933613</v>
      </c>
      <c r="AB3035" t="str">
        <f>HYPERLINK("Melting_Curves/meltCurve_Q13164_MAPK7.pdf", "Melting_Curves/meltCurve_Q13164_MAPK7.pdf")</f>
        <v>Melting_Curves/meltCurve_Q13164_MAPK7.pdf</v>
      </c>
    </row>
    <row r="3036" spans="1:28" x14ac:dyDescent="0.25">
      <c r="A3036" t="s">
        <v>3040</v>
      </c>
      <c r="B3036">
        <v>0.99996721820229495</v>
      </c>
      <c r="C3036">
        <v>1.0763512578941901</v>
      </c>
      <c r="D3036">
        <v>1.05787042859757</v>
      </c>
      <c r="E3036">
        <v>1.0399221617541401</v>
      </c>
      <c r="F3036">
        <v>1.15916879923247</v>
      </c>
      <c r="G3036">
        <v>0.84965910906206099</v>
      </c>
      <c r="H3036">
        <v>0.19919183304565499</v>
      </c>
      <c r="I3036">
        <v>0.119317421392151</v>
      </c>
      <c r="J3036">
        <v>8.6569999758766905E-2</v>
      </c>
      <c r="K3036">
        <v>6.4538997095165904E-2</v>
      </c>
      <c r="L3036">
        <v>3164.9227752677598</v>
      </c>
      <c r="M3036">
        <v>53.849717605023599</v>
      </c>
      <c r="N3036">
        <v>58.979940222627597</v>
      </c>
      <c r="O3036">
        <v>58.692361809320403</v>
      </c>
      <c r="P3036">
        <v>-0.20965012901753399</v>
      </c>
      <c r="Q3036">
        <v>8.5985679340079502E-2</v>
      </c>
      <c r="R3036">
        <v>0.98162172987308605</v>
      </c>
      <c r="S3036" t="s">
        <v>8862</v>
      </c>
      <c r="T3036" t="s">
        <v>11650</v>
      </c>
      <c r="U3036" t="s">
        <v>11650</v>
      </c>
      <c r="V3036" t="s">
        <v>11650</v>
      </c>
      <c r="W3036" t="s">
        <v>14640</v>
      </c>
      <c r="X3036">
        <v>28</v>
      </c>
      <c r="Y3036" t="s">
        <v>20336</v>
      </c>
      <c r="Z3036" t="s">
        <v>26098</v>
      </c>
      <c r="AA3036">
        <v>0.65998545802555486</v>
      </c>
      <c r="AB3036" t="str">
        <f>HYPERLINK("Melting_Curves/meltCurve_Q13177_PAK2.pdf", "Melting_Curves/meltCurve_Q13177_PAK2.pdf")</f>
        <v>Melting_Curves/meltCurve_Q13177_PAK2.pdf</v>
      </c>
    </row>
    <row r="3037" spans="1:28" x14ac:dyDescent="0.25">
      <c r="A3037" t="s">
        <v>3041</v>
      </c>
      <c r="B3037">
        <v>0.99996721820229495</v>
      </c>
      <c r="C3037">
        <v>1.10124236808343</v>
      </c>
      <c r="D3037">
        <v>0.99206325953726004</v>
      </c>
      <c r="E3037">
        <v>0.82992828038703603</v>
      </c>
      <c r="F3037">
        <v>0.56959045010229903</v>
      </c>
      <c r="G3037">
        <v>0.47988425924376799</v>
      </c>
      <c r="H3037">
        <v>0.28107133459015399</v>
      </c>
      <c r="I3037">
        <v>0.27306575353836798</v>
      </c>
      <c r="J3037">
        <v>0.175819943856455</v>
      </c>
      <c r="K3037">
        <v>0.12797208829849299</v>
      </c>
      <c r="L3037">
        <v>806.26359532304502</v>
      </c>
      <c r="M3037">
        <v>14.813299636462</v>
      </c>
      <c r="N3037">
        <v>55.638929384170297</v>
      </c>
      <c r="O3037">
        <v>53.465325495460597</v>
      </c>
      <c r="P3037">
        <v>-5.9730161913498302E-2</v>
      </c>
      <c r="Q3037">
        <v>0.13776030696209299</v>
      </c>
      <c r="R3037">
        <v>0.97591443163405101</v>
      </c>
      <c r="S3037" t="s">
        <v>8863</v>
      </c>
      <c r="T3037" t="s">
        <v>11650</v>
      </c>
      <c r="U3037" t="s">
        <v>11650</v>
      </c>
      <c r="V3037" t="s">
        <v>11650</v>
      </c>
      <c r="W3037" t="s">
        <v>14641</v>
      </c>
      <c r="X3037">
        <v>9</v>
      </c>
      <c r="Y3037" t="s">
        <v>20337</v>
      </c>
      <c r="Z3037" t="s">
        <v>26099</v>
      </c>
      <c r="AA3037">
        <v>0.56996582112789396</v>
      </c>
      <c r="AB3037" t="str">
        <f>HYPERLINK("Melting_Curves/meltCurve_Q13185_CBX3.pdf", "Melting_Curves/meltCurve_Q13185_CBX3.pdf")</f>
        <v>Melting_Curves/meltCurve_Q13185_CBX3.pdf</v>
      </c>
    </row>
    <row r="3038" spans="1:28" x14ac:dyDescent="0.25">
      <c r="A3038" t="s">
        <v>3042</v>
      </c>
      <c r="B3038">
        <v>0.99996721820229495</v>
      </c>
      <c r="C3038">
        <v>1.0016877941762901</v>
      </c>
      <c r="D3038">
        <v>0.99371065041814899</v>
      </c>
      <c r="E3038">
        <v>0.99093254187608604</v>
      </c>
      <c r="F3038">
        <v>0.87822151445770102</v>
      </c>
      <c r="G3038">
        <v>0.569947005649861</v>
      </c>
      <c r="H3038">
        <v>0.28634476314756702</v>
      </c>
      <c r="I3038">
        <v>0.17571118300490601</v>
      </c>
      <c r="J3038">
        <v>0.13002443378235001</v>
      </c>
      <c r="K3038">
        <v>0.110263969610068</v>
      </c>
      <c r="L3038">
        <v>1321.4669616398201</v>
      </c>
      <c r="M3038">
        <v>23.064364416444299</v>
      </c>
      <c r="N3038">
        <v>57.857926140988397</v>
      </c>
      <c r="O3038">
        <v>56.869254131679703</v>
      </c>
      <c r="P3038">
        <v>-9.1199393014194996E-2</v>
      </c>
      <c r="Q3038">
        <v>0.100543951548575</v>
      </c>
      <c r="R3038">
        <v>0.99959180787439295</v>
      </c>
      <c r="S3038" t="s">
        <v>8864</v>
      </c>
      <c r="T3038" t="s">
        <v>11650</v>
      </c>
      <c r="U3038" t="s">
        <v>11650</v>
      </c>
      <c r="V3038" t="s">
        <v>11650</v>
      </c>
      <c r="W3038" t="s">
        <v>14642</v>
      </c>
      <c r="X3038">
        <v>19</v>
      </c>
      <c r="Y3038" t="s">
        <v>20338</v>
      </c>
      <c r="Z3038" t="s">
        <v>26100</v>
      </c>
      <c r="AA3038">
        <v>0.62809952065831809</v>
      </c>
      <c r="AB3038" t="str">
        <f>HYPERLINK("Melting_Curves/meltCurve_Q13188_STK3.pdf", "Melting_Curves/meltCurve_Q13188_STK3.pdf")</f>
        <v>Melting_Curves/meltCurve_Q13188_STK3.pdf</v>
      </c>
    </row>
    <row r="3039" spans="1:28" x14ac:dyDescent="0.25">
      <c r="A3039" t="s">
        <v>3043</v>
      </c>
      <c r="B3039">
        <v>0.99996721820229495</v>
      </c>
      <c r="C3039">
        <v>0.96562265486863497</v>
      </c>
      <c r="D3039">
        <v>0.88981805129435199</v>
      </c>
      <c r="E3039">
        <v>0.61479744049211704</v>
      </c>
      <c r="F3039">
        <v>0.40130382488882299</v>
      </c>
      <c r="G3039">
        <v>0.328522622404261</v>
      </c>
      <c r="H3039">
        <v>0.245403602314547</v>
      </c>
      <c r="I3039">
        <v>0.15805927059977101</v>
      </c>
      <c r="J3039">
        <v>0.14029345140760199</v>
      </c>
      <c r="K3039">
        <v>0.113660307413035</v>
      </c>
      <c r="L3039">
        <v>766.36783502271896</v>
      </c>
      <c r="M3039">
        <v>15.0227092446678</v>
      </c>
      <c r="N3039">
        <v>52.059907382750602</v>
      </c>
      <c r="O3039">
        <v>50.1356246984666</v>
      </c>
      <c r="P3039">
        <v>-6.5158621486034005E-2</v>
      </c>
      <c r="Q3039">
        <v>0.130266217906923</v>
      </c>
      <c r="R3039">
        <v>0.99158450832343503</v>
      </c>
      <c r="S3039" t="s">
        <v>8865</v>
      </c>
      <c r="T3039" t="s">
        <v>11650</v>
      </c>
      <c r="U3039" t="s">
        <v>11650</v>
      </c>
      <c r="V3039" t="s">
        <v>11650</v>
      </c>
      <c r="W3039" t="s">
        <v>14643</v>
      </c>
      <c r="X3039">
        <v>6</v>
      </c>
      <c r="Y3039" t="s">
        <v>20339</v>
      </c>
      <c r="Z3039" t="s">
        <v>26101</v>
      </c>
      <c r="AA3039">
        <v>0.46960925113364121</v>
      </c>
      <c r="AB3039" t="str">
        <f>HYPERLINK("Melting_Curves/meltCurve_Q13190_STX5.pdf", "Melting_Curves/meltCurve_Q13190_STX5.pdf")</f>
        <v>Melting_Curves/meltCurve_Q13190_STX5.pdf</v>
      </c>
    </row>
    <row r="3040" spans="1:28" x14ac:dyDescent="0.25">
      <c r="A3040" t="s">
        <v>3044</v>
      </c>
      <c r="B3040">
        <v>0.99996721820229495</v>
      </c>
      <c r="C3040">
        <v>1.06911871035519</v>
      </c>
      <c r="D3040">
        <v>1.06397262353254</v>
      </c>
      <c r="E3040">
        <v>0.87611040899525405</v>
      </c>
      <c r="F3040">
        <v>0.56659875515423896</v>
      </c>
      <c r="G3040">
        <v>0.53393673051608903</v>
      </c>
      <c r="H3040">
        <v>0.26559766833220499</v>
      </c>
      <c r="I3040">
        <v>0.161170192406829</v>
      </c>
      <c r="J3040">
        <v>9.6181597219046497E-2</v>
      </c>
      <c r="K3040">
        <v>8.4679393476012901E-2</v>
      </c>
      <c r="L3040">
        <v>794.89545319931904</v>
      </c>
      <c r="M3040">
        <v>14.2025119948637</v>
      </c>
      <c r="N3040">
        <v>56.203399123591304</v>
      </c>
      <c r="O3040">
        <v>54.894107043823603</v>
      </c>
      <c r="P3040">
        <v>-6.2826590527678E-2</v>
      </c>
      <c r="Q3040">
        <v>2.8797520567589299E-2</v>
      </c>
      <c r="R3040">
        <v>0.97108823723475102</v>
      </c>
      <c r="S3040" t="s">
        <v>8866</v>
      </c>
      <c r="T3040" t="s">
        <v>11650</v>
      </c>
      <c r="U3040" t="s">
        <v>11650</v>
      </c>
      <c r="V3040" t="s">
        <v>11650</v>
      </c>
      <c r="W3040" t="s">
        <v>14644</v>
      </c>
      <c r="X3040">
        <v>31</v>
      </c>
      <c r="Y3040" t="s">
        <v>20340</v>
      </c>
      <c r="Z3040" t="s">
        <v>26102</v>
      </c>
      <c r="AA3040">
        <v>0.56381480281666618</v>
      </c>
      <c r="AB3040" t="str">
        <f>HYPERLINK("Melting_Curves/meltCurve_Q13200_PSMD2.pdf", "Melting_Curves/meltCurve_Q13200_PSMD2.pdf")</f>
        <v>Melting_Curves/meltCurve_Q13200_PSMD2.pdf</v>
      </c>
    </row>
    <row r="3041" spans="1:28" x14ac:dyDescent="0.25">
      <c r="A3041" t="s">
        <v>3045</v>
      </c>
      <c r="B3041">
        <v>0.99996721820229495</v>
      </c>
      <c r="C3041">
        <v>1.0027456600551199</v>
      </c>
      <c r="D3041">
        <v>0.90178873122694703</v>
      </c>
      <c r="E3041">
        <v>0.48558654183321898</v>
      </c>
      <c r="F3041">
        <v>0.32841078054242301</v>
      </c>
      <c r="G3041">
        <v>0.293325186001267</v>
      </c>
      <c r="H3041">
        <v>0.19206464360294101</v>
      </c>
      <c r="I3041">
        <v>0.10129898569149499</v>
      </c>
      <c r="J3041">
        <v>6.9970694058337807E-2</v>
      </c>
      <c r="K3041">
        <v>7.0783924129652606E-2</v>
      </c>
      <c r="L3041">
        <v>918.63808457802395</v>
      </c>
      <c r="M3041">
        <v>18.3827898681463</v>
      </c>
      <c r="N3041">
        <v>50.6478487802529</v>
      </c>
      <c r="O3041">
        <v>49.392611771693097</v>
      </c>
      <c r="P3041">
        <v>-8.2937581152182194E-2</v>
      </c>
      <c r="Q3041">
        <v>0.10866241433917501</v>
      </c>
      <c r="R3041">
        <v>0.97980544948762904</v>
      </c>
      <c r="S3041" t="s">
        <v>8867</v>
      </c>
      <c r="T3041" t="s">
        <v>11650</v>
      </c>
      <c r="U3041" t="s">
        <v>11650</v>
      </c>
      <c r="V3041" t="s">
        <v>11650</v>
      </c>
      <c r="W3041" t="s">
        <v>14645</v>
      </c>
      <c r="X3041">
        <v>32</v>
      </c>
      <c r="Y3041" t="s">
        <v>20341</v>
      </c>
      <c r="Z3041" t="s">
        <v>26103</v>
      </c>
      <c r="AA3041">
        <v>0.41957224466646781</v>
      </c>
      <c r="AB3041" t="str">
        <f>HYPERLINK("Melting_Curves/meltCurve_Q13217_DNAJC3.pdf", "Melting_Curves/meltCurve_Q13217_DNAJC3.pdf")</f>
        <v>Melting_Curves/meltCurve_Q13217_DNAJC3.pdf</v>
      </c>
    </row>
    <row r="3042" spans="1:28" x14ac:dyDescent="0.25">
      <c r="A3042" t="s">
        <v>3046</v>
      </c>
      <c r="B3042">
        <v>0.99996721820229495</v>
      </c>
      <c r="C3042">
        <v>0.97911901504450505</v>
      </c>
      <c r="D3042">
        <v>0.97650443961685096</v>
      </c>
      <c r="E3042">
        <v>0.91458533333285996</v>
      </c>
      <c r="F3042">
        <v>1.07712723450729</v>
      </c>
      <c r="G3042">
        <v>1.1154583514213201</v>
      </c>
      <c r="H3042">
        <v>0.70828580059810398</v>
      </c>
      <c r="I3042">
        <v>0.484638982464208</v>
      </c>
      <c r="J3042">
        <v>0.37406105728005901</v>
      </c>
      <c r="K3042">
        <v>0.26797704353849999</v>
      </c>
      <c r="L3042">
        <v>2449.9182849331801</v>
      </c>
      <c r="M3042">
        <v>39.566873869614497</v>
      </c>
      <c r="N3042">
        <v>63.434952443522199</v>
      </c>
      <c r="O3042">
        <v>61.760886081531098</v>
      </c>
      <c r="P3042">
        <v>-0.111178102635987</v>
      </c>
      <c r="Q3042">
        <v>0.30583919257333803</v>
      </c>
      <c r="R3042">
        <v>0.95438681898737898</v>
      </c>
      <c r="S3042" t="s">
        <v>8868</v>
      </c>
      <c r="T3042" t="s">
        <v>11650</v>
      </c>
      <c r="U3042" t="s">
        <v>11650</v>
      </c>
      <c r="V3042" t="s">
        <v>11650</v>
      </c>
      <c r="W3042" t="s">
        <v>14646</v>
      </c>
      <c r="X3042">
        <v>26</v>
      </c>
      <c r="Y3042" t="s">
        <v>20342</v>
      </c>
      <c r="Z3042" t="s">
        <v>26104</v>
      </c>
      <c r="AA3042">
        <v>0.81553278540252661</v>
      </c>
      <c r="AB3042" t="str">
        <f>HYPERLINK("Melting_Curves/meltCurve_Q13228_SELENBP1.pdf", "Melting_Curves/meltCurve_Q13228_SELENBP1.pdf")</f>
        <v>Melting_Curves/meltCurve_Q13228_SELENBP1.pdf</v>
      </c>
    </row>
    <row r="3043" spans="1:28" x14ac:dyDescent="0.25">
      <c r="A3043" t="s">
        <v>3047</v>
      </c>
      <c r="B3043">
        <v>0.99996721820229495</v>
      </c>
      <c r="C3043">
        <v>0.94147376462357502</v>
      </c>
      <c r="D3043">
        <v>1.06682188832924</v>
      </c>
      <c r="E3043">
        <v>1.1288304898488399</v>
      </c>
      <c r="F3043">
        <v>1.5132139740046699</v>
      </c>
      <c r="G3043">
        <v>1.4896204234335999</v>
      </c>
      <c r="H3043">
        <v>1.01701178701297</v>
      </c>
      <c r="I3043">
        <v>0.51964453354460105</v>
      </c>
      <c r="J3043">
        <v>0.19627589601907999</v>
      </c>
      <c r="K3043">
        <v>0.16224746756497399</v>
      </c>
      <c r="L3043">
        <v>11547.1339713896</v>
      </c>
      <c r="M3043">
        <v>180.76799038712099</v>
      </c>
      <c r="N3043">
        <v>64.035368324669193</v>
      </c>
      <c r="O3043">
        <v>63.870382957636203</v>
      </c>
      <c r="P3043">
        <v>-0.58078978204037801</v>
      </c>
      <c r="Q3043">
        <v>0.17916295822336001</v>
      </c>
      <c r="R3043">
        <v>0.73751400266037104</v>
      </c>
      <c r="S3043" t="s">
        <v>8869</v>
      </c>
      <c r="T3043" t="s">
        <v>11650</v>
      </c>
      <c r="U3043" t="s">
        <v>11650</v>
      </c>
      <c r="V3043" t="s">
        <v>11650</v>
      </c>
      <c r="W3043" t="s">
        <v>14647</v>
      </c>
      <c r="X3043">
        <v>10</v>
      </c>
      <c r="Y3043" t="s">
        <v>20343</v>
      </c>
      <c r="Z3043" t="s">
        <v>26105</v>
      </c>
      <c r="AA3043">
        <v>0.8326760494700074</v>
      </c>
      <c r="AB3043" t="str">
        <f>HYPERLINK("Melting_Curves/meltCurve_Q13232_NME3.pdf", "Melting_Curves/meltCurve_Q13232_NME3.pdf")</f>
        <v>Melting_Curves/meltCurve_Q13232_NME3.pdf</v>
      </c>
    </row>
    <row r="3044" spans="1:28" x14ac:dyDescent="0.25">
      <c r="A3044" t="s">
        <v>3048</v>
      </c>
      <c r="B3044">
        <v>0.99996721820229495</v>
      </c>
      <c r="C3044">
        <v>0.96573246373895605</v>
      </c>
      <c r="D3044">
        <v>1.0330612557522401</v>
      </c>
      <c r="E3044">
        <v>1.1793318609072301</v>
      </c>
      <c r="F3044">
        <v>1.62284140287227</v>
      </c>
      <c r="G3044">
        <v>1.67372881205644</v>
      </c>
      <c r="H3044">
        <v>1.51048595637526</v>
      </c>
      <c r="I3044">
        <v>2.3472096630873902</v>
      </c>
      <c r="J3044">
        <v>3.8485069026723</v>
      </c>
      <c r="K3044">
        <v>4.0988071769063401</v>
      </c>
      <c r="L3044">
        <v>12529.0581636757</v>
      </c>
      <c r="M3044">
        <v>250</v>
      </c>
      <c r="O3044">
        <v>50.113025150106097</v>
      </c>
      <c r="P3044">
        <v>0.62359036786799704</v>
      </c>
      <c r="Q3044">
        <v>1.5</v>
      </c>
      <c r="R3044">
        <v>-8.1071274685063296E-2</v>
      </c>
      <c r="S3044" t="s">
        <v>8870</v>
      </c>
      <c r="T3044" t="s">
        <v>11650</v>
      </c>
      <c r="U3044" t="s">
        <v>11650</v>
      </c>
      <c r="V3044" t="s">
        <v>11650</v>
      </c>
      <c r="W3044" t="s">
        <v>14648</v>
      </c>
      <c r="X3044">
        <v>12</v>
      </c>
      <c r="Y3044" t="s">
        <v>20344</v>
      </c>
      <c r="Z3044" t="s">
        <v>26106</v>
      </c>
      <c r="AA3044">
        <v>1.331352145817456</v>
      </c>
      <c r="AB3044" t="str">
        <f>HYPERLINK("Melting_Curves/meltCurve_Q13242_SRSF9.pdf", "Melting_Curves/meltCurve_Q13242_SRSF9.pdf")</f>
        <v>Melting_Curves/meltCurve_Q13242_SRSF9.pdf</v>
      </c>
    </row>
    <row r="3045" spans="1:28" x14ac:dyDescent="0.25">
      <c r="A3045" t="s">
        <v>3049</v>
      </c>
      <c r="B3045">
        <v>0.99996721820229495</v>
      </c>
      <c r="C3045">
        <v>0.760283231066613</v>
      </c>
      <c r="D3045">
        <v>0.83451364352162205</v>
      </c>
      <c r="E3045">
        <v>1.0590171701706499</v>
      </c>
      <c r="F3045">
        <v>1.4104375337616</v>
      </c>
      <c r="G3045">
        <v>1.5712548384237499</v>
      </c>
      <c r="H3045">
        <v>1.7723184716353899</v>
      </c>
      <c r="I3045">
        <v>2.7990457275628602</v>
      </c>
      <c r="J3045">
        <v>3.8623945023727302</v>
      </c>
      <c r="K3045">
        <v>5.8692071577086002</v>
      </c>
      <c r="L3045">
        <v>3261.6377595000699</v>
      </c>
      <c r="M3045">
        <v>63.124036221373203</v>
      </c>
      <c r="O3045">
        <v>51.618515199982703</v>
      </c>
      <c r="P3045">
        <v>0.15286195563861299</v>
      </c>
      <c r="Q3045">
        <v>1.5</v>
      </c>
      <c r="R3045">
        <v>-8.9067298361600294E-2</v>
      </c>
      <c r="S3045" t="s">
        <v>8871</v>
      </c>
      <c r="T3045" t="s">
        <v>11650</v>
      </c>
      <c r="U3045" t="s">
        <v>11650</v>
      </c>
      <c r="V3045" t="s">
        <v>11650</v>
      </c>
      <c r="W3045" t="s">
        <v>14649</v>
      </c>
      <c r="X3045">
        <v>4</v>
      </c>
      <c r="Y3045" t="s">
        <v>20345</v>
      </c>
      <c r="Z3045" t="s">
        <v>26107</v>
      </c>
      <c r="AA3045">
        <v>1.304781535747229</v>
      </c>
      <c r="AB3045" t="str">
        <f>HYPERLINK("Melting_Curves/meltCurve_Q13243_3_SRSF5.pdf", "Melting_Curves/meltCurve_Q13243_3_SRSF5.pdf")</f>
        <v>Melting_Curves/meltCurve_Q13243_3_SRSF5.pdf</v>
      </c>
    </row>
    <row r="3046" spans="1:28" x14ac:dyDescent="0.25">
      <c r="A3046" t="s">
        <v>3050</v>
      </c>
      <c r="B3046">
        <v>0.99996721820229495</v>
      </c>
      <c r="C3046">
        <v>0.768114420222196</v>
      </c>
      <c r="D3046">
        <v>0.74104738873412201</v>
      </c>
      <c r="E3046">
        <v>0.88595988438067297</v>
      </c>
      <c r="F3046">
        <v>0.81701105315390599</v>
      </c>
      <c r="G3046">
        <v>0.66959047401531802</v>
      </c>
      <c r="H3046">
        <v>0.59358926850412497</v>
      </c>
      <c r="I3046">
        <v>0.68863379629891497</v>
      </c>
      <c r="J3046">
        <v>0.42145872134622397</v>
      </c>
      <c r="K3046">
        <v>0.63705252428204395</v>
      </c>
      <c r="L3046">
        <v>194.53152506434799</v>
      </c>
      <c r="M3046">
        <v>2.5932831389612798</v>
      </c>
      <c r="O3046">
        <v>51.550966770982903</v>
      </c>
      <c r="P3046">
        <v>-1.31596677094596E-2</v>
      </c>
      <c r="Q3046">
        <v>0</v>
      </c>
      <c r="R3046">
        <v>0.63057873631497796</v>
      </c>
      <c r="S3046" t="s">
        <v>8872</v>
      </c>
      <c r="T3046" t="s">
        <v>11650</v>
      </c>
      <c r="U3046" t="s">
        <v>11650</v>
      </c>
      <c r="V3046" t="s">
        <v>11650</v>
      </c>
      <c r="W3046" t="s">
        <v>14650</v>
      </c>
      <c r="X3046">
        <v>8</v>
      </c>
      <c r="Y3046" t="s">
        <v>20346</v>
      </c>
      <c r="Z3046" t="s">
        <v>26108</v>
      </c>
      <c r="AA3046">
        <v>0.7226752132754779</v>
      </c>
      <c r="AB3046" t="str">
        <f>HYPERLINK("Melting_Curves/meltCurve_Q13247_3_SRSF6.pdf", "Melting_Curves/meltCurve_Q13247_3_SRSF6.pdf")</f>
        <v>Melting_Curves/meltCurve_Q13247_3_SRSF6.pdf</v>
      </c>
    </row>
    <row r="3047" spans="1:28" x14ac:dyDescent="0.25">
      <c r="A3047" t="s">
        <v>3051</v>
      </c>
      <c r="B3047">
        <v>0.99996721820229495</v>
      </c>
      <c r="C3047">
        <v>0.90042913895725796</v>
      </c>
      <c r="D3047">
        <v>0.63118018225068895</v>
      </c>
      <c r="E3047">
        <v>0.38341014665601802</v>
      </c>
      <c r="F3047">
        <v>0.38032287414138699</v>
      </c>
      <c r="G3047">
        <v>0.32155442403772899</v>
      </c>
      <c r="H3047">
        <v>0.21957553570539401</v>
      </c>
      <c r="I3047">
        <v>0.19377945744995301</v>
      </c>
      <c r="J3047">
        <v>0.16872826068834901</v>
      </c>
      <c r="K3047">
        <v>0.13407112328132401</v>
      </c>
      <c r="L3047">
        <v>693.89142943001002</v>
      </c>
      <c r="M3047">
        <v>14.6534897720404</v>
      </c>
      <c r="N3047">
        <v>48.853584021598401</v>
      </c>
      <c r="O3047">
        <v>46.497656094492697</v>
      </c>
      <c r="P3047">
        <v>-6.4518428213546905E-2</v>
      </c>
      <c r="Q3047">
        <v>0.18118538144177099</v>
      </c>
      <c r="R3047">
        <v>0.97324113935804901</v>
      </c>
      <c r="S3047" t="s">
        <v>8873</v>
      </c>
      <c r="T3047" t="s">
        <v>11650</v>
      </c>
      <c r="U3047" t="s">
        <v>11650</v>
      </c>
      <c r="V3047" t="s">
        <v>11650</v>
      </c>
      <c r="W3047" t="s">
        <v>14651</v>
      </c>
      <c r="X3047">
        <v>19</v>
      </c>
      <c r="Y3047" t="s">
        <v>20347</v>
      </c>
      <c r="Z3047" t="s">
        <v>26109</v>
      </c>
      <c r="AA3047">
        <v>0.40472597616701622</v>
      </c>
      <c r="AB3047" t="str">
        <f>HYPERLINK("Melting_Curves/meltCurve_Q13263_TRIM28.pdf", "Melting_Curves/meltCurve_Q13263_TRIM28.pdf")</f>
        <v>Melting_Curves/meltCurve_Q13263_TRIM28.pdf</v>
      </c>
    </row>
    <row r="3048" spans="1:28" x14ac:dyDescent="0.25">
      <c r="A3048" t="s">
        <v>3052</v>
      </c>
      <c r="B3048">
        <v>0.99996721820229495</v>
      </c>
      <c r="C3048">
        <v>0.91747890332120896</v>
      </c>
      <c r="D3048">
        <v>1.05553626433215</v>
      </c>
      <c r="E3048">
        <v>1.21763661325509</v>
      </c>
      <c r="F3048">
        <v>1.54540074651263</v>
      </c>
      <c r="G3048">
        <v>1.4721503800440401</v>
      </c>
      <c r="H3048">
        <v>1.0052411372591501</v>
      </c>
      <c r="I3048">
        <v>0.60348300453539205</v>
      </c>
      <c r="J3048">
        <v>0.378429877942285</v>
      </c>
      <c r="K3048">
        <v>0.33280748689962802</v>
      </c>
      <c r="L3048">
        <v>6627.6086433905502</v>
      </c>
      <c r="M3048">
        <v>104.01039292788001</v>
      </c>
      <c r="N3048">
        <v>64.480801994000501</v>
      </c>
      <c r="O3048">
        <v>63.697092369955797</v>
      </c>
      <c r="P3048">
        <v>-0.26399806620823302</v>
      </c>
      <c r="Q3048">
        <v>0.353298916995895</v>
      </c>
      <c r="R3048">
        <v>0.62525635477569796</v>
      </c>
      <c r="S3048" t="s">
        <v>8874</v>
      </c>
      <c r="T3048" t="s">
        <v>11650</v>
      </c>
      <c r="U3048" t="s">
        <v>11650</v>
      </c>
      <c r="V3048" t="s">
        <v>11650</v>
      </c>
      <c r="W3048" t="s">
        <v>14652</v>
      </c>
      <c r="X3048">
        <v>7</v>
      </c>
      <c r="Y3048" t="s">
        <v>20348</v>
      </c>
      <c r="Z3048" t="s">
        <v>26110</v>
      </c>
      <c r="AA3048">
        <v>0.86505448240024363</v>
      </c>
      <c r="AB3048" t="str">
        <f>HYPERLINK("Melting_Curves/meltCurve_Q13277_2_STX3.pdf", "Melting_Curves/meltCurve_Q13277_2_STX3.pdf")</f>
        <v>Melting_Curves/meltCurve_Q13277_2_STX3.pdf</v>
      </c>
    </row>
    <row r="3049" spans="1:28" x14ac:dyDescent="0.25">
      <c r="A3049" t="s">
        <v>3053</v>
      </c>
      <c r="B3049">
        <v>0.99996721820229495</v>
      </c>
      <c r="C3049">
        <v>1.0324449913056399</v>
      </c>
      <c r="D3049">
        <v>0.95485294882418104</v>
      </c>
      <c r="E3049">
        <v>0.90421687247512395</v>
      </c>
      <c r="F3049">
        <v>0.65158972286908001</v>
      </c>
      <c r="G3049">
        <v>0.48019888395341198</v>
      </c>
      <c r="H3049">
        <v>0.29291468974724999</v>
      </c>
      <c r="I3049">
        <v>0.242529675814041</v>
      </c>
      <c r="J3049">
        <v>0.17991619592304001</v>
      </c>
      <c r="K3049">
        <v>0.15030422415274</v>
      </c>
      <c r="L3049">
        <v>865.86343027646797</v>
      </c>
      <c r="M3049">
        <v>15.684431396932199</v>
      </c>
      <c r="N3049">
        <v>56.321806967008897</v>
      </c>
      <c r="O3049">
        <v>54.331230539596298</v>
      </c>
      <c r="P3049">
        <v>-6.2532603112715801E-2</v>
      </c>
      <c r="Q3049">
        <v>0.133616001122117</v>
      </c>
      <c r="R3049">
        <v>0.99362495707225096</v>
      </c>
      <c r="S3049" t="s">
        <v>8875</v>
      </c>
      <c r="T3049" t="s">
        <v>11650</v>
      </c>
      <c r="U3049" t="s">
        <v>11650</v>
      </c>
      <c r="V3049" t="s">
        <v>11650</v>
      </c>
      <c r="W3049" t="s">
        <v>14653</v>
      </c>
      <c r="X3049">
        <v>11</v>
      </c>
      <c r="Y3049" t="s">
        <v>20349</v>
      </c>
      <c r="Z3049" t="s">
        <v>26111</v>
      </c>
      <c r="AA3049">
        <v>0.58843196903677952</v>
      </c>
      <c r="AB3049" t="str">
        <f>HYPERLINK("Melting_Curves/meltCurve_Q13283_G3BP1.pdf", "Melting_Curves/meltCurve_Q13283_G3BP1.pdf")</f>
        <v>Melting_Curves/meltCurve_Q13283_G3BP1.pdf</v>
      </c>
    </row>
    <row r="3050" spans="1:28" x14ac:dyDescent="0.25">
      <c r="A3050" t="s">
        <v>3054</v>
      </c>
      <c r="B3050">
        <v>0.99996721820229495</v>
      </c>
      <c r="C3050">
        <v>1.0519061804812699</v>
      </c>
      <c r="D3050">
        <v>1.04699426453872</v>
      </c>
      <c r="E3050">
        <v>1.27208934644752</v>
      </c>
      <c r="F3050">
        <v>1.4204941429287301</v>
      </c>
      <c r="G3050">
        <v>0.99615874980262997</v>
      </c>
      <c r="H3050">
        <v>0.241711675609353</v>
      </c>
      <c r="I3050">
        <v>0.15460309023505001</v>
      </c>
      <c r="J3050">
        <v>0.10534428439480401</v>
      </c>
      <c r="K3050">
        <v>7.4153575467331201E-2</v>
      </c>
      <c r="L3050">
        <v>5400.6926320330504</v>
      </c>
      <c r="M3050">
        <v>90.273989920826395</v>
      </c>
      <c r="N3050">
        <v>59.990842963354503</v>
      </c>
      <c r="O3050">
        <v>59.796227666437503</v>
      </c>
      <c r="P3050">
        <v>-0.335871219792368</v>
      </c>
      <c r="Q3050">
        <v>0.11009450394225601</v>
      </c>
      <c r="R3050">
        <v>0.89677424328321298</v>
      </c>
      <c r="S3050" t="s">
        <v>8876</v>
      </c>
      <c r="T3050" t="s">
        <v>11650</v>
      </c>
      <c r="U3050" t="s">
        <v>11650</v>
      </c>
      <c r="V3050" t="s">
        <v>11650</v>
      </c>
      <c r="W3050" t="s">
        <v>14654</v>
      </c>
      <c r="X3050">
        <v>15</v>
      </c>
      <c r="Y3050" t="s">
        <v>20350</v>
      </c>
      <c r="Z3050" t="s">
        <v>26112</v>
      </c>
      <c r="AA3050">
        <v>0.69890811409663955</v>
      </c>
      <c r="AB3050" t="str">
        <f>HYPERLINK("Melting_Curves/meltCurve_Q13287_NMI.pdf", "Melting_Curves/meltCurve_Q13287_NMI.pdf")</f>
        <v>Melting_Curves/meltCurve_Q13287_NMI.pdf</v>
      </c>
    </row>
    <row r="3051" spans="1:28" x14ac:dyDescent="0.25">
      <c r="A3051" t="s">
        <v>3055</v>
      </c>
      <c r="B3051">
        <v>0.99996721820229495</v>
      </c>
      <c r="C3051">
        <v>0.90521166607677395</v>
      </c>
      <c r="D3051">
        <v>1.00349596701345</v>
      </c>
      <c r="E3051">
        <v>1.0026435858594001</v>
      </c>
      <c r="F3051">
        <v>0.81246906918417305</v>
      </c>
      <c r="G3051">
        <v>0.57412702198819798</v>
      </c>
      <c r="H3051">
        <v>0.29229311023049898</v>
      </c>
      <c r="I3051">
        <v>0.18776307346139801</v>
      </c>
      <c r="J3051">
        <v>0.14624159360519201</v>
      </c>
      <c r="K3051">
        <v>0.121527917394471</v>
      </c>
      <c r="L3051">
        <v>1162.35929705127</v>
      </c>
      <c r="M3051">
        <v>20.343240300936401</v>
      </c>
      <c r="N3051">
        <v>57.774782647590499</v>
      </c>
      <c r="O3051">
        <v>56.593851328794003</v>
      </c>
      <c r="P3051">
        <v>-8.0834433337726205E-2</v>
      </c>
      <c r="Q3051">
        <v>0.10051837969656</v>
      </c>
      <c r="R3051">
        <v>0.990370586620269</v>
      </c>
      <c r="S3051" t="s">
        <v>8877</v>
      </c>
      <c r="T3051" t="s">
        <v>11650</v>
      </c>
      <c r="U3051" t="s">
        <v>11650</v>
      </c>
      <c r="V3051" t="s">
        <v>11650</v>
      </c>
      <c r="W3051" t="s">
        <v>14655</v>
      </c>
      <c r="X3051">
        <v>40</v>
      </c>
      <c r="Y3051" t="s">
        <v>20351</v>
      </c>
      <c r="Z3051" t="s">
        <v>26113</v>
      </c>
      <c r="AA3051">
        <v>0.62504152808250879</v>
      </c>
      <c r="AB3051" t="str">
        <f>HYPERLINK("Melting_Curves/meltCurve_Q13308_PTK7.pdf", "Melting_Curves/meltCurve_Q13308_PTK7.pdf")</f>
        <v>Melting_Curves/meltCurve_Q13308_PTK7.pdf</v>
      </c>
    </row>
    <row r="3052" spans="1:28" x14ac:dyDescent="0.25">
      <c r="A3052" t="s">
        <v>3056</v>
      </c>
      <c r="B3052">
        <v>0.99996721820229495</v>
      </c>
      <c r="C3052">
        <v>0.86475032997789003</v>
      </c>
      <c r="D3052">
        <v>0.81282164863470996</v>
      </c>
      <c r="E3052">
        <v>0.814149990859527</v>
      </c>
      <c r="F3052">
        <v>0.58629864198914206</v>
      </c>
      <c r="G3052">
        <v>0.49759310275870799</v>
      </c>
      <c r="H3052">
        <v>0.35786106655757599</v>
      </c>
      <c r="I3052">
        <v>0.32154641311045901</v>
      </c>
      <c r="J3052">
        <v>0.27221683346529801</v>
      </c>
      <c r="K3052">
        <v>0.221729418223304</v>
      </c>
      <c r="L3052">
        <v>430.838938585118</v>
      </c>
      <c r="M3052">
        <v>7.7163376462837503</v>
      </c>
      <c r="N3052">
        <v>56.759977889722997</v>
      </c>
      <c r="O3052">
        <v>52.456049298143803</v>
      </c>
      <c r="P3052">
        <v>-3.4646504471057098E-2</v>
      </c>
      <c r="Q3052">
        <v>5.9102934615414202E-2</v>
      </c>
      <c r="R3052">
        <v>0.97847719873805805</v>
      </c>
      <c r="S3052" t="s">
        <v>8878</v>
      </c>
      <c r="T3052" t="s">
        <v>11650</v>
      </c>
      <c r="U3052" t="s">
        <v>11650</v>
      </c>
      <c r="V3052" t="s">
        <v>11650</v>
      </c>
      <c r="W3052" t="s">
        <v>14656</v>
      </c>
      <c r="X3052">
        <v>20</v>
      </c>
      <c r="Y3052" t="s">
        <v>20352</v>
      </c>
      <c r="Z3052" t="s">
        <v>26114</v>
      </c>
      <c r="AA3052">
        <v>0.57521153230959321</v>
      </c>
      <c r="AB3052" t="str">
        <f>HYPERLINK("Melting_Curves/meltCurve_Q13310_3_PABPC4.pdf", "Melting_Curves/meltCurve_Q13310_3_PABPC4.pdf")</f>
        <v>Melting_Curves/meltCurve_Q13310_3_PABPC4.pdf</v>
      </c>
    </row>
    <row r="3053" spans="1:28" x14ac:dyDescent="0.25">
      <c r="A3053" t="s">
        <v>3057</v>
      </c>
      <c r="B3053">
        <v>0.99996721820229495</v>
      </c>
      <c r="C3053">
        <v>0.80207145803646795</v>
      </c>
      <c r="D3053">
        <v>0.39084265535964602</v>
      </c>
      <c r="E3053">
        <v>0.25456698249390602</v>
      </c>
      <c r="F3053">
        <v>0.31914400498458101</v>
      </c>
      <c r="G3053">
        <v>0.27014508254111202</v>
      </c>
      <c r="H3053">
        <v>0.223059874982076</v>
      </c>
      <c r="I3053">
        <v>0.195387780859196</v>
      </c>
      <c r="J3053">
        <v>0.189858546702006</v>
      </c>
      <c r="K3053">
        <v>0.14105733251878</v>
      </c>
      <c r="L3053">
        <v>1475.96263479748</v>
      </c>
      <c r="M3053">
        <v>33.329508670919999</v>
      </c>
      <c r="N3053">
        <v>45.087161306278198</v>
      </c>
      <c r="O3053">
        <v>44.125451719536002</v>
      </c>
      <c r="P3053">
        <v>-0.14655972820367</v>
      </c>
      <c r="Q3053">
        <v>0.223872566883729</v>
      </c>
      <c r="R3053">
        <v>0.97306882009145801</v>
      </c>
      <c r="S3053" t="s">
        <v>8879</v>
      </c>
      <c r="T3053" t="s">
        <v>11650</v>
      </c>
      <c r="U3053" t="s">
        <v>11650</v>
      </c>
      <c r="V3053" t="s">
        <v>11650</v>
      </c>
      <c r="W3053" t="s">
        <v>14657</v>
      </c>
      <c r="X3053">
        <v>2</v>
      </c>
      <c r="Y3053" t="s">
        <v>20353</v>
      </c>
      <c r="Z3053" t="s">
        <v>26115</v>
      </c>
      <c r="AA3053">
        <v>0.33887816807562282</v>
      </c>
      <c r="AB3053" t="str">
        <f>HYPERLINK("Melting_Curves/meltCurve_Q13322_3_GRB10.pdf", "Melting_Curves/meltCurve_Q13322_3_GRB10.pdf")</f>
        <v>Melting_Curves/meltCurve_Q13322_3_GRB10.pdf</v>
      </c>
    </row>
    <row r="3054" spans="1:28" x14ac:dyDescent="0.25">
      <c r="A3054" t="s">
        <v>3058</v>
      </c>
      <c r="B3054">
        <v>0.99996721820229495</v>
      </c>
      <c r="C3054">
        <v>0.62413868419791996</v>
      </c>
      <c r="D3054">
        <v>0.44380082999010201</v>
      </c>
      <c r="E3054">
        <v>0.10295834150934199</v>
      </c>
      <c r="F3054">
        <v>9.4237894286235899E-2</v>
      </c>
      <c r="G3054">
        <v>5.6976148337838199E-2</v>
      </c>
      <c r="H3054">
        <v>3.3546610513646803E-2</v>
      </c>
      <c r="I3054">
        <v>2.9187277691315901E-2</v>
      </c>
      <c r="J3054">
        <v>2.3941191132301198E-2</v>
      </c>
      <c r="K3054">
        <v>1.7409811572332502E-2</v>
      </c>
      <c r="L3054">
        <v>866.27525720099004</v>
      </c>
      <c r="M3054">
        <v>19.356111403096499</v>
      </c>
      <c r="N3054">
        <v>44.887268956057497</v>
      </c>
      <c r="O3054">
        <v>44.285126867539297</v>
      </c>
      <c r="P3054">
        <v>-0.10623614214748001</v>
      </c>
      <c r="Q3054">
        <v>2.7799199038610799E-2</v>
      </c>
      <c r="R3054">
        <v>0.98071294818829802</v>
      </c>
      <c r="S3054" t="s">
        <v>8880</v>
      </c>
      <c r="T3054" t="s">
        <v>11650</v>
      </c>
      <c r="U3054" t="s">
        <v>11650</v>
      </c>
      <c r="V3054" t="s">
        <v>11650</v>
      </c>
      <c r="W3054" t="s">
        <v>14658</v>
      </c>
      <c r="X3054">
        <v>6</v>
      </c>
      <c r="Y3054" t="s">
        <v>20354</v>
      </c>
      <c r="Z3054" t="s">
        <v>26116</v>
      </c>
      <c r="AA3054">
        <v>0.20016286287360291</v>
      </c>
      <c r="AB3054" t="str">
        <f>HYPERLINK("Melting_Curves/meltCurve_Q13325_IFIT5.pdf", "Melting_Curves/meltCurve_Q13325_IFIT5.pdf")</f>
        <v>Melting_Curves/meltCurve_Q13325_IFIT5.pdf</v>
      </c>
    </row>
    <row r="3055" spans="1:28" x14ac:dyDescent="0.25">
      <c r="A3055" t="s">
        <v>3059</v>
      </c>
      <c r="B3055">
        <v>0.99996721820229495</v>
      </c>
      <c r="C3055">
        <v>0.57190635326857797</v>
      </c>
      <c r="D3055">
        <v>0.71688057836232799</v>
      </c>
      <c r="E3055">
        <v>0.83154483652236899</v>
      </c>
      <c r="F3055">
        <v>1.15261437296225</v>
      </c>
      <c r="G3055">
        <v>1.14965174255483</v>
      </c>
      <c r="H3055">
        <v>0.89813472743672296</v>
      </c>
      <c r="I3055">
        <v>0.65756051254993397</v>
      </c>
      <c r="J3055">
        <v>0.32776465505937402</v>
      </c>
      <c r="K3055">
        <v>0.42407753794840602</v>
      </c>
      <c r="L3055">
        <v>3488.75060006279</v>
      </c>
      <c r="M3055">
        <v>54.851231636534997</v>
      </c>
      <c r="N3055">
        <v>65.148627006671802</v>
      </c>
      <c r="O3055">
        <v>63.519506055011298</v>
      </c>
      <c r="P3055">
        <v>-0.13734192530051101</v>
      </c>
      <c r="Q3055">
        <v>0.36381485385346601</v>
      </c>
      <c r="R3055">
        <v>0.523785714477635</v>
      </c>
      <c r="S3055" t="s">
        <v>8881</v>
      </c>
      <c r="T3055" t="s">
        <v>11650</v>
      </c>
      <c r="U3055" t="s">
        <v>11650</v>
      </c>
      <c r="V3055" t="s">
        <v>11650</v>
      </c>
      <c r="W3055" t="s">
        <v>14659</v>
      </c>
      <c r="X3055">
        <v>1</v>
      </c>
      <c r="Y3055" t="s">
        <v>20355</v>
      </c>
      <c r="Z3055" t="s">
        <v>26117</v>
      </c>
      <c r="AA3055">
        <v>0.86563816232944601</v>
      </c>
      <c r="AB3055" t="str">
        <f>HYPERLINK("Melting_Curves/meltCurve_Q13336_SLC14A1.pdf", "Melting_Curves/meltCurve_Q13336_SLC14A1.pdf")</f>
        <v>Melting_Curves/meltCurve_Q13336_SLC14A1.pdf</v>
      </c>
    </row>
    <row r="3056" spans="1:28" x14ac:dyDescent="0.25">
      <c r="A3056" t="s">
        <v>3060</v>
      </c>
      <c r="B3056">
        <v>0.99996721820229495</v>
      </c>
      <c r="C3056">
        <v>0.79204541800457395</v>
      </c>
      <c r="D3056">
        <v>0.40722422726145902</v>
      </c>
      <c r="E3056">
        <v>0.30873014637099999</v>
      </c>
      <c r="F3056">
        <v>0.29837074619945603</v>
      </c>
      <c r="G3056">
        <v>0.22849381165931501</v>
      </c>
      <c r="H3056">
        <v>0.15226338478572399</v>
      </c>
      <c r="I3056">
        <v>0.124436961410194</v>
      </c>
      <c r="J3056">
        <v>8.84672440229652E-2</v>
      </c>
      <c r="K3056">
        <v>8.1386097313668707E-2</v>
      </c>
      <c r="L3056">
        <v>813.61068744852605</v>
      </c>
      <c r="M3056">
        <v>18.005365748772402</v>
      </c>
      <c r="N3056">
        <v>46.054496864952498</v>
      </c>
      <c r="O3056">
        <v>44.640790488287898</v>
      </c>
      <c r="P3056">
        <v>-8.6339276868236503E-2</v>
      </c>
      <c r="Q3056">
        <v>0.14379664782086601</v>
      </c>
      <c r="R3056">
        <v>0.95506393227806696</v>
      </c>
      <c r="S3056" t="s">
        <v>8882</v>
      </c>
      <c r="T3056" t="s">
        <v>11650</v>
      </c>
      <c r="U3056" t="s">
        <v>11650</v>
      </c>
      <c r="V3056" t="s">
        <v>11650</v>
      </c>
      <c r="W3056" t="s">
        <v>14660</v>
      </c>
      <c r="X3056">
        <v>10</v>
      </c>
      <c r="Y3056" t="s">
        <v>20356</v>
      </c>
      <c r="Z3056" t="s">
        <v>26118</v>
      </c>
      <c r="AA3056">
        <v>0.30991851782535301</v>
      </c>
      <c r="AB3056" t="str">
        <f>HYPERLINK("Melting_Curves/meltCurve_Q13347_EIF3I.pdf", "Melting_Curves/meltCurve_Q13347_EIF3I.pdf")</f>
        <v>Melting_Curves/meltCurve_Q13347_EIF3I.pdf</v>
      </c>
    </row>
    <row r="3057" spans="1:28" x14ac:dyDescent="0.25">
      <c r="A3057" t="s">
        <v>3061</v>
      </c>
      <c r="B3057">
        <v>0.99996721820229495</v>
      </c>
      <c r="C3057">
        <v>0.82548769179887804</v>
      </c>
      <c r="D3057">
        <v>0.87310942042335404</v>
      </c>
      <c r="E3057">
        <v>1.2970116329244601</v>
      </c>
      <c r="F3057">
        <v>1.7236761592730201</v>
      </c>
      <c r="G3057">
        <v>1.57820164144106</v>
      </c>
      <c r="H3057">
        <v>0.81524103164793305</v>
      </c>
      <c r="I3057">
        <v>0.26706411256515999</v>
      </c>
      <c r="J3057">
        <v>0.159999109596422</v>
      </c>
      <c r="K3057">
        <v>0.136154691029302</v>
      </c>
      <c r="L3057">
        <v>4364.9678703821301</v>
      </c>
      <c r="M3057">
        <v>70.169601710822704</v>
      </c>
      <c r="N3057">
        <v>62.5232199685938</v>
      </c>
      <c r="O3057">
        <v>62.155499313669701</v>
      </c>
      <c r="P3057">
        <v>-0.23996084486885599</v>
      </c>
      <c r="Q3057">
        <v>0.14978096019543399</v>
      </c>
      <c r="R3057">
        <v>0.649717322950075</v>
      </c>
      <c r="S3057" t="s">
        <v>8883</v>
      </c>
      <c r="T3057" t="s">
        <v>11650</v>
      </c>
      <c r="U3057" t="s">
        <v>11650</v>
      </c>
      <c r="V3057" t="s">
        <v>11650</v>
      </c>
      <c r="W3057" t="s">
        <v>14661</v>
      </c>
      <c r="X3057">
        <v>2</v>
      </c>
      <c r="Y3057" t="s">
        <v>20357</v>
      </c>
      <c r="Z3057" t="s">
        <v>26119</v>
      </c>
      <c r="AA3057">
        <v>0.78028009911583596</v>
      </c>
      <c r="AB3057" t="str">
        <f>HYPERLINK("Melting_Curves/meltCurve_Q13356_2_PPIL2.pdf", "Melting_Curves/meltCurve_Q13356_2_PPIL2.pdf")</f>
        <v>Melting_Curves/meltCurve_Q13356_2_PPIL2.pdf</v>
      </c>
    </row>
    <row r="3058" spans="1:28" x14ac:dyDescent="0.25">
      <c r="A3058" t="s">
        <v>3062</v>
      </c>
      <c r="B3058">
        <v>0.99996721820229495</v>
      </c>
      <c r="C3058">
        <v>1.0689835519249</v>
      </c>
      <c r="D3058">
        <v>1.0205848694716499</v>
      </c>
      <c r="E3058">
        <v>1.0465098533233601</v>
      </c>
      <c r="F3058">
        <v>0.93927671685432201</v>
      </c>
      <c r="G3058">
        <v>1.2439614758134101</v>
      </c>
      <c r="H3058">
        <v>0.82342135735598398</v>
      </c>
      <c r="I3058">
        <v>0.59866317888112996</v>
      </c>
      <c r="J3058">
        <v>0.486729248426712</v>
      </c>
      <c r="K3058">
        <v>0.39805720389163401</v>
      </c>
      <c r="L3058">
        <v>2750.5077124476302</v>
      </c>
      <c r="M3058">
        <v>43.930996831039003</v>
      </c>
      <c r="N3058">
        <v>65.445570985716202</v>
      </c>
      <c r="O3058">
        <v>62.480422276958798</v>
      </c>
      <c r="P3058">
        <v>-0.10098826199899499</v>
      </c>
      <c r="Q3058">
        <v>0.42548275715156197</v>
      </c>
      <c r="R3058">
        <v>0.88853525837857905</v>
      </c>
      <c r="S3058" t="s">
        <v>8884</v>
      </c>
      <c r="T3058" t="s">
        <v>11650</v>
      </c>
      <c r="U3058" t="s">
        <v>11650</v>
      </c>
      <c r="V3058" t="s">
        <v>11650</v>
      </c>
      <c r="W3058" t="s">
        <v>14662</v>
      </c>
      <c r="X3058">
        <v>8</v>
      </c>
      <c r="Y3058" t="s">
        <v>20358</v>
      </c>
      <c r="Z3058" t="s">
        <v>26120</v>
      </c>
      <c r="AA3058">
        <v>0.86018405575739676</v>
      </c>
      <c r="AB3058" t="str">
        <f>HYPERLINK("Melting_Curves/meltCurve_Q13362_4_PPP2R5C.pdf", "Melting_Curves/meltCurve_Q13362_4_PPP2R5C.pdf")</f>
        <v>Melting_Curves/meltCurve_Q13362_4_PPP2R5C.pdf</v>
      </c>
    </row>
    <row r="3059" spans="1:28" x14ac:dyDescent="0.25">
      <c r="A3059" t="s">
        <v>3063</v>
      </c>
      <c r="B3059">
        <v>0.99996721820229495</v>
      </c>
      <c r="C3059">
        <v>0.92989576365224302</v>
      </c>
      <c r="D3059">
        <v>0.87572496459555105</v>
      </c>
      <c r="E3059">
        <v>0.67994410549850404</v>
      </c>
      <c r="F3059">
        <v>0.73389958880785799</v>
      </c>
      <c r="G3059">
        <v>0.36717186136218399</v>
      </c>
      <c r="H3059">
        <v>0.174366183457388</v>
      </c>
      <c r="I3059">
        <v>0.13265605311842199</v>
      </c>
      <c r="J3059">
        <v>8.2508193104240402E-2</v>
      </c>
      <c r="K3059">
        <v>5.2060905431511199E-2</v>
      </c>
      <c r="L3059">
        <v>683.44175329737402</v>
      </c>
      <c r="M3059">
        <v>12.485550088697099</v>
      </c>
      <c r="N3059">
        <v>54.738617695716499</v>
      </c>
      <c r="O3059">
        <v>53.391325145695198</v>
      </c>
      <c r="P3059">
        <v>-5.8474537966033698E-2</v>
      </c>
      <c r="Q3059">
        <v>0</v>
      </c>
      <c r="R3059">
        <v>0.97657121970406002</v>
      </c>
      <c r="S3059" t="s">
        <v>8885</v>
      </c>
      <c r="T3059" t="s">
        <v>11650</v>
      </c>
      <c r="U3059" t="s">
        <v>11650</v>
      </c>
      <c r="V3059" t="s">
        <v>11650</v>
      </c>
      <c r="W3059" t="s">
        <v>14663</v>
      </c>
      <c r="X3059">
        <v>14</v>
      </c>
      <c r="Y3059" t="s">
        <v>20359</v>
      </c>
      <c r="Z3059" t="s">
        <v>26121</v>
      </c>
      <c r="AA3059">
        <v>0.51472680270310289</v>
      </c>
      <c r="AB3059" t="str">
        <f>HYPERLINK("Melting_Curves/meltCurve_Q13363_CTBP1.pdf", "Melting_Curves/meltCurve_Q13363_CTBP1.pdf")</f>
        <v>Melting_Curves/meltCurve_Q13363_CTBP1.pdf</v>
      </c>
    </row>
    <row r="3060" spans="1:28" x14ac:dyDescent="0.25">
      <c r="A3060" t="s">
        <v>3064</v>
      </c>
      <c r="B3060">
        <v>0.99996721820229495</v>
      </c>
      <c r="C3060">
        <v>0.902164451578778</v>
      </c>
      <c r="D3060">
        <v>0.79009709232259095</v>
      </c>
      <c r="E3060">
        <v>0.91952413189969195</v>
      </c>
      <c r="F3060">
        <v>0.85474761944811595</v>
      </c>
      <c r="G3060">
        <v>0.639505352653015</v>
      </c>
      <c r="H3060">
        <v>0.499236430551039</v>
      </c>
      <c r="I3060">
        <v>0.35088247431526298</v>
      </c>
      <c r="J3060">
        <v>0.297536306947072</v>
      </c>
      <c r="K3060">
        <v>0.24392333806279001</v>
      </c>
      <c r="L3060">
        <v>539.07342460862105</v>
      </c>
      <c r="M3060">
        <v>8.8741281197853201</v>
      </c>
      <c r="N3060">
        <v>60.746630534137303</v>
      </c>
      <c r="O3060">
        <v>57.899229570718397</v>
      </c>
      <c r="P3060">
        <v>-3.8346474754493799E-2</v>
      </c>
      <c r="Q3060">
        <v>0</v>
      </c>
      <c r="R3060">
        <v>0.94686208249956805</v>
      </c>
      <c r="S3060" t="s">
        <v>8886</v>
      </c>
      <c r="T3060" t="s">
        <v>11650</v>
      </c>
      <c r="U3060" t="s">
        <v>11650</v>
      </c>
      <c r="V3060" t="s">
        <v>11650</v>
      </c>
      <c r="W3060" t="s">
        <v>14664</v>
      </c>
      <c r="X3060">
        <v>5</v>
      </c>
      <c r="Y3060" t="s">
        <v>20360</v>
      </c>
      <c r="Z3060" t="s">
        <v>26122</v>
      </c>
      <c r="AA3060">
        <v>0.67513127131405137</v>
      </c>
      <c r="AB3060" t="str">
        <f>HYPERLINK("Melting_Curves/meltCurve_Q13371_PDCL.pdf", "Melting_Curves/meltCurve_Q13371_PDCL.pdf")</f>
        <v>Melting_Curves/meltCurve_Q13371_PDCL.pdf</v>
      </c>
    </row>
    <row r="3061" spans="1:28" x14ac:dyDescent="0.25">
      <c r="A3061" t="s">
        <v>3065</v>
      </c>
      <c r="B3061">
        <v>0.99996721820229495</v>
      </c>
      <c r="C3061">
        <v>0.96311741822332497</v>
      </c>
      <c r="D3061">
        <v>1.05059900001143</v>
      </c>
      <c r="E3061">
        <v>1.4346766992280999</v>
      </c>
      <c r="F3061">
        <v>4.4818635846907098</v>
      </c>
      <c r="G3061">
        <v>4.2737110130146103</v>
      </c>
      <c r="H3061">
        <v>1.5675749858329699</v>
      </c>
      <c r="I3061">
        <v>0.92057356177189198</v>
      </c>
      <c r="J3061">
        <v>0.69382077350776605</v>
      </c>
      <c r="K3061">
        <v>0.49559695766524497</v>
      </c>
      <c r="L3061">
        <v>4472.9417189648002</v>
      </c>
      <c r="M3061">
        <v>67.166399876053404</v>
      </c>
      <c r="N3061">
        <v>69.8850998913437</v>
      </c>
      <c r="O3061">
        <v>66.535970543717497</v>
      </c>
      <c r="P3061">
        <v>-0.13152625596679199</v>
      </c>
      <c r="Q3061">
        <v>0.47883317737539999</v>
      </c>
      <c r="R3061">
        <v>-0.23107849217648799</v>
      </c>
      <c r="S3061" t="s">
        <v>8887</v>
      </c>
      <c r="T3061" t="s">
        <v>11650</v>
      </c>
      <c r="U3061" t="s">
        <v>11650</v>
      </c>
      <c r="V3061" t="s">
        <v>11650</v>
      </c>
      <c r="W3061" t="s">
        <v>14665</v>
      </c>
      <c r="X3061">
        <v>19</v>
      </c>
      <c r="Y3061" t="s">
        <v>20361</v>
      </c>
      <c r="Z3061" t="s">
        <v>26123</v>
      </c>
      <c r="AA3061">
        <v>0.94095718264340211</v>
      </c>
      <c r="AB3061" t="str">
        <f>HYPERLINK("Melting_Curves/meltCurve_Q13409_6_DYNC1I2.pdf", "Melting_Curves/meltCurve_Q13409_6_DYNC1I2.pdf")</f>
        <v>Melting_Curves/meltCurve_Q13409_6_DYNC1I2.pdf</v>
      </c>
    </row>
    <row r="3062" spans="1:28" x14ac:dyDescent="0.25">
      <c r="A3062" t="s">
        <v>3066</v>
      </c>
      <c r="B3062">
        <v>0.99996721820229495</v>
      </c>
      <c r="C3062">
        <v>0.868874160186625</v>
      </c>
      <c r="D3062">
        <v>0.80245030278890705</v>
      </c>
      <c r="E3062">
        <v>0.684006381285169</v>
      </c>
      <c r="F3062">
        <v>0.28619406170399803</v>
      </c>
      <c r="G3062">
        <v>0.21231750267382099</v>
      </c>
      <c r="H3062">
        <v>0.12968681725222</v>
      </c>
      <c r="I3062">
        <v>8.5678005902250998E-2</v>
      </c>
      <c r="J3062">
        <v>6.6717739599634104E-2</v>
      </c>
      <c r="K3062">
        <v>5.3661104401296802E-2</v>
      </c>
      <c r="L3062">
        <v>728.21543646868997</v>
      </c>
      <c r="M3062">
        <v>14.322749014873301</v>
      </c>
      <c r="N3062">
        <v>51.105127364911503</v>
      </c>
      <c r="O3062">
        <v>49.882949637884202</v>
      </c>
      <c r="P3062">
        <v>-6.9250554578999896E-2</v>
      </c>
      <c r="Q3062">
        <v>3.53796465039855E-2</v>
      </c>
      <c r="R3062">
        <v>0.97919539488729701</v>
      </c>
      <c r="S3062" t="s">
        <v>8888</v>
      </c>
      <c r="T3062" t="s">
        <v>11650</v>
      </c>
      <c r="U3062" t="s">
        <v>11650</v>
      </c>
      <c r="V3062" t="s">
        <v>11650</v>
      </c>
      <c r="W3062" t="s">
        <v>14666</v>
      </c>
      <c r="X3062">
        <v>17</v>
      </c>
      <c r="Y3062" t="s">
        <v>20362</v>
      </c>
      <c r="Z3062" t="s">
        <v>26124</v>
      </c>
      <c r="AA3062">
        <v>0.40820784203764932</v>
      </c>
      <c r="AB3062" t="str">
        <f>HYPERLINK("Melting_Curves/meltCurve_Q13418_ILK.pdf", "Melting_Curves/meltCurve_Q13418_ILK.pdf")</f>
        <v>Melting_Curves/meltCurve_Q13418_ILK.pdf</v>
      </c>
    </row>
    <row r="3063" spans="1:28" x14ac:dyDescent="0.25">
      <c r="A3063" t="s">
        <v>3067</v>
      </c>
      <c r="B3063">
        <v>0.99996721820229495</v>
      </c>
      <c r="C3063">
        <v>0.65966568188572206</v>
      </c>
      <c r="D3063">
        <v>0.92236799405027403</v>
      </c>
      <c r="E3063">
        <v>1.4525234584392701</v>
      </c>
      <c r="F3063">
        <v>1.2609809992710299</v>
      </c>
      <c r="G3063">
        <v>0.36157375433233502</v>
      </c>
      <c r="H3063">
        <v>0.208860434725124</v>
      </c>
      <c r="I3063">
        <v>0.14207882585286699</v>
      </c>
      <c r="J3063">
        <v>9.7005576134183896E-2</v>
      </c>
      <c r="K3063">
        <v>9.1827250726920995E-2</v>
      </c>
      <c r="L3063">
        <v>14190.966017614201</v>
      </c>
      <c r="M3063">
        <v>250</v>
      </c>
      <c r="N3063">
        <v>56.835375619792003</v>
      </c>
      <c r="O3063">
        <v>56.760231578631398</v>
      </c>
      <c r="P3063">
        <v>-0.95253420533963296</v>
      </c>
      <c r="Q3063">
        <v>0.134943007996736</v>
      </c>
      <c r="R3063">
        <v>0.82885998885122403</v>
      </c>
      <c r="S3063" t="s">
        <v>8889</v>
      </c>
      <c r="T3063" t="s">
        <v>11650</v>
      </c>
      <c r="U3063" t="s">
        <v>11650</v>
      </c>
      <c r="V3063" t="s">
        <v>11650</v>
      </c>
      <c r="W3063" t="s">
        <v>14667</v>
      </c>
      <c r="X3063">
        <v>21</v>
      </c>
      <c r="Y3063" t="s">
        <v>20363</v>
      </c>
      <c r="Z3063" t="s">
        <v>26125</v>
      </c>
      <c r="AA3063">
        <v>0.61841911228439972</v>
      </c>
      <c r="AB3063" t="str">
        <f>HYPERLINK("Melting_Curves/meltCurve_Q13423_NNT.pdf", "Melting_Curves/meltCurve_Q13423_NNT.pdf")</f>
        <v>Melting_Curves/meltCurve_Q13423_NNT.pdf</v>
      </c>
    </row>
    <row r="3064" spans="1:28" x14ac:dyDescent="0.25">
      <c r="A3064" t="s">
        <v>3068</v>
      </c>
      <c r="B3064">
        <v>0.99996721820229495</v>
      </c>
      <c r="C3064">
        <v>0.94409290610588903</v>
      </c>
      <c r="D3064">
        <v>0.68464473213269506</v>
      </c>
      <c r="E3064">
        <v>0.54867595677287595</v>
      </c>
      <c r="F3064">
        <v>0.54400388769589203</v>
      </c>
      <c r="G3064">
        <v>0.41372741004233299</v>
      </c>
      <c r="H3064">
        <v>0.25527646740659099</v>
      </c>
      <c r="I3064">
        <v>0.19772443810721699</v>
      </c>
      <c r="J3064">
        <v>0.12214361156921701</v>
      </c>
      <c r="K3064">
        <v>9.1063600430330696E-2</v>
      </c>
      <c r="L3064">
        <v>436.80915425097697</v>
      </c>
      <c r="M3064">
        <v>8.2553117321738103</v>
      </c>
      <c r="N3064">
        <v>52.9124958038514</v>
      </c>
      <c r="O3064">
        <v>50.080105718866498</v>
      </c>
      <c r="P3064">
        <v>-4.1251986437096697E-2</v>
      </c>
      <c r="Q3064">
        <v>0</v>
      </c>
      <c r="R3064">
        <v>0.96900246327107198</v>
      </c>
      <c r="S3064" t="s">
        <v>8890</v>
      </c>
      <c r="T3064" t="s">
        <v>11650</v>
      </c>
      <c r="U3064" t="s">
        <v>11650</v>
      </c>
      <c r="V3064" t="s">
        <v>11650</v>
      </c>
      <c r="W3064" t="s">
        <v>14668</v>
      </c>
      <c r="X3064">
        <v>1</v>
      </c>
      <c r="Y3064" t="s">
        <v>20364</v>
      </c>
      <c r="Z3064" t="s">
        <v>26126</v>
      </c>
      <c r="AA3064">
        <v>0.47080393463212888</v>
      </c>
      <c r="AB3064" t="str">
        <f>HYPERLINK("Melting_Curves/meltCurve_Q13424_SNTA1.pdf", "Melting_Curves/meltCurve_Q13424_SNTA1.pdf")</f>
        <v>Melting_Curves/meltCurve_Q13424_SNTA1.pdf</v>
      </c>
    </row>
    <row r="3065" spans="1:28" x14ac:dyDescent="0.25">
      <c r="A3065" t="s">
        <v>3069</v>
      </c>
      <c r="B3065">
        <v>0.99996721820229495</v>
      </c>
      <c r="C3065">
        <v>0.95463982590173802</v>
      </c>
      <c r="D3065">
        <v>0.86211798951174701</v>
      </c>
      <c r="E3065">
        <v>0.61414922826293705</v>
      </c>
      <c r="F3065">
        <v>0.53126750598279804</v>
      </c>
      <c r="G3065">
        <v>0.403014733324292</v>
      </c>
      <c r="H3065">
        <v>0.30832005530678402</v>
      </c>
      <c r="I3065">
        <v>0.18539938252942101</v>
      </c>
      <c r="J3065">
        <v>8.2683257358947104E-2</v>
      </c>
      <c r="K3065">
        <v>0.134395914516657</v>
      </c>
      <c r="L3065">
        <v>520.38236955904699</v>
      </c>
      <c r="M3065">
        <v>9.6886376943472801</v>
      </c>
      <c r="N3065">
        <v>53.938492758833398</v>
      </c>
      <c r="O3065">
        <v>51.572166413286297</v>
      </c>
      <c r="P3065">
        <v>-4.6049715899750703E-2</v>
      </c>
      <c r="Q3065">
        <v>2.0055837017269301E-2</v>
      </c>
      <c r="R3065">
        <v>0.98565401055527202</v>
      </c>
      <c r="S3065" t="s">
        <v>8891</v>
      </c>
      <c r="T3065" t="s">
        <v>11650</v>
      </c>
      <c r="U3065" t="s">
        <v>11650</v>
      </c>
      <c r="V3065" t="s">
        <v>11650</v>
      </c>
      <c r="W3065" t="s">
        <v>14669</v>
      </c>
      <c r="X3065">
        <v>7</v>
      </c>
      <c r="Y3065" t="s">
        <v>20365</v>
      </c>
      <c r="Z3065" t="s">
        <v>26127</v>
      </c>
      <c r="AA3065">
        <v>0.49939537391292982</v>
      </c>
      <c r="AB3065" t="str">
        <f>HYPERLINK("Melting_Curves/meltCurve_Q13425_SNTB2.pdf", "Melting_Curves/meltCurve_Q13425_SNTB2.pdf")</f>
        <v>Melting_Curves/meltCurve_Q13425_SNTB2.pdf</v>
      </c>
    </row>
    <row r="3066" spans="1:28" x14ac:dyDescent="0.25">
      <c r="A3066" t="s">
        <v>3070</v>
      </c>
      <c r="B3066">
        <v>0.99996721820229495</v>
      </c>
      <c r="C3066">
        <v>1.0693882639746</v>
      </c>
      <c r="D3066">
        <v>0.92064277618292101</v>
      </c>
      <c r="E3066">
        <v>0.61811436600382796</v>
      </c>
      <c r="F3066">
        <v>0.47356935762892799</v>
      </c>
      <c r="G3066">
        <v>0.36533146296944202</v>
      </c>
      <c r="H3066">
        <v>0.180482807882278</v>
      </c>
      <c r="I3066">
        <v>0.15088853716157399</v>
      </c>
      <c r="J3066">
        <v>9.4057207462743805E-2</v>
      </c>
      <c r="K3066">
        <v>8.0960002218591495E-2</v>
      </c>
      <c r="L3066">
        <v>748.793105591727</v>
      </c>
      <c r="M3066">
        <v>14.3163831524817</v>
      </c>
      <c r="N3066">
        <v>52.914961479724298</v>
      </c>
      <c r="O3066">
        <v>51.314481676816101</v>
      </c>
      <c r="P3066">
        <v>-6.4436534979095197E-2</v>
      </c>
      <c r="Q3066">
        <v>7.6267675649962993E-2</v>
      </c>
      <c r="R3066">
        <v>0.982209006842091</v>
      </c>
      <c r="S3066" t="s">
        <v>8892</v>
      </c>
      <c r="T3066" t="s">
        <v>11650</v>
      </c>
      <c r="U3066" t="s">
        <v>11650</v>
      </c>
      <c r="V3066" t="s">
        <v>11650</v>
      </c>
      <c r="W3066" t="s">
        <v>14670</v>
      </c>
      <c r="X3066">
        <v>4</v>
      </c>
      <c r="Y3066" t="s">
        <v>20366</v>
      </c>
      <c r="Z3066" t="s">
        <v>26128</v>
      </c>
      <c r="AA3066">
        <v>0.47696837654811508</v>
      </c>
      <c r="AB3066" t="str">
        <f>HYPERLINK("Melting_Curves/meltCurve_Q13432_UNC119.pdf", "Melting_Curves/meltCurve_Q13432_UNC119.pdf")</f>
        <v>Melting_Curves/meltCurve_Q13432_UNC119.pdf</v>
      </c>
    </row>
    <row r="3067" spans="1:28" x14ac:dyDescent="0.25">
      <c r="A3067" t="s">
        <v>3071</v>
      </c>
      <c r="B3067">
        <v>0.99996721820229495</v>
      </c>
      <c r="C3067">
        <v>0.90671133020493599</v>
      </c>
      <c r="D3067">
        <v>0.93102258256786197</v>
      </c>
      <c r="E3067">
        <v>1.0277130856524901</v>
      </c>
      <c r="F3067">
        <v>1.5743044521848</v>
      </c>
      <c r="G3067">
        <v>1.46562357865504</v>
      </c>
      <c r="H3067">
        <v>1.06444890818991</v>
      </c>
      <c r="I3067">
        <v>0.98259490813573702</v>
      </c>
      <c r="J3067">
        <v>0.91826397775426605</v>
      </c>
      <c r="K3067">
        <v>0.68892044497982297</v>
      </c>
      <c r="L3067">
        <v>3719.09178340175</v>
      </c>
      <c r="M3067">
        <v>54.058402369291898</v>
      </c>
      <c r="O3067">
        <v>68.703709072045697</v>
      </c>
      <c r="P3067">
        <v>-8.5359869421123599E-2</v>
      </c>
      <c r="Q3067">
        <v>0.56605924507618799</v>
      </c>
      <c r="R3067">
        <v>0.113388962599414</v>
      </c>
      <c r="S3067" t="s">
        <v>8893</v>
      </c>
      <c r="T3067" t="s">
        <v>11650</v>
      </c>
      <c r="U3067" t="s">
        <v>11650</v>
      </c>
      <c r="V3067" t="s">
        <v>11650</v>
      </c>
      <c r="W3067" t="s">
        <v>14671</v>
      </c>
      <c r="X3067">
        <v>3</v>
      </c>
      <c r="Y3067" t="s">
        <v>20367</v>
      </c>
      <c r="Z3067" t="s">
        <v>26129</v>
      </c>
      <c r="AA3067">
        <v>0.97711206279932306</v>
      </c>
      <c r="AB3067" t="str">
        <f>HYPERLINK("Melting_Curves/meltCurve_Q13433_SLC39A6.pdf", "Melting_Curves/meltCurve_Q13433_SLC39A6.pdf")</f>
        <v>Melting_Curves/meltCurve_Q13433_SLC39A6.pdf</v>
      </c>
    </row>
    <row r="3068" spans="1:28" x14ac:dyDescent="0.25">
      <c r="A3068" t="s">
        <v>3072</v>
      </c>
      <c r="B3068">
        <v>0.99996721820229495</v>
      </c>
      <c r="C3068">
        <v>1.04629502067706</v>
      </c>
      <c r="D3068">
        <v>1.0199306660837599</v>
      </c>
      <c r="E3068">
        <v>0.968635176020605</v>
      </c>
      <c r="F3068">
        <v>1.3455458491405199</v>
      </c>
      <c r="G3068">
        <v>1.44396260080164</v>
      </c>
      <c r="H3068">
        <v>1.0804852833170699</v>
      </c>
      <c r="I3068">
        <v>1.04894842600542</v>
      </c>
      <c r="J3068">
        <v>0.96363317121857806</v>
      </c>
      <c r="K3068">
        <v>0.84708501051608998</v>
      </c>
      <c r="L3068">
        <v>15000</v>
      </c>
      <c r="M3068">
        <v>222.71557788187101</v>
      </c>
      <c r="O3068">
        <v>67.345044647232697</v>
      </c>
      <c r="P3068">
        <v>-0.12645330018761</v>
      </c>
      <c r="Q3068">
        <v>0.84705150467899404</v>
      </c>
      <c r="R3068">
        <v>-0.11430539547101</v>
      </c>
      <c r="S3068" t="s">
        <v>8894</v>
      </c>
      <c r="T3068" t="s">
        <v>11650</v>
      </c>
      <c r="U3068" t="s">
        <v>11650</v>
      </c>
      <c r="V3068" t="s">
        <v>11650</v>
      </c>
      <c r="W3068" t="s">
        <v>14672</v>
      </c>
      <c r="X3068">
        <v>20</v>
      </c>
      <c r="Y3068" t="s">
        <v>20368</v>
      </c>
      <c r="Z3068" t="s">
        <v>26130</v>
      </c>
      <c r="AA3068">
        <v>0.98651438577386441</v>
      </c>
      <c r="AB3068" t="str">
        <f>HYPERLINK("Melting_Curves/meltCurve_Q13435_SF3B2.pdf", "Melting_Curves/meltCurve_Q13435_SF3B2.pdf")</f>
        <v>Melting_Curves/meltCurve_Q13435_SF3B2.pdf</v>
      </c>
    </row>
    <row r="3069" spans="1:28" x14ac:dyDescent="0.25">
      <c r="A3069" t="s">
        <v>3073</v>
      </c>
      <c r="B3069">
        <v>0.99996721820229495</v>
      </c>
      <c r="C3069">
        <v>0.98280104059145701</v>
      </c>
      <c r="D3069">
        <v>1.08952790432569</v>
      </c>
      <c r="E3069">
        <v>1.42375918299305</v>
      </c>
      <c r="F3069">
        <v>1.22700115889512</v>
      </c>
      <c r="G3069">
        <v>1.4173137114444501</v>
      </c>
      <c r="H3069">
        <v>0.84545927036872004</v>
      </c>
      <c r="I3069">
        <v>0.44814588049500897</v>
      </c>
      <c r="J3069">
        <v>0.28127754325600302</v>
      </c>
      <c r="K3069">
        <v>0.31557537205182901</v>
      </c>
      <c r="L3069">
        <v>3794.8292422978798</v>
      </c>
      <c r="M3069">
        <v>60.747043104717001</v>
      </c>
      <c r="N3069">
        <v>63.4149907444978</v>
      </c>
      <c r="O3069">
        <v>62.401773988528802</v>
      </c>
      <c r="P3069">
        <v>-0.17087080090026299</v>
      </c>
      <c r="Q3069">
        <v>0.29789919818760202</v>
      </c>
      <c r="R3069">
        <v>0.74455528773699997</v>
      </c>
      <c r="S3069" t="s">
        <v>8895</v>
      </c>
      <c r="T3069" t="s">
        <v>11650</v>
      </c>
      <c r="U3069" t="s">
        <v>11650</v>
      </c>
      <c r="V3069" t="s">
        <v>11650</v>
      </c>
      <c r="W3069" t="s">
        <v>14673</v>
      </c>
      <c r="X3069">
        <v>9</v>
      </c>
      <c r="Y3069" t="s">
        <v>20369</v>
      </c>
      <c r="Z3069" t="s">
        <v>26131</v>
      </c>
      <c r="AA3069">
        <v>0.8250206164052053</v>
      </c>
      <c r="AB3069" t="str">
        <f>HYPERLINK("Melting_Curves/meltCurve_Q13438_4_OS9.pdf", "Melting_Curves/meltCurve_Q13438_4_OS9.pdf")</f>
        <v>Melting_Curves/meltCurve_Q13438_4_OS9.pdf</v>
      </c>
    </row>
    <row r="3070" spans="1:28" x14ac:dyDescent="0.25">
      <c r="A3070" t="s">
        <v>3074</v>
      </c>
      <c r="B3070">
        <v>0.99996721820229495</v>
      </c>
      <c r="C3070">
        <v>0.95068458697631897</v>
      </c>
      <c r="D3070">
        <v>0.67705481369308296</v>
      </c>
      <c r="E3070">
        <v>0.384529986425656</v>
      </c>
      <c r="F3070">
        <v>0.41656953577063599</v>
      </c>
      <c r="G3070">
        <v>0.34914821048877598</v>
      </c>
      <c r="H3070">
        <v>0.25257821937167901</v>
      </c>
      <c r="I3070">
        <v>0.198893271220525</v>
      </c>
      <c r="J3070">
        <v>0.16028680657653799</v>
      </c>
      <c r="K3070">
        <v>0.14718874587682401</v>
      </c>
      <c r="L3070">
        <v>710.70406410229305</v>
      </c>
      <c r="M3070">
        <v>14.843338717684301</v>
      </c>
      <c r="N3070">
        <v>49.496683484344402</v>
      </c>
      <c r="O3070">
        <v>47.0365029023814</v>
      </c>
      <c r="P3070">
        <v>-6.3746786366633099E-2</v>
      </c>
      <c r="Q3070">
        <v>0.19206605530003901</v>
      </c>
      <c r="R3070">
        <v>0.96167163431040004</v>
      </c>
      <c r="S3070" t="s">
        <v>8896</v>
      </c>
      <c r="T3070" t="s">
        <v>11650</v>
      </c>
      <c r="U3070" t="s">
        <v>11650</v>
      </c>
      <c r="V3070" t="s">
        <v>11650</v>
      </c>
      <c r="W3070" t="s">
        <v>14674</v>
      </c>
      <c r="X3070">
        <v>91</v>
      </c>
      <c r="Y3070" t="s">
        <v>20370</v>
      </c>
      <c r="Z3070" t="s">
        <v>26132</v>
      </c>
      <c r="AA3070">
        <v>0.42564339480689889</v>
      </c>
      <c r="AB3070" t="str">
        <f>HYPERLINK("Melting_Curves/meltCurve_Q13439_3_GOLGA4.pdf", "Melting_Curves/meltCurve_Q13439_3_GOLGA4.pdf")</f>
        <v>Melting_Curves/meltCurve_Q13439_3_GOLGA4.pdf</v>
      </c>
    </row>
    <row r="3071" spans="1:28" x14ac:dyDescent="0.25">
      <c r="A3071" t="s">
        <v>3075</v>
      </c>
      <c r="B3071">
        <v>0.99996721820229495</v>
      </c>
      <c r="C3071">
        <v>0.96721482594222496</v>
      </c>
      <c r="D3071">
        <v>0.94736184083748598</v>
      </c>
      <c r="E3071">
        <v>1.05707931775577</v>
      </c>
      <c r="F3071">
        <v>1.3007571871865999</v>
      </c>
      <c r="G3071">
        <v>1.6436785706455601</v>
      </c>
      <c r="H3071">
        <v>1.44227256369471</v>
      </c>
      <c r="I3071">
        <v>1.3274342677031501</v>
      </c>
      <c r="J3071">
        <v>1.35920924633172</v>
      </c>
      <c r="K3071">
        <v>1.15051394660064</v>
      </c>
      <c r="L3071">
        <v>3111.01739206301</v>
      </c>
      <c r="M3071">
        <v>60.232802199020803</v>
      </c>
      <c r="O3071">
        <v>51.593045002364398</v>
      </c>
      <c r="P3071">
        <v>0.111685448957677</v>
      </c>
      <c r="Q3071">
        <v>1.3826612634037601</v>
      </c>
      <c r="R3071">
        <v>0.72321185342910999</v>
      </c>
      <c r="S3071" t="s">
        <v>8897</v>
      </c>
      <c r="T3071" t="s">
        <v>11650</v>
      </c>
      <c r="U3071" t="s">
        <v>11650</v>
      </c>
      <c r="V3071" t="s">
        <v>11650</v>
      </c>
      <c r="W3071" t="s">
        <v>14675</v>
      </c>
      <c r="X3071">
        <v>26</v>
      </c>
      <c r="Y3071" t="s">
        <v>20371</v>
      </c>
      <c r="Z3071" t="s">
        <v>26133</v>
      </c>
      <c r="AA3071">
        <v>1.233462882434917</v>
      </c>
      <c r="AB3071" t="str">
        <f>HYPERLINK("Melting_Curves/meltCurve_Q13442_PDAP1.pdf", "Melting_Curves/meltCurve_Q13442_PDAP1.pdf")</f>
        <v>Melting_Curves/meltCurve_Q13442_PDAP1.pdf</v>
      </c>
    </row>
    <row r="3072" spans="1:28" x14ac:dyDescent="0.25">
      <c r="A3072" t="s">
        <v>3076</v>
      </c>
      <c r="B3072">
        <v>0.99996721820229495</v>
      </c>
      <c r="C3072">
        <v>0.92644079821776903</v>
      </c>
      <c r="D3072">
        <v>1.0493556993219899</v>
      </c>
      <c r="E3072">
        <v>1.2231543785296199</v>
      </c>
      <c r="F3072">
        <v>1.36222733862203</v>
      </c>
      <c r="G3072">
        <v>1.54909659540918</v>
      </c>
      <c r="H3072">
        <v>0.94251216844993702</v>
      </c>
      <c r="I3072">
        <v>0.42954776631873498</v>
      </c>
      <c r="J3072">
        <v>0.248046215848443</v>
      </c>
      <c r="K3072">
        <v>0.22096966397061901</v>
      </c>
      <c r="L3072">
        <v>4772.6118435385597</v>
      </c>
      <c r="M3072">
        <v>75.621851643167702</v>
      </c>
      <c r="N3072">
        <v>63.628497530341697</v>
      </c>
      <c r="O3072">
        <v>63.067451773038101</v>
      </c>
      <c r="P3072">
        <v>-0.23096487816682101</v>
      </c>
      <c r="Q3072">
        <v>0.22951561959663699</v>
      </c>
      <c r="R3072">
        <v>0.73913202100484299</v>
      </c>
      <c r="S3072" t="s">
        <v>8898</v>
      </c>
      <c r="T3072" t="s">
        <v>11650</v>
      </c>
      <c r="U3072" t="s">
        <v>11650</v>
      </c>
      <c r="V3072" t="s">
        <v>11650</v>
      </c>
      <c r="W3072" t="s">
        <v>14676</v>
      </c>
      <c r="X3072">
        <v>31</v>
      </c>
      <c r="Y3072" t="s">
        <v>20372</v>
      </c>
      <c r="Z3072" t="s">
        <v>26134</v>
      </c>
      <c r="AA3072">
        <v>0.82400389030315024</v>
      </c>
      <c r="AB3072" t="str">
        <f>HYPERLINK("Melting_Curves/meltCurve_Q13443_ADAM9.pdf", "Melting_Curves/meltCurve_Q13443_ADAM9.pdf")</f>
        <v>Melting_Curves/meltCurve_Q13443_ADAM9.pdf</v>
      </c>
    </row>
    <row r="3073" spans="1:28" x14ac:dyDescent="0.25">
      <c r="A3073" t="s">
        <v>3077</v>
      </c>
      <c r="B3073">
        <v>0.99996721820229495</v>
      </c>
      <c r="C3073">
        <v>0.71465047973610096</v>
      </c>
      <c r="D3073">
        <v>0.71981928888260305</v>
      </c>
      <c r="E3073">
        <v>0.97614414277726402</v>
      </c>
      <c r="F3073">
        <v>1.12798650137982</v>
      </c>
      <c r="G3073">
        <v>0.95281521065066099</v>
      </c>
      <c r="H3073">
        <v>0.90471414681468598</v>
      </c>
      <c r="I3073">
        <v>0.479684147072026</v>
      </c>
      <c r="J3073">
        <v>0.15875372761607201</v>
      </c>
      <c r="K3073">
        <v>0.43958250160909301</v>
      </c>
      <c r="L3073">
        <v>4291.9129003687403</v>
      </c>
      <c r="M3073">
        <v>68.303278493048097</v>
      </c>
      <c r="N3073">
        <v>63.700982636930497</v>
      </c>
      <c r="O3073">
        <v>62.782320478719001</v>
      </c>
      <c r="P3073">
        <v>-0.189790993417082</v>
      </c>
      <c r="Q3073">
        <v>0.30219946561518601</v>
      </c>
      <c r="R3073">
        <v>0.73660877911344103</v>
      </c>
      <c r="S3073" t="s">
        <v>8899</v>
      </c>
      <c r="T3073" t="s">
        <v>11650</v>
      </c>
      <c r="U3073" t="s">
        <v>11650</v>
      </c>
      <c r="V3073" t="s">
        <v>11650</v>
      </c>
      <c r="W3073" t="s">
        <v>14677</v>
      </c>
      <c r="X3073">
        <v>5</v>
      </c>
      <c r="Y3073" t="s">
        <v>20373</v>
      </c>
      <c r="Z3073" t="s">
        <v>26135</v>
      </c>
      <c r="AA3073">
        <v>0.8343764389601197</v>
      </c>
      <c r="AB3073" t="str">
        <f>HYPERLINK("Melting_Curves/meltCurve_Q13444_8_ADAM15.pdf", "Melting_Curves/meltCurve_Q13444_8_ADAM15.pdf")</f>
        <v>Melting_Curves/meltCurve_Q13444_8_ADAM15.pdf</v>
      </c>
    </row>
    <row r="3074" spans="1:28" x14ac:dyDescent="0.25">
      <c r="A3074" t="s">
        <v>3078</v>
      </c>
      <c r="B3074">
        <v>0.99996721820229495</v>
      </c>
      <c r="C3074">
        <v>0.97178704741353195</v>
      </c>
      <c r="D3074">
        <v>1.1669704142764901</v>
      </c>
      <c r="E3074">
        <v>1.3116540182584699</v>
      </c>
      <c r="F3074">
        <v>1.5068677399297801</v>
      </c>
      <c r="G3074">
        <v>1.68014668469164</v>
      </c>
      <c r="H3074">
        <v>0.58366505502684995</v>
      </c>
      <c r="I3074">
        <v>0.36498242034735001</v>
      </c>
      <c r="J3074">
        <v>0.26164498969112598</v>
      </c>
      <c r="K3074">
        <v>0.178586317015867</v>
      </c>
      <c r="L3074">
        <v>7601.1809118178098</v>
      </c>
      <c r="M3074">
        <v>124.876945433681</v>
      </c>
      <c r="N3074">
        <v>61.245044280953003</v>
      </c>
      <c r="O3074">
        <v>60.853762827789801</v>
      </c>
      <c r="P3074">
        <v>-0.37575445100059401</v>
      </c>
      <c r="Q3074">
        <v>0.26756466955890601</v>
      </c>
      <c r="R3074">
        <v>0.661301690178841</v>
      </c>
      <c r="S3074" t="s">
        <v>8900</v>
      </c>
      <c r="T3074" t="s">
        <v>11650</v>
      </c>
      <c r="U3074" t="s">
        <v>11650</v>
      </c>
      <c r="V3074" t="s">
        <v>11650</v>
      </c>
      <c r="W3074" t="s">
        <v>14678</v>
      </c>
      <c r="X3074">
        <v>3</v>
      </c>
      <c r="Y3074" t="s">
        <v>20374</v>
      </c>
      <c r="Z3074" t="s">
        <v>26136</v>
      </c>
      <c r="AA3074">
        <v>0.77739391060125407</v>
      </c>
      <c r="AB3074" t="str">
        <f>HYPERLINK("Melting_Curves/meltCurve_Q13445_TMED1.pdf", "Melting_Curves/meltCurve_Q13445_TMED1.pdf")</f>
        <v>Melting_Curves/meltCurve_Q13445_TMED1.pdf</v>
      </c>
    </row>
    <row r="3075" spans="1:28" x14ac:dyDescent="0.25">
      <c r="A3075" t="s">
        <v>3079</v>
      </c>
      <c r="B3075">
        <v>0.99996721820229495</v>
      </c>
      <c r="C3075">
        <v>1.0028782278955599</v>
      </c>
      <c r="D3075">
        <v>0.61140398139732099</v>
      </c>
      <c r="E3075">
        <v>0.27002630795214699</v>
      </c>
      <c r="F3075">
        <v>0.26614005455273698</v>
      </c>
      <c r="G3075">
        <v>0.222788875904008</v>
      </c>
      <c r="H3075">
        <v>0.14860225768857399</v>
      </c>
      <c r="I3075">
        <v>0.102496251404069</v>
      </c>
      <c r="J3075">
        <v>0.1006770343462</v>
      </c>
      <c r="K3075">
        <v>6.1447076066231898E-2</v>
      </c>
      <c r="L3075">
        <v>1158.2593188129299</v>
      </c>
      <c r="M3075">
        <v>24.7602220440914</v>
      </c>
      <c r="N3075">
        <v>47.388207047938799</v>
      </c>
      <c r="O3075">
        <v>46.477108125412101</v>
      </c>
      <c r="P3075">
        <v>-0.115032628081466</v>
      </c>
      <c r="Q3075">
        <v>0.136306866248284</v>
      </c>
      <c r="R3075">
        <v>0.97372238659724397</v>
      </c>
      <c r="S3075" t="s">
        <v>8901</v>
      </c>
      <c r="T3075" t="s">
        <v>11650</v>
      </c>
      <c r="U3075" t="s">
        <v>11650</v>
      </c>
      <c r="V3075" t="s">
        <v>11650</v>
      </c>
      <c r="W3075" t="s">
        <v>14679</v>
      </c>
      <c r="X3075">
        <v>18</v>
      </c>
      <c r="Y3075" t="s">
        <v>20375</v>
      </c>
      <c r="Z3075" t="s">
        <v>26137</v>
      </c>
      <c r="AA3075">
        <v>0.33939162322986438</v>
      </c>
      <c r="AB3075" t="str">
        <f>HYPERLINK("Melting_Curves/meltCurve_Q13451_FKBP5.pdf", "Melting_Curves/meltCurve_Q13451_FKBP5.pdf")</f>
        <v>Melting_Curves/meltCurve_Q13451_FKBP5.pdf</v>
      </c>
    </row>
    <row r="3076" spans="1:28" x14ac:dyDescent="0.25">
      <c r="A3076" t="s">
        <v>3080</v>
      </c>
      <c r="B3076">
        <v>0.99996721820229495</v>
      </c>
      <c r="C3076">
        <v>0.96170606864580899</v>
      </c>
      <c r="D3076">
        <v>1.0774449120052401</v>
      </c>
      <c r="E3076">
        <v>1.16537230474741</v>
      </c>
      <c r="F3076">
        <v>0.45014662737060801</v>
      </c>
      <c r="G3076">
        <v>0.40790027204198798</v>
      </c>
      <c r="H3076">
        <v>0.24929570915655899</v>
      </c>
      <c r="I3076">
        <v>0.18002625353652399</v>
      </c>
      <c r="J3076">
        <v>0.13390957376807899</v>
      </c>
      <c r="K3076">
        <v>0.108017453901</v>
      </c>
      <c r="L3076">
        <v>13204.7924034673</v>
      </c>
      <c r="M3076">
        <v>250</v>
      </c>
      <c r="N3076">
        <v>52.938829541359901</v>
      </c>
      <c r="O3076">
        <v>52.815772250706502</v>
      </c>
      <c r="P3076">
        <v>-0.92795428798519897</v>
      </c>
      <c r="Q3076">
        <v>0.21582978561265501</v>
      </c>
      <c r="R3076">
        <v>0.94395334191617797</v>
      </c>
      <c r="S3076" t="s">
        <v>8902</v>
      </c>
      <c r="T3076" t="s">
        <v>11650</v>
      </c>
      <c r="U3076" t="s">
        <v>11650</v>
      </c>
      <c r="V3076" t="s">
        <v>11650</v>
      </c>
      <c r="W3076" t="s">
        <v>14680</v>
      </c>
      <c r="X3076">
        <v>43</v>
      </c>
      <c r="Y3076" t="s">
        <v>20376</v>
      </c>
      <c r="Z3076" t="s">
        <v>26138</v>
      </c>
      <c r="AA3076">
        <v>0.55098284184420865</v>
      </c>
      <c r="AB3076" t="str">
        <f>HYPERLINK("Melting_Curves/meltCurve_Q13464_ROCK1.pdf", "Melting_Curves/meltCurve_Q13464_ROCK1.pdf")</f>
        <v>Melting_Curves/meltCurve_Q13464_ROCK1.pdf</v>
      </c>
    </row>
    <row r="3077" spans="1:28" x14ac:dyDescent="0.25">
      <c r="A3077" t="s">
        <v>3081</v>
      </c>
      <c r="B3077">
        <v>0.99996721820229495</v>
      </c>
      <c r="C3077">
        <v>0.97859085428830705</v>
      </c>
      <c r="D3077">
        <v>0.99307492616769899</v>
      </c>
      <c r="E3077">
        <v>1.00253422092488</v>
      </c>
      <c r="F3077">
        <v>1.0200473816893401</v>
      </c>
      <c r="G3077">
        <v>0.86907041191024703</v>
      </c>
      <c r="H3077">
        <v>0.59153621190892702</v>
      </c>
      <c r="I3077">
        <v>0.39584597129806298</v>
      </c>
      <c r="J3077">
        <v>0.34115315074906</v>
      </c>
      <c r="K3077">
        <v>0.31226909960265797</v>
      </c>
      <c r="L3077">
        <v>1743.2339772119401</v>
      </c>
      <c r="M3077">
        <v>28.977068900216601</v>
      </c>
      <c r="N3077">
        <v>62.1385677252797</v>
      </c>
      <c r="O3077">
        <v>59.874754870175302</v>
      </c>
      <c r="P3077">
        <v>-8.4529864153401593E-2</v>
      </c>
      <c r="Q3077">
        <v>0.301355538550449</v>
      </c>
      <c r="R3077">
        <v>0.99750165257402801</v>
      </c>
      <c r="S3077" t="s">
        <v>8903</v>
      </c>
      <c r="T3077" t="s">
        <v>11650</v>
      </c>
      <c r="U3077" t="s">
        <v>11650</v>
      </c>
      <c r="V3077" t="s">
        <v>11650</v>
      </c>
      <c r="W3077" t="s">
        <v>14681</v>
      </c>
      <c r="X3077">
        <v>8</v>
      </c>
      <c r="Y3077" t="s">
        <v>20377</v>
      </c>
      <c r="Z3077" t="s">
        <v>26139</v>
      </c>
      <c r="AA3077">
        <v>0.77520006748765202</v>
      </c>
      <c r="AB3077" t="str">
        <f>HYPERLINK("Melting_Curves/meltCurve_Q13480_2_GAB1.pdf", "Melting_Curves/meltCurve_Q13480_2_GAB1.pdf")</f>
        <v>Melting_Curves/meltCurve_Q13480_2_GAB1.pdf</v>
      </c>
    </row>
    <row r="3078" spans="1:28" x14ac:dyDescent="0.25">
      <c r="A3078" t="s">
        <v>3082</v>
      </c>
      <c r="B3078">
        <v>0.99996721820229495</v>
      </c>
      <c r="C3078">
        <v>0.88504297390311204</v>
      </c>
      <c r="D3078">
        <v>0.945702440466889</v>
      </c>
      <c r="E3078">
        <v>0.97731596779779495</v>
      </c>
      <c r="F3078">
        <v>0.89265246119403896</v>
      </c>
      <c r="G3078">
        <v>0.48253290174159402</v>
      </c>
      <c r="H3078">
        <v>0.314133332133952</v>
      </c>
      <c r="I3078">
        <v>0.15141398549742499</v>
      </c>
      <c r="J3078">
        <v>0.11878095811025299</v>
      </c>
      <c r="K3078">
        <v>9.4514659944449297E-2</v>
      </c>
      <c r="L3078">
        <v>1280.6999513188</v>
      </c>
      <c r="M3078">
        <v>22.521512483742999</v>
      </c>
      <c r="N3078">
        <v>57.398937886347298</v>
      </c>
      <c r="O3078">
        <v>56.422984519609699</v>
      </c>
      <c r="P3078">
        <v>-9.0369983156889294E-2</v>
      </c>
      <c r="Q3078">
        <v>9.4405341295889095E-2</v>
      </c>
      <c r="R3078">
        <v>0.98259552633004099</v>
      </c>
      <c r="S3078" t="s">
        <v>8904</v>
      </c>
      <c r="T3078" t="s">
        <v>11650</v>
      </c>
      <c r="U3078" t="s">
        <v>11650</v>
      </c>
      <c r="V3078" t="s">
        <v>11650</v>
      </c>
      <c r="W3078" t="s">
        <v>14682</v>
      </c>
      <c r="X3078">
        <v>4</v>
      </c>
      <c r="Y3078" t="s">
        <v>20378</v>
      </c>
      <c r="Z3078" t="s">
        <v>26140</v>
      </c>
      <c r="AA3078">
        <v>0.61308148287974262</v>
      </c>
      <c r="AB3078" t="str">
        <f>HYPERLINK("Melting_Curves/meltCurve_Q13488_TCIRG1.pdf", "Melting_Curves/meltCurve_Q13488_TCIRG1.pdf")</f>
        <v>Melting_Curves/meltCurve_Q13488_TCIRG1.pdf</v>
      </c>
    </row>
    <row r="3079" spans="1:28" x14ac:dyDescent="0.25">
      <c r="A3079" t="s">
        <v>3083</v>
      </c>
      <c r="B3079">
        <v>0.99996721820229495</v>
      </c>
      <c r="C3079">
        <v>1.00066381041733</v>
      </c>
      <c r="D3079">
        <v>0.92528989933325301</v>
      </c>
      <c r="E3079">
        <v>1.1046253865332201</v>
      </c>
      <c r="F3079">
        <v>1.21391905141034</v>
      </c>
      <c r="G3079">
        <v>0.41628354026038999</v>
      </c>
      <c r="H3079">
        <v>0.25327646830414402</v>
      </c>
      <c r="I3079">
        <v>0.195433790711769</v>
      </c>
      <c r="J3079">
        <v>0.16163822708575301</v>
      </c>
      <c r="K3079">
        <v>0.127272240403563</v>
      </c>
      <c r="L3079">
        <v>14197.377474548501</v>
      </c>
      <c r="M3079">
        <v>250</v>
      </c>
      <c r="N3079">
        <v>56.894230106659201</v>
      </c>
      <c r="O3079">
        <v>56.785897931784902</v>
      </c>
      <c r="P3079">
        <v>-0.89766471308735096</v>
      </c>
      <c r="Q3079">
        <v>0.18440516926595099</v>
      </c>
      <c r="R3079">
        <v>0.96004136837480103</v>
      </c>
      <c r="S3079" t="s">
        <v>8905</v>
      </c>
      <c r="T3079" t="s">
        <v>11650</v>
      </c>
      <c r="U3079" t="s">
        <v>11650</v>
      </c>
      <c r="V3079" t="s">
        <v>11650</v>
      </c>
      <c r="W3079" t="s">
        <v>14683</v>
      </c>
      <c r="X3079">
        <v>12</v>
      </c>
      <c r="Y3079" t="s">
        <v>20379</v>
      </c>
      <c r="Z3079" t="s">
        <v>26141</v>
      </c>
      <c r="AA3079">
        <v>0.64093437140250265</v>
      </c>
      <c r="AB3079" t="str">
        <f>HYPERLINK("Melting_Curves/meltCurve_Q13492_3_PICALM.pdf", "Melting_Curves/meltCurve_Q13492_3_PICALM.pdf")</f>
        <v>Melting_Curves/meltCurve_Q13492_3_PICALM.pdf</v>
      </c>
    </row>
    <row r="3080" spans="1:28" x14ac:dyDescent="0.25">
      <c r="A3080" t="s">
        <v>3084</v>
      </c>
      <c r="B3080">
        <v>0.99996721820229495</v>
      </c>
      <c r="C3080">
        <v>0.92440035443740398</v>
      </c>
      <c r="D3080">
        <v>0.99390591612418</v>
      </c>
      <c r="E3080">
        <v>1.25119224826887</v>
      </c>
      <c r="F3080">
        <v>1.0716236325341499</v>
      </c>
      <c r="G3080">
        <v>1.1682484168629199</v>
      </c>
      <c r="H3080">
        <v>0.55525702201367899</v>
      </c>
      <c r="I3080">
        <v>8.8340587137118301E-2</v>
      </c>
      <c r="J3080">
        <v>2.8207880264675401E-2</v>
      </c>
      <c r="K3080">
        <v>0</v>
      </c>
      <c r="L3080">
        <v>4713.3759359763399</v>
      </c>
      <c r="M3080">
        <v>77.070734728355504</v>
      </c>
      <c r="N3080">
        <v>61.2008455939486</v>
      </c>
      <c r="O3080">
        <v>61.115356891108704</v>
      </c>
      <c r="P3080">
        <v>-0.30670568021184402</v>
      </c>
      <c r="Q3080">
        <v>2.71573611302885E-2</v>
      </c>
      <c r="R3080">
        <v>0.95269295377572605</v>
      </c>
      <c r="S3080" t="s">
        <v>8906</v>
      </c>
      <c r="T3080" t="s">
        <v>11650</v>
      </c>
      <c r="U3080" t="s">
        <v>11650</v>
      </c>
      <c r="V3080" t="s">
        <v>11650</v>
      </c>
      <c r="W3080" t="s">
        <v>14684</v>
      </c>
      <c r="X3080">
        <v>2</v>
      </c>
      <c r="Y3080" t="s">
        <v>20380</v>
      </c>
      <c r="Z3080" t="s">
        <v>26142</v>
      </c>
      <c r="AA3080">
        <v>0.71432093648165018</v>
      </c>
      <c r="AB3080" t="str">
        <f>HYPERLINK("Melting_Curves/meltCurve_Q13496_MTM1.pdf", "Melting_Curves/meltCurve_Q13496_MTM1.pdf")</f>
        <v>Melting_Curves/meltCurve_Q13496_MTM1.pdf</v>
      </c>
    </row>
    <row r="3081" spans="1:28" x14ac:dyDescent="0.25">
      <c r="A3081" t="s">
        <v>3085</v>
      </c>
      <c r="B3081">
        <v>0.99996721820229495</v>
      </c>
      <c r="C3081">
        <v>1.15523443021241</v>
      </c>
      <c r="D3081">
        <v>1.16960513171312</v>
      </c>
      <c r="E3081">
        <v>1.2990416585512099</v>
      </c>
      <c r="F3081">
        <v>1.49942608469087</v>
      </c>
      <c r="G3081">
        <v>1.5618501843075501</v>
      </c>
      <c r="H3081">
        <v>1.05494501217106</v>
      </c>
      <c r="I3081">
        <v>0.840089892016055</v>
      </c>
      <c r="J3081">
        <v>0.72716798865669097</v>
      </c>
      <c r="K3081">
        <v>0.57399292639465005</v>
      </c>
      <c r="L3081">
        <v>2783.2550525378001</v>
      </c>
      <c r="M3081">
        <v>42.363653146691199</v>
      </c>
      <c r="O3081">
        <v>65.553238457640703</v>
      </c>
      <c r="P3081">
        <v>-7.1273677501376906E-2</v>
      </c>
      <c r="Q3081">
        <v>0.55884704721619805</v>
      </c>
      <c r="R3081">
        <v>0.215408341124947</v>
      </c>
      <c r="S3081" t="s">
        <v>8907</v>
      </c>
      <c r="T3081" t="s">
        <v>11650</v>
      </c>
      <c r="U3081" t="s">
        <v>11650</v>
      </c>
      <c r="V3081" t="s">
        <v>11650</v>
      </c>
      <c r="W3081" t="s">
        <v>14685</v>
      </c>
      <c r="X3081">
        <v>10</v>
      </c>
      <c r="Y3081" t="s">
        <v>20381</v>
      </c>
      <c r="Z3081" t="s">
        <v>26143</v>
      </c>
      <c r="AA3081">
        <v>0.93658770040618755</v>
      </c>
      <c r="AB3081" t="str">
        <f>HYPERLINK("Melting_Curves/meltCurve_Q13501_SQSTM1.pdf", "Melting_Curves/meltCurve_Q13501_SQSTM1.pdf")</f>
        <v>Melting_Curves/meltCurve_Q13501_SQSTM1.pdf</v>
      </c>
    </row>
    <row r="3082" spans="1:28" x14ac:dyDescent="0.25">
      <c r="A3082" t="s">
        <v>3086</v>
      </c>
      <c r="B3082">
        <v>0.99996721820229495</v>
      </c>
      <c r="C3082">
        <v>1.0192563686179901</v>
      </c>
      <c r="D3082">
        <v>1.0015461451559899</v>
      </c>
      <c r="E3082">
        <v>1.0772440949175801</v>
      </c>
      <c r="F3082">
        <v>1.06455546419828</v>
      </c>
      <c r="G3082">
        <v>0.67601304638226001</v>
      </c>
      <c r="H3082">
        <v>0.33678798113485398</v>
      </c>
      <c r="I3082">
        <v>0.22703473768881</v>
      </c>
      <c r="J3082">
        <v>0.176268497584815</v>
      </c>
      <c r="K3082">
        <v>0.13153654212243299</v>
      </c>
      <c r="L3082">
        <v>1911.96305709374</v>
      </c>
      <c r="M3082">
        <v>32.8859045674388</v>
      </c>
      <c r="N3082">
        <v>58.851842819085903</v>
      </c>
      <c r="O3082">
        <v>57.925568145406302</v>
      </c>
      <c r="P3082">
        <v>-0.11862280685563401</v>
      </c>
      <c r="Q3082">
        <v>0.164230083912737</v>
      </c>
      <c r="R3082">
        <v>0.98637661480178096</v>
      </c>
      <c r="S3082" t="s">
        <v>8908</v>
      </c>
      <c r="T3082" t="s">
        <v>11650</v>
      </c>
      <c r="U3082" t="s">
        <v>11650</v>
      </c>
      <c r="V3082" t="s">
        <v>11650</v>
      </c>
      <c r="W3082" t="s">
        <v>14686</v>
      </c>
      <c r="X3082">
        <v>8</v>
      </c>
      <c r="Y3082" t="s">
        <v>20382</v>
      </c>
      <c r="Z3082" t="s">
        <v>26144</v>
      </c>
      <c r="AA3082">
        <v>0.67427105410474131</v>
      </c>
      <c r="AB3082" t="str">
        <f>HYPERLINK("Melting_Curves/meltCurve_Q13505_3_MTX1.pdf", "Melting_Curves/meltCurve_Q13505_3_MTX1.pdf")</f>
        <v>Melting_Curves/meltCurve_Q13505_3_MTX1.pdf</v>
      </c>
    </row>
    <row r="3083" spans="1:28" x14ac:dyDescent="0.25">
      <c r="A3083" t="s">
        <v>3087</v>
      </c>
      <c r="B3083">
        <v>0.99996721820229495</v>
      </c>
      <c r="C3083">
        <v>1.0005560591551399</v>
      </c>
      <c r="D3083">
        <v>1.08765040859619</v>
      </c>
      <c r="E3083">
        <v>1.1874608310053101</v>
      </c>
      <c r="F3083">
        <v>1.52886409296385</v>
      </c>
      <c r="G3083">
        <v>2.0408783165866899</v>
      </c>
      <c r="H3083">
        <v>0.78026930274269501</v>
      </c>
      <c r="I3083">
        <v>0.19741146965039899</v>
      </c>
      <c r="J3083">
        <v>0.13182358230790001</v>
      </c>
      <c r="K3083">
        <v>8.6139024006306894E-2</v>
      </c>
      <c r="L3083">
        <v>5046.8002763983104</v>
      </c>
      <c r="M3083">
        <v>81.549218155683405</v>
      </c>
      <c r="N3083">
        <v>62.091514021057797</v>
      </c>
      <c r="O3083">
        <v>61.849370065763303</v>
      </c>
      <c r="P3083">
        <v>-0.29073242134248201</v>
      </c>
      <c r="Q3083">
        <v>0.117999394308787</v>
      </c>
      <c r="R3083">
        <v>0.60795014685300497</v>
      </c>
      <c r="S3083" t="s">
        <v>8909</v>
      </c>
      <c r="T3083" t="s">
        <v>11650</v>
      </c>
      <c r="U3083" t="s">
        <v>11650</v>
      </c>
      <c r="V3083" t="s">
        <v>11650</v>
      </c>
      <c r="W3083" t="s">
        <v>14687</v>
      </c>
      <c r="X3083">
        <v>31</v>
      </c>
      <c r="Y3083" t="s">
        <v>20383</v>
      </c>
      <c r="Z3083" t="s">
        <v>26145</v>
      </c>
      <c r="AA3083">
        <v>0.76236424607437248</v>
      </c>
      <c r="AB3083" t="str">
        <f>HYPERLINK("Melting_Curves/meltCurve_Q13509_TUBB3.pdf", "Melting_Curves/meltCurve_Q13509_TUBB3.pdf")</f>
        <v>Melting_Curves/meltCurve_Q13509_TUBB3.pdf</v>
      </c>
    </row>
    <row r="3084" spans="1:28" x14ac:dyDescent="0.25">
      <c r="A3084" t="s">
        <v>3088</v>
      </c>
      <c r="B3084">
        <v>0.99996721820229495</v>
      </c>
      <c r="C3084">
        <v>0.99437422643706996</v>
      </c>
      <c r="D3084">
        <v>0.844647857723692</v>
      </c>
      <c r="E3084">
        <v>0.59908974677848104</v>
      </c>
      <c r="F3084">
        <v>0.399759444024606</v>
      </c>
      <c r="G3084">
        <v>0.33542421487663998</v>
      </c>
      <c r="H3084">
        <v>0.21994104401355</v>
      </c>
      <c r="I3084">
        <v>0.19077692375522001</v>
      </c>
      <c r="J3084">
        <v>0.18380150596203401</v>
      </c>
      <c r="K3084">
        <v>0.13805697417771801</v>
      </c>
      <c r="L3084">
        <v>791.75503442587296</v>
      </c>
      <c r="M3084">
        <v>15.701738344067</v>
      </c>
      <c r="N3084">
        <v>51.719435830289299</v>
      </c>
      <c r="O3084">
        <v>49.628026553773502</v>
      </c>
      <c r="P3084">
        <v>-6.6248467827073304E-2</v>
      </c>
      <c r="Q3084">
        <v>0.16251232293476001</v>
      </c>
      <c r="R3084">
        <v>0.99300769785823795</v>
      </c>
      <c r="S3084" t="s">
        <v>8910</v>
      </c>
      <c r="T3084" t="s">
        <v>11650</v>
      </c>
      <c r="U3084" t="s">
        <v>11650</v>
      </c>
      <c r="V3084" t="s">
        <v>11650</v>
      </c>
      <c r="W3084" t="s">
        <v>14688</v>
      </c>
      <c r="X3084">
        <v>9</v>
      </c>
      <c r="Y3084" t="s">
        <v>20384</v>
      </c>
      <c r="Z3084" t="s">
        <v>26146</v>
      </c>
      <c r="AA3084">
        <v>0.47172527189250368</v>
      </c>
      <c r="AB3084" t="str">
        <f>HYPERLINK("Melting_Curves/meltCurve_Q13526_PIN1.pdf", "Melting_Curves/meltCurve_Q13526_PIN1.pdf")</f>
        <v>Melting_Curves/meltCurve_Q13526_PIN1.pdf</v>
      </c>
    </row>
    <row r="3085" spans="1:28" x14ac:dyDescent="0.25">
      <c r="A3085" t="s">
        <v>3089</v>
      </c>
      <c r="B3085">
        <v>0.99996721820229495</v>
      </c>
      <c r="C3085">
        <v>0.97130271504183796</v>
      </c>
      <c r="D3085">
        <v>0.94778172610826905</v>
      </c>
      <c r="E3085">
        <v>0.91294540279729297</v>
      </c>
      <c r="F3085">
        <v>1.2213169125723</v>
      </c>
      <c r="G3085">
        <v>1.1685610222680101</v>
      </c>
      <c r="H3085">
        <v>0.87249735461092404</v>
      </c>
      <c r="I3085">
        <v>0.98152764665967196</v>
      </c>
      <c r="J3085">
        <v>0.97648308992044197</v>
      </c>
      <c r="K3085">
        <v>0.59866061862498499</v>
      </c>
      <c r="L3085">
        <v>5111.2581056095396</v>
      </c>
      <c r="M3085">
        <v>72.617775093851193</v>
      </c>
      <c r="Q3085">
        <v>0</v>
      </c>
      <c r="R3085">
        <v>0.587173534022705</v>
      </c>
      <c r="S3085" t="s">
        <v>8911</v>
      </c>
      <c r="T3085" t="s">
        <v>11650</v>
      </c>
      <c r="U3085" t="s">
        <v>11650</v>
      </c>
      <c r="V3085" t="s">
        <v>11650</v>
      </c>
      <c r="W3085" t="s">
        <v>14689</v>
      </c>
      <c r="X3085">
        <v>8</v>
      </c>
      <c r="Y3085" t="s">
        <v>20385</v>
      </c>
      <c r="Z3085" t="s">
        <v>26147</v>
      </c>
      <c r="AA3085">
        <v>0.98409742442417236</v>
      </c>
      <c r="AB3085" t="str">
        <f>HYPERLINK("Melting_Curves/meltCurve_Q13541_EIF4EBP1.pdf", "Melting_Curves/meltCurve_Q13541_EIF4EBP1.pdf")</f>
        <v>Melting_Curves/meltCurve_Q13541_EIF4EBP1.pdf</v>
      </c>
    </row>
    <row r="3086" spans="1:28" x14ac:dyDescent="0.25">
      <c r="A3086" t="s">
        <v>3090</v>
      </c>
      <c r="B3086">
        <v>0.99996721820229495</v>
      </c>
      <c r="C3086">
        <v>1.2052130878973299</v>
      </c>
      <c r="D3086">
        <v>1.2124730037876901</v>
      </c>
      <c r="E3086">
        <v>1.1411778002795601</v>
      </c>
      <c r="F3086">
        <v>1.78297557244234</v>
      </c>
      <c r="G3086">
        <v>1.58286533344721</v>
      </c>
      <c r="H3086">
        <v>1.0246847051580199</v>
      </c>
      <c r="I3086">
        <v>0.86543264994764002</v>
      </c>
      <c r="J3086">
        <v>0.74173834021034801</v>
      </c>
      <c r="K3086">
        <v>0.42920555310236203</v>
      </c>
      <c r="L3086">
        <v>2309.7810951670499</v>
      </c>
      <c r="M3086">
        <v>33.803049895982298</v>
      </c>
      <c r="N3086">
        <v>69.241477018344497</v>
      </c>
      <c r="O3086">
        <v>68.092738385561105</v>
      </c>
      <c r="P3086">
        <v>-0.101830943608591</v>
      </c>
      <c r="Q3086">
        <v>0.17949182399105601</v>
      </c>
      <c r="R3086">
        <v>0.223783491173841</v>
      </c>
      <c r="S3086" t="s">
        <v>8912</v>
      </c>
      <c r="T3086" t="s">
        <v>11650</v>
      </c>
      <c r="U3086" t="s">
        <v>11650</v>
      </c>
      <c r="V3086" t="s">
        <v>11650</v>
      </c>
      <c r="W3086" t="s">
        <v>14690</v>
      </c>
      <c r="X3086">
        <v>3</v>
      </c>
      <c r="Y3086" t="s">
        <v>20386</v>
      </c>
      <c r="Z3086" t="s">
        <v>26148</v>
      </c>
      <c r="AA3086">
        <v>0.93678816590300107</v>
      </c>
      <c r="AB3086" t="str">
        <f>HYPERLINK("Melting_Curves/meltCurve_Q13542_EIF4EBP2.pdf", "Melting_Curves/meltCurve_Q13542_EIF4EBP2.pdf")</f>
        <v>Melting_Curves/meltCurve_Q13542_EIF4EBP2.pdf</v>
      </c>
    </row>
    <row r="3087" spans="1:28" x14ac:dyDescent="0.25">
      <c r="A3087" t="s">
        <v>3091</v>
      </c>
      <c r="B3087">
        <v>0.99996721820229495</v>
      </c>
      <c r="C3087">
        <v>0.96124954493664905</v>
      </c>
      <c r="D3087">
        <v>0.69719151585055605</v>
      </c>
      <c r="E3087">
        <v>0.25604601751914002</v>
      </c>
      <c r="F3087">
        <v>0.22091198162964701</v>
      </c>
      <c r="G3087">
        <v>0.20194776419652699</v>
      </c>
      <c r="H3087">
        <v>0.13637870492951601</v>
      </c>
      <c r="I3087">
        <v>9.4800649741201504E-2</v>
      </c>
      <c r="J3087">
        <v>7.8561319041808297E-2</v>
      </c>
      <c r="K3087">
        <v>6.7191737449814701E-2</v>
      </c>
      <c r="L3087">
        <v>1197.93256553989</v>
      </c>
      <c r="M3087">
        <v>25.381362753116999</v>
      </c>
      <c r="N3087">
        <v>47.699446174739499</v>
      </c>
      <c r="O3087">
        <v>46.907293325669599</v>
      </c>
      <c r="P3087">
        <v>-0.119417132164364</v>
      </c>
      <c r="Q3087">
        <v>0.117232402638795</v>
      </c>
      <c r="R3087">
        <v>0.98788839304005605</v>
      </c>
      <c r="S3087" t="s">
        <v>8913</v>
      </c>
      <c r="T3087" t="s">
        <v>11650</v>
      </c>
      <c r="U3087" t="s">
        <v>11650</v>
      </c>
      <c r="V3087" t="s">
        <v>11650</v>
      </c>
      <c r="W3087" t="s">
        <v>14691</v>
      </c>
      <c r="X3087">
        <v>18</v>
      </c>
      <c r="Y3087" t="s">
        <v>20387</v>
      </c>
      <c r="Z3087" t="s">
        <v>26149</v>
      </c>
      <c r="AA3087">
        <v>0.33661679799213551</v>
      </c>
      <c r="AB3087" t="str">
        <f>HYPERLINK("Melting_Curves/meltCurve_Q13546_RIPK1.pdf", "Melting_Curves/meltCurve_Q13546_RIPK1.pdf")</f>
        <v>Melting_Curves/meltCurve_Q13546_RIPK1.pdf</v>
      </c>
    </row>
    <row r="3088" spans="1:28" x14ac:dyDescent="0.25">
      <c r="A3088" t="s">
        <v>3092</v>
      </c>
      <c r="B3088">
        <v>0.99996721820229495</v>
      </c>
      <c r="C3088">
        <v>1.03661194119686</v>
      </c>
      <c r="D3088">
        <v>1.0765872358044399</v>
      </c>
      <c r="E3088">
        <v>1.1679991191796799</v>
      </c>
      <c r="F3088">
        <v>0.43536944668487498</v>
      </c>
      <c r="G3088">
        <v>0.279888714718317</v>
      </c>
      <c r="H3088">
        <v>0.14278719210385299</v>
      </c>
      <c r="I3088">
        <v>9.23374182729952E-2</v>
      </c>
      <c r="J3088">
        <v>7.4491224161989306E-2</v>
      </c>
      <c r="K3088">
        <v>6.2725932278603097E-2</v>
      </c>
      <c r="L3088">
        <v>13217.346239983</v>
      </c>
      <c r="M3088">
        <v>250</v>
      </c>
      <c r="N3088">
        <v>52.9333767834094</v>
      </c>
      <c r="O3088">
        <v>52.866000828647898</v>
      </c>
      <c r="P3088">
        <v>-1.0280164986923299</v>
      </c>
      <c r="Q3088">
        <v>0.13044605002971199</v>
      </c>
      <c r="R3088">
        <v>0.96681740156479501</v>
      </c>
      <c r="S3088" t="s">
        <v>8914</v>
      </c>
      <c r="T3088" t="s">
        <v>11650</v>
      </c>
      <c r="U3088" t="s">
        <v>11650</v>
      </c>
      <c r="V3088" t="s">
        <v>11650</v>
      </c>
      <c r="W3088" t="s">
        <v>14692</v>
      </c>
      <c r="X3088">
        <v>18</v>
      </c>
      <c r="Y3088" t="s">
        <v>20388</v>
      </c>
      <c r="Z3088" t="s">
        <v>26150</v>
      </c>
      <c r="AA3088">
        <v>0.50354754906744914</v>
      </c>
      <c r="AB3088" t="str">
        <f>HYPERLINK("Melting_Curves/meltCurve_Q13564_NAE1.pdf", "Melting_Curves/meltCurve_Q13564_NAE1.pdf")</f>
        <v>Melting_Curves/meltCurve_Q13564_NAE1.pdf</v>
      </c>
    </row>
    <row r="3089" spans="1:28" x14ac:dyDescent="0.25">
      <c r="A3089" t="s">
        <v>3093</v>
      </c>
      <c r="B3089">
        <v>0.99996721820229495</v>
      </c>
      <c r="C3089">
        <v>1.0491561369262501</v>
      </c>
      <c r="D3089">
        <v>0.80487380204567704</v>
      </c>
      <c r="E3089">
        <v>0.62946046753856599</v>
      </c>
      <c r="F3089">
        <v>0.72409539379822196</v>
      </c>
      <c r="G3089">
        <v>0.46467296065674402</v>
      </c>
      <c r="H3089">
        <v>0.24586711338529199</v>
      </c>
      <c r="I3089">
        <v>0.181233333909394</v>
      </c>
      <c r="J3089">
        <v>0.12899494551674201</v>
      </c>
      <c r="K3089">
        <v>9.1035027041407895E-2</v>
      </c>
      <c r="L3089">
        <v>563.73291156306402</v>
      </c>
      <c r="M3089">
        <v>10.197362240705001</v>
      </c>
      <c r="N3089">
        <v>55.282228696964097</v>
      </c>
      <c r="O3089">
        <v>53.282706251582702</v>
      </c>
      <c r="P3089">
        <v>-4.7867147779281097E-2</v>
      </c>
      <c r="Q3089">
        <v>0</v>
      </c>
      <c r="R3089">
        <v>0.95959560697983803</v>
      </c>
      <c r="S3089" t="s">
        <v>8915</v>
      </c>
      <c r="T3089" t="s">
        <v>11650</v>
      </c>
      <c r="U3089" t="s">
        <v>11650</v>
      </c>
      <c r="V3089" t="s">
        <v>11650</v>
      </c>
      <c r="W3089" t="s">
        <v>14693</v>
      </c>
      <c r="X3089">
        <v>2</v>
      </c>
      <c r="Y3089" t="s">
        <v>20389</v>
      </c>
      <c r="Z3089" t="s">
        <v>26151</v>
      </c>
      <c r="AA3089">
        <v>0.53383230461706987</v>
      </c>
      <c r="AB3089" t="str">
        <f>HYPERLINK("Melting_Curves/meltCurve_Q13572_ITPK1.pdf", "Melting_Curves/meltCurve_Q13572_ITPK1.pdf")</f>
        <v>Melting_Curves/meltCurve_Q13572_ITPK1.pdf</v>
      </c>
    </row>
    <row r="3090" spans="1:28" x14ac:dyDescent="0.25">
      <c r="A3090" t="s">
        <v>3094</v>
      </c>
      <c r="B3090">
        <v>0.99996721820229495</v>
      </c>
      <c r="C3090">
        <v>1.04830728284102</v>
      </c>
      <c r="D3090">
        <v>1.03182672682509</v>
      </c>
      <c r="E3090">
        <v>0.98433971815578702</v>
      </c>
      <c r="F3090">
        <v>0.87202249606502202</v>
      </c>
      <c r="G3090">
        <v>0.75758954242721699</v>
      </c>
      <c r="H3090">
        <v>0.48400884893434098</v>
      </c>
      <c r="I3090">
        <v>0.45605275996025302</v>
      </c>
      <c r="J3090">
        <v>0.35273955670930202</v>
      </c>
      <c r="K3090">
        <v>0.32760330318672898</v>
      </c>
      <c r="L3090">
        <v>1059.5354506041799</v>
      </c>
      <c r="M3090">
        <v>18.128252434209401</v>
      </c>
      <c r="N3090">
        <v>61.532203334076598</v>
      </c>
      <c r="O3090">
        <v>57.749353263193598</v>
      </c>
      <c r="P3090">
        <v>-5.50514252542963E-2</v>
      </c>
      <c r="Q3090">
        <v>0.298546473348688</v>
      </c>
      <c r="R3090">
        <v>0.98867578473763096</v>
      </c>
      <c r="S3090" t="s">
        <v>8916</v>
      </c>
      <c r="T3090" t="s">
        <v>11650</v>
      </c>
      <c r="U3090" t="s">
        <v>11650</v>
      </c>
      <c r="V3090" t="s">
        <v>11650</v>
      </c>
      <c r="W3090" t="s">
        <v>14694</v>
      </c>
      <c r="X3090">
        <v>8</v>
      </c>
      <c r="Y3090" t="s">
        <v>20390</v>
      </c>
      <c r="Z3090" t="s">
        <v>26152</v>
      </c>
      <c r="AA3090">
        <v>0.73798920124056266</v>
      </c>
      <c r="AB3090" t="str">
        <f>HYPERLINK("Melting_Curves/meltCurve_Q13573_SNW1.pdf", "Melting_Curves/meltCurve_Q13573_SNW1.pdf")</f>
        <v>Melting_Curves/meltCurve_Q13573_SNW1.pdf</v>
      </c>
    </row>
    <row r="3091" spans="1:28" x14ac:dyDescent="0.25">
      <c r="A3091" t="s">
        <v>3095</v>
      </c>
      <c r="B3091">
        <v>0.99996721820229495</v>
      </c>
      <c r="C3091">
        <v>0.94031384278377494</v>
      </c>
      <c r="D3091">
        <v>1.0024345651740401</v>
      </c>
      <c r="E3091">
        <v>0.85995186513122801</v>
      </c>
      <c r="F3091">
        <v>0.62144527958886397</v>
      </c>
      <c r="G3091">
        <v>0.60509342988109704</v>
      </c>
      <c r="H3091">
        <v>0.428092260018967</v>
      </c>
      <c r="I3091">
        <v>0.32345827601288402</v>
      </c>
      <c r="J3091">
        <v>0.28177777022342398</v>
      </c>
      <c r="K3091">
        <v>0.22417676621083099</v>
      </c>
      <c r="L3091">
        <v>597.67912355841895</v>
      </c>
      <c r="M3091">
        <v>10.525476240735699</v>
      </c>
      <c r="N3091">
        <v>58.4616099267881</v>
      </c>
      <c r="O3091">
        <v>54.849225818787303</v>
      </c>
      <c r="P3091">
        <v>-4.1738158899413298E-2</v>
      </c>
      <c r="Q3091">
        <v>0.130342074942774</v>
      </c>
      <c r="R3091">
        <v>0.97675965198136305</v>
      </c>
      <c r="S3091" t="s">
        <v>8917</v>
      </c>
      <c r="T3091" t="s">
        <v>11650</v>
      </c>
      <c r="U3091" t="s">
        <v>11650</v>
      </c>
      <c r="V3091" t="s">
        <v>11650</v>
      </c>
      <c r="W3091" t="s">
        <v>14695</v>
      </c>
      <c r="X3091">
        <v>9</v>
      </c>
      <c r="Y3091" t="s">
        <v>20391</v>
      </c>
      <c r="Z3091" t="s">
        <v>26153</v>
      </c>
      <c r="AA3091">
        <v>0.63198629392436445</v>
      </c>
      <c r="AB3091" t="str">
        <f>HYPERLINK("Melting_Curves/meltCurve_Q13586_STIM1.pdf", "Melting_Curves/meltCurve_Q13586_STIM1.pdf")</f>
        <v>Melting_Curves/meltCurve_Q13586_STIM1.pdf</v>
      </c>
    </row>
    <row r="3092" spans="1:28" x14ac:dyDescent="0.25">
      <c r="A3092" t="s">
        <v>3096</v>
      </c>
      <c r="B3092">
        <v>0.99996721820229495</v>
      </c>
      <c r="C3092">
        <v>1.0513817482212899</v>
      </c>
      <c r="D3092">
        <v>0.90307768518728304</v>
      </c>
      <c r="E3092">
        <v>1.1490724615814201</v>
      </c>
      <c r="F3092">
        <v>1.6406352642970901</v>
      </c>
      <c r="G3092">
        <v>1.7226546639612501</v>
      </c>
      <c r="H3092">
        <v>1.1194199334272199</v>
      </c>
      <c r="I3092">
        <v>1.08066843150514</v>
      </c>
      <c r="J3092">
        <v>0.761751956885652</v>
      </c>
      <c r="K3092">
        <v>0.64127511441589902</v>
      </c>
      <c r="L3092">
        <v>15000</v>
      </c>
      <c r="M3092">
        <v>224.56202940770001</v>
      </c>
      <c r="O3092">
        <v>66.791391168986905</v>
      </c>
      <c r="P3092">
        <v>-0.30153857390459898</v>
      </c>
      <c r="Q3092">
        <v>0.64125402947854504</v>
      </c>
      <c r="R3092">
        <v>6.7041336267276305E-2</v>
      </c>
      <c r="S3092" t="s">
        <v>8918</v>
      </c>
      <c r="T3092" t="s">
        <v>11650</v>
      </c>
      <c r="U3092" t="s">
        <v>11650</v>
      </c>
      <c r="V3092" t="s">
        <v>11650</v>
      </c>
      <c r="W3092" t="s">
        <v>14696</v>
      </c>
      <c r="X3092">
        <v>3</v>
      </c>
      <c r="Y3092" t="s">
        <v>20392</v>
      </c>
      <c r="Z3092" t="s">
        <v>26154</v>
      </c>
      <c r="AA3092">
        <v>0.96174615658335649</v>
      </c>
      <c r="AB3092" t="str">
        <f>HYPERLINK("Melting_Curves/meltCurve_Q13595_2_TRA2A.pdf", "Melting_Curves/meltCurve_Q13595_2_TRA2A.pdf")</f>
        <v>Melting_Curves/meltCurve_Q13595_2_TRA2A.pdf</v>
      </c>
    </row>
    <row r="3093" spans="1:28" x14ac:dyDescent="0.25">
      <c r="A3093" t="s">
        <v>3097</v>
      </c>
      <c r="B3093">
        <v>0.99996721820229495</v>
      </c>
      <c r="C3093">
        <v>1.0624199907630101</v>
      </c>
      <c r="D3093">
        <v>1.0448188360273201</v>
      </c>
      <c r="E3093">
        <v>0.81980776008419098</v>
      </c>
      <c r="F3093">
        <v>0.30734272814451002</v>
      </c>
      <c r="G3093">
        <v>0.24608711830847901</v>
      </c>
      <c r="H3093">
        <v>0.13294463617546101</v>
      </c>
      <c r="I3093">
        <v>9.3475244679670597E-2</v>
      </c>
      <c r="J3093">
        <v>7.8426202384039301E-2</v>
      </c>
      <c r="K3093">
        <v>5.5847916497993998E-2</v>
      </c>
      <c r="L3093">
        <v>2157.99692986432</v>
      </c>
      <c r="M3093">
        <v>41.858785299674501</v>
      </c>
      <c r="N3093">
        <v>51.876892511367203</v>
      </c>
      <c r="O3093">
        <v>51.436957121425202</v>
      </c>
      <c r="P3093">
        <v>-0.18012946716266601</v>
      </c>
      <c r="Q3093">
        <v>0.114613765563585</v>
      </c>
      <c r="R3093">
        <v>0.98512417616747905</v>
      </c>
      <c r="S3093" t="s">
        <v>8919</v>
      </c>
      <c r="T3093" t="s">
        <v>11650</v>
      </c>
      <c r="U3093" t="s">
        <v>11650</v>
      </c>
      <c r="V3093" t="s">
        <v>11650</v>
      </c>
      <c r="W3093" t="s">
        <v>14697</v>
      </c>
      <c r="X3093">
        <v>25</v>
      </c>
      <c r="Y3093" t="s">
        <v>20393</v>
      </c>
      <c r="Z3093" t="s">
        <v>26155</v>
      </c>
      <c r="AA3093">
        <v>0.45849064753244129</v>
      </c>
      <c r="AB3093" t="str">
        <f>HYPERLINK("Melting_Curves/meltCurve_Q13596_SNX1.pdf", "Melting_Curves/meltCurve_Q13596_SNX1.pdf")</f>
        <v>Melting_Curves/meltCurve_Q13596_SNX1.pdf</v>
      </c>
    </row>
    <row r="3094" spans="1:28" x14ac:dyDescent="0.25">
      <c r="A3094" t="s">
        <v>3098</v>
      </c>
      <c r="B3094">
        <v>0.99996721820229495</v>
      </c>
      <c r="C3094">
        <v>1.05533732084286</v>
      </c>
      <c r="D3094">
        <v>0.90507755433398895</v>
      </c>
      <c r="E3094">
        <v>0.87395979279899805</v>
      </c>
      <c r="F3094">
        <v>0.76144508340652295</v>
      </c>
      <c r="G3094">
        <v>0.85745273402183297</v>
      </c>
      <c r="H3094">
        <v>1.0442656812344999</v>
      </c>
      <c r="I3094">
        <v>1.3041543134417699</v>
      </c>
      <c r="J3094">
        <v>0.136424457557446</v>
      </c>
      <c r="K3094">
        <v>8.0341905519219201E-2</v>
      </c>
      <c r="L3094">
        <v>15000</v>
      </c>
      <c r="M3094">
        <v>226.54781788312999</v>
      </c>
      <c r="N3094">
        <v>66.261207217270893</v>
      </c>
      <c r="O3094">
        <v>66.206027694700097</v>
      </c>
      <c r="P3094">
        <v>-0.78823381823526595</v>
      </c>
      <c r="Q3094">
        <v>7.8590464721487799E-2</v>
      </c>
      <c r="R3094">
        <v>0.85707334674347602</v>
      </c>
      <c r="S3094" t="s">
        <v>8920</v>
      </c>
      <c r="T3094" t="s">
        <v>11650</v>
      </c>
      <c r="U3094" t="s">
        <v>11650</v>
      </c>
      <c r="V3094" t="s">
        <v>11650</v>
      </c>
      <c r="W3094" t="s">
        <v>14698</v>
      </c>
      <c r="X3094">
        <v>1</v>
      </c>
      <c r="Y3094" t="s">
        <v>20394</v>
      </c>
      <c r="Z3094" t="s">
        <v>26156</v>
      </c>
      <c r="AA3094">
        <v>0.88376206844306138</v>
      </c>
      <c r="AB3094" t="str">
        <f>HYPERLINK("Melting_Curves/meltCurve_Q13610_PWP1.pdf", "Melting_Curves/meltCurve_Q13610_PWP1.pdf")</f>
        <v>Melting_Curves/meltCurve_Q13610_PWP1.pdf</v>
      </c>
    </row>
    <row r="3095" spans="1:28" x14ac:dyDescent="0.25">
      <c r="A3095" t="s">
        <v>3099</v>
      </c>
      <c r="B3095">
        <v>0.99996721820229495</v>
      </c>
      <c r="C3095">
        <v>0.90650604384151301</v>
      </c>
      <c r="D3095">
        <v>1.14665929220903</v>
      </c>
      <c r="E3095">
        <v>1.8493207463901999</v>
      </c>
      <c r="F3095">
        <v>2.5837424931676698</v>
      </c>
      <c r="G3095">
        <v>3.2422886757863698</v>
      </c>
      <c r="H3095">
        <v>1.85860183303172</v>
      </c>
      <c r="I3095">
        <v>0.38807218879199801</v>
      </c>
      <c r="J3095">
        <v>0.297047192059544</v>
      </c>
      <c r="K3095">
        <v>0.18292664839870601</v>
      </c>
      <c r="L3095">
        <v>15000</v>
      </c>
      <c r="M3095">
        <v>235.79143300272</v>
      </c>
      <c r="N3095">
        <v>63.792385684513498</v>
      </c>
      <c r="O3095">
        <v>63.610966294474999</v>
      </c>
      <c r="P3095">
        <v>-0.70436920743088904</v>
      </c>
      <c r="Q3095">
        <v>0.23991121457124001</v>
      </c>
      <c r="R3095">
        <v>3.5853312986309401E-2</v>
      </c>
      <c r="S3095" t="s">
        <v>8921</v>
      </c>
      <c r="T3095" t="s">
        <v>11650</v>
      </c>
      <c r="U3095" t="s">
        <v>11650</v>
      </c>
      <c r="V3095" t="s">
        <v>11650</v>
      </c>
      <c r="W3095" t="s">
        <v>14699</v>
      </c>
      <c r="X3095">
        <v>21</v>
      </c>
      <c r="Y3095" t="s">
        <v>20395</v>
      </c>
      <c r="Z3095" t="s">
        <v>26157</v>
      </c>
      <c r="AA3095">
        <v>0.83833692035572083</v>
      </c>
      <c r="AB3095" t="str">
        <f>HYPERLINK("Melting_Curves/meltCurve_Q13616_CUL1.pdf", "Melting_Curves/meltCurve_Q13616_CUL1.pdf")</f>
        <v>Melting_Curves/meltCurve_Q13616_CUL1.pdf</v>
      </c>
    </row>
    <row r="3096" spans="1:28" x14ac:dyDescent="0.25">
      <c r="A3096" t="s">
        <v>3100</v>
      </c>
      <c r="B3096">
        <v>0.99996721820229495</v>
      </c>
      <c r="C3096">
        <v>1.0215025962005699</v>
      </c>
      <c r="D3096">
        <v>1.2011256901762799</v>
      </c>
      <c r="E3096">
        <v>1.6250180624483801</v>
      </c>
      <c r="F3096">
        <v>1.5633119295703899</v>
      </c>
      <c r="G3096">
        <v>0.73210302217534196</v>
      </c>
      <c r="H3096">
        <v>0.250388596564602</v>
      </c>
      <c r="I3096">
        <v>0.153896354876363</v>
      </c>
      <c r="J3096">
        <v>0.101653948428757</v>
      </c>
      <c r="K3096">
        <v>8.3622637677510797E-2</v>
      </c>
      <c r="L3096">
        <v>3041.1814577741402</v>
      </c>
      <c r="M3096">
        <v>52.305050425636097</v>
      </c>
      <c r="N3096">
        <v>58.464940165217797</v>
      </c>
      <c r="O3096">
        <v>58.058367630433601</v>
      </c>
      <c r="P3096">
        <v>-0.19705838930111999</v>
      </c>
      <c r="Q3096">
        <v>0.12506497923787599</v>
      </c>
      <c r="R3096">
        <v>0.763914249763751</v>
      </c>
      <c r="S3096" t="s">
        <v>8922</v>
      </c>
      <c r="T3096" t="s">
        <v>11650</v>
      </c>
      <c r="U3096" t="s">
        <v>11650</v>
      </c>
      <c r="V3096" t="s">
        <v>11650</v>
      </c>
      <c r="W3096" t="s">
        <v>14700</v>
      </c>
      <c r="X3096">
        <v>22</v>
      </c>
      <c r="Y3096" t="s">
        <v>20396</v>
      </c>
      <c r="Z3096" t="s">
        <v>26158</v>
      </c>
      <c r="AA3096">
        <v>0.65624402738454846</v>
      </c>
      <c r="AB3096" t="str">
        <f>HYPERLINK("Melting_Curves/meltCurve_Q13617_CUL2.pdf", "Melting_Curves/meltCurve_Q13617_CUL2.pdf")</f>
        <v>Melting_Curves/meltCurve_Q13617_CUL2.pdf</v>
      </c>
    </row>
    <row r="3097" spans="1:28" x14ac:dyDescent="0.25">
      <c r="A3097" t="s">
        <v>3101</v>
      </c>
      <c r="B3097">
        <v>0.99996721820229495</v>
      </c>
      <c r="C3097">
        <v>1.02733698286485</v>
      </c>
      <c r="D3097">
        <v>1.4082345427910801</v>
      </c>
      <c r="E3097">
        <v>2.15500570613484</v>
      </c>
      <c r="F3097">
        <v>2.6052523447306601</v>
      </c>
      <c r="G3097">
        <v>0.97845754009619601</v>
      </c>
      <c r="H3097">
        <v>0.418338253699786</v>
      </c>
      <c r="I3097">
        <v>0.3064156308255</v>
      </c>
      <c r="J3097">
        <v>0.22646090153406501</v>
      </c>
      <c r="K3097">
        <v>0.120383589447355</v>
      </c>
      <c r="L3097">
        <v>3691.3037472824299</v>
      </c>
      <c r="M3097">
        <v>61.4535241196131</v>
      </c>
      <c r="N3097">
        <v>60.597149585901299</v>
      </c>
      <c r="O3097">
        <v>60.0030911980841</v>
      </c>
      <c r="P3097">
        <v>-0.20277103528169099</v>
      </c>
      <c r="Q3097">
        <v>0.20805956029706699</v>
      </c>
      <c r="R3097">
        <v>0.34649374467833699</v>
      </c>
      <c r="S3097" t="s">
        <v>8923</v>
      </c>
      <c r="T3097" t="s">
        <v>11650</v>
      </c>
      <c r="U3097" t="s">
        <v>11650</v>
      </c>
      <c r="V3097" t="s">
        <v>11650</v>
      </c>
      <c r="W3097" t="s">
        <v>14701</v>
      </c>
      <c r="X3097">
        <v>16</v>
      </c>
      <c r="Y3097" t="s">
        <v>20397</v>
      </c>
      <c r="Z3097" t="s">
        <v>26159</v>
      </c>
      <c r="AA3097">
        <v>0.73915819622602064</v>
      </c>
      <c r="AB3097" t="str">
        <f>HYPERLINK("Melting_Curves/meltCurve_Q13618_2_CUL3.pdf", "Melting_Curves/meltCurve_Q13618_2_CUL3.pdf")</f>
        <v>Melting_Curves/meltCurve_Q13618_2_CUL3.pdf</v>
      </c>
    </row>
    <row r="3098" spans="1:28" x14ac:dyDescent="0.25">
      <c r="A3098" t="s">
        <v>3102</v>
      </c>
      <c r="B3098">
        <v>0.99996721820229495</v>
      </c>
      <c r="C3098">
        <v>1.17090532380617</v>
      </c>
      <c r="D3098">
        <v>1.27590712368571</v>
      </c>
      <c r="E3098">
        <v>1.5595932719139201</v>
      </c>
      <c r="F3098">
        <v>0.85129096782094604</v>
      </c>
      <c r="G3098">
        <v>0.66051993199988501</v>
      </c>
      <c r="H3098">
        <v>0.36978703342687902</v>
      </c>
      <c r="I3098">
        <v>0.26409947770792302</v>
      </c>
      <c r="J3098">
        <v>0.16356752556005899</v>
      </c>
      <c r="K3098">
        <v>0.14914534092530499</v>
      </c>
      <c r="L3098">
        <v>1620.98721295981</v>
      </c>
      <c r="M3098">
        <v>27.9095281743942</v>
      </c>
      <c r="N3098">
        <v>58.939367969323698</v>
      </c>
      <c r="O3098">
        <v>57.784342753382802</v>
      </c>
      <c r="P3098">
        <v>-0.100566755128545</v>
      </c>
      <c r="Q3098">
        <v>0.167147040915261</v>
      </c>
      <c r="R3098">
        <v>0.80553222859529705</v>
      </c>
      <c r="S3098" t="s">
        <v>8924</v>
      </c>
      <c r="T3098" t="s">
        <v>11650</v>
      </c>
      <c r="U3098" t="s">
        <v>11650</v>
      </c>
      <c r="V3098" t="s">
        <v>11650</v>
      </c>
      <c r="W3098" t="s">
        <v>14702</v>
      </c>
      <c r="X3098">
        <v>6</v>
      </c>
      <c r="Y3098" t="s">
        <v>20398</v>
      </c>
      <c r="Z3098" t="s">
        <v>26160</v>
      </c>
      <c r="AA3098">
        <v>0.67522430408211853</v>
      </c>
      <c r="AB3098" t="str">
        <f>HYPERLINK("Melting_Curves/meltCurve_Q13619_CUL4A.pdf", "Melting_Curves/meltCurve_Q13619_CUL4A.pdf")</f>
        <v>Melting_Curves/meltCurve_Q13619_CUL4A.pdf</v>
      </c>
    </row>
    <row r="3099" spans="1:28" x14ac:dyDescent="0.25">
      <c r="A3099" t="s">
        <v>3103</v>
      </c>
      <c r="B3099">
        <v>0.99996721820229495</v>
      </c>
      <c r="C3099">
        <v>0.90401332302344695</v>
      </c>
      <c r="D3099">
        <v>0.80877646036294804</v>
      </c>
      <c r="E3099">
        <v>0.61551960043086196</v>
      </c>
      <c r="F3099">
        <v>0.60888034105140099</v>
      </c>
      <c r="G3099">
        <v>0.480068590775656</v>
      </c>
      <c r="H3099">
        <v>0.28394320803789003</v>
      </c>
      <c r="I3099">
        <v>0.18717643966485301</v>
      </c>
      <c r="J3099">
        <v>0.17687700794897199</v>
      </c>
      <c r="K3099">
        <v>9.2305014736341798E-2</v>
      </c>
      <c r="L3099">
        <v>465.53611115931301</v>
      </c>
      <c r="M3099">
        <v>8.5288823146670403</v>
      </c>
      <c r="N3099">
        <v>54.5834839186534</v>
      </c>
      <c r="O3099">
        <v>51.830963626064701</v>
      </c>
      <c r="P3099">
        <v>-4.1174564085734298E-2</v>
      </c>
      <c r="Q3099">
        <v>0</v>
      </c>
      <c r="R3099">
        <v>0.98191041415681302</v>
      </c>
      <c r="S3099" t="s">
        <v>8925</v>
      </c>
      <c r="T3099" t="s">
        <v>11650</v>
      </c>
      <c r="U3099" t="s">
        <v>11650</v>
      </c>
      <c r="V3099" t="s">
        <v>11650</v>
      </c>
      <c r="W3099" t="s">
        <v>14703</v>
      </c>
      <c r="X3099">
        <v>6</v>
      </c>
      <c r="Y3099" t="s">
        <v>20399</v>
      </c>
      <c r="Z3099" t="s">
        <v>26161</v>
      </c>
      <c r="AA3099">
        <v>0.5157100055974001</v>
      </c>
      <c r="AB3099" t="str">
        <f>HYPERLINK("Melting_Curves/meltCurve_Q13625_TP53BP2.pdf", "Melting_Curves/meltCurve_Q13625_TP53BP2.pdf")</f>
        <v>Melting_Curves/meltCurve_Q13625_TP53BP2.pdf</v>
      </c>
    </row>
    <row r="3100" spans="1:28" x14ac:dyDescent="0.25">
      <c r="A3100" t="s">
        <v>3104</v>
      </c>
      <c r="B3100">
        <v>0.99996721820229495</v>
      </c>
      <c r="C3100">
        <v>1.01714079398876</v>
      </c>
      <c r="D3100">
        <v>1.02454605676411</v>
      </c>
      <c r="E3100">
        <v>1.0578733715120401</v>
      </c>
      <c r="F3100">
        <v>1.2264253721815801</v>
      </c>
      <c r="G3100">
        <v>1.1600414874803899</v>
      </c>
      <c r="H3100">
        <v>0.26674772526631002</v>
      </c>
      <c r="I3100">
        <v>0.14399767574651101</v>
      </c>
      <c r="J3100">
        <v>8.6429140774849506E-2</v>
      </c>
      <c r="K3100">
        <v>8.09363388016896E-2</v>
      </c>
      <c r="L3100">
        <v>12547.806471198401</v>
      </c>
      <c r="M3100">
        <v>207.20564421803499</v>
      </c>
      <c r="N3100">
        <v>60.625339447325203</v>
      </c>
      <c r="O3100">
        <v>60.551620948119599</v>
      </c>
      <c r="P3100">
        <v>-0.766707454018562</v>
      </c>
      <c r="Q3100">
        <v>0.10378157566318599</v>
      </c>
      <c r="R3100">
        <v>0.96146959305540403</v>
      </c>
      <c r="S3100" t="s">
        <v>8926</v>
      </c>
      <c r="T3100" t="s">
        <v>11650</v>
      </c>
      <c r="U3100" t="s">
        <v>11650</v>
      </c>
      <c r="V3100" t="s">
        <v>11650</v>
      </c>
      <c r="W3100" t="s">
        <v>14704</v>
      </c>
      <c r="X3100">
        <v>16</v>
      </c>
      <c r="Y3100" t="s">
        <v>20400</v>
      </c>
      <c r="Z3100" t="s">
        <v>26162</v>
      </c>
      <c r="AA3100">
        <v>0.71804680626806217</v>
      </c>
      <c r="AB3100" t="str">
        <f>HYPERLINK("Melting_Curves/meltCurve_Q13630_TSTA3.pdf", "Melting_Curves/meltCurve_Q13630_TSTA3.pdf")</f>
        <v>Melting_Curves/meltCurve_Q13630_TSTA3.pdf</v>
      </c>
    </row>
    <row r="3101" spans="1:28" x14ac:dyDescent="0.25">
      <c r="A3101" t="s">
        <v>3105</v>
      </c>
      <c r="B3101">
        <v>0.99996721820229495</v>
      </c>
      <c r="C3101">
        <v>0.85243277724250699</v>
      </c>
      <c r="D3101">
        <v>0.87683394448993202</v>
      </c>
      <c r="E3101">
        <v>0.93100041310889303</v>
      </c>
      <c r="F3101">
        <v>0.72463046894823402</v>
      </c>
      <c r="G3101">
        <v>0.55764030762168704</v>
      </c>
      <c r="H3101">
        <v>0.35004298404238399</v>
      </c>
      <c r="I3101">
        <v>0.222632811837153</v>
      </c>
      <c r="J3101">
        <v>0.14860648781805999</v>
      </c>
      <c r="K3101">
        <v>0.11632325763417201</v>
      </c>
      <c r="L3101">
        <v>679.54237626308702</v>
      </c>
      <c r="M3101">
        <v>11.7689411228816</v>
      </c>
      <c r="N3101">
        <v>57.740302637414899</v>
      </c>
      <c r="O3101">
        <v>56.148879531810799</v>
      </c>
      <c r="P3101">
        <v>-5.2414225194260401E-2</v>
      </c>
      <c r="Q3101">
        <v>0</v>
      </c>
      <c r="R3101">
        <v>0.972713228322867</v>
      </c>
      <c r="S3101" t="s">
        <v>8927</v>
      </c>
      <c r="T3101" t="s">
        <v>11650</v>
      </c>
      <c r="U3101" t="s">
        <v>11650</v>
      </c>
      <c r="V3101" t="s">
        <v>11650</v>
      </c>
      <c r="W3101" t="s">
        <v>14705</v>
      </c>
      <c r="X3101">
        <v>8</v>
      </c>
      <c r="Y3101" t="s">
        <v>20401</v>
      </c>
      <c r="Z3101" t="s">
        <v>26163</v>
      </c>
      <c r="AA3101">
        <v>0.60502803536145033</v>
      </c>
      <c r="AB3101" t="str">
        <f>HYPERLINK("Melting_Curves/meltCurve_Q13636_RAB31.pdf", "Melting_Curves/meltCurve_Q13636_RAB31.pdf")</f>
        <v>Melting_Curves/meltCurve_Q13636_RAB31.pdf</v>
      </c>
    </row>
    <row r="3102" spans="1:28" x14ac:dyDescent="0.25">
      <c r="A3102" t="s">
        <v>3106</v>
      </c>
      <c r="B3102">
        <v>0.99996721820229495</v>
      </c>
      <c r="C3102">
        <v>0.98020203104463299</v>
      </c>
      <c r="D3102">
        <v>0.94262491116480096</v>
      </c>
      <c r="E3102">
        <v>0.91301910261403696</v>
      </c>
      <c r="F3102">
        <v>0.89523390824239002</v>
      </c>
      <c r="G3102">
        <v>0.77484457078389601</v>
      </c>
      <c r="H3102">
        <v>0.49269867979790799</v>
      </c>
      <c r="I3102">
        <v>0.19709796213160999</v>
      </c>
      <c r="J3102">
        <v>8.1785250477917501E-2</v>
      </c>
      <c r="K3102">
        <v>8.4317695792777203E-2</v>
      </c>
      <c r="L3102">
        <v>1214.3824786247401</v>
      </c>
      <c r="M3102">
        <v>20.1307469645526</v>
      </c>
      <c r="N3102">
        <v>60.324763759292402</v>
      </c>
      <c r="O3102">
        <v>59.738937243443402</v>
      </c>
      <c r="P3102">
        <v>-8.4247338350326106E-2</v>
      </c>
      <c r="Q3102">
        <v>0</v>
      </c>
      <c r="R3102">
        <v>0.98724236049714298</v>
      </c>
      <c r="S3102" t="s">
        <v>8928</v>
      </c>
      <c r="T3102" t="s">
        <v>11650</v>
      </c>
      <c r="U3102" t="s">
        <v>11650</v>
      </c>
      <c r="V3102" t="s">
        <v>11650</v>
      </c>
      <c r="W3102" t="s">
        <v>14706</v>
      </c>
      <c r="X3102">
        <v>11</v>
      </c>
      <c r="Y3102" t="s">
        <v>20402</v>
      </c>
      <c r="Z3102" t="s">
        <v>26164</v>
      </c>
      <c r="AA3102">
        <v>0.68518283198206509</v>
      </c>
      <c r="AB3102" t="str">
        <f>HYPERLINK("Melting_Curves/meltCurve_Q13637_RAB32.pdf", "Melting_Curves/meltCurve_Q13637_RAB32.pdf")</f>
        <v>Melting_Curves/meltCurve_Q13637_RAB32.pdf</v>
      </c>
    </row>
    <row r="3103" spans="1:28" x14ac:dyDescent="0.25">
      <c r="A3103" t="s">
        <v>3107</v>
      </c>
      <c r="B3103">
        <v>0.99996721820229495</v>
      </c>
      <c r="C3103">
        <v>0.83076576189058804</v>
      </c>
      <c r="D3103">
        <v>0.86958669273090605</v>
      </c>
      <c r="E3103">
        <v>1.0545680273506799</v>
      </c>
      <c r="F3103">
        <v>1.2668917077461599</v>
      </c>
      <c r="G3103">
        <v>1.2890454067099799</v>
      </c>
      <c r="H3103">
        <v>1.04518675509554</v>
      </c>
      <c r="I3103">
        <v>0.709160847500651</v>
      </c>
      <c r="J3103">
        <v>0.55275835131155504</v>
      </c>
      <c r="K3103">
        <v>0.62789470887257404</v>
      </c>
      <c r="L3103">
        <v>15000</v>
      </c>
      <c r="M3103">
        <v>235.269979029105</v>
      </c>
      <c r="O3103">
        <v>63.751940564638303</v>
      </c>
      <c r="P3103">
        <v>-0.37796698824588398</v>
      </c>
      <c r="Q3103">
        <v>0.59032382248737902</v>
      </c>
      <c r="R3103">
        <v>0.63566443125109595</v>
      </c>
      <c r="S3103" t="s">
        <v>8929</v>
      </c>
      <c r="T3103" t="s">
        <v>11650</v>
      </c>
      <c r="U3103" t="s">
        <v>11650</v>
      </c>
      <c r="V3103" t="s">
        <v>11650</v>
      </c>
      <c r="W3103" t="s">
        <v>14707</v>
      </c>
      <c r="X3103">
        <v>12</v>
      </c>
      <c r="Y3103" t="s">
        <v>20403</v>
      </c>
      <c r="Z3103" t="s">
        <v>26165</v>
      </c>
      <c r="AA3103">
        <v>0.91479187615329838</v>
      </c>
      <c r="AB3103" t="str">
        <f>HYPERLINK("Melting_Curves/meltCurve_Q13641_TPBG.pdf", "Melting_Curves/meltCurve_Q13641_TPBG.pdf")</f>
        <v>Melting_Curves/meltCurve_Q13641_TPBG.pdf</v>
      </c>
    </row>
    <row r="3104" spans="1:28" x14ac:dyDescent="0.25">
      <c r="A3104" t="s">
        <v>3108</v>
      </c>
      <c r="B3104">
        <v>0.99996721820229495</v>
      </c>
      <c r="C3104">
        <v>0.919548340425136</v>
      </c>
      <c r="D3104">
        <v>0.89392237864880197</v>
      </c>
      <c r="E3104">
        <v>0.99075334699708395</v>
      </c>
      <c r="F3104">
        <v>1.24511445995881</v>
      </c>
      <c r="G3104">
        <v>1.3257067419465201</v>
      </c>
      <c r="H3104">
        <v>0.970802539035445</v>
      </c>
      <c r="I3104">
        <v>0.80747034790489802</v>
      </c>
      <c r="J3104">
        <v>0.56573872678904302</v>
      </c>
      <c r="K3104">
        <v>0.31227627168310002</v>
      </c>
      <c r="L3104">
        <v>2327.4152759594999</v>
      </c>
      <c r="M3104">
        <v>35.003458128690902</v>
      </c>
      <c r="N3104">
        <v>67.480667674491798</v>
      </c>
      <c r="O3104">
        <v>66.275111721298003</v>
      </c>
      <c r="P3104">
        <v>-0.10553120998021399</v>
      </c>
      <c r="Q3104">
        <v>0.20075688796080099</v>
      </c>
      <c r="R3104">
        <v>0.76339761226896496</v>
      </c>
      <c r="S3104" t="s">
        <v>8930</v>
      </c>
      <c r="T3104" t="s">
        <v>11650</v>
      </c>
      <c r="U3104" t="s">
        <v>11650</v>
      </c>
      <c r="V3104" t="s">
        <v>11650</v>
      </c>
      <c r="W3104" t="s">
        <v>14708</v>
      </c>
      <c r="X3104">
        <v>40</v>
      </c>
      <c r="Y3104" t="s">
        <v>20404</v>
      </c>
      <c r="Z3104" t="s">
        <v>26166</v>
      </c>
      <c r="AA3104">
        <v>0.90175964142892573</v>
      </c>
      <c r="AB3104" t="str">
        <f>HYPERLINK("Melting_Curves/meltCurve_Q13642_5_FHL1.pdf", "Melting_Curves/meltCurve_Q13642_5_FHL1.pdf")</f>
        <v>Melting_Curves/meltCurve_Q13642_5_FHL1.pdf</v>
      </c>
    </row>
    <row r="3105" spans="1:28" x14ac:dyDescent="0.25">
      <c r="A3105" t="s">
        <v>3109</v>
      </c>
      <c r="B3105">
        <v>0.99996721820229495</v>
      </c>
      <c r="C3105">
        <v>0.98764641767444095</v>
      </c>
      <c r="D3105">
        <v>0.90928886773094098</v>
      </c>
      <c r="E3105">
        <v>0.98665345291733797</v>
      </c>
      <c r="F3105">
        <v>1.2295173668305299</v>
      </c>
      <c r="G3105">
        <v>1.4294308338611901</v>
      </c>
      <c r="H3105">
        <v>0.932024736053643</v>
      </c>
      <c r="I3105">
        <v>0.70694913242439805</v>
      </c>
      <c r="J3105">
        <v>0.56927708275896205</v>
      </c>
      <c r="K3105">
        <v>0.387627743016078</v>
      </c>
      <c r="L3105">
        <v>2507.68492030281</v>
      </c>
      <c r="M3105">
        <v>38.863532249791</v>
      </c>
      <c r="N3105">
        <v>67.213965194066603</v>
      </c>
      <c r="O3105">
        <v>64.355263917834407</v>
      </c>
      <c r="P3105">
        <v>-9.1435681139770505E-2</v>
      </c>
      <c r="Q3105">
        <v>0.39435729695505001</v>
      </c>
      <c r="R3105">
        <v>0.69002419359266998</v>
      </c>
      <c r="S3105" t="s">
        <v>8931</v>
      </c>
      <c r="T3105" t="s">
        <v>11650</v>
      </c>
      <c r="U3105" t="s">
        <v>11650</v>
      </c>
      <c r="V3105" t="s">
        <v>11650</v>
      </c>
      <c r="W3105" t="s">
        <v>14709</v>
      </c>
      <c r="X3105">
        <v>15</v>
      </c>
      <c r="Y3105" t="s">
        <v>20405</v>
      </c>
      <c r="Z3105" t="s">
        <v>26167</v>
      </c>
      <c r="AA3105">
        <v>0.89038388995919293</v>
      </c>
      <c r="AB3105" t="str">
        <f>HYPERLINK("Melting_Curves/meltCurve_Q13643_FHL3.pdf", "Melting_Curves/meltCurve_Q13643_FHL3.pdf")</f>
        <v>Melting_Curves/meltCurve_Q13643_FHL3.pdf</v>
      </c>
    </row>
    <row r="3106" spans="1:28" x14ac:dyDescent="0.25">
      <c r="A3106" t="s">
        <v>3110</v>
      </c>
      <c r="B3106">
        <v>0.99996721820229495</v>
      </c>
      <c r="C3106">
        <v>0.594900215462282</v>
      </c>
      <c r="D3106">
        <v>0.21405095392419499</v>
      </c>
      <c r="E3106">
        <v>0.13940352080364701</v>
      </c>
      <c r="F3106">
        <v>0.14260807203854101</v>
      </c>
      <c r="G3106">
        <v>0.110853273980482</v>
      </c>
      <c r="H3106">
        <v>6.5344908373931102E-2</v>
      </c>
      <c r="I3106">
        <v>3.9880697116706901E-2</v>
      </c>
      <c r="J3106">
        <v>2.9534175278126198E-2</v>
      </c>
      <c r="K3106">
        <v>2.36277492943739E-2</v>
      </c>
      <c r="L3106">
        <v>1413.39205104142</v>
      </c>
      <c r="M3106">
        <v>32.598517228988499</v>
      </c>
      <c r="N3106">
        <v>43.582192079527601</v>
      </c>
      <c r="O3106">
        <v>43.195384126468802</v>
      </c>
      <c r="P3106">
        <v>-0.17408078012720801</v>
      </c>
      <c r="Q3106">
        <v>7.7326322272495598E-2</v>
      </c>
      <c r="R3106">
        <v>0.97987512489134998</v>
      </c>
      <c r="S3106" t="s">
        <v>8932</v>
      </c>
      <c r="T3106" t="s">
        <v>11650</v>
      </c>
      <c r="U3106" t="s">
        <v>11650</v>
      </c>
      <c r="V3106" t="s">
        <v>11650</v>
      </c>
      <c r="W3106" t="s">
        <v>14710</v>
      </c>
      <c r="X3106">
        <v>7</v>
      </c>
      <c r="Y3106" t="s">
        <v>20406</v>
      </c>
      <c r="Z3106" t="s">
        <v>26168</v>
      </c>
      <c r="AA3106">
        <v>0.18684415797172821</v>
      </c>
      <c r="AB3106" t="str">
        <f>HYPERLINK("Melting_Curves/meltCurve_Q13671_RIN1.pdf", "Melting_Curves/meltCurve_Q13671_RIN1.pdf")</f>
        <v>Melting_Curves/meltCurve_Q13671_RIN1.pdf</v>
      </c>
    </row>
    <row r="3107" spans="1:28" x14ac:dyDescent="0.25">
      <c r="A3107" t="s">
        <v>3111</v>
      </c>
      <c r="B3107">
        <v>0.99996721820229495</v>
      </c>
      <c r="C3107">
        <v>0.785877448963476</v>
      </c>
      <c r="D3107">
        <v>0.98085117208124895</v>
      </c>
      <c r="E3107">
        <v>1.35433741909826</v>
      </c>
      <c r="F3107">
        <v>1.47877750062068</v>
      </c>
      <c r="G3107">
        <v>1.17751881114128</v>
      </c>
      <c r="H3107">
        <v>0.77211626543832501</v>
      </c>
      <c r="I3107">
        <v>0.42303601983197298</v>
      </c>
      <c r="J3107">
        <v>0.25382224539855802</v>
      </c>
      <c r="K3107">
        <v>0.39263317420029198</v>
      </c>
      <c r="L3107">
        <v>3921.6042072529299</v>
      </c>
      <c r="M3107">
        <v>63.543342865150699</v>
      </c>
      <c r="N3107">
        <v>62.794673617921099</v>
      </c>
      <c r="O3107">
        <v>61.654384286627298</v>
      </c>
      <c r="P3107">
        <v>-0.17205278165500601</v>
      </c>
      <c r="Q3107">
        <v>0.33224760512886198</v>
      </c>
      <c r="R3107">
        <v>0.71319593425635897</v>
      </c>
      <c r="S3107" t="s">
        <v>8933</v>
      </c>
      <c r="T3107" t="s">
        <v>11650</v>
      </c>
      <c r="U3107" t="s">
        <v>11650</v>
      </c>
      <c r="V3107" t="s">
        <v>11650</v>
      </c>
      <c r="W3107" t="s">
        <v>14711</v>
      </c>
      <c r="X3107">
        <v>26</v>
      </c>
      <c r="Y3107" t="s">
        <v>20407</v>
      </c>
      <c r="Z3107" t="s">
        <v>26169</v>
      </c>
      <c r="AA3107">
        <v>0.81670590736888693</v>
      </c>
      <c r="AB3107" t="str">
        <f>HYPERLINK("Melting_Curves/meltCurve_Q13683_3_ITGA7.pdf", "Melting_Curves/meltCurve_Q13683_3_ITGA7.pdf")</f>
        <v>Melting_Curves/meltCurve_Q13683_3_ITGA7.pdf</v>
      </c>
    </row>
    <row r="3108" spans="1:28" x14ac:dyDescent="0.25">
      <c r="A3108" t="s">
        <v>3112</v>
      </c>
      <c r="B3108">
        <v>0.99996721820229495</v>
      </c>
      <c r="C3108">
        <v>0.89095216792890397</v>
      </c>
      <c r="D3108">
        <v>1.01955758069987</v>
      </c>
      <c r="E3108">
        <v>1.0479558056771401</v>
      </c>
      <c r="F3108">
        <v>0.51261800555116899</v>
      </c>
      <c r="G3108">
        <v>0.32196996160859997</v>
      </c>
      <c r="H3108">
        <v>0.20902839937971501</v>
      </c>
      <c r="I3108">
        <v>0.12091111277654799</v>
      </c>
      <c r="J3108">
        <v>8.6504643230870398E-2</v>
      </c>
      <c r="K3108">
        <v>8.5697955573525803E-2</v>
      </c>
      <c r="L3108">
        <v>13232.116064874701</v>
      </c>
      <c r="M3108">
        <v>250</v>
      </c>
      <c r="N3108">
        <v>53.013275424829303</v>
      </c>
      <c r="O3108">
        <v>52.925088041147703</v>
      </c>
      <c r="P3108">
        <v>-0.98627347551780697</v>
      </c>
      <c r="Q3108">
        <v>0.16482240329365599</v>
      </c>
      <c r="R3108">
        <v>0.96455607448460801</v>
      </c>
      <c r="S3108" t="s">
        <v>8934</v>
      </c>
      <c r="T3108" t="s">
        <v>11650</v>
      </c>
      <c r="U3108" t="s">
        <v>11650</v>
      </c>
      <c r="V3108" t="s">
        <v>11650</v>
      </c>
      <c r="W3108" t="s">
        <v>14712</v>
      </c>
      <c r="X3108">
        <v>13</v>
      </c>
      <c r="Y3108" t="s">
        <v>20408</v>
      </c>
      <c r="Z3108" t="s">
        <v>26170</v>
      </c>
      <c r="AA3108">
        <v>0.52481877210901551</v>
      </c>
      <c r="AB3108" t="str">
        <f>HYPERLINK("Melting_Curves/meltCurve_Q13724_MOGS.pdf", "Melting_Curves/meltCurve_Q13724_MOGS.pdf")</f>
        <v>Melting_Curves/meltCurve_Q13724_MOGS.pdf</v>
      </c>
    </row>
    <row r="3109" spans="1:28" x14ac:dyDescent="0.25">
      <c r="A3109" t="s">
        <v>3113</v>
      </c>
      <c r="B3109">
        <v>0.99996721820229495</v>
      </c>
      <c r="C3109">
        <v>0.82736764063702195</v>
      </c>
      <c r="D3109">
        <v>0.93595999715470601</v>
      </c>
      <c r="E3109">
        <v>1.23599146560384</v>
      </c>
      <c r="F3109">
        <v>1.4568173205091799</v>
      </c>
      <c r="G3109">
        <v>1.39188301412088</v>
      </c>
      <c r="H3109">
        <v>1.14354354283426</v>
      </c>
      <c r="I3109">
        <v>0.65171953809203598</v>
      </c>
      <c r="J3109">
        <v>0.42677098793652202</v>
      </c>
      <c r="K3109">
        <v>0.55393118653375595</v>
      </c>
      <c r="L3109">
        <v>15000</v>
      </c>
      <c r="M3109">
        <v>235.14419376939</v>
      </c>
      <c r="N3109">
        <v>64.879752563315293</v>
      </c>
      <c r="O3109">
        <v>63.786026914882697</v>
      </c>
      <c r="P3109">
        <v>-0.469703652336041</v>
      </c>
      <c r="Q3109">
        <v>0.49034621644773801</v>
      </c>
      <c r="R3109">
        <v>0.56597620181575703</v>
      </c>
      <c r="S3109" t="s">
        <v>8935</v>
      </c>
      <c r="T3109" t="s">
        <v>11650</v>
      </c>
      <c r="U3109" t="s">
        <v>11650</v>
      </c>
      <c r="V3109" t="s">
        <v>11650</v>
      </c>
      <c r="W3109" t="s">
        <v>14713</v>
      </c>
      <c r="X3109">
        <v>30</v>
      </c>
      <c r="Y3109" t="s">
        <v>20409</v>
      </c>
      <c r="Z3109" t="s">
        <v>26171</v>
      </c>
      <c r="AA3109">
        <v>0.89457713515195003</v>
      </c>
      <c r="AB3109" t="str">
        <f>HYPERLINK("Melting_Curves/meltCurve_Q13740_2_ALCAM.pdf", "Melting_Curves/meltCurve_Q13740_2_ALCAM.pdf")</f>
        <v>Melting_Curves/meltCurve_Q13740_2_ALCAM.pdf</v>
      </c>
    </row>
    <row r="3110" spans="1:28" x14ac:dyDescent="0.25">
      <c r="A3110" t="s">
        <v>3114</v>
      </c>
      <c r="B3110">
        <v>0.99996721820229495</v>
      </c>
      <c r="C3110">
        <v>0.77207011644507695</v>
      </c>
      <c r="D3110">
        <v>0.66421384143233397</v>
      </c>
      <c r="E3110">
        <v>0.68437485154416</v>
      </c>
      <c r="F3110">
        <v>0.36152238782738599</v>
      </c>
      <c r="G3110">
        <v>0.141560837831544</v>
      </c>
      <c r="H3110">
        <v>7.1980584136770304E-2</v>
      </c>
      <c r="I3110">
        <v>5.8551986233074803E-2</v>
      </c>
      <c r="J3110">
        <v>3.6967160746237702E-2</v>
      </c>
      <c r="K3110">
        <v>5.0409332008947101E-2</v>
      </c>
      <c r="L3110">
        <v>575.45810373657605</v>
      </c>
      <c r="M3110">
        <v>11.4371901212703</v>
      </c>
      <c r="N3110">
        <v>50.314639982637701</v>
      </c>
      <c r="O3110">
        <v>48.850156414417803</v>
      </c>
      <c r="P3110">
        <v>-5.8548995872486201E-2</v>
      </c>
      <c r="Q3110">
        <v>0</v>
      </c>
      <c r="R3110">
        <v>0.95354232250615201</v>
      </c>
      <c r="S3110" t="s">
        <v>8936</v>
      </c>
      <c r="T3110" t="s">
        <v>11650</v>
      </c>
      <c r="U3110" t="s">
        <v>11650</v>
      </c>
      <c r="V3110" t="s">
        <v>11650</v>
      </c>
      <c r="W3110" t="s">
        <v>14714</v>
      </c>
      <c r="X3110">
        <v>4</v>
      </c>
      <c r="Y3110" t="s">
        <v>20410</v>
      </c>
      <c r="Z3110" t="s">
        <v>26172</v>
      </c>
      <c r="AA3110">
        <v>0.38033468462714187</v>
      </c>
      <c r="AB3110" t="str">
        <f>HYPERLINK("Melting_Curves/meltCurve_Q13795_ARFRP1.pdf", "Melting_Curves/meltCurve_Q13795_ARFRP1.pdf")</f>
        <v>Melting_Curves/meltCurve_Q13795_ARFRP1.pdf</v>
      </c>
    </row>
    <row r="3111" spans="1:28" x14ac:dyDescent="0.25">
      <c r="A3111" t="s">
        <v>3115</v>
      </c>
      <c r="B3111">
        <v>0.99996721820229495</v>
      </c>
      <c r="C3111">
        <v>1.19061440945609</v>
      </c>
      <c r="D3111">
        <v>1.13634729972209</v>
      </c>
      <c r="E3111">
        <v>1.56990018673525</v>
      </c>
      <c r="F3111">
        <v>2.2138888089847701</v>
      </c>
      <c r="G3111">
        <v>3.1681652410775398</v>
      </c>
      <c r="H3111">
        <v>1.8592145659164501</v>
      </c>
      <c r="I3111">
        <v>1.1937598893313901</v>
      </c>
      <c r="J3111">
        <v>0.64912154358284901</v>
      </c>
      <c r="K3111">
        <v>0.51522226657694603</v>
      </c>
      <c r="L3111">
        <v>15000</v>
      </c>
      <c r="M3111">
        <v>224.842856092495</v>
      </c>
      <c r="O3111">
        <v>66.707985704132298</v>
      </c>
      <c r="P3111">
        <v>-0.40853398665576202</v>
      </c>
      <c r="Q3111">
        <v>0.51517289082040896</v>
      </c>
      <c r="R3111">
        <v>-0.293561745935769</v>
      </c>
      <c r="S3111" t="s">
        <v>8937</v>
      </c>
      <c r="T3111" t="s">
        <v>11650</v>
      </c>
      <c r="U3111" t="s">
        <v>11650</v>
      </c>
      <c r="V3111" t="s">
        <v>11650</v>
      </c>
      <c r="W3111" t="s">
        <v>14715</v>
      </c>
      <c r="X3111">
        <v>79</v>
      </c>
      <c r="Y3111" t="s">
        <v>20411</v>
      </c>
      <c r="Z3111" t="s">
        <v>26173</v>
      </c>
      <c r="AA3111">
        <v>0.94695335946325165</v>
      </c>
      <c r="AB3111" t="str">
        <f>HYPERLINK("Melting_Curves/meltCurve_Q13813_SPTAN1.pdf", "Melting_Curves/meltCurve_Q13813_SPTAN1.pdf")</f>
        <v>Melting_Curves/meltCurve_Q13813_SPTAN1.pdf</v>
      </c>
    </row>
    <row r="3112" spans="1:28" x14ac:dyDescent="0.25">
      <c r="A3112" t="s">
        <v>3116</v>
      </c>
      <c r="B3112">
        <v>0.99996721820229495</v>
      </c>
      <c r="C3112">
        <v>1.2280941335340601</v>
      </c>
      <c r="D3112">
        <v>0.94978808778782398</v>
      </c>
      <c r="E3112">
        <v>1.6114044172205599</v>
      </c>
      <c r="F3112">
        <v>2.1891766642502501</v>
      </c>
      <c r="G3112">
        <v>3.6375273750865502</v>
      </c>
      <c r="H3112">
        <v>2.4872159809313601</v>
      </c>
      <c r="I3112">
        <v>1.43501399867714</v>
      </c>
      <c r="J3112">
        <v>0.985104801382504</v>
      </c>
      <c r="K3112">
        <v>0.88528843665396995</v>
      </c>
      <c r="L3112">
        <v>11962.272793025901</v>
      </c>
      <c r="M3112">
        <v>250</v>
      </c>
      <c r="O3112">
        <v>47.846029178917398</v>
      </c>
      <c r="P3112">
        <v>0.65313675122750703</v>
      </c>
      <c r="Q3112">
        <v>1.5</v>
      </c>
      <c r="R3112">
        <v>5.2590767470695403E-2</v>
      </c>
      <c r="S3112" t="s">
        <v>8938</v>
      </c>
      <c r="T3112" t="s">
        <v>11650</v>
      </c>
      <c r="U3112" t="s">
        <v>11650</v>
      </c>
      <c r="V3112" t="s">
        <v>11650</v>
      </c>
      <c r="W3112" t="s">
        <v>14716</v>
      </c>
      <c r="X3112">
        <v>79</v>
      </c>
      <c r="Y3112" t="s">
        <v>20411</v>
      </c>
      <c r="Z3112" t="s">
        <v>26174</v>
      </c>
      <c r="AA3112">
        <v>1.3691398265931181</v>
      </c>
      <c r="AB3112" t="str">
        <f>HYPERLINK("Melting_Curves/meltCurve_Q13813_3_SPTAN1.pdf", "Melting_Curves/meltCurve_Q13813_3_SPTAN1.pdf")</f>
        <v>Melting_Curves/meltCurve_Q13813_3_SPTAN1.pdf</v>
      </c>
    </row>
    <row r="3113" spans="1:28" x14ac:dyDescent="0.25">
      <c r="A3113" t="s">
        <v>3117</v>
      </c>
      <c r="B3113">
        <v>0.99996721820229495</v>
      </c>
      <c r="C3113">
        <v>0.97245399120410803</v>
      </c>
      <c r="D3113">
        <v>0.86791659837892499</v>
      </c>
      <c r="E3113">
        <v>1.0214443981202399</v>
      </c>
      <c r="F3113">
        <v>0.67408007236271905</v>
      </c>
      <c r="G3113">
        <v>0.39510313917548601</v>
      </c>
      <c r="H3113">
        <v>0.24632642924825901</v>
      </c>
      <c r="I3113">
        <v>0.15598338172418499</v>
      </c>
      <c r="J3113">
        <v>0.10906334923868299</v>
      </c>
      <c r="K3113">
        <v>7.8986953557352399E-2</v>
      </c>
      <c r="L3113">
        <v>1120.5876311715399</v>
      </c>
      <c r="M3113">
        <v>20.2943451023596</v>
      </c>
      <c r="N3113">
        <v>55.773613092626398</v>
      </c>
      <c r="O3113">
        <v>54.688998298732102</v>
      </c>
      <c r="P3113">
        <v>-8.4266205888975307E-2</v>
      </c>
      <c r="Q3113">
        <v>9.1708997307214504E-2</v>
      </c>
      <c r="R3113">
        <v>0.97601179080269496</v>
      </c>
      <c r="S3113" t="s">
        <v>8939</v>
      </c>
      <c r="T3113" t="s">
        <v>11650</v>
      </c>
      <c r="U3113" t="s">
        <v>11650</v>
      </c>
      <c r="V3113" t="s">
        <v>11650</v>
      </c>
      <c r="W3113" t="s">
        <v>14717</v>
      </c>
      <c r="X3113">
        <v>3</v>
      </c>
      <c r="Y3113" t="s">
        <v>20412</v>
      </c>
      <c r="Z3113" t="s">
        <v>26175</v>
      </c>
      <c r="AA3113">
        <v>0.56418140728847066</v>
      </c>
      <c r="AB3113" t="str">
        <f>HYPERLINK("Melting_Curves/meltCurve_Q13825_AUH.pdf", "Melting_Curves/meltCurve_Q13825_AUH.pdf")</f>
        <v>Melting_Curves/meltCurve_Q13825_AUH.pdf</v>
      </c>
    </row>
    <row r="3114" spans="1:28" x14ac:dyDescent="0.25">
      <c r="A3114" t="s">
        <v>3118</v>
      </c>
      <c r="B3114">
        <v>0.99996721820229495</v>
      </c>
      <c r="C3114">
        <v>0.99606914920990297</v>
      </c>
      <c r="D3114">
        <v>1.03077641004675</v>
      </c>
      <c r="E3114">
        <v>1.5794888167829599</v>
      </c>
      <c r="F3114">
        <v>2.3880712275642701</v>
      </c>
      <c r="G3114">
        <v>2.19821407741532</v>
      </c>
      <c r="H3114">
        <v>0.80748239480053496</v>
      </c>
      <c r="I3114">
        <v>0.42795226891855898</v>
      </c>
      <c r="J3114">
        <v>0.229417350237972</v>
      </c>
      <c r="K3114">
        <v>0.17014585165209001</v>
      </c>
      <c r="L3114">
        <v>3578.20835488786</v>
      </c>
      <c r="M3114">
        <v>56.961988334041102</v>
      </c>
      <c r="N3114">
        <v>63.3615429699327</v>
      </c>
      <c r="O3114">
        <v>62.740195224889497</v>
      </c>
      <c r="P3114">
        <v>-0.18307545925489199</v>
      </c>
      <c r="Q3114">
        <v>0.19341410613885099</v>
      </c>
      <c r="R3114">
        <v>0.29680085107394799</v>
      </c>
      <c r="S3114" t="s">
        <v>8940</v>
      </c>
      <c r="T3114" t="s">
        <v>11650</v>
      </c>
      <c r="U3114" t="s">
        <v>11650</v>
      </c>
      <c r="V3114" t="s">
        <v>11650</v>
      </c>
      <c r="W3114" t="s">
        <v>14718</v>
      </c>
      <c r="X3114">
        <v>4</v>
      </c>
      <c r="Y3114" t="s">
        <v>20413</v>
      </c>
      <c r="Z3114" t="s">
        <v>26176</v>
      </c>
      <c r="AA3114">
        <v>0.80849820037732867</v>
      </c>
      <c r="AB3114" t="str">
        <f>HYPERLINK("Melting_Curves/meltCurve_Q13868_EXOSC2.pdf", "Melting_Curves/meltCurve_Q13868_EXOSC2.pdf")</f>
        <v>Melting_Curves/meltCurve_Q13868_EXOSC2.pdf</v>
      </c>
    </row>
    <row r="3115" spans="1:28" x14ac:dyDescent="0.25">
      <c r="A3115" t="s">
        <v>3119</v>
      </c>
      <c r="B3115">
        <v>0.99996721820229495</v>
      </c>
      <c r="C3115">
        <v>0.83251043605226804</v>
      </c>
      <c r="D3115">
        <v>0.67944566295331099</v>
      </c>
      <c r="E3115">
        <v>0.80609645016385501</v>
      </c>
      <c r="F3115">
        <v>0.68008774435643504</v>
      </c>
      <c r="G3115">
        <v>0.63853202673411702</v>
      </c>
      <c r="H3115">
        <v>0.50254705810572398</v>
      </c>
      <c r="I3115">
        <v>0.33274688854801199</v>
      </c>
      <c r="J3115">
        <v>0.26206563705965802</v>
      </c>
      <c r="K3115">
        <v>0.31080432646157302</v>
      </c>
      <c r="L3115">
        <v>330.24803349496602</v>
      </c>
      <c r="M3115">
        <v>5.5874988663985601</v>
      </c>
      <c r="N3115">
        <v>59.104828150833299</v>
      </c>
      <c r="O3115">
        <v>52.833674333885</v>
      </c>
      <c r="P3115">
        <v>-2.6549286797836101E-2</v>
      </c>
      <c r="Q3115">
        <v>0</v>
      </c>
      <c r="R3115">
        <v>0.89729335763997797</v>
      </c>
      <c r="S3115" t="s">
        <v>8941</v>
      </c>
      <c r="T3115" t="s">
        <v>11650</v>
      </c>
      <c r="U3115" t="s">
        <v>11650</v>
      </c>
      <c r="V3115" t="s">
        <v>11650</v>
      </c>
      <c r="W3115" t="s">
        <v>14719</v>
      </c>
      <c r="X3115">
        <v>2</v>
      </c>
      <c r="Y3115" t="s">
        <v>20414</v>
      </c>
      <c r="Z3115" t="s">
        <v>26177</v>
      </c>
      <c r="AA3115">
        <v>0.61006047297061783</v>
      </c>
      <c r="AB3115" t="str">
        <f>HYPERLINK("Melting_Curves/meltCurve_Q13873_BMPR2.pdf", "Melting_Curves/meltCurve_Q13873_BMPR2.pdf")</f>
        <v>Melting_Curves/meltCurve_Q13873_BMPR2.pdf</v>
      </c>
    </row>
    <row r="3116" spans="1:28" x14ac:dyDescent="0.25">
      <c r="A3116" t="s">
        <v>3120</v>
      </c>
      <c r="B3116">
        <v>0.99996721820229495</v>
      </c>
      <c r="C3116">
        <v>0.85755214319459605</v>
      </c>
      <c r="D3116">
        <v>0.82864915828224295</v>
      </c>
      <c r="E3116">
        <v>0.52405995889216295</v>
      </c>
      <c r="F3116">
        <v>0.37369765804282001</v>
      </c>
      <c r="G3116">
        <v>0.228823665727836</v>
      </c>
      <c r="H3116">
        <v>0.178325470729812</v>
      </c>
      <c r="I3116">
        <v>7.2587978128171596E-2</v>
      </c>
      <c r="J3116">
        <v>6.24406606057143E-2</v>
      </c>
      <c r="K3116">
        <v>3.2052827740868498E-2</v>
      </c>
      <c r="L3116">
        <v>610.88365351969799</v>
      </c>
      <c r="M3116">
        <v>12.0318183473895</v>
      </c>
      <c r="N3116">
        <v>50.894677454180403</v>
      </c>
      <c r="O3116">
        <v>49.430816254140701</v>
      </c>
      <c r="P3116">
        <v>-5.9998893002435098E-2</v>
      </c>
      <c r="Q3116">
        <v>1.4251508699531901E-2</v>
      </c>
      <c r="R3116">
        <v>0.99195827731741704</v>
      </c>
      <c r="S3116" t="s">
        <v>8942</v>
      </c>
      <c r="T3116" t="s">
        <v>11650</v>
      </c>
      <c r="U3116" t="s">
        <v>11650</v>
      </c>
      <c r="V3116" t="s">
        <v>11650</v>
      </c>
      <c r="W3116" t="s">
        <v>14720</v>
      </c>
      <c r="X3116">
        <v>5</v>
      </c>
      <c r="Y3116" t="s">
        <v>20415</v>
      </c>
      <c r="Z3116" t="s">
        <v>26178</v>
      </c>
      <c r="AA3116">
        <v>0.40068178516159181</v>
      </c>
      <c r="AB3116" t="str">
        <f>HYPERLINK("Melting_Curves/meltCurve_Q13884_SNTB1.pdf", "Melting_Curves/meltCurve_Q13884_SNTB1.pdf")</f>
        <v>Melting_Curves/meltCurve_Q13884_SNTB1.pdf</v>
      </c>
    </row>
    <row r="3117" spans="1:28" x14ac:dyDescent="0.25">
      <c r="A3117" t="s">
        <v>3121</v>
      </c>
      <c r="B3117">
        <v>0.99996721820229495</v>
      </c>
      <c r="C3117">
        <v>1.02141701102058</v>
      </c>
      <c r="D3117">
        <v>1.0370077240786799</v>
      </c>
      <c r="E3117">
        <v>1.1615011541951801</v>
      </c>
      <c r="F3117">
        <v>1.02057837490188</v>
      </c>
      <c r="G3117">
        <v>1.4787010766894799</v>
      </c>
      <c r="H3117">
        <v>0.45341790663897003</v>
      </c>
      <c r="I3117">
        <v>0.14206707153595599</v>
      </c>
      <c r="J3117">
        <v>9.3670277314048506E-2</v>
      </c>
      <c r="K3117">
        <v>7.4510062628925997E-2</v>
      </c>
      <c r="L3117">
        <v>9987.6508687331498</v>
      </c>
      <c r="M3117">
        <v>164.177046399245</v>
      </c>
      <c r="N3117">
        <v>60.920519982566802</v>
      </c>
      <c r="O3117">
        <v>60.825610439733701</v>
      </c>
      <c r="P3117">
        <v>-0.60507404444352098</v>
      </c>
      <c r="Q3117">
        <v>0.103309539601232</v>
      </c>
      <c r="R3117">
        <v>0.88876928144990597</v>
      </c>
      <c r="S3117" t="s">
        <v>8943</v>
      </c>
      <c r="T3117" t="s">
        <v>11650</v>
      </c>
      <c r="U3117" t="s">
        <v>11650</v>
      </c>
      <c r="V3117" t="s">
        <v>11650</v>
      </c>
      <c r="W3117" t="s">
        <v>14721</v>
      </c>
      <c r="X3117">
        <v>32</v>
      </c>
      <c r="Y3117" t="s">
        <v>20416</v>
      </c>
      <c r="Z3117" t="s">
        <v>26179</v>
      </c>
      <c r="AA3117">
        <v>0.726272235502469</v>
      </c>
      <c r="AB3117" t="str">
        <f>HYPERLINK("Melting_Curves/meltCurve_Q13885_TUBB2A.pdf", "Melting_Curves/meltCurve_Q13885_TUBB2A.pdf")</f>
        <v>Melting_Curves/meltCurve_Q13885_TUBB2A.pdf</v>
      </c>
    </row>
    <row r="3118" spans="1:28" x14ac:dyDescent="0.25">
      <c r="A3118" t="s">
        <v>3122</v>
      </c>
      <c r="B3118">
        <v>0.99996721820229495</v>
      </c>
      <c r="C3118">
        <v>0.86551782967699198</v>
      </c>
      <c r="D3118">
        <v>0.76262742997313804</v>
      </c>
      <c r="E3118">
        <v>0.53041943798689695</v>
      </c>
      <c r="F3118">
        <v>0.39485544587742899</v>
      </c>
      <c r="G3118">
        <v>0.246729548158548</v>
      </c>
      <c r="H3118">
        <v>0.178388276645674</v>
      </c>
      <c r="I3118">
        <v>0.178652423060111</v>
      </c>
      <c r="J3118">
        <v>0.11272621205806301</v>
      </c>
      <c r="K3118">
        <v>7.5685223857905395E-2</v>
      </c>
      <c r="L3118">
        <v>588.89795937418501</v>
      </c>
      <c r="M3118">
        <v>11.7616065627059</v>
      </c>
      <c r="N3118">
        <v>50.7550327031378</v>
      </c>
      <c r="O3118">
        <v>48.6878728128627</v>
      </c>
      <c r="P3118">
        <v>-5.5972200598266401E-2</v>
      </c>
      <c r="Q3118">
        <v>7.3440596100507502E-2</v>
      </c>
      <c r="R3118">
        <v>0.99503403360605402</v>
      </c>
      <c r="S3118" t="s">
        <v>8944</v>
      </c>
      <c r="T3118" t="s">
        <v>11650</v>
      </c>
      <c r="U3118" t="s">
        <v>11650</v>
      </c>
      <c r="V3118" t="s">
        <v>11650</v>
      </c>
      <c r="W3118" t="s">
        <v>14722</v>
      </c>
      <c r="X3118">
        <v>4</v>
      </c>
      <c r="Y3118" t="s">
        <v>20417</v>
      </c>
      <c r="Z3118" t="s">
        <v>26180</v>
      </c>
      <c r="AA3118">
        <v>0.41738779008418081</v>
      </c>
      <c r="AB3118" t="str">
        <f>HYPERLINK("Melting_Curves/meltCurve_Q13895_BYSL.pdf", "Melting_Curves/meltCurve_Q13895_BYSL.pdf")</f>
        <v>Melting_Curves/meltCurve_Q13895_BYSL.pdf</v>
      </c>
    </row>
    <row r="3119" spans="1:28" x14ac:dyDescent="0.25">
      <c r="A3119" t="s">
        <v>3123</v>
      </c>
      <c r="B3119">
        <v>0.99996721820229495</v>
      </c>
      <c r="C3119">
        <v>0.99658713412492095</v>
      </c>
      <c r="D3119">
        <v>0.95178241030729804</v>
      </c>
      <c r="E3119">
        <v>0.61542925119965097</v>
      </c>
      <c r="F3119">
        <v>0.324627656857432</v>
      </c>
      <c r="G3119">
        <v>0.28783220802604997</v>
      </c>
      <c r="H3119">
        <v>0.18558558351705101</v>
      </c>
      <c r="I3119">
        <v>0.128070922948852</v>
      </c>
      <c r="J3119">
        <v>0.103688762096766</v>
      </c>
      <c r="K3119">
        <v>8.3188811568844001E-2</v>
      </c>
      <c r="L3119">
        <v>1089.53735186977</v>
      </c>
      <c r="M3119">
        <v>21.511598127963499</v>
      </c>
      <c r="N3119">
        <v>51.350934149749797</v>
      </c>
      <c r="O3119">
        <v>50.217229588409502</v>
      </c>
      <c r="P3119">
        <v>-9.3450932566038994E-2</v>
      </c>
      <c r="Q3119">
        <v>0.127404219935493</v>
      </c>
      <c r="R3119">
        <v>0.98809341671860795</v>
      </c>
      <c r="S3119" t="s">
        <v>8945</v>
      </c>
      <c r="T3119" t="s">
        <v>11650</v>
      </c>
      <c r="U3119" t="s">
        <v>11650</v>
      </c>
      <c r="V3119" t="s">
        <v>11650</v>
      </c>
      <c r="W3119" t="s">
        <v>14723</v>
      </c>
      <c r="X3119">
        <v>8</v>
      </c>
      <c r="Y3119" t="s">
        <v>20418</v>
      </c>
      <c r="Z3119" t="s">
        <v>26181</v>
      </c>
      <c r="AA3119">
        <v>0.44768487622411052</v>
      </c>
      <c r="AB3119" t="str">
        <f>HYPERLINK("Melting_Curves/meltCurve_Q13905_2_RAPGEF1.pdf", "Melting_Curves/meltCurve_Q13905_2_RAPGEF1.pdf")</f>
        <v>Melting_Curves/meltCurve_Q13905_2_RAPGEF1.pdf</v>
      </c>
    </row>
    <row r="3120" spans="1:28" x14ac:dyDescent="0.25">
      <c r="A3120" t="s">
        <v>3124</v>
      </c>
      <c r="B3120">
        <v>0.99996721820229495</v>
      </c>
      <c r="C3120">
        <v>0.96040541280113301</v>
      </c>
      <c r="D3120">
        <v>0.84452919863563103</v>
      </c>
      <c r="E3120">
        <v>0.70662520727696398</v>
      </c>
      <c r="F3120">
        <v>0.88234726250052897</v>
      </c>
      <c r="G3120">
        <v>0.78159208168660699</v>
      </c>
      <c r="H3120">
        <v>0.40734428752005503</v>
      </c>
      <c r="I3120">
        <v>0.20903515911787801</v>
      </c>
      <c r="J3120">
        <v>0.13738570183563001</v>
      </c>
      <c r="K3120">
        <v>9.7980874464543996E-2</v>
      </c>
      <c r="L3120">
        <v>845.17240703158802</v>
      </c>
      <c r="M3120">
        <v>14.2084320616755</v>
      </c>
      <c r="N3120">
        <v>59.483861863710601</v>
      </c>
      <c r="O3120">
        <v>58.3427586489871</v>
      </c>
      <c r="P3120">
        <v>-6.0891047650016003E-2</v>
      </c>
      <c r="Q3120">
        <v>0</v>
      </c>
      <c r="R3120">
        <v>0.91431821956510095</v>
      </c>
      <c r="S3120" t="s">
        <v>8946</v>
      </c>
      <c r="T3120" t="s">
        <v>11650</v>
      </c>
      <c r="U3120" t="s">
        <v>11650</v>
      </c>
      <c r="V3120" t="s">
        <v>11650</v>
      </c>
      <c r="W3120" t="s">
        <v>14724</v>
      </c>
      <c r="X3120">
        <v>15</v>
      </c>
      <c r="Y3120" t="s">
        <v>20419</v>
      </c>
      <c r="Z3120" t="s">
        <v>26182</v>
      </c>
      <c r="AA3120">
        <v>0.6577328678458928</v>
      </c>
      <c r="AB3120" t="str">
        <f>HYPERLINK("Melting_Curves/meltCurve_Q13907_IDI1.pdf", "Melting_Curves/meltCurve_Q13907_IDI1.pdf")</f>
        <v>Melting_Curves/meltCurve_Q13907_IDI1.pdf</v>
      </c>
    </row>
    <row r="3121" spans="1:28" x14ac:dyDescent="0.25">
      <c r="A3121" t="s">
        <v>3125</v>
      </c>
      <c r="B3121">
        <v>0.99996721820229495</v>
      </c>
      <c r="C3121">
        <v>1.14399118168152</v>
      </c>
      <c r="D3121">
        <v>1.1202793830873401</v>
      </c>
      <c r="E3121">
        <v>0.89498049199262997</v>
      </c>
      <c r="F3121">
        <v>0.66341975271064202</v>
      </c>
      <c r="G3121">
        <v>0.45423062703608702</v>
      </c>
      <c r="H3121">
        <v>0.252512329350709</v>
      </c>
      <c r="I3121">
        <v>0.26281330533132102</v>
      </c>
      <c r="J3121">
        <v>0.179485296907234</v>
      </c>
      <c r="K3121">
        <v>0.16224916030543601</v>
      </c>
      <c r="L3121">
        <v>1131.4128864029201</v>
      </c>
      <c r="M3121">
        <v>20.7368713722704</v>
      </c>
      <c r="N3121">
        <v>55.7674124818653</v>
      </c>
      <c r="O3121">
        <v>54.060636630849203</v>
      </c>
      <c r="P3121">
        <v>-7.8560001725278994E-2</v>
      </c>
      <c r="Q3121">
        <v>0.180804995967077</v>
      </c>
      <c r="R3121">
        <v>0.96724891052941797</v>
      </c>
      <c r="S3121" t="s">
        <v>8947</v>
      </c>
      <c r="T3121" t="s">
        <v>11650</v>
      </c>
      <c r="U3121" t="s">
        <v>11650</v>
      </c>
      <c r="V3121" t="s">
        <v>11650</v>
      </c>
      <c r="W3121" t="s">
        <v>14725</v>
      </c>
      <c r="X3121">
        <v>16</v>
      </c>
      <c r="Y3121" t="s">
        <v>20420</v>
      </c>
      <c r="Z3121" t="s">
        <v>26183</v>
      </c>
      <c r="AA3121">
        <v>0.58881119040085717</v>
      </c>
      <c r="AB3121" t="str">
        <f>HYPERLINK("Melting_Curves/meltCurve_Q13951_2_CBFB.pdf", "Melting_Curves/meltCurve_Q13951_2_CBFB.pdf")</f>
        <v>Melting_Curves/meltCurve_Q13951_2_CBFB.pdf</v>
      </c>
    </row>
    <row r="3122" spans="1:28" x14ac:dyDescent="0.25">
      <c r="A3122" t="s">
        <v>3126</v>
      </c>
      <c r="B3122">
        <v>0.99996721820229495</v>
      </c>
      <c r="C3122">
        <v>1.13699225245419</v>
      </c>
      <c r="D3122">
        <v>0.99208505816847503</v>
      </c>
      <c r="E3122">
        <v>0.95732143432271399</v>
      </c>
      <c r="F3122">
        <v>1.03339468053372</v>
      </c>
      <c r="G3122">
        <v>0.57164960941231702</v>
      </c>
      <c r="H3122">
        <v>0.25307825620500801</v>
      </c>
      <c r="I3122">
        <v>0.20330240404444799</v>
      </c>
      <c r="J3122">
        <v>8.3256850152826606E-2</v>
      </c>
      <c r="K3122">
        <v>7.2574450726977796E-2</v>
      </c>
      <c r="L3122">
        <v>1838.78862300845</v>
      </c>
      <c r="M3122">
        <v>32.000161097573603</v>
      </c>
      <c r="N3122">
        <v>57.899385442237801</v>
      </c>
      <c r="O3122">
        <v>57.238846965026603</v>
      </c>
      <c r="P3122">
        <v>-0.124755009357189</v>
      </c>
      <c r="Q3122">
        <v>0.107404871787807</v>
      </c>
      <c r="R3122">
        <v>0.978706516162692</v>
      </c>
      <c r="S3122" t="s">
        <v>8948</v>
      </c>
      <c r="T3122" t="s">
        <v>11650</v>
      </c>
      <c r="U3122" t="s">
        <v>11650</v>
      </c>
      <c r="V3122" t="s">
        <v>11650</v>
      </c>
      <c r="W3122" t="s">
        <v>14726</v>
      </c>
      <c r="X3122">
        <v>4</v>
      </c>
      <c r="Y3122" t="s">
        <v>20421</v>
      </c>
      <c r="Z3122" t="s">
        <v>26184</v>
      </c>
      <c r="AA3122">
        <v>0.63224089084617707</v>
      </c>
      <c r="AB3122" t="str">
        <f>HYPERLINK("Melting_Curves/meltCurve_Q13952_3_NFYC.pdf", "Melting_Curves/meltCurve_Q13952_3_NFYC.pdf")</f>
        <v>Melting_Curves/meltCurve_Q13952_3_NFYC.pdf</v>
      </c>
    </row>
    <row r="3123" spans="1:28" x14ac:dyDescent="0.25">
      <c r="A3123" t="s">
        <v>3127</v>
      </c>
      <c r="B3123">
        <v>0.99996721820229495</v>
      </c>
      <c r="C3123">
        <v>0.92457681068937003</v>
      </c>
      <c r="D3123">
        <v>0.99580510449960402</v>
      </c>
      <c r="E3123">
        <v>0.90765414047734205</v>
      </c>
      <c r="F3123">
        <v>0.58543977943766101</v>
      </c>
      <c r="G3123">
        <v>0.43564941265491303</v>
      </c>
      <c r="H3123">
        <v>0.279020831019344</v>
      </c>
      <c r="I3123">
        <v>0.20996381523322</v>
      </c>
      <c r="J3123">
        <v>0.18708248159497201</v>
      </c>
      <c r="K3123">
        <v>0.137671527645815</v>
      </c>
      <c r="L3123">
        <v>936.98542411863195</v>
      </c>
      <c r="M3123">
        <v>17.2608356853735</v>
      </c>
      <c r="N3123">
        <v>55.419342686906099</v>
      </c>
      <c r="O3123">
        <v>53.570973219399797</v>
      </c>
      <c r="P3123">
        <v>-6.8558092633439996E-2</v>
      </c>
      <c r="Q3123">
        <v>0.14893770047968</v>
      </c>
      <c r="R3123">
        <v>0.98492131487527901</v>
      </c>
      <c r="S3123" t="s">
        <v>8949</v>
      </c>
      <c r="T3123" t="s">
        <v>11650</v>
      </c>
      <c r="U3123" t="s">
        <v>11650</v>
      </c>
      <c r="V3123" t="s">
        <v>11650</v>
      </c>
      <c r="W3123" t="s">
        <v>14727</v>
      </c>
      <c r="X3123">
        <v>15</v>
      </c>
      <c r="Y3123" t="s">
        <v>20422</v>
      </c>
      <c r="Z3123" t="s">
        <v>26185</v>
      </c>
      <c r="AA3123">
        <v>0.56848667324039581</v>
      </c>
      <c r="AB3123" t="str">
        <f>HYPERLINK("Melting_Curves/meltCurve_Q13976_2_PRKG1.pdf", "Melting_Curves/meltCurve_Q13976_2_PRKG1.pdf")</f>
        <v>Melting_Curves/meltCurve_Q13976_2_PRKG1.pdf</v>
      </c>
    </row>
    <row r="3124" spans="1:28" x14ac:dyDescent="0.25">
      <c r="A3124" t="s">
        <v>3128</v>
      </c>
      <c r="B3124">
        <v>0.99996721820229495</v>
      </c>
      <c r="C3124">
        <v>1.02925183623649</v>
      </c>
      <c r="D3124">
        <v>0.94454179402074101</v>
      </c>
      <c r="E3124">
        <v>0.62029981813748802</v>
      </c>
      <c r="F3124">
        <v>0.47701294779742598</v>
      </c>
      <c r="G3124">
        <v>0.395114272773673</v>
      </c>
      <c r="H3124">
        <v>0.25743250269770601</v>
      </c>
      <c r="I3124">
        <v>0.184194417297536</v>
      </c>
      <c r="J3124">
        <v>0.13694725686241699</v>
      </c>
      <c r="K3124">
        <v>0.11093414858678501</v>
      </c>
      <c r="L3124">
        <v>724.16890710986695</v>
      </c>
      <c r="M3124">
        <v>13.8730140449551</v>
      </c>
      <c r="N3124">
        <v>53.2362357310788</v>
      </c>
      <c r="O3124">
        <v>51.151072383171602</v>
      </c>
      <c r="P3124">
        <v>-5.9788298870093202E-2</v>
      </c>
      <c r="Q3124">
        <v>0.118341179232916</v>
      </c>
      <c r="R3124">
        <v>0.98121611058603597</v>
      </c>
      <c r="S3124" t="s">
        <v>8950</v>
      </c>
      <c r="T3124" t="s">
        <v>11650</v>
      </c>
      <c r="U3124" t="s">
        <v>11650</v>
      </c>
      <c r="V3124" t="s">
        <v>11650</v>
      </c>
      <c r="W3124" t="s">
        <v>14728</v>
      </c>
      <c r="X3124">
        <v>19</v>
      </c>
      <c r="Y3124" t="s">
        <v>20423</v>
      </c>
      <c r="Z3124" t="s">
        <v>26186</v>
      </c>
      <c r="AA3124">
        <v>0.49881168286149807</v>
      </c>
      <c r="AB3124" t="str">
        <f>HYPERLINK("Melting_Curves/meltCurve_Q14008_2_CKAP5.pdf", "Melting_Curves/meltCurve_Q14008_2_CKAP5.pdf")</f>
        <v>Melting_Curves/meltCurve_Q14008_2_CKAP5.pdf</v>
      </c>
    </row>
    <row r="3125" spans="1:28" x14ac:dyDescent="0.25">
      <c r="A3125" t="s">
        <v>3129</v>
      </c>
      <c r="B3125">
        <v>0.99996721820229495</v>
      </c>
      <c r="C3125">
        <v>0.92984074769439196</v>
      </c>
      <c r="D3125">
        <v>0.98131709591569105</v>
      </c>
      <c r="E3125">
        <v>0.99809404350136199</v>
      </c>
      <c r="F3125">
        <v>0.78909664440395699</v>
      </c>
      <c r="G3125">
        <v>0.82880472473217504</v>
      </c>
      <c r="H3125">
        <v>0.73404995136246198</v>
      </c>
      <c r="I3125">
        <v>0.49830849784548997</v>
      </c>
      <c r="J3125">
        <v>0.30978511775011802</v>
      </c>
      <c r="K3125">
        <v>0.46767563568751502</v>
      </c>
      <c r="L3125">
        <v>711.39367542580896</v>
      </c>
      <c r="M3125">
        <v>11.471282624129399</v>
      </c>
      <c r="N3125">
        <v>65.030384843799496</v>
      </c>
      <c r="O3125">
        <v>60.2203575374933</v>
      </c>
      <c r="P3125">
        <v>-3.7810904101073302E-2</v>
      </c>
      <c r="Q3125">
        <v>0.20625014835216501</v>
      </c>
      <c r="R3125">
        <v>0.89736630056966105</v>
      </c>
      <c r="S3125" t="s">
        <v>8951</v>
      </c>
      <c r="T3125" t="s">
        <v>11650</v>
      </c>
      <c r="U3125" t="s">
        <v>11650</v>
      </c>
      <c r="V3125" t="s">
        <v>11650</v>
      </c>
      <c r="W3125" t="s">
        <v>14729</v>
      </c>
      <c r="X3125">
        <v>6</v>
      </c>
      <c r="Y3125" t="s">
        <v>20424</v>
      </c>
      <c r="Z3125" t="s">
        <v>26187</v>
      </c>
      <c r="AA3125">
        <v>0.77788975673100957</v>
      </c>
      <c r="AB3125" t="str">
        <f>HYPERLINK("Melting_Curves/meltCurve_Q14011_CIRBP.pdf", "Melting_Curves/meltCurve_Q14011_CIRBP.pdf")</f>
        <v>Melting_Curves/meltCurve_Q14011_CIRBP.pdf</v>
      </c>
    </row>
    <row r="3126" spans="1:28" x14ac:dyDescent="0.25">
      <c r="A3126" t="s">
        <v>3130</v>
      </c>
      <c r="B3126">
        <v>0.99996721820229495</v>
      </c>
      <c r="C3126">
        <v>1.0984798903889199</v>
      </c>
      <c r="D3126">
        <v>1.02621822749837</v>
      </c>
      <c r="E3126">
        <v>1.0640286864470201</v>
      </c>
      <c r="F3126">
        <v>0.79267040586464599</v>
      </c>
      <c r="G3126">
        <v>0.61373578017492803</v>
      </c>
      <c r="H3126">
        <v>0.28992315375691602</v>
      </c>
      <c r="I3126">
        <v>0.17340665357153701</v>
      </c>
      <c r="J3126">
        <v>0.13735098586299799</v>
      </c>
      <c r="K3126">
        <v>9.7638035274509996E-2</v>
      </c>
      <c r="L3126">
        <v>1205.53306067168</v>
      </c>
      <c r="M3126">
        <v>20.946134555987101</v>
      </c>
      <c r="N3126">
        <v>58.042726778173503</v>
      </c>
      <c r="O3126">
        <v>57.037085781421702</v>
      </c>
      <c r="P3126">
        <v>-8.4388652909890505E-2</v>
      </c>
      <c r="Q3126">
        <v>8.0851541388481496E-2</v>
      </c>
      <c r="R3126">
        <v>0.98231666841749998</v>
      </c>
      <c r="S3126" t="s">
        <v>8952</v>
      </c>
      <c r="T3126" t="s">
        <v>11650</v>
      </c>
      <c r="U3126" t="s">
        <v>11650</v>
      </c>
      <c r="V3126" t="s">
        <v>11650</v>
      </c>
      <c r="W3126" t="s">
        <v>14730</v>
      </c>
      <c r="X3126">
        <v>14</v>
      </c>
      <c r="Y3126" t="s">
        <v>20425</v>
      </c>
      <c r="Z3126" t="s">
        <v>26188</v>
      </c>
      <c r="AA3126">
        <v>0.62895435564790925</v>
      </c>
      <c r="AB3126" t="str">
        <f>HYPERLINK("Melting_Curves/meltCurve_Q14012_CAMK1.pdf", "Melting_Curves/meltCurve_Q14012_CAMK1.pdf")</f>
        <v>Melting_Curves/meltCurve_Q14012_CAMK1.pdf</v>
      </c>
    </row>
    <row r="3127" spans="1:28" x14ac:dyDescent="0.25">
      <c r="A3127" t="s">
        <v>3131</v>
      </c>
      <c r="B3127">
        <v>0.99996721820229495</v>
      </c>
      <c r="C3127">
        <v>1.01243158219644</v>
      </c>
      <c r="D3127">
        <v>0.92430968061714702</v>
      </c>
      <c r="E3127">
        <v>0.86075393010247803</v>
      </c>
      <c r="F3127">
        <v>0.78747320649450903</v>
      </c>
      <c r="G3127">
        <v>0.44812830534986098</v>
      </c>
      <c r="H3127">
        <v>0.22424766998423301</v>
      </c>
      <c r="I3127">
        <v>0.13191475879921299</v>
      </c>
      <c r="J3127">
        <v>7.6126200087427098E-2</v>
      </c>
      <c r="K3127">
        <v>6.3537344130735196E-2</v>
      </c>
      <c r="L3127">
        <v>936.66592963958499</v>
      </c>
      <c r="M3127">
        <v>16.627373550607601</v>
      </c>
      <c r="N3127">
        <v>56.439404594835601</v>
      </c>
      <c r="O3127">
        <v>55.536856308376699</v>
      </c>
      <c r="P3127">
        <v>-7.3695877372148402E-2</v>
      </c>
      <c r="Q3127">
        <v>1.54641079597224E-2</v>
      </c>
      <c r="R3127">
        <v>0.99563735278968202</v>
      </c>
      <c r="S3127" t="s">
        <v>8953</v>
      </c>
      <c r="T3127" t="s">
        <v>11650</v>
      </c>
      <c r="U3127" t="s">
        <v>11650</v>
      </c>
      <c r="V3127" t="s">
        <v>11650</v>
      </c>
      <c r="W3127" t="s">
        <v>14731</v>
      </c>
      <c r="X3127">
        <v>18</v>
      </c>
      <c r="Y3127" t="s">
        <v>20426</v>
      </c>
      <c r="Z3127" t="s">
        <v>26189</v>
      </c>
      <c r="AA3127">
        <v>0.56690775878801913</v>
      </c>
      <c r="AB3127" t="str">
        <f>HYPERLINK("Melting_Curves/meltCurve_Q14019_COTL1.pdf", "Melting_Curves/meltCurve_Q14019_COTL1.pdf")</f>
        <v>Melting_Curves/meltCurve_Q14019_COTL1.pdf</v>
      </c>
    </row>
    <row r="3128" spans="1:28" x14ac:dyDescent="0.25">
      <c r="A3128" t="s">
        <v>3132</v>
      </c>
      <c r="B3128">
        <v>0.99996721820229495</v>
      </c>
      <c r="C3128">
        <v>1.2396458820499101</v>
      </c>
      <c r="D3128">
        <v>1.1598312236638699</v>
      </c>
      <c r="E3128">
        <v>1.1182160371702099</v>
      </c>
      <c r="F3128">
        <v>1.4409852185729899</v>
      </c>
      <c r="G3128">
        <v>2.03342005246911</v>
      </c>
      <c r="H3128">
        <v>1.64342001025952</v>
      </c>
      <c r="I3128">
        <v>1.63400652312612</v>
      </c>
      <c r="J3128">
        <v>1.4184412268520401</v>
      </c>
      <c r="K3128">
        <v>0.92204997372623199</v>
      </c>
      <c r="L3128">
        <v>3167.3410894825602</v>
      </c>
      <c r="M3128">
        <v>62.151227968189801</v>
      </c>
      <c r="O3128">
        <v>50.909139016303001</v>
      </c>
      <c r="P3128">
        <v>0.15260330546265799</v>
      </c>
      <c r="Q3128">
        <v>1.5</v>
      </c>
      <c r="R3128">
        <v>0.29027093056817499</v>
      </c>
      <c r="S3128" t="s">
        <v>8954</v>
      </c>
      <c r="T3128" t="s">
        <v>11650</v>
      </c>
      <c r="U3128" t="s">
        <v>11650</v>
      </c>
      <c r="V3128" t="s">
        <v>11650</v>
      </c>
      <c r="W3128" t="s">
        <v>14732</v>
      </c>
      <c r="X3128">
        <v>5</v>
      </c>
      <c r="Y3128" t="s">
        <v>20427</v>
      </c>
      <c r="Z3128" t="s">
        <v>26190</v>
      </c>
      <c r="AA3128">
        <v>1.316576626707316</v>
      </c>
      <c r="AB3128" t="str">
        <f>HYPERLINK("Melting_Curves/meltCurve_Q14061_COX17.pdf", "Melting_Curves/meltCurve_Q14061_COX17.pdf")</f>
        <v>Melting_Curves/meltCurve_Q14061_COX17.pdf</v>
      </c>
    </row>
    <row r="3129" spans="1:28" x14ac:dyDescent="0.25">
      <c r="A3129" t="s">
        <v>3133</v>
      </c>
      <c r="B3129">
        <v>0.99996721820229495</v>
      </c>
      <c r="C3129">
        <v>1.00614262616459</v>
      </c>
      <c r="D3129">
        <v>0.96526535702553995</v>
      </c>
      <c r="E3129">
        <v>1.5762155387097001</v>
      </c>
      <c r="F3129">
        <v>2.0776445321393999</v>
      </c>
      <c r="G3129">
        <v>2.5108246133633698</v>
      </c>
      <c r="H3129">
        <v>2.3256878687336999</v>
      </c>
      <c r="I3129">
        <v>2.52468948142362</v>
      </c>
      <c r="J3129">
        <v>1.1076363010089301</v>
      </c>
      <c r="K3129">
        <v>1.19544721811633</v>
      </c>
      <c r="L3129">
        <v>11962.3524875</v>
      </c>
      <c r="M3129">
        <v>250</v>
      </c>
      <c r="O3129">
        <v>47.846347934556903</v>
      </c>
      <c r="P3129">
        <v>0.653132399960481</v>
      </c>
      <c r="Q3129">
        <v>1.5</v>
      </c>
      <c r="R3129">
        <v>0.15489290558448099</v>
      </c>
      <c r="S3129" t="s">
        <v>8955</v>
      </c>
      <c r="T3129" t="s">
        <v>11650</v>
      </c>
      <c r="U3129" t="s">
        <v>11650</v>
      </c>
      <c r="V3129" t="s">
        <v>11650</v>
      </c>
      <c r="W3129" t="s">
        <v>14733</v>
      </c>
      <c r="X3129">
        <v>15</v>
      </c>
      <c r="Y3129" t="s">
        <v>17581</v>
      </c>
      <c r="Z3129" t="s">
        <v>26191</v>
      </c>
      <c r="AA3129">
        <v>1.3691345133484529</v>
      </c>
      <c r="AB3129" t="str">
        <f>HYPERLINK("Melting_Curves/meltCurve_Q14103_3_HNRNPD.pdf", "Melting_Curves/meltCurve_Q14103_3_HNRNPD.pdf")</f>
        <v>Melting_Curves/meltCurve_Q14103_3_HNRNPD.pdf</v>
      </c>
    </row>
    <row r="3130" spans="1:28" x14ac:dyDescent="0.25">
      <c r="A3130" t="s">
        <v>3134</v>
      </c>
      <c r="B3130">
        <v>0.99996721820229495</v>
      </c>
      <c r="C3130">
        <v>0.88872215673560295</v>
      </c>
      <c r="D3130">
        <v>1.0726360269977699</v>
      </c>
      <c r="E3130">
        <v>1.14766486654944</v>
      </c>
      <c r="F3130">
        <v>1.5199302327220601</v>
      </c>
      <c r="G3130">
        <v>1.6698439358932</v>
      </c>
      <c r="H3130">
        <v>1.31415691711194</v>
      </c>
      <c r="I3130">
        <v>0.73273707187936099</v>
      </c>
      <c r="J3130">
        <v>0.35539206844092502</v>
      </c>
      <c r="K3130">
        <v>0.43750865300033798</v>
      </c>
      <c r="L3130">
        <v>15000</v>
      </c>
      <c r="M3130">
        <v>234.14521248516499</v>
      </c>
      <c r="N3130">
        <v>64.496510133131594</v>
      </c>
      <c r="O3130">
        <v>64.058135390455405</v>
      </c>
      <c r="P3130">
        <v>-0.55153214600516098</v>
      </c>
      <c r="Q3130">
        <v>0.39644085922369798</v>
      </c>
      <c r="R3130">
        <v>0.48115774663062399</v>
      </c>
      <c r="S3130" t="s">
        <v>8956</v>
      </c>
      <c r="T3130" t="s">
        <v>11650</v>
      </c>
      <c r="U3130" t="s">
        <v>11650</v>
      </c>
      <c r="V3130" t="s">
        <v>11650</v>
      </c>
      <c r="W3130" t="s">
        <v>14734</v>
      </c>
      <c r="X3130">
        <v>14</v>
      </c>
      <c r="Y3130" t="s">
        <v>20428</v>
      </c>
      <c r="Z3130" t="s">
        <v>26192</v>
      </c>
      <c r="AA3130">
        <v>0.88062916214033893</v>
      </c>
      <c r="AB3130" t="str">
        <f>HYPERLINK("Melting_Curves/meltCurve_Q14108_SCARB2.pdf", "Melting_Curves/meltCurve_Q14108_SCARB2.pdf")</f>
        <v>Melting_Curves/meltCurve_Q14108_SCARB2.pdf</v>
      </c>
    </row>
    <row r="3131" spans="1:28" x14ac:dyDescent="0.25">
      <c r="A3131" t="s">
        <v>3135</v>
      </c>
      <c r="B3131">
        <v>0.99996721820229495</v>
      </c>
      <c r="C3131">
        <v>0.86462642660869604</v>
      </c>
      <c r="D3131">
        <v>0.83650319333164103</v>
      </c>
      <c r="E3131">
        <v>0.71450052938720499</v>
      </c>
      <c r="F3131">
        <v>0.80086894023394795</v>
      </c>
      <c r="G3131">
        <v>0.51405820438774097</v>
      </c>
      <c r="H3131">
        <v>0.35308471167418898</v>
      </c>
      <c r="I3131">
        <v>0.27731299317533498</v>
      </c>
      <c r="J3131">
        <v>0.19216367168496601</v>
      </c>
      <c r="K3131">
        <v>0.25831161569476202</v>
      </c>
      <c r="L3131">
        <v>452.80577034599497</v>
      </c>
      <c r="M3131">
        <v>7.8819529419077403</v>
      </c>
      <c r="N3131">
        <v>57.448439812062198</v>
      </c>
      <c r="O3131">
        <v>54.103109625981197</v>
      </c>
      <c r="P3131">
        <v>-3.6464523086947503E-2</v>
      </c>
      <c r="Q3131">
        <v>0</v>
      </c>
      <c r="R3131">
        <v>0.95087292425135905</v>
      </c>
      <c r="S3131" t="s">
        <v>8957</v>
      </c>
      <c r="T3131" t="s">
        <v>11650</v>
      </c>
      <c r="U3131" t="s">
        <v>11650</v>
      </c>
      <c r="V3131" t="s">
        <v>11650</v>
      </c>
      <c r="W3131" t="s">
        <v>14735</v>
      </c>
      <c r="X3131">
        <v>2</v>
      </c>
      <c r="Y3131" t="s">
        <v>20429</v>
      </c>
      <c r="Z3131" t="s">
        <v>26193</v>
      </c>
      <c r="AA3131">
        <v>0.58947383878535897</v>
      </c>
      <c r="AB3131" t="str">
        <f>HYPERLINK("Melting_Curves/meltCurve_Q14112_2_NID2.pdf", "Melting_Curves/meltCurve_Q14112_2_NID2.pdf")</f>
        <v>Melting_Curves/meltCurve_Q14112_2_NID2.pdf</v>
      </c>
    </row>
    <row r="3132" spans="1:28" x14ac:dyDescent="0.25">
      <c r="A3132" t="s">
        <v>3136</v>
      </c>
      <c r="B3132">
        <v>0.99996721820229495</v>
      </c>
      <c r="C3132">
        <v>1.0214568264208399</v>
      </c>
      <c r="D3132">
        <v>1.00415994891017</v>
      </c>
      <c r="E3132">
        <v>0.91052045907831003</v>
      </c>
      <c r="F3132">
        <v>1.1060239483821399</v>
      </c>
      <c r="G3132">
        <v>1.3821038514386299</v>
      </c>
      <c r="H3132">
        <v>1.01300464500681</v>
      </c>
      <c r="I3132">
        <v>0.64758473185453602</v>
      </c>
      <c r="J3132">
        <v>0.39259422292891</v>
      </c>
      <c r="K3132">
        <v>0.31155227322996198</v>
      </c>
      <c r="L3132">
        <v>4949.8216159738404</v>
      </c>
      <c r="M3132">
        <v>77.441408137865196</v>
      </c>
      <c r="N3132">
        <v>64.876055811957301</v>
      </c>
      <c r="O3132">
        <v>63.874405016987602</v>
      </c>
      <c r="P3132">
        <v>-0.19978569042435201</v>
      </c>
      <c r="Q3132">
        <v>0.34085960154804401</v>
      </c>
      <c r="R3132">
        <v>0.82898777348445596</v>
      </c>
      <c r="S3132" t="s">
        <v>8958</v>
      </c>
      <c r="T3132" t="s">
        <v>11650</v>
      </c>
      <c r="U3132" t="s">
        <v>11650</v>
      </c>
      <c r="V3132" t="s">
        <v>11650</v>
      </c>
      <c r="W3132" t="s">
        <v>14736</v>
      </c>
      <c r="X3132">
        <v>6</v>
      </c>
      <c r="Y3132" t="s">
        <v>20430</v>
      </c>
      <c r="Z3132" t="s">
        <v>26194</v>
      </c>
      <c r="AA3132">
        <v>0.86709347422078364</v>
      </c>
      <c r="AB3132" t="str">
        <f>HYPERLINK("Melting_Curves/meltCurve_Q14114_4_LRP8.pdf", "Melting_Curves/meltCurve_Q14114_4_LRP8.pdf")</f>
        <v>Melting_Curves/meltCurve_Q14114_4_LRP8.pdf</v>
      </c>
    </row>
    <row r="3133" spans="1:28" x14ac:dyDescent="0.25">
      <c r="A3133" t="s">
        <v>3137</v>
      </c>
      <c r="B3133">
        <v>0.99996721820229495</v>
      </c>
      <c r="C3133">
        <v>0.84131129193384402</v>
      </c>
      <c r="D3133">
        <v>0.90692007057935597</v>
      </c>
      <c r="E3133">
        <v>1.1877683653694899</v>
      </c>
      <c r="F3133">
        <v>1.51631159909559</v>
      </c>
      <c r="G3133">
        <v>1.4610409930359001</v>
      </c>
      <c r="H3133">
        <v>1.2311950030226599</v>
      </c>
      <c r="I3133">
        <v>1.00575476392439</v>
      </c>
      <c r="J3133">
        <v>0.86540739937190903</v>
      </c>
      <c r="K3133">
        <v>0.70198767152225705</v>
      </c>
      <c r="L3133">
        <v>15000</v>
      </c>
      <c r="M3133">
        <v>223.68636895214101</v>
      </c>
      <c r="O3133">
        <v>67.052811651003694</v>
      </c>
      <c r="P3133">
        <v>-0.24856089031953599</v>
      </c>
      <c r="Q3133">
        <v>0.70196292658278903</v>
      </c>
      <c r="R3133">
        <v>8.4337766986048696E-2</v>
      </c>
      <c r="S3133" t="s">
        <v>8959</v>
      </c>
      <c r="T3133" t="s">
        <v>11650</v>
      </c>
      <c r="U3133" t="s">
        <v>11650</v>
      </c>
      <c r="V3133" t="s">
        <v>11650</v>
      </c>
      <c r="W3133" t="s">
        <v>14737</v>
      </c>
      <c r="X3133">
        <v>14</v>
      </c>
      <c r="Y3133" t="s">
        <v>20431</v>
      </c>
      <c r="Z3133" t="s">
        <v>26195</v>
      </c>
      <c r="AA3133">
        <v>0.9708177946024007</v>
      </c>
      <c r="AB3133" t="str">
        <f>HYPERLINK("Melting_Curves/meltCurve_Q14118_DAG1.pdf", "Melting_Curves/meltCurve_Q14118_DAG1.pdf")</f>
        <v>Melting_Curves/meltCurve_Q14118_DAG1.pdf</v>
      </c>
    </row>
    <row r="3134" spans="1:28" x14ac:dyDescent="0.25">
      <c r="A3134" t="s">
        <v>3138</v>
      </c>
      <c r="B3134">
        <v>0.99996721820229495</v>
      </c>
      <c r="C3134">
        <v>1.0449362360438099</v>
      </c>
      <c r="D3134">
        <v>1.0908743757189301</v>
      </c>
      <c r="E3134">
        <v>1.2447466220674801</v>
      </c>
      <c r="F3134">
        <v>1.50851076218113</v>
      </c>
      <c r="G3134">
        <v>1.64223793453974</v>
      </c>
      <c r="H3134">
        <v>0.64957952128073204</v>
      </c>
      <c r="I3134">
        <v>0.261911447000164</v>
      </c>
      <c r="J3134">
        <v>0.19082929366773899</v>
      </c>
      <c r="K3134">
        <v>0.148252125073807</v>
      </c>
      <c r="L3134">
        <v>6059.4247946171399</v>
      </c>
      <c r="M3134">
        <v>99.0537495530819</v>
      </c>
      <c r="N3134">
        <v>61.482369930067797</v>
      </c>
      <c r="O3134">
        <v>61.148180391935099</v>
      </c>
      <c r="P3134">
        <v>-0.32551527187702201</v>
      </c>
      <c r="Q3134">
        <v>0.19620754082160199</v>
      </c>
      <c r="R3134">
        <v>0.71695559015600996</v>
      </c>
      <c r="S3134" t="s">
        <v>8960</v>
      </c>
      <c r="T3134" t="s">
        <v>11650</v>
      </c>
      <c r="U3134" t="s">
        <v>11650</v>
      </c>
      <c r="V3134" t="s">
        <v>11650</v>
      </c>
      <c r="W3134" t="s">
        <v>14738</v>
      </c>
      <c r="X3134">
        <v>4</v>
      </c>
      <c r="Y3134" t="s">
        <v>20432</v>
      </c>
      <c r="Z3134" t="s">
        <v>26196</v>
      </c>
      <c r="AA3134">
        <v>0.76405036787060432</v>
      </c>
      <c r="AB3134" t="str">
        <f>HYPERLINK("Melting_Curves/meltCurve_Q14123_2_PDE1C.pdf", "Melting_Curves/meltCurve_Q14123_2_PDE1C.pdf")</f>
        <v>Melting_Curves/meltCurve_Q14123_2_PDE1C.pdf</v>
      </c>
    </row>
    <row r="3135" spans="1:28" x14ac:dyDescent="0.25">
      <c r="A3135" t="s">
        <v>3139</v>
      </c>
      <c r="B3135">
        <v>0.99996721820229495</v>
      </c>
      <c r="C3135">
        <v>0.89928872723193698</v>
      </c>
      <c r="D3135">
        <v>0.93359519229057397</v>
      </c>
      <c r="E3135">
        <v>0.56799803037713303</v>
      </c>
      <c r="F3135">
        <v>0.50270120186165601</v>
      </c>
      <c r="G3135">
        <v>0.36537913878089001</v>
      </c>
      <c r="H3135">
        <v>0.22526903470408599</v>
      </c>
      <c r="I3135">
        <v>0.159981454291488</v>
      </c>
      <c r="J3135">
        <v>0.12081818616976001</v>
      </c>
      <c r="K3135">
        <v>9.6343397858442703E-2</v>
      </c>
      <c r="L3135">
        <v>600.57065937246102</v>
      </c>
      <c r="M3135">
        <v>11.456898929402</v>
      </c>
      <c r="N3135">
        <v>52.9839569642755</v>
      </c>
      <c r="O3135">
        <v>50.899232265880897</v>
      </c>
      <c r="P3135">
        <v>-5.3057604050958398E-2</v>
      </c>
      <c r="Q3135">
        <v>5.7401903701529498E-2</v>
      </c>
      <c r="R3135">
        <v>0.98222140167261995</v>
      </c>
      <c r="S3135" t="s">
        <v>8961</v>
      </c>
      <c r="T3135" t="s">
        <v>11650</v>
      </c>
      <c r="U3135" t="s">
        <v>11650</v>
      </c>
      <c r="V3135" t="s">
        <v>11650</v>
      </c>
      <c r="W3135" t="s">
        <v>14739</v>
      </c>
      <c r="X3135">
        <v>15</v>
      </c>
      <c r="Y3135" t="s">
        <v>20433</v>
      </c>
      <c r="Z3135" t="s">
        <v>26197</v>
      </c>
      <c r="AA3135">
        <v>0.47724664996754212</v>
      </c>
      <c r="AB3135" t="str">
        <f>HYPERLINK("Melting_Curves/meltCurve_Q14139_UBE4A.pdf", "Melting_Curves/meltCurve_Q14139_UBE4A.pdf")</f>
        <v>Melting_Curves/meltCurve_Q14139_UBE4A.pdf</v>
      </c>
    </row>
    <row r="3136" spans="1:28" x14ac:dyDescent="0.25">
      <c r="A3136" t="s">
        <v>3140</v>
      </c>
      <c r="B3136">
        <v>0.99996721820229495</v>
      </c>
      <c r="C3136">
        <v>1.36372435584757</v>
      </c>
      <c r="D3136">
        <v>1.2626706443242199</v>
      </c>
      <c r="E3136">
        <v>1.19683592729412</v>
      </c>
      <c r="F3136">
        <v>1.4785748991921099</v>
      </c>
      <c r="G3136">
        <v>2.3988332722595498</v>
      </c>
      <c r="H3136">
        <v>1.67558686304462</v>
      </c>
      <c r="I3136">
        <v>1.7878896729749201</v>
      </c>
      <c r="J3136">
        <v>1.5424819451004901</v>
      </c>
      <c r="K3136">
        <v>1.2980995898043799</v>
      </c>
      <c r="L3136">
        <v>796.90745651088503</v>
      </c>
      <c r="M3136">
        <v>18.257732938399599</v>
      </c>
      <c r="O3136">
        <v>43.134152828389503</v>
      </c>
      <c r="P3136">
        <v>5.2912203942757502E-2</v>
      </c>
      <c r="Q3136">
        <v>1.5</v>
      </c>
      <c r="R3136">
        <v>0.21527336399768199</v>
      </c>
      <c r="S3136" t="s">
        <v>8962</v>
      </c>
      <c r="T3136" t="s">
        <v>11650</v>
      </c>
      <c r="U3136" t="s">
        <v>11650</v>
      </c>
      <c r="V3136" t="s">
        <v>11650</v>
      </c>
      <c r="W3136" t="s">
        <v>14740</v>
      </c>
      <c r="X3136">
        <v>10</v>
      </c>
      <c r="Y3136" t="s">
        <v>20434</v>
      </c>
      <c r="Z3136" t="s">
        <v>26198</v>
      </c>
      <c r="AA3136">
        <v>1.426557733032054</v>
      </c>
      <c r="AB3136" t="str">
        <f>HYPERLINK("Melting_Curves/meltCurve_Q14151_SAFB2.pdf", "Melting_Curves/meltCurve_Q14151_SAFB2.pdf")</f>
        <v>Melting_Curves/meltCurve_Q14151_SAFB2.pdf</v>
      </c>
    </row>
    <row r="3137" spans="1:28" x14ac:dyDescent="0.25">
      <c r="A3137" t="s">
        <v>3141</v>
      </c>
      <c r="B3137">
        <v>0.99996721820229495</v>
      </c>
      <c r="C3137">
        <v>0.88840365510492703</v>
      </c>
      <c r="D3137">
        <v>0.96767655518762996</v>
      </c>
      <c r="E3137">
        <v>1.0787711690839501</v>
      </c>
      <c r="F3137">
        <v>1.0522554315152699</v>
      </c>
      <c r="G3137">
        <v>0.95937906243994597</v>
      </c>
      <c r="H3137">
        <v>0.75128875034017095</v>
      </c>
      <c r="I3137">
        <v>0.80422160973614198</v>
      </c>
      <c r="J3137">
        <v>0.54024916003708701</v>
      </c>
      <c r="K3137">
        <v>0.42110975201192002</v>
      </c>
      <c r="L3137">
        <v>1010.98888718893</v>
      </c>
      <c r="M3137">
        <v>14.9326577656071</v>
      </c>
      <c r="N3137">
        <v>68.308593671721795</v>
      </c>
      <c r="O3137">
        <v>66.523823465721506</v>
      </c>
      <c r="P3137">
        <v>-5.2645042519425998E-2</v>
      </c>
      <c r="Q3137">
        <v>6.1978263731604401E-2</v>
      </c>
      <c r="R3137">
        <v>0.90367459670952499</v>
      </c>
      <c r="S3137" t="s">
        <v>8963</v>
      </c>
      <c r="T3137" t="s">
        <v>11650</v>
      </c>
      <c r="U3137" t="s">
        <v>11650</v>
      </c>
      <c r="V3137" t="s">
        <v>11650</v>
      </c>
      <c r="W3137" t="s">
        <v>14741</v>
      </c>
      <c r="X3137">
        <v>44</v>
      </c>
      <c r="Y3137" t="s">
        <v>20435</v>
      </c>
      <c r="Z3137" t="s">
        <v>26199</v>
      </c>
      <c r="AA3137">
        <v>0.87433394237772277</v>
      </c>
      <c r="AB3137" t="str">
        <f>HYPERLINK("Melting_Curves/meltCurve_Q14152_EIF3A.pdf", "Melting_Curves/meltCurve_Q14152_EIF3A.pdf")</f>
        <v>Melting_Curves/meltCurve_Q14152_EIF3A.pdf</v>
      </c>
    </row>
    <row r="3138" spans="1:28" x14ac:dyDescent="0.25">
      <c r="A3138" t="s">
        <v>3142</v>
      </c>
      <c r="B3138">
        <v>0.99996721820229495</v>
      </c>
      <c r="C3138">
        <v>1.00419521614142</v>
      </c>
      <c r="D3138">
        <v>0.95270156970279696</v>
      </c>
      <c r="E3138">
        <v>1.02266696665324</v>
      </c>
      <c r="F3138">
        <v>1.3023567052718701</v>
      </c>
      <c r="G3138">
        <v>1.69718110908863</v>
      </c>
      <c r="H3138">
        <v>1.3258386216512299</v>
      </c>
      <c r="I3138">
        <v>1.45450928163816</v>
      </c>
      <c r="J3138">
        <v>1.7196947479761899</v>
      </c>
      <c r="K3138">
        <v>1.4492105828419499</v>
      </c>
      <c r="L3138">
        <v>7679.5723244435803</v>
      </c>
      <c r="M3138">
        <v>145.32310841729799</v>
      </c>
      <c r="O3138">
        <v>52.8348254079879</v>
      </c>
      <c r="P3138">
        <v>0.34381480960301303</v>
      </c>
      <c r="Q3138">
        <v>1.5</v>
      </c>
      <c r="R3138">
        <v>0.83462932580236904</v>
      </c>
      <c r="S3138" t="s">
        <v>8964</v>
      </c>
      <c r="T3138" t="s">
        <v>11650</v>
      </c>
      <c r="U3138" t="s">
        <v>11650</v>
      </c>
      <c r="V3138" t="s">
        <v>11650</v>
      </c>
      <c r="W3138" t="s">
        <v>12348</v>
      </c>
      <c r="X3138">
        <v>30</v>
      </c>
      <c r="Y3138" t="s">
        <v>18108</v>
      </c>
      <c r="Z3138" t="s">
        <v>26200</v>
      </c>
      <c r="AA3138">
        <v>1.285782510357014</v>
      </c>
      <c r="AB3138" t="str">
        <f>HYPERLINK("Melting_Curves/meltCurve_Q14157_UBAP2L.pdf", "Melting_Curves/meltCurve_Q14157_UBAP2L.pdf")</f>
        <v>Melting_Curves/meltCurve_Q14157_UBAP2L.pdf</v>
      </c>
    </row>
    <row r="3139" spans="1:28" x14ac:dyDescent="0.25">
      <c r="A3139" t="s">
        <v>3143</v>
      </c>
      <c r="B3139">
        <v>0.99996721820229495</v>
      </c>
      <c r="C3139">
        <v>0.78900051532321402</v>
      </c>
      <c r="D3139">
        <v>0.50489425268945598</v>
      </c>
      <c r="E3139">
        <v>0.365058019680783</v>
      </c>
      <c r="F3139">
        <v>0.35145531100603</v>
      </c>
      <c r="G3139">
        <v>0.28865890913772402</v>
      </c>
      <c r="H3139">
        <v>0.19183547035547599</v>
      </c>
      <c r="I3139">
        <v>0.15043836882202599</v>
      </c>
      <c r="J3139">
        <v>0.119070320476043</v>
      </c>
      <c r="K3139">
        <v>9.60655206227643E-2</v>
      </c>
      <c r="L3139">
        <v>587.04684508276205</v>
      </c>
      <c r="M3139">
        <v>12.632992192619801</v>
      </c>
      <c r="N3139">
        <v>47.662801049694203</v>
      </c>
      <c r="O3139">
        <v>45.351069053639499</v>
      </c>
      <c r="P3139">
        <v>-6.0209537005873601E-2</v>
      </c>
      <c r="Q3139">
        <v>0.13558792674179199</v>
      </c>
      <c r="R3139">
        <v>0.95932560311187098</v>
      </c>
      <c r="S3139" t="s">
        <v>8965</v>
      </c>
      <c r="T3139" t="s">
        <v>11650</v>
      </c>
      <c r="U3139" t="s">
        <v>11650</v>
      </c>
      <c r="V3139" t="s">
        <v>11650</v>
      </c>
      <c r="W3139" t="s">
        <v>14742</v>
      </c>
      <c r="X3139">
        <v>18</v>
      </c>
      <c r="Y3139" t="s">
        <v>20436</v>
      </c>
      <c r="Z3139" t="s">
        <v>26201</v>
      </c>
      <c r="AA3139">
        <v>0.35632681846147202</v>
      </c>
      <c r="AB3139" t="str">
        <f>HYPERLINK("Melting_Curves/meltCurve_Q14160_SCRIB.pdf", "Melting_Curves/meltCurve_Q14160_SCRIB.pdf")</f>
        <v>Melting_Curves/meltCurve_Q14160_SCRIB.pdf</v>
      </c>
    </row>
    <row r="3140" spans="1:28" x14ac:dyDescent="0.25">
      <c r="A3140" t="s">
        <v>3144</v>
      </c>
      <c r="B3140">
        <v>0.99996721820229495</v>
      </c>
      <c r="C3140">
        <v>0.75253320882210195</v>
      </c>
      <c r="D3140">
        <v>1.00938715001249</v>
      </c>
      <c r="E3140">
        <v>1.1139404685780601</v>
      </c>
      <c r="F3140">
        <v>0.64916871907136198</v>
      </c>
      <c r="G3140">
        <v>0.280553376852196</v>
      </c>
      <c r="H3140">
        <v>0.15018974325463699</v>
      </c>
      <c r="I3140">
        <v>8.5338008345653096E-2</v>
      </c>
      <c r="J3140">
        <v>5.9925928051662497E-2</v>
      </c>
      <c r="K3140">
        <v>4.7920718548506103E-2</v>
      </c>
      <c r="L3140">
        <v>1785.8820523397501</v>
      </c>
      <c r="M3140">
        <v>32.873474967676202</v>
      </c>
      <c r="N3140">
        <v>54.622586582503402</v>
      </c>
      <c r="O3140">
        <v>54.126078121992698</v>
      </c>
      <c r="P3140">
        <v>-0.13942476673794199</v>
      </c>
      <c r="Q3140">
        <v>8.1754330872315498E-2</v>
      </c>
      <c r="R3140">
        <v>0.94249707526553705</v>
      </c>
      <c r="S3140" t="s">
        <v>8966</v>
      </c>
      <c r="T3140" t="s">
        <v>11650</v>
      </c>
      <c r="U3140" t="s">
        <v>11650</v>
      </c>
      <c r="V3140" t="s">
        <v>11650</v>
      </c>
      <c r="W3140" t="s">
        <v>14743</v>
      </c>
      <c r="X3140">
        <v>13</v>
      </c>
      <c r="Y3140" t="s">
        <v>20437</v>
      </c>
      <c r="Z3140" t="s">
        <v>26202</v>
      </c>
      <c r="AA3140">
        <v>0.52531594050031916</v>
      </c>
      <c r="AB3140" t="str">
        <f>HYPERLINK("Melting_Curves/meltCurve_Q14165_MLEC.pdf", "Melting_Curves/meltCurve_Q14165_MLEC.pdf")</f>
        <v>Melting_Curves/meltCurve_Q14165_MLEC.pdf</v>
      </c>
    </row>
    <row r="3141" spans="1:28" x14ac:dyDescent="0.25">
      <c r="A3141" t="s">
        <v>3145</v>
      </c>
      <c r="B3141">
        <v>0.99996721820229495</v>
      </c>
      <c r="C3141">
        <v>0.90209413982161601</v>
      </c>
      <c r="D3141">
        <v>0.62402678436826897</v>
      </c>
      <c r="E3141">
        <v>0.365214635954347</v>
      </c>
      <c r="F3141">
        <v>0.41245799531723099</v>
      </c>
      <c r="G3141">
        <v>0.39129881675428202</v>
      </c>
      <c r="H3141">
        <v>0.27605495292350302</v>
      </c>
      <c r="I3141">
        <v>0.23456324671399501</v>
      </c>
      <c r="J3141">
        <v>0.15456431117899699</v>
      </c>
      <c r="K3141">
        <v>0.14785548471080601</v>
      </c>
      <c r="L3141">
        <v>675.62138459937103</v>
      </c>
      <c r="M3141">
        <v>14.3397919654451</v>
      </c>
      <c r="N3141">
        <v>49.001240056104898</v>
      </c>
      <c r="O3141">
        <v>46.227288665801296</v>
      </c>
      <c r="P3141">
        <v>-6.1110452038534102E-2</v>
      </c>
      <c r="Q3141">
        <v>0.212086180979462</v>
      </c>
      <c r="R3141">
        <v>0.942693686463</v>
      </c>
      <c r="S3141" t="s">
        <v>8967</v>
      </c>
      <c r="T3141" t="s">
        <v>11650</v>
      </c>
      <c r="U3141" t="s">
        <v>11650</v>
      </c>
      <c r="V3141" t="s">
        <v>11650</v>
      </c>
      <c r="W3141" t="s">
        <v>14744</v>
      </c>
      <c r="X3141">
        <v>11</v>
      </c>
      <c r="Y3141" t="s">
        <v>20438</v>
      </c>
      <c r="Z3141" t="s">
        <v>26203</v>
      </c>
      <c r="AA3141">
        <v>0.42224801089389907</v>
      </c>
      <c r="AB3141" t="str">
        <f>HYPERLINK("Melting_Curves/meltCurve_Q14166_TTLL12.pdf", "Melting_Curves/meltCurve_Q14166_TTLL12.pdf")</f>
        <v>Melting_Curves/meltCurve_Q14166_TTLL12.pdf</v>
      </c>
    </row>
    <row r="3142" spans="1:28" x14ac:dyDescent="0.25">
      <c r="A3142" t="s">
        <v>3146</v>
      </c>
      <c r="B3142">
        <v>0.99996721820229495</v>
      </c>
      <c r="C3142">
        <v>0.83894328699998599</v>
      </c>
      <c r="D3142">
        <v>0.89790917668274295</v>
      </c>
      <c r="E3142">
        <v>0.85179922531248897</v>
      </c>
      <c r="F3142">
        <v>1.3312024779780101</v>
      </c>
      <c r="G3142">
        <v>0.88217149315508003</v>
      </c>
      <c r="H3142">
        <v>1.01132282017049</v>
      </c>
      <c r="I3142">
        <v>0.85184417543802504</v>
      </c>
      <c r="J3142">
        <v>0.70612687069563995</v>
      </c>
      <c r="K3142">
        <v>0.77217852707281998</v>
      </c>
      <c r="L3142">
        <v>15000</v>
      </c>
      <c r="M3142">
        <v>234.648630730484</v>
      </c>
      <c r="O3142">
        <v>63.920729178029902</v>
      </c>
      <c r="P3142">
        <v>-0.23938972702666</v>
      </c>
      <c r="Q3142">
        <v>0.73915100809674805</v>
      </c>
      <c r="R3142">
        <v>0.31488696761426899</v>
      </c>
      <c r="S3142" t="s">
        <v>8968</v>
      </c>
      <c r="T3142" t="s">
        <v>11650</v>
      </c>
      <c r="U3142" t="s">
        <v>11650</v>
      </c>
      <c r="V3142" t="s">
        <v>11650</v>
      </c>
      <c r="W3142" t="s">
        <v>14745</v>
      </c>
      <c r="X3142">
        <v>2</v>
      </c>
      <c r="Y3142" t="s">
        <v>20439</v>
      </c>
      <c r="Z3142" t="s">
        <v>26204</v>
      </c>
      <c r="AA3142">
        <v>0.94721449574794048</v>
      </c>
      <c r="AB3142" t="str">
        <f>HYPERLINK("Melting_Curves/meltCurve_Q14185_DOCK1.pdf", "Melting_Curves/meltCurve_Q14185_DOCK1.pdf")</f>
        <v>Melting_Curves/meltCurve_Q14185_DOCK1.pdf</v>
      </c>
    </row>
    <row r="3143" spans="1:28" x14ac:dyDescent="0.25">
      <c r="A3143" t="s">
        <v>3147</v>
      </c>
      <c r="B3143">
        <v>0.99996721820229495</v>
      </c>
      <c r="C3143">
        <v>1.05498795839185</v>
      </c>
      <c r="D3143">
        <v>1.1847222950785099</v>
      </c>
      <c r="E3143">
        <v>1.5582559000137299</v>
      </c>
      <c r="F3143">
        <v>1.91787856152637</v>
      </c>
      <c r="G3143">
        <v>2.4990350112798998</v>
      </c>
      <c r="H3143">
        <v>1.37170243479938</v>
      </c>
      <c r="I3143">
        <v>0.51126654087256096</v>
      </c>
      <c r="J3143">
        <v>0.33278447892698698</v>
      </c>
      <c r="K3143">
        <v>0.25065917145546701</v>
      </c>
      <c r="L3143">
        <v>15000</v>
      </c>
      <c r="M3143">
        <v>235.174927476921</v>
      </c>
      <c r="N3143">
        <v>64.020687667463903</v>
      </c>
      <c r="O3143">
        <v>63.7776967761449</v>
      </c>
      <c r="P3143">
        <v>-0.65294257279780799</v>
      </c>
      <c r="Q3143">
        <v>0.29170725837071398</v>
      </c>
      <c r="R3143">
        <v>0.211369658926262</v>
      </c>
      <c r="S3143" t="s">
        <v>8969</v>
      </c>
      <c r="T3143" t="s">
        <v>11650</v>
      </c>
      <c r="U3143" t="s">
        <v>11650</v>
      </c>
      <c r="V3143" t="s">
        <v>11650</v>
      </c>
      <c r="W3143" t="s">
        <v>14746</v>
      </c>
      <c r="X3143">
        <v>37</v>
      </c>
      <c r="Y3143" t="s">
        <v>20440</v>
      </c>
      <c r="Z3143" t="s">
        <v>26205</v>
      </c>
      <c r="AA3143">
        <v>0.85329142821298853</v>
      </c>
      <c r="AB3143" t="str">
        <f>HYPERLINK("Melting_Curves/meltCurve_Q14195_2_DPYSL3.pdf", "Melting_Curves/meltCurve_Q14195_2_DPYSL3.pdf")</f>
        <v>Melting_Curves/meltCurve_Q14195_2_DPYSL3.pdf</v>
      </c>
    </row>
    <row r="3144" spans="1:28" x14ac:dyDescent="0.25">
      <c r="A3144" t="s">
        <v>3148</v>
      </c>
      <c r="B3144">
        <v>0.99996721820229495</v>
      </c>
      <c r="C3144">
        <v>1.0997968108268601</v>
      </c>
      <c r="D3144">
        <v>1.1585894675125501</v>
      </c>
      <c r="E3144">
        <v>1.9561121300165401</v>
      </c>
      <c r="F3144">
        <v>1.01706057605468</v>
      </c>
      <c r="G3144">
        <v>0.74592020430730299</v>
      </c>
      <c r="H3144">
        <v>0.46807291828354203</v>
      </c>
      <c r="I3144">
        <v>0.26649023959726897</v>
      </c>
      <c r="J3144">
        <v>0.18931785053407199</v>
      </c>
      <c r="K3144">
        <v>0.15187407471130601</v>
      </c>
      <c r="L3144">
        <v>1764.51271001179</v>
      </c>
      <c r="M3144">
        <v>29.655031661602099</v>
      </c>
      <c r="N3144">
        <v>60.2972817543357</v>
      </c>
      <c r="O3144">
        <v>59.232688533569601</v>
      </c>
      <c r="P3144">
        <v>-0.104891176161948</v>
      </c>
      <c r="Q3144">
        <v>0.16197103057975301</v>
      </c>
      <c r="R3144">
        <v>0.65976958772994199</v>
      </c>
      <c r="S3144" t="s">
        <v>8970</v>
      </c>
      <c r="T3144" t="s">
        <v>11650</v>
      </c>
      <c r="U3144" t="s">
        <v>11650</v>
      </c>
      <c r="V3144" t="s">
        <v>11650</v>
      </c>
      <c r="W3144" t="s">
        <v>14747</v>
      </c>
      <c r="X3144">
        <v>30</v>
      </c>
      <c r="Y3144" t="s">
        <v>20441</v>
      </c>
      <c r="Z3144" t="s">
        <v>26206</v>
      </c>
      <c r="AA3144">
        <v>0.71206046034742954</v>
      </c>
      <c r="AB3144" t="str">
        <f>HYPERLINK("Melting_Curves/meltCurve_Q14204_DYNC1H1.pdf", "Melting_Curves/meltCurve_Q14204_DYNC1H1.pdf")</f>
        <v>Melting_Curves/meltCurve_Q14204_DYNC1H1.pdf</v>
      </c>
    </row>
    <row r="3145" spans="1:28" x14ac:dyDescent="0.25">
      <c r="A3145" t="s">
        <v>3149</v>
      </c>
      <c r="B3145">
        <v>0.99996721820229495</v>
      </c>
      <c r="C3145">
        <v>0.99429611108203497</v>
      </c>
      <c r="D3145">
        <v>1.02251693736698</v>
      </c>
      <c r="E3145">
        <v>1.1160916004046</v>
      </c>
      <c r="F3145">
        <v>1.1926196516968799</v>
      </c>
      <c r="G3145">
        <v>0.67301797295271104</v>
      </c>
      <c r="H3145">
        <v>0.19681982762782499</v>
      </c>
      <c r="I3145">
        <v>0.128287370885036</v>
      </c>
      <c r="J3145">
        <v>8.8792152136265803E-2</v>
      </c>
      <c r="K3145">
        <v>6.5515875455414596E-2</v>
      </c>
      <c r="L3145">
        <v>2965.1135197621902</v>
      </c>
      <c r="M3145">
        <v>51.367650160095103</v>
      </c>
      <c r="N3145">
        <v>57.983885572813698</v>
      </c>
      <c r="O3145">
        <v>57.636059651546297</v>
      </c>
      <c r="P3145">
        <v>-0.199850331388682</v>
      </c>
      <c r="Q3145">
        <v>0.10304788411624601</v>
      </c>
      <c r="R3145">
        <v>0.97096437827368198</v>
      </c>
      <c r="S3145" t="s">
        <v>8971</v>
      </c>
      <c r="T3145" t="s">
        <v>11650</v>
      </c>
      <c r="U3145" t="s">
        <v>11650</v>
      </c>
      <c r="V3145" t="s">
        <v>11650</v>
      </c>
      <c r="W3145" t="s">
        <v>14748</v>
      </c>
      <c r="X3145">
        <v>11</v>
      </c>
      <c r="Y3145" t="s">
        <v>20442</v>
      </c>
      <c r="Z3145" t="s">
        <v>26207</v>
      </c>
      <c r="AA3145">
        <v>0.63510498832037354</v>
      </c>
      <c r="AB3145" t="str">
        <f>HYPERLINK("Melting_Curves/meltCurve_Q14232_EIF2B1.pdf", "Melting_Curves/meltCurve_Q14232_EIF2B1.pdf")</f>
        <v>Melting_Curves/meltCurve_Q14232_EIF2B1.pdf</v>
      </c>
    </row>
    <row r="3146" spans="1:28" x14ac:dyDescent="0.25">
      <c r="A3146" t="s">
        <v>3150</v>
      </c>
      <c r="B3146">
        <v>0.99996721820229495</v>
      </c>
      <c r="C3146">
        <v>1.08300621626009</v>
      </c>
      <c r="D3146">
        <v>1.1461435231549899</v>
      </c>
      <c r="E3146">
        <v>1.22696461715187</v>
      </c>
      <c r="F3146">
        <v>1.35682937549113</v>
      </c>
      <c r="G3146">
        <v>1.0928781150851701</v>
      </c>
      <c r="H3146">
        <v>0.44640131498470298</v>
      </c>
      <c r="I3146">
        <v>0.23225550798568401</v>
      </c>
      <c r="J3146">
        <v>0.14119088329392601</v>
      </c>
      <c r="K3146">
        <v>0.116589802926391</v>
      </c>
      <c r="L3146">
        <v>5479.0000619271896</v>
      </c>
      <c r="M3146">
        <v>90.460189553824094</v>
      </c>
      <c r="N3146">
        <v>60.827911342573799</v>
      </c>
      <c r="O3146">
        <v>60.538498221656901</v>
      </c>
      <c r="P3146">
        <v>-0.31369601547752901</v>
      </c>
      <c r="Q3146">
        <v>0.16026334909950599</v>
      </c>
      <c r="R3146">
        <v>0.897022544991538</v>
      </c>
      <c r="S3146" t="s">
        <v>8972</v>
      </c>
      <c r="T3146" t="s">
        <v>11650</v>
      </c>
      <c r="U3146" t="s">
        <v>11650</v>
      </c>
      <c r="V3146" t="s">
        <v>11650</v>
      </c>
      <c r="W3146" t="s">
        <v>14749</v>
      </c>
      <c r="X3146">
        <v>23</v>
      </c>
      <c r="Y3146" t="s">
        <v>17727</v>
      </c>
      <c r="Z3146" t="s">
        <v>26208</v>
      </c>
      <c r="AA3146">
        <v>0.7366716800743569</v>
      </c>
      <c r="AB3146" t="str">
        <f>HYPERLINK("Melting_Curves/meltCurve_Q14240_2_EIF4A2.pdf", "Melting_Curves/meltCurve_Q14240_2_EIF4A2.pdf")</f>
        <v>Melting_Curves/meltCurve_Q14240_2_EIF4A2.pdf</v>
      </c>
    </row>
    <row r="3147" spans="1:28" x14ac:dyDescent="0.25">
      <c r="A3147" t="s">
        <v>3151</v>
      </c>
      <c r="B3147">
        <v>0.99996721820229495</v>
      </c>
      <c r="C3147">
        <v>0.96811888200017504</v>
      </c>
      <c r="D3147">
        <v>0.775952340056282</v>
      </c>
      <c r="E3147">
        <v>0.59146986875832797</v>
      </c>
      <c r="F3147">
        <v>0.75115633644712398</v>
      </c>
      <c r="G3147">
        <v>0.52774560946426197</v>
      </c>
      <c r="H3147">
        <v>0.39066474317567401</v>
      </c>
      <c r="I3147">
        <v>0.29871330158153597</v>
      </c>
      <c r="J3147">
        <v>0.26339890332124999</v>
      </c>
      <c r="K3147">
        <v>0.22476298722518201</v>
      </c>
      <c r="L3147">
        <v>388.59273997294503</v>
      </c>
      <c r="M3147">
        <v>6.8019338842372203</v>
      </c>
      <c r="N3147">
        <v>57.129743773361596</v>
      </c>
      <c r="O3147">
        <v>52.801822851685003</v>
      </c>
      <c r="P3147">
        <v>-3.2271336139033498E-2</v>
      </c>
      <c r="Q3147">
        <v>0</v>
      </c>
      <c r="R3147">
        <v>0.93981631026437695</v>
      </c>
      <c r="S3147" t="s">
        <v>8973</v>
      </c>
      <c r="T3147" t="s">
        <v>11650</v>
      </c>
      <c r="U3147" t="s">
        <v>11650</v>
      </c>
      <c r="V3147" t="s">
        <v>11650</v>
      </c>
      <c r="W3147" t="s">
        <v>14750</v>
      </c>
      <c r="X3147">
        <v>2</v>
      </c>
      <c r="Y3147" t="s">
        <v>20443</v>
      </c>
      <c r="Z3147" t="s">
        <v>26209</v>
      </c>
      <c r="AA3147">
        <v>0.57723985983616566</v>
      </c>
      <c r="AB3147" t="str">
        <f>HYPERLINK("Melting_Curves/meltCurve_Q14241_TCEB3.pdf", "Melting_Curves/meltCurve_Q14241_TCEB3.pdf")</f>
        <v>Melting_Curves/meltCurve_Q14241_TCEB3.pdf</v>
      </c>
    </row>
    <row r="3148" spans="1:28" x14ac:dyDescent="0.25">
      <c r="A3148" t="s">
        <v>3152</v>
      </c>
      <c r="B3148">
        <v>0.99996721820229495</v>
      </c>
      <c r="C3148">
        <v>1.01490895162624</v>
      </c>
      <c r="D3148">
        <v>0.98484463170955405</v>
      </c>
      <c r="E3148">
        <v>1.06054782143718</v>
      </c>
      <c r="F3148">
        <v>1.3484766954851199</v>
      </c>
      <c r="G3148">
        <v>1.85494424316897</v>
      </c>
      <c r="H3148">
        <v>1.5985015451989599</v>
      </c>
      <c r="I3148">
        <v>1.49340782771141</v>
      </c>
      <c r="J3148">
        <v>1.3654159358415301</v>
      </c>
      <c r="K3148">
        <v>1.0715144229567199</v>
      </c>
      <c r="L3148">
        <v>3285.8650500754102</v>
      </c>
      <c r="M3148">
        <v>63.220029118060502</v>
      </c>
      <c r="O3148">
        <v>51.923140965115202</v>
      </c>
      <c r="P3148">
        <v>0.144409997814192</v>
      </c>
      <c r="Q3148">
        <v>1.47442034997102</v>
      </c>
      <c r="R3148">
        <v>0.586847529925272</v>
      </c>
      <c r="S3148" t="s">
        <v>8974</v>
      </c>
      <c r="T3148" t="s">
        <v>11650</v>
      </c>
      <c r="U3148" t="s">
        <v>11650</v>
      </c>
      <c r="V3148" t="s">
        <v>11650</v>
      </c>
      <c r="W3148" t="s">
        <v>11846</v>
      </c>
      <c r="X3148">
        <v>91</v>
      </c>
      <c r="Y3148" t="s">
        <v>17609</v>
      </c>
      <c r="Z3148" t="s">
        <v>26210</v>
      </c>
      <c r="AA3148">
        <v>1.2843676352745641</v>
      </c>
      <c r="AB3148" t="str">
        <f>HYPERLINK("Melting_Curves/meltCurve_Q14247_CTTN.pdf", "Melting_Curves/meltCurve_Q14247_CTTN.pdf")</f>
        <v>Melting_Curves/meltCurve_Q14247_CTTN.pdf</v>
      </c>
    </row>
    <row r="3149" spans="1:28" x14ac:dyDescent="0.25">
      <c r="A3149" t="s">
        <v>3153</v>
      </c>
      <c r="B3149">
        <v>0.99996721820229495</v>
      </c>
      <c r="C3149">
        <v>1.1881242992112599</v>
      </c>
      <c r="D3149">
        <v>1.2897299782117999</v>
      </c>
      <c r="E3149">
        <v>1.3514523221533701</v>
      </c>
      <c r="F3149">
        <v>2.3671380876902099</v>
      </c>
      <c r="G3149">
        <v>2.32311809649249</v>
      </c>
      <c r="H3149">
        <v>1.88064061428479</v>
      </c>
      <c r="I3149">
        <v>1.39430461121052</v>
      </c>
      <c r="J3149">
        <v>1.44960349142669</v>
      </c>
      <c r="K3149">
        <v>1.21268157831527</v>
      </c>
      <c r="L3149">
        <v>1338.1070005593599</v>
      </c>
      <c r="M3149">
        <v>30.089354090863299</v>
      </c>
      <c r="O3149">
        <v>44.276068061052896</v>
      </c>
      <c r="P3149">
        <v>8.4948678381778497E-2</v>
      </c>
      <c r="Q3149">
        <v>1.5</v>
      </c>
      <c r="R3149">
        <v>0.17323815277287899</v>
      </c>
      <c r="S3149" t="s">
        <v>8975</v>
      </c>
      <c r="T3149" t="s">
        <v>11650</v>
      </c>
      <c r="U3149" t="s">
        <v>11650</v>
      </c>
      <c r="V3149" t="s">
        <v>11650</v>
      </c>
      <c r="W3149" t="s">
        <v>14751</v>
      </c>
      <c r="X3149">
        <v>79</v>
      </c>
      <c r="Y3149" t="s">
        <v>17609</v>
      </c>
      <c r="Z3149" t="s">
        <v>26211</v>
      </c>
      <c r="AA3149">
        <v>1.422106117591023</v>
      </c>
      <c r="AB3149" t="str">
        <f>HYPERLINK("Melting_Curves/meltCurve_Q14247_2_CTTN.pdf", "Melting_Curves/meltCurve_Q14247_2_CTTN.pdf")</f>
        <v>Melting_Curves/meltCurve_Q14247_2_CTTN.pdf</v>
      </c>
    </row>
    <row r="3150" spans="1:28" x14ac:dyDescent="0.25">
      <c r="A3150" t="s">
        <v>3154</v>
      </c>
      <c r="B3150">
        <v>0.99996721820229495</v>
      </c>
      <c r="C3150">
        <v>1.0302880323533099</v>
      </c>
      <c r="D3150">
        <v>1.07919980206501</v>
      </c>
      <c r="E3150">
        <v>2.4737828985796702</v>
      </c>
      <c r="F3150">
        <v>2.3591174288521599</v>
      </c>
      <c r="G3150">
        <v>2.8278129756773498</v>
      </c>
      <c r="H3150">
        <v>1.05829877094892</v>
      </c>
      <c r="I3150">
        <v>0.46930990774953102</v>
      </c>
      <c r="J3150">
        <v>0.29192850536959197</v>
      </c>
      <c r="K3150">
        <v>0.25828643587184702</v>
      </c>
      <c r="L3150">
        <v>15000</v>
      </c>
      <c r="M3150">
        <v>235.38018259886201</v>
      </c>
      <c r="N3150">
        <v>63.943736178223801</v>
      </c>
      <c r="O3150">
        <v>63.722093287786002</v>
      </c>
      <c r="P3150">
        <v>-0.669417784116485</v>
      </c>
      <c r="Q3150">
        <v>0.27510124729464203</v>
      </c>
      <c r="R3150">
        <v>6.6068493360631003E-2</v>
      </c>
      <c r="S3150" t="s">
        <v>8976</v>
      </c>
      <c r="T3150" t="s">
        <v>11650</v>
      </c>
      <c r="U3150" t="s">
        <v>11650</v>
      </c>
      <c r="V3150" t="s">
        <v>11650</v>
      </c>
      <c r="W3150" t="s">
        <v>14752</v>
      </c>
      <c r="X3150">
        <v>19</v>
      </c>
      <c r="Y3150" t="s">
        <v>20444</v>
      </c>
      <c r="Z3150" t="s">
        <v>26212</v>
      </c>
      <c r="AA3150">
        <v>0.84850764610468032</v>
      </c>
      <c r="AB3150" t="str">
        <f>HYPERLINK("Melting_Curves/meltCurve_Q14254_FLOT2.pdf", "Melting_Curves/meltCurve_Q14254_FLOT2.pdf")</f>
        <v>Melting_Curves/meltCurve_Q14254_FLOT2.pdf</v>
      </c>
    </row>
    <row r="3151" spans="1:28" x14ac:dyDescent="0.25">
      <c r="A3151" t="s">
        <v>3155</v>
      </c>
      <c r="B3151">
        <v>0.99996721820229495</v>
      </c>
      <c r="C3151">
        <v>0.66167037367398496</v>
      </c>
      <c r="D3151">
        <v>0.62556708123793803</v>
      </c>
      <c r="E3151">
        <v>0.85287511862056498</v>
      </c>
      <c r="F3151">
        <v>0.76241946691034701</v>
      </c>
      <c r="G3151">
        <v>0.69440711458833404</v>
      </c>
      <c r="H3151">
        <v>0.57557499134712398</v>
      </c>
      <c r="I3151">
        <v>0.342295840421113</v>
      </c>
      <c r="J3151">
        <v>0.30773671087258903</v>
      </c>
      <c r="K3151">
        <v>0.407590603687213</v>
      </c>
      <c r="L3151">
        <v>249.45154398966</v>
      </c>
      <c r="M3151">
        <v>4.0468394151423501</v>
      </c>
      <c r="N3151">
        <v>61.641086339163301</v>
      </c>
      <c r="O3151">
        <v>50.790497743271203</v>
      </c>
      <c r="P3151">
        <v>-2.01659066390893E-2</v>
      </c>
      <c r="Q3151">
        <v>0</v>
      </c>
      <c r="R3151">
        <v>0.66466877848287098</v>
      </c>
      <c r="S3151" t="s">
        <v>8977</v>
      </c>
      <c r="T3151" t="s">
        <v>11650</v>
      </c>
      <c r="U3151" t="s">
        <v>11650</v>
      </c>
      <c r="V3151" t="s">
        <v>11650</v>
      </c>
      <c r="W3151" t="s">
        <v>14753</v>
      </c>
      <c r="X3151">
        <v>5</v>
      </c>
      <c r="Y3151" t="s">
        <v>20445</v>
      </c>
      <c r="Z3151" t="s">
        <v>26213</v>
      </c>
      <c r="AA3151">
        <v>0.62857320029233288</v>
      </c>
      <c r="AB3151" t="str">
        <f>HYPERLINK("Melting_Curves/meltCurve_Q14257_RCN2.pdf", "Melting_Curves/meltCurve_Q14257_RCN2.pdf")</f>
        <v>Melting_Curves/meltCurve_Q14257_RCN2.pdf</v>
      </c>
    </row>
    <row r="3152" spans="1:28" x14ac:dyDescent="0.25">
      <c r="A3152" t="s">
        <v>3156</v>
      </c>
      <c r="B3152">
        <v>0.99996721820229495</v>
      </c>
      <c r="C3152">
        <v>0.91279606039693495</v>
      </c>
      <c r="D3152">
        <v>0.74175538009544795</v>
      </c>
      <c r="E3152">
        <v>0.55432483135038901</v>
      </c>
      <c r="F3152">
        <v>0.49895913292045202</v>
      </c>
      <c r="G3152">
        <v>0.40954183681449602</v>
      </c>
      <c r="H3152">
        <v>0.23803154359953199</v>
      </c>
      <c r="I3152">
        <v>0.17303255199789799</v>
      </c>
      <c r="J3152">
        <v>0.13979116467160799</v>
      </c>
      <c r="K3152">
        <v>0.111554191467428</v>
      </c>
      <c r="L3152">
        <v>455.43420786306399</v>
      </c>
      <c r="M3152">
        <v>8.6706877786573209</v>
      </c>
      <c r="N3152">
        <v>52.711219049547999</v>
      </c>
      <c r="O3152">
        <v>49.956073732459302</v>
      </c>
      <c r="P3152">
        <v>-4.2775298132738698E-2</v>
      </c>
      <c r="Q3152">
        <v>1.502572123308E-2</v>
      </c>
      <c r="R3152">
        <v>0.98489398196119204</v>
      </c>
      <c r="S3152" t="s">
        <v>8978</v>
      </c>
      <c r="T3152" t="s">
        <v>11650</v>
      </c>
      <c r="U3152" t="s">
        <v>11650</v>
      </c>
      <c r="V3152" t="s">
        <v>11650</v>
      </c>
      <c r="W3152" t="s">
        <v>14754</v>
      </c>
      <c r="X3152">
        <v>5</v>
      </c>
      <c r="Y3152" t="s">
        <v>20446</v>
      </c>
      <c r="Z3152" t="s">
        <v>26214</v>
      </c>
      <c r="AA3152">
        <v>0.46669635307672241</v>
      </c>
      <c r="AB3152" t="str">
        <f>HYPERLINK("Melting_Curves/meltCurve_Q14258_TRIM25.pdf", "Melting_Curves/meltCurve_Q14258_TRIM25.pdf")</f>
        <v>Melting_Curves/meltCurve_Q14258_TRIM25.pdf</v>
      </c>
    </row>
    <row r="3153" spans="1:28" x14ac:dyDescent="0.25">
      <c r="A3153" t="s">
        <v>3157</v>
      </c>
      <c r="B3153">
        <v>0.99996721820229495</v>
      </c>
      <c r="C3153">
        <v>0.88447045512175304</v>
      </c>
      <c r="D3153">
        <v>0.95404495863749705</v>
      </c>
      <c r="E3153">
        <v>1.21890839266823</v>
      </c>
      <c r="F3153">
        <v>1.0456894307137701</v>
      </c>
      <c r="G3153">
        <v>0.708652927578726</v>
      </c>
      <c r="H3153">
        <v>0.34179600723994502</v>
      </c>
      <c r="I3153">
        <v>0.20673084203172201</v>
      </c>
      <c r="J3153">
        <v>0.16228055445454601</v>
      </c>
      <c r="K3153">
        <v>0.12412394411991499</v>
      </c>
      <c r="L3153">
        <v>1920.08007720501</v>
      </c>
      <c r="M3153">
        <v>32.840625276645099</v>
      </c>
      <c r="N3153">
        <v>59.089220187192403</v>
      </c>
      <c r="O3153">
        <v>58.251101269113398</v>
      </c>
      <c r="P3153">
        <v>-0.120330887956326</v>
      </c>
      <c r="Q3153">
        <v>0.14625563743467199</v>
      </c>
      <c r="R3153">
        <v>0.95327147016254898</v>
      </c>
      <c r="S3153" t="s">
        <v>8979</v>
      </c>
      <c r="T3153" t="s">
        <v>11650</v>
      </c>
      <c r="U3153" t="s">
        <v>11650</v>
      </c>
      <c r="V3153" t="s">
        <v>11650</v>
      </c>
      <c r="W3153" t="s">
        <v>14755</v>
      </c>
      <c r="X3153">
        <v>144</v>
      </c>
      <c r="Y3153" t="s">
        <v>20447</v>
      </c>
      <c r="Z3153" t="s">
        <v>26215</v>
      </c>
      <c r="AA3153">
        <v>0.67657315430256537</v>
      </c>
      <c r="AB3153" t="str">
        <f>HYPERLINK("Melting_Curves/meltCurve_Q14315_FLNC.pdf", "Melting_Curves/meltCurve_Q14315_FLNC.pdf")</f>
        <v>Melting_Curves/meltCurve_Q14315_FLNC.pdf</v>
      </c>
    </row>
    <row r="3154" spans="1:28" x14ac:dyDescent="0.25">
      <c r="A3154" t="s">
        <v>3158</v>
      </c>
      <c r="B3154">
        <v>0.99996721820229495</v>
      </c>
      <c r="C3154">
        <v>0.64555268513130004</v>
      </c>
      <c r="D3154">
        <v>0.40867889203704399</v>
      </c>
      <c r="E3154">
        <v>0.260664530770855</v>
      </c>
      <c r="F3154">
        <v>0.28110183737468097</v>
      </c>
      <c r="G3154">
        <v>0.22955965535053399</v>
      </c>
      <c r="H3154">
        <v>0.14819935421712199</v>
      </c>
      <c r="I3154">
        <v>0.120591890816934</v>
      </c>
      <c r="J3154">
        <v>8.2623080027685106E-2</v>
      </c>
      <c r="K3154">
        <v>7.4581287334257798E-2</v>
      </c>
      <c r="L3154">
        <v>779.95352082948295</v>
      </c>
      <c r="M3154">
        <v>17.5664747586275</v>
      </c>
      <c r="N3154">
        <v>45.244144721096298</v>
      </c>
      <c r="O3154">
        <v>43.836711597186799</v>
      </c>
      <c r="P3154">
        <v>-8.6189578484320295E-2</v>
      </c>
      <c r="Q3154">
        <v>0.13971075602555</v>
      </c>
      <c r="R3154">
        <v>0.95019297834271299</v>
      </c>
      <c r="S3154" t="s">
        <v>8980</v>
      </c>
      <c r="T3154" t="s">
        <v>11650</v>
      </c>
      <c r="U3154" t="s">
        <v>11650</v>
      </c>
      <c r="V3154" t="s">
        <v>11650</v>
      </c>
      <c r="W3154" t="s">
        <v>14756</v>
      </c>
      <c r="X3154">
        <v>12</v>
      </c>
      <c r="Y3154" t="s">
        <v>20448</v>
      </c>
      <c r="Z3154" t="s">
        <v>26216</v>
      </c>
      <c r="AA3154">
        <v>0.28700331711878102</v>
      </c>
      <c r="AB3154" t="str">
        <f>HYPERLINK("Melting_Curves/meltCurve_Q14318_2_FKBP8.pdf", "Melting_Curves/meltCurve_Q14318_2_FKBP8.pdf")</f>
        <v>Melting_Curves/meltCurve_Q14318_2_FKBP8.pdf</v>
      </c>
    </row>
    <row r="3155" spans="1:28" x14ac:dyDescent="0.25">
      <c r="A3155" t="s">
        <v>3159</v>
      </c>
      <c r="B3155">
        <v>0.99996721820229495</v>
      </c>
      <c r="C3155">
        <v>0.99235610968044197</v>
      </c>
      <c r="D3155">
        <v>0.85412381352725697</v>
      </c>
      <c r="E3155">
        <v>0.70536665364707896</v>
      </c>
      <c r="F3155">
        <v>0.52005295062001999</v>
      </c>
      <c r="G3155">
        <v>0.43709355065520999</v>
      </c>
      <c r="H3155">
        <v>0.25497478519227701</v>
      </c>
      <c r="I3155">
        <v>0.21801921726051701</v>
      </c>
      <c r="J3155">
        <v>0.15487777346557399</v>
      </c>
      <c r="K3155">
        <v>0.112161648368362</v>
      </c>
      <c r="L3155">
        <v>575.17026557869997</v>
      </c>
      <c r="M3155">
        <v>10.694183367832</v>
      </c>
      <c r="N3155">
        <v>54.386331955447602</v>
      </c>
      <c r="O3155">
        <v>52.005143560216702</v>
      </c>
      <c r="P3155">
        <v>-4.85540606895511E-2</v>
      </c>
      <c r="Q3155">
        <v>5.5893609554103101E-2</v>
      </c>
      <c r="R3155">
        <v>0.992244833270997</v>
      </c>
      <c r="S3155" t="s">
        <v>8981</v>
      </c>
      <c r="T3155" t="s">
        <v>11650</v>
      </c>
      <c r="U3155" t="s">
        <v>11650</v>
      </c>
      <c r="V3155" t="s">
        <v>11650</v>
      </c>
      <c r="W3155" t="s">
        <v>14757</v>
      </c>
      <c r="X3155">
        <v>14</v>
      </c>
      <c r="Y3155" t="s">
        <v>20449</v>
      </c>
      <c r="Z3155" t="s">
        <v>26217</v>
      </c>
      <c r="AA3155">
        <v>0.51754303187835216</v>
      </c>
      <c r="AB3155" t="str">
        <f>HYPERLINK("Melting_Curves/meltCurve_Q14320_FAM50A.pdf", "Melting_Curves/meltCurve_Q14320_FAM50A.pdf")</f>
        <v>Melting_Curves/meltCurve_Q14320_FAM50A.pdf</v>
      </c>
    </row>
    <row r="3156" spans="1:28" x14ac:dyDescent="0.25">
      <c r="A3156" t="s">
        <v>3160</v>
      </c>
      <c r="B3156">
        <v>0.99996721820229495</v>
      </c>
      <c r="C3156">
        <v>0.95560525723976597</v>
      </c>
      <c r="D3156">
        <v>0.874250899338466</v>
      </c>
      <c r="E3156">
        <v>0.651310985209549</v>
      </c>
      <c r="F3156">
        <v>0.65543898669628398</v>
      </c>
      <c r="G3156">
        <v>0.45324096070057202</v>
      </c>
      <c r="H3156">
        <v>0.207972934965758</v>
      </c>
      <c r="I3156">
        <v>0.183284124774238</v>
      </c>
      <c r="J3156">
        <v>0.100362795234791</v>
      </c>
      <c r="K3156">
        <v>0.100101225574491</v>
      </c>
      <c r="L3156">
        <v>575.23362049805098</v>
      </c>
      <c r="M3156">
        <v>10.4900392046557</v>
      </c>
      <c r="N3156">
        <v>54.836174488649</v>
      </c>
      <c r="O3156">
        <v>52.955789558491603</v>
      </c>
      <c r="P3156">
        <v>-4.9542679955801597E-2</v>
      </c>
      <c r="Q3156">
        <v>0</v>
      </c>
      <c r="R3156">
        <v>0.98465796144517503</v>
      </c>
      <c r="S3156" t="s">
        <v>8982</v>
      </c>
      <c r="T3156" t="s">
        <v>11650</v>
      </c>
      <c r="U3156" t="s">
        <v>11650</v>
      </c>
      <c r="V3156" t="s">
        <v>11650</v>
      </c>
      <c r="W3156" t="s">
        <v>14758</v>
      </c>
      <c r="X3156">
        <v>3</v>
      </c>
      <c r="Y3156" t="s">
        <v>20450</v>
      </c>
      <c r="Z3156" t="s">
        <v>26218</v>
      </c>
      <c r="AA3156">
        <v>0.52054474541990392</v>
      </c>
      <c r="AB3156" t="str">
        <f>HYPERLINK("Melting_Curves/meltCurve_Q14331_FRG1.pdf", "Melting_Curves/meltCurve_Q14331_FRG1.pdf")</f>
        <v>Melting_Curves/meltCurve_Q14331_FRG1.pdf</v>
      </c>
    </row>
    <row r="3157" spans="1:28" x14ac:dyDescent="0.25">
      <c r="A3157" t="s">
        <v>3161</v>
      </c>
      <c r="B3157">
        <v>0.99996721820229495</v>
      </c>
      <c r="C3157">
        <v>0.69912457994634503</v>
      </c>
      <c r="D3157">
        <v>0.80759285415819604</v>
      </c>
      <c r="E3157">
        <v>0.89816365175993496</v>
      </c>
      <c r="F3157">
        <v>1.0211798058322901</v>
      </c>
      <c r="G3157">
        <v>1.01745341061103</v>
      </c>
      <c r="H3157">
        <v>0.75282240354505403</v>
      </c>
      <c r="I3157">
        <v>0.43418387883582199</v>
      </c>
      <c r="J3157">
        <v>0.25540118246176202</v>
      </c>
      <c r="K3157">
        <v>0.170016183166077</v>
      </c>
      <c r="L3157">
        <v>2194.00492901395</v>
      </c>
      <c r="M3157">
        <v>35.021839274530599</v>
      </c>
      <c r="N3157">
        <v>63.3561057703035</v>
      </c>
      <c r="O3157">
        <v>62.4435494512527</v>
      </c>
      <c r="P3157">
        <v>-0.11747387585937499</v>
      </c>
      <c r="Q3157">
        <v>0.16218432065767999</v>
      </c>
      <c r="R3157">
        <v>0.842947707747429</v>
      </c>
      <c r="S3157" t="s">
        <v>8983</v>
      </c>
      <c r="T3157" t="s">
        <v>11650</v>
      </c>
      <c r="U3157" t="s">
        <v>11650</v>
      </c>
      <c r="V3157" t="s">
        <v>11650</v>
      </c>
      <c r="W3157" t="s">
        <v>14759</v>
      </c>
      <c r="X3157">
        <v>6</v>
      </c>
      <c r="Y3157" t="s">
        <v>20451</v>
      </c>
      <c r="Z3157" t="s">
        <v>26219</v>
      </c>
      <c r="AA3157">
        <v>0.79772555026223102</v>
      </c>
      <c r="AB3157" t="str">
        <f>HYPERLINK("Melting_Curves/meltCurve_Q14332_FZD2.pdf", "Melting_Curves/meltCurve_Q14332_FZD2.pdf")</f>
        <v>Melting_Curves/meltCurve_Q14332_FZD2.pdf</v>
      </c>
    </row>
    <row r="3158" spans="1:28" x14ac:dyDescent="0.25">
      <c r="A3158" t="s">
        <v>3162</v>
      </c>
      <c r="B3158">
        <v>0.99996721820229495</v>
      </c>
      <c r="C3158">
        <v>0.88494626792461095</v>
      </c>
      <c r="D3158">
        <v>1.0704224899600401</v>
      </c>
      <c r="E3158">
        <v>1.18359558983182</v>
      </c>
      <c r="F3158">
        <v>1.14224734250635</v>
      </c>
      <c r="G3158">
        <v>0.47825473524791301</v>
      </c>
      <c r="H3158">
        <v>0.21693348843322</v>
      </c>
      <c r="I3158">
        <v>0.11815002871821</v>
      </c>
      <c r="J3158">
        <v>9.0004975256844699E-2</v>
      </c>
      <c r="K3158">
        <v>8.6448576132139299E-2</v>
      </c>
      <c r="L3158">
        <v>8097.7960348590004</v>
      </c>
      <c r="M3158">
        <v>142.46453052442899</v>
      </c>
      <c r="N3158">
        <v>56.958871536392003</v>
      </c>
      <c r="O3158">
        <v>56.829604093048601</v>
      </c>
      <c r="P3158">
        <v>-0.54658303120159801</v>
      </c>
      <c r="Q3158">
        <v>0.127864650006975</v>
      </c>
      <c r="R3158">
        <v>0.95849501531596104</v>
      </c>
      <c r="S3158" t="s">
        <v>8984</v>
      </c>
      <c r="T3158" t="s">
        <v>11650</v>
      </c>
      <c r="U3158" t="s">
        <v>11650</v>
      </c>
      <c r="V3158" t="s">
        <v>11650</v>
      </c>
      <c r="W3158" t="s">
        <v>14760</v>
      </c>
      <c r="X3158">
        <v>12</v>
      </c>
      <c r="Y3158" t="s">
        <v>20452</v>
      </c>
      <c r="Z3158" t="s">
        <v>26220</v>
      </c>
      <c r="AA3158">
        <v>0.61771420240446662</v>
      </c>
      <c r="AB3158" t="str">
        <f>HYPERLINK("Melting_Curves/meltCurve_Q14344_GNA13.pdf", "Melting_Curves/meltCurve_Q14344_GNA13.pdf")</f>
        <v>Melting_Curves/meltCurve_Q14344_GNA13.pdf</v>
      </c>
    </row>
    <row r="3159" spans="1:28" x14ac:dyDescent="0.25">
      <c r="A3159" t="s">
        <v>3163</v>
      </c>
      <c r="B3159">
        <v>0.99996721820229495</v>
      </c>
      <c r="C3159">
        <v>0.99773911611049704</v>
      </c>
      <c r="D3159">
        <v>0.89264240847281795</v>
      </c>
      <c r="E3159">
        <v>0.72595204394745805</v>
      </c>
      <c r="F3159">
        <v>0.51195781595610501</v>
      </c>
      <c r="G3159">
        <v>0.34781673884577802</v>
      </c>
      <c r="H3159">
        <v>0.204518433505013</v>
      </c>
      <c r="I3159">
        <v>0.123291813586674</v>
      </c>
      <c r="J3159">
        <v>8.20821115659464E-2</v>
      </c>
      <c r="K3159">
        <v>6.9152246457494904E-2</v>
      </c>
      <c r="L3159">
        <v>700.12265552567305</v>
      </c>
      <c r="M3159">
        <v>13.0941204343811</v>
      </c>
      <c r="N3159">
        <v>53.704660921640603</v>
      </c>
      <c r="O3159">
        <v>52.267529038675903</v>
      </c>
      <c r="P3159">
        <v>-6.0888441682332699E-2</v>
      </c>
      <c r="Q3159">
        <v>2.79788796140201E-2</v>
      </c>
      <c r="R3159">
        <v>0.99763101560353695</v>
      </c>
      <c r="S3159" t="s">
        <v>8985</v>
      </c>
      <c r="T3159" t="s">
        <v>11650</v>
      </c>
      <c r="U3159" t="s">
        <v>11650</v>
      </c>
      <c r="V3159" t="s">
        <v>11650</v>
      </c>
      <c r="W3159" t="s">
        <v>14761</v>
      </c>
      <c r="X3159">
        <v>7</v>
      </c>
      <c r="Y3159" t="s">
        <v>20453</v>
      </c>
      <c r="Z3159" t="s">
        <v>26221</v>
      </c>
      <c r="AA3159">
        <v>0.48859142054270671</v>
      </c>
      <c r="AB3159" t="str">
        <f>HYPERLINK("Melting_Curves/meltCurve_Q14353_GAMT.pdf", "Melting_Curves/meltCurve_Q14353_GAMT.pdf")</f>
        <v>Melting_Curves/meltCurve_Q14353_GAMT.pdf</v>
      </c>
    </row>
    <row r="3160" spans="1:28" x14ac:dyDescent="0.25">
      <c r="A3160" t="s">
        <v>3164</v>
      </c>
      <c r="B3160">
        <v>0.99996721820229495</v>
      </c>
      <c r="C3160">
        <v>1.0591021296085801</v>
      </c>
      <c r="D3160">
        <v>1.0809061462265299</v>
      </c>
      <c r="E3160">
        <v>0.894249866494087</v>
      </c>
      <c r="F3160">
        <v>0.62754212820227395</v>
      </c>
      <c r="G3160">
        <v>0.43293194293909998</v>
      </c>
      <c r="H3160">
        <v>0.23975676620130701</v>
      </c>
      <c r="I3160">
        <v>0.147747140344024</v>
      </c>
      <c r="J3160">
        <v>0.125153611481888</v>
      </c>
      <c r="K3160">
        <v>8.2729856465607599E-2</v>
      </c>
      <c r="L3160">
        <v>996.98385544863095</v>
      </c>
      <c r="M3160">
        <v>18.125777735978701</v>
      </c>
      <c r="N3160">
        <v>55.586512884714402</v>
      </c>
      <c r="O3160">
        <v>54.347282311822099</v>
      </c>
      <c r="P3160">
        <v>-7.6166939931959401E-2</v>
      </c>
      <c r="Q3160">
        <v>8.6546083915310601E-2</v>
      </c>
      <c r="R3160">
        <v>0.985466971629264</v>
      </c>
      <c r="S3160" t="s">
        <v>8986</v>
      </c>
      <c r="T3160" t="s">
        <v>11650</v>
      </c>
      <c r="U3160" t="s">
        <v>11650</v>
      </c>
      <c r="V3160" t="s">
        <v>11650</v>
      </c>
      <c r="W3160" t="s">
        <v>14762</v>
      </c>
      <c r="X3160">
        <v>11</v>
      </c>
      <c r="Y3160" t="s">
        <v>20454</v>
      </c>
      <c r="Z3160" t="s">
        <v>26222</v>
      </c>
      <c r="AA3160">
        <v>0.55738064728846082</v>
      </c>
      <c r="AB3160" t="str">
        <f>HYPERLINK("Melting_Curves/meltCurve_Q14376_GALE.pdf", "Melting_Curves/meltCurve_Q14376_GALE.pdf")</f>
        <v>Melting_Curves/meltCurve_Q14376_GALE.pdf</v>
      </c>
    </row>
    <row r="3161" spans="1:28" x14ac:dyDescent="0.25">
      <c r="A3161" t="s">
        <v>3165</v>
      </c>
      <c r="B3161">
        <v>0.99996721820229495</v>
      </c>
      <c r="C3161">
        <v>0.79058217602702097</v>
      </c>
      <c r="D3161">
        <v>0.99694320429609895</v>
      </c>
      <c r="E3161">
        <v>1.0749980277768001</v>
      </c>
      <c r="F3161">
        <v>1.0859423626403699</v>
      </c>
      <c r="G3161">
        <v>0.67936719396576195</v>
      </c>
      <c r="H3161">
        <v>0.33117008114329299</v>
      </c>
      <c r="I3161">
        <v>0.16973903785071601</v>
      </c>
      <c r="J3161">
        <v>9.2072526998702095E-2</v>
      </c>
      <c r="K3161">
        <v>9.3894180145635303E-2</v>
      </c>
      <c r="L3161">
        <v>1805.44210688967</v>
      </c>
      <c r="M3161">
        <v>30.819114432497699</v>
      </c>
      <c r="N3161">
        <v>58.9811351872345</v>
      </c>
      <c r="O3161">
        <v>58.336914409053698</v>
      </c>
      <c r="P3161">
        <v>-0.11964081284580701</v>
      </c>
      <c r="Q3161">
        <v>9.4142201198047698E-2</v>
      </c>
      <c r="R3161">
        <v>0.95662159528069202</v>
      </c>
      <c r="S3161" t="s">
        <v>8987</v>
      </c>
      <c r="T3161" t="s">
        <v>11650</v>
      </c>
      <c r="U3161" t="s">
        <v>11650</v>
      </c>
      <c r="V3161" t="s">
        <v>11650</v>
      </c>
      <c r="W3161" t="s">
        <v>14763</v>
      </c>
      <c r="X3161">
        <v>4</v>
      </c>
      <c r="Y3161" t="s">
        <v>20455</v>
      </c>
      <c r="Z3161" t="s">
        <v>26223</v>
      </c>
      <c r="AA3161">
        <v>0.66086343488598975</v>
      </c>
      <c r="AB3161" t="str">
        <f>HYPERLINK("Melting_Curves/meltCurve_Q14392_LRRC32.pdf", "Melting_Curves/meltCurve_Q14392_LRRC32.pdf")</f>
        <v>Melting_Curves/meltCurve_Q14392_LRRC32.pdf</v>
      </c>
    </row>
    <row r="3162" spans="1:28" x14ac:dyDescent="0.25">
      <c r="A3162" t="s">
        <v>3166</v>
      </c>
      <c r="B3162">
        <v>0.99996721820229495</v>
      </c>
      <c r="C3162">
        <v>1.0157998618403801</v>
      </c>
      <c r="D3162">
        <v>1.06237540001927</v>
      </c>
      <c r="E3162">
        <v>1.2392830076055501</v>
      </c>
      <c r="F3162">
        <v>1.17049515736471</v>
      </c>
      <c r="G3162">
        <v>1.2702011564703299</v>
      </c>
      <c r="H3162">
        <v>0.77244287645953003</v>
      </c>
      <c r="I3162">
        <v>0.44030817261082</v>
      </c>
      <c r="J3162">
        <v>0.301262503054122</v>
      </c>
      <c r="K3162">
        <v>0.35607589675402002</v>
      </c>
      <c r="L3162">
        <v>3783.1918264709898</v>
      </c>
      <c r="M3162">
        <v>61.235287908733604</v>
      </c>
      <c r="N3162">
        <v>62.937586564507797</v>
      </c>
      <c r="O3162">
        <v>61.715427951810902</v>
      </c>
      <c r="P3162">
        <v>-0.16428972461159899</v>
      </c>
      <c r="Q3162">
        <v>0.337688399632393</v>
      </c>
      <c r="R3162">
        <v>0.86399197136720796</v>
      </c>
      <c r="S3162" t="s">
        <v>8988</v>
      </c>
      <c r="T3162" t="s">
        <v>11650</v>
      </c>
      <c r="U3162" t="s">
        <v>11650</v>
      </c>
      <c r="V3162" t="s">
        <v>11650</v>
      </c>
      <c r="W3162" t="s">
        <v>14764</v>
      </c>
      <c r="X3162">
        <v>18</v>
      </c>
      <c r="Y3162" t="s">
        <v>20456</v>
      </c>
      <c r="Z3162" t="s">
        <v>26224</v>
      </c>
      <c r="AA3162">
        <v>0.8197326326707689</v>
      </c>
      <c r="AB3162" t="str">
        <f>HYPERLINK("Melting_Curves/meltCurve_Q14393_2_GAS6.pdf", "Melting_Curves/meltCurve_Q14393_2_GAS6.pdf")</f>
        <v>Melting_Curves/meltCurve_Q14393_2_GAS6.pdf</v>
      </c>
    </row>
    <row r="3163" spans="1:28" x14ac:dyDescent="0.25">
      <c r="A3163" t="s">
        <v>3167</v>
      </c>
      <c r="B3163">
        <v>0.99996721820229495</v>
      </c>
      <c r="C3163">
        <v>0.97696963666527503</v>
      </c>
      <c r="D3163">
        <v>0.99125267003057904</v>
      </c>
      <c r="E3163">
        <v>1.2386400349328801</v>
      </c>
      <c r="F3163">
        <v>2.0838682942123499</v>
      </c>
      <c r="G3163">
        <v>2.1962438719027402</v>
      </c>
      <c r="H3163">
        <v>1.5115002851814401</v>
      </c>
      <c r="I3163">
        <v>1.17996378798837</v>
      </c>
      <c r="J3163">
        <v>0.80889880541716497</v>
      </c>
      <c r="K3163">
        <v>0.66285247771195199</v>
      </c>
      <c r="L3163">
        <v>15000</v>
      </c>
      <c r="M3163">
        <v>224.148977104572</v>
      </c>
      <c r="O3163">
        <v>66.914455596294601</v>
      </c>
      <c r="P3163">
        <v>-0.28236470011322901</v>
      </c>
      <c r="Q3163">
        <v>0.66282640481187705</v>
      </c>
      <c r="R3163">
        <v>-0.22956489307532599</v>
      </c>
      <c r="S3163" t="s">
        <v>8989</v>
      </c>
      <c r="T3163" t="s">
        <v>11650</v>
      </c>
      <c r="U3163" t="s">
        <v>11650</v>
      </c>
      <c r="V3163" t="s">
        <v>11650</v>
      </c>
      <c r="W3163" t="s">
        <v>14765</v>
      </c>
      <c r="X3163">
        <v>19</v>
      </c>
      <c r="Y3163" t="s">
        <v>20457</v>
      </c>
      <c r="Z3163" t="s">
        <v>26225</v>
      </c>
      <c r="AA3163">
        <v>0.96543009550203907</v>
      </c>
      <c r="AB3163" t="str">
        <f>HYPERLINK("Melting_Curves/meltCurve_Q14444_2_CAPRIN1.pdf", "Melting_Curves/meltCurve_Q14444_2_CAPRIN1.pdf")</f>
        <v>Melting_Curves/meltCurve_Q14444_2_CAPRIN1.pdf</v>
      </c>
    </row>
    <row r="3164" spans="1:28" x14ac:dyDescent="0.25">
      <c r="A3164" t="s">
        <v>3168</v>
      </c>
      <c r="B3164">
        <v>0.99996721820229495</v>
      </c>
      <c r="C3164">
        <v>1.3381851478768001</v>
      </c>
      <c r="D3164">
        <v>1.1239145779640101</v>
      </c>
      <c r="E3164">
        <v>0.59738258548683598</v>
      </c>
      <c r="F3164">
        <v>0.49143401849825302</v>
      </c>
      <c r="G3164">
        <v>0.37231604258123902</v>
      </c>
      <c r="H3164">
        <v>0.25914259050751498</v>
      </c>
      <c r="I3164">
        <v>0.157068789683837</v>
      </c>
      <c r="J3164">
        <v>0.14387148195622601</v>
      </c>
      <c r="K3164">
        <v>0.109658857658679</v>
      </c>
      <c r="L3164">
        <v>1111.89857319827</v>
      </c>
      <c r="M3164">
        <v>21.501215300658899</v>
      </c>
      <c r="N3164">
        <v>52.741944620463201</v>
      </c>
      <c r="O3164">
        <v>51.272195678506897</v>
      </c>
      <c r="P3164">
        <v>-8.6885727727299203E-2</v>
      </c>
      <c r="Q3164">
        <v>0.17126301304687999</v>
      </c>
      <c r="R3164">
        <v>0.89336779720953896</v>
      </c>
      <c r="S3164" t="s">
        <v>8990</v>
      </c>
      <c r="T3164" t="s">
        <v>11650</v>
      </c>
      <c r="U3164" t="s">
        <v>11650</v>
      </c>
      <c r="V3164" t="s">
        <v>11650</v>
      </c>
      <c r="W3164" t="s">
        <v>14766</v>
      </c>
      <c r="X3164">
        <v>3</v>
      </c>
      <c r="Y3164" t="s">
        <v>20458</v>
      </c>
      <c r="Z3164" t="s">
        <v>26226</v>
      </c>
      <c r="AA3164">
        <v>0.50488748346455237</v>
      </c>
      <c r="AB3164" t="str">
        <f>HYPERLINK("Melting_Curves/meltCurve_Q14498_3_RBM39.pdf", "Melting_Curves/meltCurve_Q14498_3_RBM39.pdf")</f>
        <v>Melting_Curves/meltCurve_Q14498_3_RBM39.pdf</v>
      </c>
    </row>
    <row r="3165" spans="1:28" x14ac:dyDescent="0.25">
      <c r="A3165" t="s">
        <v>3169</v>
      </c>
      <c r="B3165">
        <v>0.99996721820229495</v>
      </c>
      <c r="C3165">
        <v>0.96047388693124403</v>
      </c>
      <c r="D3165">
        <v>0.75578126021438596</v>
      </c>
      <c r="E3165">
        <v>0.49385457120697102</v>
      </c>
      <c r="F3165">
        <v>0.54782072763775402</v>
      </c>
      <c r="G3165">
        <v>0.40628829810995298</v>
      </c>
      <c r="H3165">
        <v>0.26629813861833501</v>
      </c>
      <c r="I3165">
        <v>0.214572432702552</v>
      </c>
      <c r="J3165">
        <v>0.17720027941244201</v>
      </c>
      <c r="K3165">
        <v>0.13524818810807299</v>
      </c>
      <c r="L3165">
        <v>493.89183635123499</v>
      </c>
      <c r="M3165">
        <v>9.5716040372570195</v>
      </c>
      <c r="N3165">
        <v>52.725483599234799</v>
      </c>
      <c r="O3165">
        <v>49.498138085035301</v>
      </c>
      <c r="P3165">
        <v>-4.39005687484035E-2</v>
      </c>
      <c r="Q3165">
        <v>9.2420460072234201E-2</v>
      </c>
      <c r="R3165">
        <v>0.966210159312479</v>
      </c>
      <c r="S3165" t="s">
        <v>8991</v>
      </c>
      <c r="T3165" t="s">
        <v>11650</v>
      </c>
      <c r="U3165" t="s">
        <v>11650</v>
      </c>
      <c r="V3165" t="s">
        <v>11650</v>
      </c>
      <c r="W3165" t="s">
        <v>14767</v>
      </c>
      <c r="X3165">
        <v>5</v>
      </c>
      <c r="Y3165" t="s">
        <v>20459</v>
      </c>
      <c r="Z3165" t="s">
        <v>26227</v>
      </c>
      <c r="AA3165">
        <v>0.4809299070304624</v>
      </c>
      <c r="AB3165" t="str">
        <f>HYPERLINK("Melting_Curves/meltCurve_Q14511_3_NEDD9.pdf", "Melting_Curves/meltCurve_Q14511_3_NEDD9.pdf")</f>
        <v>Melting_Curves/meltCurve_Q14511_3_NEDD9.pdf</v>
      </c>
    </row>
    <row r="3166" spans="1:28" x14ac:dyDescent="0.25">
      <c r="A3166" t="s">
        <v>3170</v>
      </c>
      <c r="B3166">
        <v>0.99996721820229495</v>
      </c>
      <c r="C3166">
        <v>0.91162174212324099</v>
      </c>
      <c r="D3166">
        <v>0.95817581199560398</v>
      </c>
      <c r="E3166">
        <v>1.13067652574748</v>
      </c>
      <c r="F3166">
        <v>1.4156238027731001</v>
      </c>
      <c r="G3166">
        <v>1.55327609717235</v>
      </c>
      <c r="H3166">
        <v>1.2535737538465299</v>
      </c>
      <c r="I3166">
        <v>0.78996743023708904</v>
      </c>
      <c r="J3166">
        <v>0.52217838533294803</v>
      </c>
      <c r="K3166">
        <v>0.67997898950097102</v>
      </c>
      <c r="L3166">
        <v>15000</v>
      </c>
      <c r="M3166">
        <v>234.48105320835401</v>
      </c>
      <c r="O3166">
        <v>63.966398795840703</v>
      </c>
      <c r="P3166">
        <v>-0.365583730297041</v>
      </c>
      <c r="Q3166">
        <v>0.601075229192095</v>
      </c>
      <c r="R3166">
        <v>0.38059394940271901</v>
      </c>
      <c r="S3166" t="s">
        <v>8992</v>
      </c>
      <c r="T3166" t="s">
        <v>11650</v>
      </c>
      <c r="U3166" t="s">
        <v>11650</v>
      </c>
      <c r="V3166" t="s">
        <v>11650</v>
      </c>
      <c r="W3166" t="s">
        <v>14768</v>
      </c>
      <c r="X3166">
        <v>13</v>
      </c>
      <c r="Y3166" t="s">
        <v>20460</v>
      </c>
      <c r="Z3166" t="s">
        <v>26228</v>
      </c>
      <c r="AA3166">
        <v>0.91988104261228298</v>
      </c>
      <c r="AB3166" t="str">
        <f>HYPERLINK("Melting_Curves/meltCurve_Q14517_FAT1.pdf", "Melting_Curves/meltCurve_Q14517_FAT1.pdf")</f>
        <v>Melting_Curves/meltCurve_Q14517_FAT1.pdf</v>
      </c>
    </row>
    <row r="3167" spans="1:28" x14ac:dyDescent="0.25">
      <c r="A3167" t="s">
        <v>3171</v>
      </c>
      <c r="B3167">
        <v>0.99996721820229495</v>
      </c>
      <c r="C3167">
        <v>1.1639248549133301</v>
      </c>
      <c r="D3167">
        <v>1.17470306749624</v>
      </c>
      <c r="E3167">
        <v>1.154707790709</v>
      </c>
      <c r="F3167">
        <v>1.41374717102692</v>
      </c>
      <c r="G3167">
        <v>1.0665446607076601</v>
      </c>
      <c r="H3167">
        <v>0.29550238489266001</v>
      </c>
      <c r="I3167">
        <v>0.141733725016748</v>
      </c>
      <c r="J3167">
        <v>9.1263845321660098E-2</v>
      </c>
      <c r="K3167">
        <v>7.1628327831907299E-2</v>
      </c>
      <c r="L3167">
        <v>9138.0771205668007</v>
      </c>
      <c r="M3167">
        <v>151.093220713222</v>
      </c>
      <c r="N3167">
        <v>60.570630103564</v>
      </c>
      <c r="O3167">
        <v>60.4691380910687</v>
      </c>
      <c r="P3167">
        <v>-0.56130309756129904</v>
      </c>
      <c r="Q3167">
        <v>0.101441807653015</v>
      </c>
      <c r="R3167">
        <v>0.89974330119514101</v>
      </c>
      <c r="S3167" t="s">
        <v>8993</v>
      </c>
      <c r="T3167" t="s">
        <v>11650</v>
      </c>
      <c r="U3167" t="s">
        <v>11650</v>
      </c>
      <c r="V3167" t="s">
        <v>11650</v>
      </c>
      <c r="W3167" t="s">
        <v>14769</v>
      </c>
      <c r="X3167">
        <v>1</v>
      </c>
      <c r="Y3167" t="s">
        <v>20461</v>
      </c>
      <c r="Z3167" t="s">
        <v>26229</v>
      </c>
      <c r="AA3167">
        <v>0.71511064010962733</v>
      </c>
      <c r="AB3167" t="str">
        <f>HYPERLINK("Melting_Curves/meltCurve_Q14520_2_HABP2.pdf", "Melting_Curves/meltCurve_Q14520_2_HABP2.pdf")</f>
        <v>Melting_Curves/meltCurve_Q14520_2_HABP2.pdf</v>
      </c>
    </row>
    <row r="3168" spans="1:28" x14ac:dyDescent="0.25">
      <c r="A3168" t="s">
        <v>3172</v>
      </c>
      <c r="B3168">
        <v>0.99996721820229495</v>
      </c>
      <c r="C3168">
        <v>1.0098688818391099</v>
      </c>
      <c r="D3168">
        <v>0.88292665253291303</v>
      </c>
      <c r="E3168">
        <v>0.52972602273509395</v>
      </c>
      <c r="F3168">
        <v>0.349895581861766</v>
      </c>
      <c r="G3168">
        <v>0.31515435042343598</v>
      </c>
      <c r="H3168">
        <v>0.192482831027669</v>
      </c>
      <c r="I3168">
        <v>0.100079239085839</v>
      </c>
      <c r="J3168">
        <v>6.5020869007830204E-2</v>
      </c>
      <c r="K3168">
        <v>5.3406967598155303E-2</v>
      </c>
      <c r="L3168">
        <v>783.45448425103905</v>
      </c>
      <c r="M3168">
        <v>15.459781260376699</v>
      </c>
      <c r="N3168">
        <v>51.249735692285803</v>
      </c>
      <c r="O3168">
        <v>49.8517348605018</v>
      </c>
      <c r="P3168">
        <v>-7.1383996348420298E-2</v>
      </c>
      <c r="Q3168">
        <v>7.9340999584767202E-2</v>
      </c>
      <c r="R3168">
        <v>0.98098512988511999</v>
      </c>
      <c r="S3168" t="s">
        <v>8994</v>
      </c>
      <c r="T3168" t="s">
        <v>11650</v>
      </c>
      <c r="U3168" t="s">
        <v>11650</v>
      </c>
      <c r="V3168" t="s">
        <v>11650</v>
      </c>
      <c r="W3168" t="s">
        <v>14770</v>
      </c>
      <c r="X3168">
        <v>12</v>
      </c>
      <c r="Y3168" t="s">
        <v>20462</v>
      </c>
      <c r="Z3168" t="s">
        <v>26230</v>
      </c>
      <c r="AA3168">
        <v>0.42741212885943702</v>
      </c>
      <c r="AB3168" t="str">
        <f>HYPERLINK("Melting_Curves/meltCurve_Q14534_SQLE.pdf", "Melting_Curves/meltCurve_Q14534_SQLE.pdf")</f>
        <v>Melting_Curves/meltCurve_Q14534_SQLE.pdf</v>
      </c>
    </row>
    <row r="3169" spans="1:28" x14ac:dyDescent="0.25">
      <c r="A3169" t="s">
        <v>3173</v>
      </c>
      <c r="B3169">
        <v>0.99996721820229495</v>
      </c>
      <c r="C3169">
        <v>1.0805907399288199</v>
      </c>
      <c r="D3169">
        <v>0.91226630208513304</v>
      </c>
      <c r="E3169">
        <v>0.86466699844837502</v>
      </c>
      <c r="F3169">
        <v>0.42990762293758999</v>
      </c>
      <c r="G3169">
        <v>0.36906736157387199</v>
      </c>
      <c r="H3169">
        <v>0.238810485258521</v>
      </c>
      <c r="I3169">
        <v>0.136235539413541</v>
      </c>
      <c r="J3169">
        <v>9.0173155961303902E-2</v>
      </c>
      <c r="K3169">
        <v>9.9890606118698405E-2</v>
      </c>
      <c r="L3169">
        <v>949.93878643181904</v>
      </c>
      <c r="M3169">
        <v>17.920343317253199</v>
      </c>
      <c r="N3169">
        <v>53.722323297545302</v>
      </c>
      <c r="O3169">
        <v>52.3620859891031</v>
      </c>
      <c r="P3169">
        <v>-7.6504311382366103E-2</v>
      </c>
      <c r="Q3169">
        <v>0.10588226506678</v>
      </c>
      <c r="R3169">
        <v>0.97042751952658701</v>
      </c>
      <c r="S3169" t="s">
        <v>8995</v>
      </c>
      <c r="T3169" t="s">
        <v>11650</v>
      </c>
      <c r="U3169" t="s">
        <v>11650</v>
      </c>
      <c r="V3169" t="s">
        <v>11650</v>
      </c>
      <c r="W3169" t="s">
        <v>14771</v>
      </c>
      <c r="X3169">
        <v>19</v>
      </c>
      <c r="Y3169" t="s">
        <v>20463</v>
      </c>
      <c r="Z3169" t="s">
        <v>26231</v>
      </c>
      <c r="AA3169">
        <v>0.50834216756435624</v>
      </c>
      <c r="AB3169" t="str">
        <f>HYPERLINK("Melting_Curves/meltCurve_Q14554_PDIA5.pdf", "Melting_Curves/meltCurve_Q14554_PDIA5.pdf")</f>
        <v>Melting_Curves/meltCurve_Q14554_PDIA5.pdf</v>
      </c>
    </row>
    <row r="3170" spans="1:28" x14ac:dyDescent="0.25">
      <c r="A3170" t="s">
        <v>3174</v>
      </c>
      <c r="B3170">
        <v>0.99996721820229495</v>
      </c>
      <c r="C3170">
        <v>0.84511431388369895</v>
      </c>
      <c r="D3170">
        <v>1.03711975076759</v>
      </c>
      <c r="E3170">
        <v>0.80358647423758001</v>
      </c>
      <c r="F3170">
        <v>0.50045255626808705</v>
      </c>
      <c r="G3170">
        <v>0.38343310975811501</v>
      </c>
      <c r="H3170">
        <v>0.2425916346434</v>
      </c>
      <c r="I3170">
        <v>0.14702857230310001</v>
      </c>
      <c r="J3170">
        <v>0.112000791859013</v>
      </c>
      <c r="K3170">
        <v>9.2355768430956095E-2</v>
      </c>
      <c r="L3170">
        <v>816.40504765738297</v>
      </c>
      <c r="M3170">
        <v>15.219670516123401</v>
      </c>
      <c r="N3170">
        <v>54.274575461211903</v>
      </c>
      <c r="O3170">
        <v>52.740962086925798</v>
      </c>
      <c r="P3170">
        <v>-6.6281848327571696E-2</v>
      </c>
      <c r="Q3170">
        <v>8.1337788790202606E-2</v>
      </c>
      <c r="R3170">
        <v>0.96849444844185695</v>
      </c>
      <c r="S3170" t="s">
        <v>8996</v>
      </c>
      <c r="T3170" t="s">
        <v>11650</v>
      </c>
      <c r="U3170" t="s">
        <v>11650</v>
      </c>
      <c r="V3170" t="s">
        <v>11650</v>
      </c>
      <c r="W3170" t="s">
        <v>14772</v>
      </c>
      <c r="X3170">
        <v>9</v>
      </c>
      <c r="Y3170" t="s">
        <v>20464</v>
      </c>
      <c r="Z3170" t="s">
        <v>26232</v>
      </c>
      <c r="AA3170">
        <v>0.51790565174345715</v>
      </c>
      <c r="AB3170" t="str">
        <f>HYPERLINK("Melting_Curves/meltCurve_Q14642_INPP5A.pdf", "Melting_Curves/meltCurve_Q14642_INPP5A.pdf")</f>
        <v>Melting_Curves/meltCurve_Q14642_INPP5A.pdf</v>
      </c>
    </row>
    <row r="3171" spans="1:28" x14ac:dyDescent="0.25">
      <c r="A3171" t="s">
        <v>3175</v>
      </c>
      <c r="B3171">
        <v>0.99996721820229495</v>
      </c>
      <c r="C3171">
        <v>1.04794770305156</v>
      </c>
      <c r="D3171">
        <v>1.0691518981606101</v>
      </c>
      <c r="E3171">
        <v>0.98038373800717005</v>
      </c>
      <c r="F3171">
        <v>0.55209937512092</v>
      </c>
      <c r="G3171">
        <v>0.36550833737806898</v>
      </c>
      <c r="H3171">
        <v>0.20540661179411099</v>
      </c>
      <c r="I3171">
        <v>0.1694423006137</v>
      </c>
      <c r="J3171">
        <v>7.9903416318873904E-2</v>
      </c>
      <c r="K3171">
        <v>0.106101443674915</v>
      </c>
      <c r="L3171">
        <v>1314.2962462627399</v>
      </c>
      <c r="M3171">
        <v>24.397150066173499</v>
      </c>
      <c r="N3171">
        <v>54.519441323466303</v>
      </c>
      <c r="O3171">
        <v>53.512875941382298</v>
      </c>
      <c r="P3171">
        <v>-9.9623936597749999E-2</v>
      </c>
      <c r="Q3171">
        <v>0.125949703317316</v>
      </c>
      <c r="R3171">
        <v>0.97766166825663203</v>
      </c>
      <c r="S3171" t="s">
        <v>8997</v>
      </c>
      <c r="T3171" t="s">
        <v>11650</v>
      </c>
      <c r="U3171" t="s">
        <v>11650</v>
      </c>
      <c r="V3171" t="s">
        <v>11650</v>
      </c>
      <c r="W3171" t="s">
        <v>14773</v>
      </c>
      <c r="X3171">
        <v>4</v>
      </c>
      <c r="Y3171" t="s">
        <v>20465</v>
      </c>
      <c r="Z3171" t="s">
        <v>26233</v>
      </c>
      <c r="AA3171">
        <v>0.53853057573433227</v>
      </c>
      <c r="AB3171" t="str">
        <f>HYPERLINK("Melting_Curves/meltCurve_Q14651_PLS1.pdf", "Melting_Curves/meltCurve_Q14651_PLS1.pdf")</f>
        <v>Melting_Curves/meltCurve_Q14651_PLS1.pdf</v>
      </c>
    </row>
    <row r="3172" spans="1:28" x14ac:dyDescent="0.25">
      <c r="A3172" t="s">
        <v>3176</v>
      </c>
      <c r="B3172">
        <v>0.99996721820229495</v>
      </c>
      <c r="C3172">
        <v>1.08457634701835</v>
      </c>
      <c r="D3172">
        <v>0.91858051829408505</v>
      </c>
      <c r="E3172">
        <v>0.986185245233553</v>
      </c>
      <c r="F3172">
        <v>0.60348207831280398</v>
      </c>
      <c r="G3172">
        <v>0.27614219807992102</v>
      </c>
      <c r="H3172">
        <v>0.152623937767177</v>
      </c>
      <c r="I3172">
        <v>0.102255079243293</v>
      </c>
      <c r="J3172">
        <v>6.1980795928098499E-2</v>
      </c>
      <c r="K3172">
        <v>9.1172619676899797E-2</v>
      </c>
      <c r="L3172">
        <v>1522.71234265319</v>
      </c>
      <c r="M3172">
        <v>28.266381769949199</v>
      </c>
      <c r="N3172">
        <v>54.262821671675802</v>
      </c>
      <c r="O3172">
        <v>53.602622014742202</v>
      </c>
      <c r="P3172">
        <v>-0.119638549500911</v>
      </c>
      <c r="Q3172">
        <v>9.2506863912632797E-2</v>
      </c>
      <c r="R3172">
        <v>0.98611235022765098</v>
      </c>
      <c r="S3172" t="s">
        <v>8998</v>
      </c>
      <c r="T3172" t="s">
        <v>11650</v>
      </c>
      <c r="U3172" t="s">
        <v>11650</v>
      </c>
      <c r="V3172" t="s">
        <v>11650</v>
      </c>
      <c r="W3172" t="s">
        <v>14774</v>
      </c>
      <c r="X3172">
        <v>7</v>
      </c>
      <c r="Y3172" t="s">
        <v>20466</v>
      </c>
      <c r="Z3172" t="s">
        <v>26234</v>
      </c>
      <c r="AA3172">
        <v>0.51874624548692627</v>
      </c>
      <c r="AB3172" t="str">
        <f>HYPERLINK("Melting_Curves/meltCurve_Q14653_IRF3.pdf", "Melting_Curves/meltCurve_Q14653_IRF3.pdf")</f>
        <v>Melting_Curves/meltCurve_Q14653_IRF3.pdf</v>
      </c>
    </row>
    <row r="3173" spans="1:28" x14ac:dyDescent="0.25">
      <c r="A3173" t="s">
        <v>3177</v>
      </c>
      <c r="B3173">
        <v>0.99996721820229495</v>
      </c>
      <c r="C3173">
        <v>0.80228271934634399</v>
      </c>
      <c r="D3173">
        <v>0.97466993710419103</v>
      </c>
      <c r="E3173">
        <v>0.92187385803233701</v>
      </c>
      <c r="F3173">
        <v>0.93090167894694398</v>
      </c>
      <c r="G3173">
        <v>0.97530122789699603</v>
      </c>
      <c r="H3173">
        <v>0.54778827818011699</v>
      </c>
      <c r="I3173">
        <v>0.26563546375925901</v>
      </c>
      <c r="J3173">
        <v>0.173449664285936</v>
      </c>
      <c r="K3173">
        <v>0.165990324727841</v>
      </c>
      <c r="L3173">
        <v>2631.3452997446002</v>
      </c>
      <c r="M3173">
        <v>43.2663074121539</v>
      </c>
      <c r="N3173">
        <v>61.386406385599301</v>
      </c>
      <c r="O3173">
        <v>60.687938978886301</v>
      </c>
      <c r="P3173">
        <v>-0.148791559968942</v>
      </c>
      <c r="Q3173">
        <v>0.16518523340862301</v>
      </c>
      <c r="R3173">
        <v>0.95451680445167797</v>
      </c>
      <c r="S3173" t="s">
        <v>8999</v>
      </c>
      <c r="T3173" t="s">
        <v>11650</v>
      </c>
      <c r="U3173" t="s">
        <v>11650</v>
      </c>
      <c r="V3173" t="s">
        <v>11650</v>
      </c>
      <c r="W3173" t="s">
        <v>14775</v>
      </c>
      <c r="X3173">
        <v>4</v>
      </c>
      <c r="Y3173" t="s">
        <v>20467</v>
      </c>
      <c r="Z3173" t="s">
        <v>26235</v>
      </c>
      <c r="AA3173">
        <v>0.74728388434789916</v>
      </c>
      <c r="AB3173" t="str">
        <f>HYPERLINK("Melting_Curves/meltCurve_Q14657_LAGE3.pdf", "Melting_Curves/meltCurve_Q14657_LAGE3.pdf")</f>
        <v>Melting_Curves/meltCurve_Q14657_LAGE3.pdf</v>
      </c>
    </row>
    <row r="3174" spans="1:28" x14ac:dyDescent="0.25">
      <c r="A3174" t="s">
        <v>3178</v>
      </c>
      <c r="B3174">
        <v>0.99996721820229495</v>
      </c>
      <c r="C3174">
        <v>0.95077628083022403</v>
      </c>
      <c r="D3174">
        <v>0.66499000186246404</v>
      </c>
      <c r="E3174">
        <v>0.66754857848091298</v>
      </c>
      <c r="F3174">
        <v>0.71013977043443099</v>
      </c>
      <c r="G3174">
        <v>0.50292602905711403</v>
      </c>
      <c r="H3174">
        <v>0.32500973059445298</v>
      </c>
      <c r="I3174">
        <v>0.228276293127254</v>
      </c>
      <c r="J3174">
        <v>0.13602685871872999</v>
      </c>
      <c r="K3174">
        <v>0.12896264256467899</v>
      </c>
      <c r="L3174">
        <v>445.13190078275602</v>
      </c>
      <c r="M3174">
        <v>8.0378802789510093</v>
      </c>
      <c r="N3174">
        <v>55.379264836540102</v>
      </c>
      <c r="O3174">
        <v>52.267082523897301</v>
      </c>
      <c r="P3174">
        <v>-3.8488919791778001E-2</v>
      </c>
      <c r="Q3174">
        <v>0</v>
      </c>
      <c r="R3174">
        <v>0.93681436007357199</v>
      </c>
      <c r="S3174" t="s">
        <v>9000</v>
      </c>
      <c r="T3174" t="s">
        <v>11650</v>
      </c>
      <c r="U3174" t="s">
        <v>11650</v>
      </c>
      <c r="V3174" t="s">
        <v>11650</v>
      </c>
      <c r="W3174" t="s">
        <v>14776</v>
      </c>
      <c r="X3174">
        <v>5</v>
      </c>
      <c r="Y3174" t="s">
        <v>20468</v>
      </c>
      <c r="Z3174" t="s">
        <v>26236</v>
      </c>
      <c r="AA3174">
        <v>0.53708517103919484</v>
      </c>
      <c r="AB3174" t="str">
        <f>HYPERLINK("Melting_Curves/meltCurve_Q14669_3_TRIP12.pdf", "Melting_Curves/meltCurve_Q14669_3_TRIP12.pdf")</f>
        <v>Melting_Curves/meltCurve_Q14669_3_TRIP12.pdf</v>
      </c>
    </row>
    <row r="3175" spans="1:28" x14ac:dyDescent="0.25">
      <c r="A3175" t="s">
        <v>3179</v>
      </c>
      <c r="B3175">
        <v>0.99996721820229495</v>
      </c>
      <c r="C3175">
        <v>0.96904990126596402</v>
      </c>
      <c r="D3175">
        <v>0.92590255279056899</v>
      </c>
      <c r="E3175">
        <v>0.80805822163917795</v>
      </c>
      <c r="F3175">
        <v>0.74665010425658396</v>
      </c>
      <c r="G3175">
        <v>0.51121379423381796</v>
      </c>
      <c r="H3175">
        <v>0.271707079416728</v>
      </c>
      <c r="I3175">
        <v>0.31313815107434501</v>
      </c>
      <c r="J3175">
        <v>0.17794367424549601</v>
      </c>
      <c r="K3175">
        <v>0.14770991165540201</v>
      </c>
      <c r="L3175">
        <v>665.99146601539996</v>
      </c>
      <c r="M3175">
        <v>11.790866783726001</v>
      </c>
      <c r="N3175">
        <v>57.135711071831203</v>
      </c>
      <c r="O3175">
        <v>54.9323979869474</v>
      </c>
      <c r="P3175">
        <v>-5.0295977687128103E-2</v>
      </c>
      <c r="Q3175">
        <v>6.2947337283673202E-2</v>
      </c>
      <c r="R3175">
        <v>0.989131510384198</v>
      </c>
      <c r="S3175" t="s">
        <v>9001</v>
      </c>
      <c r="T3175" t="s">
        <v>11650</v>
      </c>
      <c r="U3175" t="s">
        <v>11650</v>
      </c>
      <c r="V3175" t="s">
        <v>11650</v>
      </c>
      <c r="W3175" t="s">
        <v>14777</v>
      </c>
      <c r="X3175">
        <v>2</v>
      </c>
      <c r="Y3175" t="s">
        <v>20469</v>
      </c>
      <c r="Z3175" t="s">
        <v>26237</v>
      </c>
      <c r="AA3175">
        <v>0.59542530554804884</v>
      </c>
      <c r="AB3175" t="str">
        <f>HYPERLINK("Melting_Curves/meltCurve_Q14676_4_MDC1.pdf", "Melting_Curves/meltCurve_Q14676_4_MDC1.pdf")</f>
        <v>Melting_Curves/meltCurve_Q14676_4_MDC1.pdf</v>
      </c>
    </row>
    <row r="3176" spans="1:28" x14ac:dyDescent="0.25">
      <c r="A3176" t="s">
        <v>3180</v>
      </c>
      <c r="B3176">
        <v>0.99996721820229495</v>
      </c>
      <c r="C3176">
        <v>0.66164201934223199</v>
      </c>
      <c r="D3176">
        <v>0.51394576460392205</v>
      </c>
      <c r="E3176">
        <v>1.30171330547757</v>
      </c>
      <c r="F3176">
        <v>1.14482666920001</v>
      </c>
      <c r="G3176">
        <v>0.40243856222919899</v>
      </c>
      <c r="H3176">
        <v>0.63668151212995905</v>
      </c>
      <c r="I3176">
        <v>0.60843732968962605</v>
      </c>
      <c r="J3176">
        <v>0.62004201112798696</v>
      </c>
      <c r="K3176">
        <v>0.771384643358628</v>
      </c>
      <c r="L3176">
        <v>150.74422292213001</v>
      </c>
      <c r="M3176">
        <v>1.5596905754214101</v>
      </c>
      <c r="O3176">
        <v>48.685612964845198</v>
      </c>
      <c r="P3176">
        <v>-9.2656047183336202E-3</v>
      </c>
      <c r="Q3176">
        <v>0</v>
      </c>
      <c r="R3176">
        <v>8.7649148835990398E-2</v>
      </c>
      <c r="S3176" t="s">
        <v>9002</v>
      </c>
      <c r="T3176" t="s">
        <v>11650</v>
      </c>
      <c r="U3176" t="s">
        <v>11650</v>
      </c>
      <c r="V3176" t="s">
        <v>11650</v>
      </c>
      <c r="W3176" t="s">
        <v>14778</v>
      </c>
      <c r="X3176">
        <v>20</v>
      </c>
      <c r="Y3176" t="s">
        <v>20470</v>
      </c>
      <c r="Z3176" t="s">
        <v>26238</v>
      </c>
      <c r="AA3176">
        <v>0.76797721204018188</v>
      </c>
      <c r="AB3176" t="str">
        <f>HYPERLINK("Melting_Curves/meltCurve_Q14677_CLINT1.pdf", "Melting_Curves/meltCurve_Q14677_CLINT1.pdf")</f>
        <v>Melting_Curves/meltCurve_Q14677_CLINT1.pdf</v>
      </c>
    </row>
    <row r="3177" spans="1:28" x14ac:dyDescent="0.25">
      <c r="A3177" t="s">
        <v>3181</v>
      </c>
      <c r="B3177">
        <v>0.99996721820229495</v>
      </c>
      <c r="C3177">
        <v>0.66665418474354399</v>
      </c>
      <c r="D3177">
        <v>0.35822670513618998</v>
      </c>
      <c r="E3177">
        <v>0.27021385960553601</v>
      </c>
      <c r="F3177">
        <v>0.30524238959141498</v>
      </c>
      <c r="G3177">
        <v>0.26494332351937</v>
      </c>
      <c r="H3177">
        <v>0.20036056733738999</v>
      </c>
      <c r="I3177">
        <v>0.13117295509005999</v>
      </c>
      <c r="J3177">
        <v>0.13000959252878599</v>
      </c>
      <c r="K3177">
        <v>0.109478144253741</v>
      </c>
      <c r="L3177">
        <v>1134.4842434152899</v>
      </c>
      <c r="M3177">
        <v>25.954952007164501</v>
      </c>
      <c r="N3177">
        <v>44.550687089973501</v>
      </c>
      <c r="O3177">
        <v>43.452745653582298</v>
      </c>
      <c r="P3177">
        <v>-0.120410213107075</v>
      </c>
      <c r="Q3177">
        <v>0.19366544772188299</v>
      </c>
      <c r="R3177">
        <v>0.94677550045931003</v>
      </c>
      <c r="S3177" t="s">
        <v>9003</v>
      </c>
      <c r="T3177" t="s">
        <v>11650</v>
      </c>
      <c r="U3177" t="s">
        <v>11650</v>
      </c>
      <c r="V3177" t="s">
        <v>11650</v>
      </c>
      <c r="W3177" t="s">
        <v>14779</v>
      </c>
      <c r="X3177">
        <v>6</v>
      </c>
      <c r="Y3177" t="s">
        <v>20471</v>
      </c>
      <c r="Z3177" t="s">
        <v>26239</v>
      </c>
      <c r="AA3177">
        <v>0.30228415765868111</v>
      </c>
      <c r="AB3177" t="str">
        <f>HYPERLINK("Melting_Curves/meltCurve_Q14694_USP10.pdf", "Melting_Curves/meltCurve_Q14694_USP10.pdf")</f>
        <v>Melting_Curves/meltCurve_Q14694_USP10.pdf</v>
      </c>
    </row>
    <row r="3178" spans="1:28" x14ac:dyDescent="0.25">
      <c r="A3178" t="s">
        <v>3182</v>
      </c>
      <c r="B3178">
        <v>0.99996721820229495</v>
      </c>
      <c r="C3178">
        <v>1.03994619444319</v>
      </c>
      <c r="D3178">
        <v>1.0348132208740699</v>
      </c>
      <c r="E3178">
        <v>0.97811017843155401</v>
      </c>
      <c r="F3178">
        <v>1.02053484446412</v>
      </c>
      <c r="G3178">
        <v>1.02862377489609</v>
      </c>
      <c r="H3178">
        <v>0.53466579632116795</v>
      </c>
      <c r="I3178">
        <v>0.306041444230647</v>
      </c>
      <c r="J3178">
        <v>0.194410713028427</v>
      </c>
      <c r="K3178">
        <v>0.15091750726594899</v>
      </c>
      <c r="L3178">
        <v>2852.7950744096802</v>
      </c>
      <c r="M3178">
        <v>46.919974891520198</v>
      </c>
      <c r="N3178">
        <v>61.401770107796096</v>
      </c>
      <c r="O3178">
        <v>60.691152414496699</v>
      </c>
      <c r="P3178">
        <v>-0.157711959582679</v>
      </c>
      <c r="Q3178">
        <v>0.18399700805305</v>
      </c>
      <c r="R3178">
        <v>0.99090926830000203</v>
      </c>
      <c r="S3178" t="s">
        <v>9004</v>
      </c>
      <c r="T3178" t="s">
        <v>11650</v>
      </c>
      <c r="U3178" t="s">
        <v>11650</v>
      </c>
      <c r="V3178" t="s">
        <v>11650</v>
      </c>
      <c r="W3178" t="s">
        <v>14780</v>
      </c>
      <c r="X3178">
        <v>9</v>
      </c>
      <c r="Y3178" t="s">
        <v>20472</v>
      </c>
      <c r="Z3178" t="s">
        <v>26240</v>
      </c>
      <c r="AA3178">
        <v>0.75217814947555461</v>
      </c>
      <c r="AB3178" t="str">
        <f>HYPERLINK("Melting_Curves/meltCurve_Q14696_MESDC2.pdf", "Melting_Curves/meltCurve_Q14696_MESDC2.pdf")</f>
        <v>Melting_Curves/meltCurve_Q14696_MESDC2.pdf</v>
      </c>
    </row>
    <row r="3179" spans="1:28" x14ac:dyDescent="0.25">
      <c r="A3179" t="s">
        <v>3183</v>
      </c>
      <c r="B3179">
        <v>0.99996721820229495</v>
      </c>
      <c r="C3179">
        <v>1.1328518522122899</v>
      </c>
      <c r="D3179">
        <v>1.2686603772195499</v>
      </c>
      <c r="E3179">
        <v>1.06846930607849</v>
      </c>
      <c r="F3179">
        <v>0.207389365536189</v>
      </c>
      <c r="G3179">
        <v>0.17014752970587499</v>
      </c>
      <c r="H3179">
        <v>9.1950085345288604E-2</v>
      </c>
      <c r="I3179">
        <v>5.0904778364063603E-2</v>
      </c>
      <c r="J3179">
        <v>3.4724594953657303E-2</v>
      </c>
      <c r="K3179">
        <v>3.0298711360357701E-2</v>
      </c>
      <c r="L3179">
        <v>13154.909838854601</v>
      </c>
      <c r="M3179">
        <v>250</v>
      </c>
      <c r="N3179">
        <v>52.654168718334901</v>
      </c>
      <c r="O3179">
        <v>52.616271964409599</v>
      </c>
      <c r="P3179">
        <v>-1.09803845866957</v>
      </c>
      <c r="Q3179">
        <v>7.5604956923544395E-2</v>
      </c>
      <c r="R3179">
        <v>0.95785450002785699</v>
      </c>
      <c r="S3179" t="s">
        <v>9005</v>
      </c>
      <c r="T3179" t="s">
        <v>11650</v>
      </c>
      <c r="U3179" t="s">
        <v>11650</v>
      </c>
      <c r="V3179" t="s">
        <v>11650</v>
      </c>
      <c r="W3179" t="s">
        <v>14781</v>
      </c>
      <c r="X3179">
        <v>44</v>
      </c>
      <c r="Y3179" t="s">
        <v>20473</v>
      </c>
      <c r="Z3179" t="s">
        <v>26241</v>
      </c>
      <c r="AA3179">
        <v>0.46454139055936128</v>
      </c>
      <c r="AB3179" t="str">
        <f>HYPERLINK("Melting_Curves/meltCurve_Q14697_GANAB.pdf", "Melting_Curves/meltCurve_Q14697_GANAB.pdf")</f>
        <v>Melting_Curves/meltCurve_Q14697_GANAB.pdf</v>
      </c>
    </row>
    <row r="3180" spans="1:28" x14ac:dyDescent="0.25">
      <c r="A3180" t="s">
        <v>3184</v>
      </c>
      <c r="B3180">
        <v>0.99996721820229495</v>
      </c>
      <c r="C3180">
        <v>1.02672393245803</v>
      </c>
      <c r="D3180">
        <v>1.1417276614040099</v>
      </c>
      <c r="E3180">
        <v>0.67280999260221197</v>
      </c>
      <c r="F3180">
        <v>0.10103374812219899</v>
      </c>
      <c r="G3180">
        <v>8.9853975236730596E-2</v>
      </c>
      <c r="H3180">
        <v>5.5516373010263999E-2</v>
      </c>
      <c r="I3180">
        <v>0</v>
      </c>
      <c r="J3180">
        <v>1.3899956190707699E-2</v>
      </c>
      <c r="K3180">
        <v>2.2657069743299701E-2</v>
      </c>
      <c r="L3180">
        <v>3063.3815968040799</v>
      </c>
      <c r="M3180">
        <v>60.586674064997901</v>
      </c>
      <c r="N3180">
        <v>50.6270163378218</v>
      </c>
      <c r="O3180">
        <v>50.506987327603099</v>
      </c>
      <c r="P3180">
        <v>-0.28866460309045899</v>
      </c>
      <c r="Q3180">
        <v>3.7440514504605102E-2</v>
      </c>
      <c r="R3180">
        <v>0.98747767489113603</v>
      </c>
      <c r="S3180" t="s">
        <v>9006</v>
      </c>
      <c r="T3180" t="s">
        <v>11650</v>
      </c>
      <c r="U3180" t="s">
        <v>11650</v>
      </c>
      <c r="V3180" t="s">
        <v>11650</v>
      </c>
      <c r="W3180" t="s">
        <v>14782</v>
      </c>
      <c r="X3180">
        <v>44</v>
      </c>
      <c r="Y3180" t="s">
        <v>20473</v>
      </c>
      <c r="Z3180" t="s">
        <v>26242</v>
      </c>
      <c r="AA3180">
        <v>0.37778414823822698</v>
      </c>
      <c r="AB3180" t="str">
        <f>HYPERLINK("Melting_Curves/meltCurve_Q14697_2_GANAB.pdf", "Melting_Curves/meltCurve_Q14697_2_GANAB.pdf")</f>
        <v>Melting_Curves/meltCurve_Q14697_2_GANAB.pdf</v>
      </c>
    </row>
    <row r="3181" spans="1:28" x14ac:dyDescent="0.25">
      <c r="A3181" t="s">
        <v>3185</v>
      </c>
      <c r="B3181">
        <v>0.99996721820229495</v>
      </c>
      <c r="C3181">
        <v>0.91103970913889398</v>
      </c>
      <c r="D3181">
        <v>1.0072579370416499</v>
      </c>
      <c r="E3181">
        <v>1.16738957796927</v>
      </c>
      <c r="F3181">
        <v>1.20480318198502</v>
      </c>
      <c r="G3181">
        <v>0.80998772407418995</v>
      </c>
      <c r="H3181">
        <v>0.26978349027555498</v>
      </c>
      <c r="I3181">
        <v>0.151426839737485</v>
      </c>
      <c r="J3181">
        <v>0.112879478691171</v>
      </c>
      <c r="K3181">
        <v>9.4987626404274203E-2</v>
      </c>
      <c r="L3181">
        <v>2646.2945399947298</v>
      </c>
      <c r="M3181">
        <v>44.983897522944098</v>
      </c>
      <c r="N3181">
        <v>59.1618681016746</v>
      </c>
      <c r="O3181">
        <v>58.7116924653578</v>
      </c>
      <c r="P3181">
        <v>-0.170051084524315</v>
      </c>
      <c r="Q3181">
        <v>0.112217977232434</v>
      </c>
      <c r="R3181">
        <v>0.95707012053820995</v>
      </c>
      <c r="S3181" t="s">
        <v>9007</v>
      </c>
      <c r="T3181" t="s">
        <v>11650</v>
      </c>
      <c r="U3181" t="s">
        <v>11650</v>
      </c>
      <c r="V3181" t="s">
        <v>11650</v>
      </c>
      <c r="W3181" t="s">
        <v>14783</v>
      </c>
      <c r="X3181">
        <v>19</v>
      </c>
      <c r="Y3181" t="s">
        <v>20474</v>
      </c>
      <c r="Z3181" t="s">
        <v>26243</v>
      </c>
      <c r="AA3181">
        <v>0.67218379514851501</v>
      </c>
      <c r="AB3181" t="str">
        <f>HYPERLINK("Melting_Curves/meltCurve_Q14699_RFTN1.pdf", "Melting_Curves/meltCurve_Q14699_RFTN1.pdf")</f>
        <v>Melting_Curves/meltCurve_Q14699_RFTN1.pdf</v>
      </c>
    </row>
    <row r="3182" spans="1:28" x14ac:dyDescent="0.25">
      <c r="A3182" t="s">
        <v>3186</v>
      </c>
      <c r="B3182">
        <v>0.99996721820229495</v>
      </c>
      <c r="C3182">
        <v>0.96366535502818196</v>
      </c>
      <c r="D3182">
        <v>1.1490142945720601</v>
      </c>
      <c r="E3182">
        <v>1.7385185957630001</v>
      </c>
      <c r="F3182">
        <v>2.6740473132974998</v>
      </c>
      <c r="G3182">
        <v>3.4523344055565701</v>
      </c>
      <c r="H3182">
        <v>2.8054368754754502</v>
      </c>
      <c r="I3182">
        <v>1.7695840706875301</v>
      </c>
      <c r="J3182">
        <v>1.2416555557392299</v>
      </c>
      <c r="K3182">
        <v>1.2300594825344999</v>
      </c>
      <c r="L3182">
        <v>11539.408348303799</v>
      </c>
      <c r="M3182">
        <v>250</v>
      </c>
      <c r="O3182">
        <v>46.154697310039197</v>
      </c>
      <c r="P3182">
        <v>0.67707110586361396</v>
      </c>
      <c r="Q3182">
        <v>1.5</v>
      </c>
      <c r="R3182">
        <v>-3.6915437596872498E-2</v>
      </c>
      <c r="S3182" t="s">
        <v>9008</v>
      </c>
      <c r="T3182" t="s">
        <v>11650</v>
      </c>
      <c r="U3182" t="s">
        <v>11650</v>
      </c>
      <c r="V3182" t="s">
        <v>11650</v>
      </c>
      <c r="W3182" t="s">
        <v>14784</v>
      </c>
      <c r="X3182">
        <v>2</v>
      </c>
      <c r="Y3182" t="s">
        <v>20475</v>
      </c>
      <c r="Z3182" t="s">
        <v>26244</v>
      </c>
      <c r="AA3182">
        <v>1.39733227381563</v>
      </c>
      <c r="AB3182" t="str">
        <f>HYPERLINK("Melting_Curves/meltCurve_Q14714_SSPN.pdf", "Melting_Curves/meltCurve_Q14714_SSPN.pdf")</f>
        <v>Melting_Curves/meltCurve_Q14714_SSPN.pdf</v>
      </c>
    </row>
    <row r="3183" spans="1:28" x14ac:dyDescent="0.25">
      <c r="A3183" t="s">
        <v>3187</v>
      </c>
      <c r="B3183">
        <v>0.99996721820229495</v>
      </c>
      <c r="C3183">
        <v>0.71831329182537695</v>
      </c>
      <c r="D3183">
        <v>1.0785892711343701</v>
      </c>
      <c r="E3183">
        <v>0.96388432060711504</v>
      </c>
      <c r="F3183">
        <v>0.90384661166715596</v>
      </c>
      <c r="G3183">
        <v>0.50284517418089103</v>
      </c>
      <c r="H3183">
        <v>0.25422211264725803</v>
      </c>
      <c r="I3183">
        <v>0.165192901773416</v>
      </c>
      <c r="J3183">
        <v>0.13294919178297701</v>
      </c>
      <c r="K3183">
        <v>8.2627929669597699E-2</v>
      </c>
      <c r="L3183">
        <v>1472.68603812077</v>
      </c>
      <c r="M3183">
        <v>25.952165482059101</v>
      </c>
      <c r="N3183">
        <v>57.278034772674097</v>
      </c>
      <c r="O3183">
        <v>56.412454927735801</v>
      </c>
      <c r="P3183">
        <v>-0.10269751901289401</v>
      </c>
      <c r="Q3183">
        <v>0.107072277661589</v>
      </c>
      <c r="R3183">
        <v>0.93775639910151398</v>
      </c>
      <c r="S3183" t="s">
        <v>9009</v>
      </c>
      <c r="T3183" t="s">
        <v>11650</v>
      </c>
      <c r="U3183" t="s">
        <v>11650</v>
      </c>
      <c r="V3183" t="s">
        <v>11650</v>
      </c>
      <c r="W3183" t="s">
        <v>14785</v>
      </c>
      <c r="X3183">
        <v>3</v>
      </c>
      <c r="Y3183" t="s">
        <v>20476</v>
      </c>
      <c r="Z3183" t="s">
        <v>26245</v>
      </c>
      <c r="AA3183">
        <v>0.61313218586012086</v>
      </c>
      <c r="AB3183" t="str">
        <f>HYPERLINK("Melting_Curves/meltCurve_Q14739_LBR.pdf", "Melting_Curves/meltCurve_Q14739_LBR.pdf")</f>
        <v>Melting_Curves/meltCurve_Q14739_LBR.pdf</v>
      </c>
    </row>
    <row r="3184" spans="1:28" x14ac:dyDescent="0.25">
      <c r="A3184" t="s">
        <v>3188</v>
      </c>
      <c r="B3184">
        <v>0.99996721820229495</v>
      </c>
      <c r="C3184">
        <v>1.00745361798085</v>
      </c>
      <c r="D3184">
        <v>1.03167763075001</v>
      </c>
      <c r="E3184">
        <v>1.7465847285982801</v>
      </c>
      <c r="F3184">
        <v>1.79892981240272</v>
      </c>
      <c r="G3184">
        <v>0.74444171951034899</v>
      </c>
      <c r="H3184">
        <v>0.351750712079345</v>
      </c>
      <c r="I3184">
        <v>0.203623720600213</v>
      </c>
      <c r="J3184">
        <v>0.15573332705158</v>
      </c>
      <c r="K3184">
        <v>0.123049278389245</v>
      </c>
      <c r="L3184">
        <v>2624.80330070522</v>
      </c>
      <c r="M3184">
        <v>44.669883341857698</v>
      </c>
      <c r="N3184">
        <v>59.284785953730299</v>
      </c>
      <c r="O3184">
        <v>58.642631027978297</v>
      </c>
      <c r="P3184">
        <v>-0.159336627387651</v>
      </c>
      <c r="Q3184">
        <v>0.163292624468378</v>
      </c>
      <c r="R3184">
        <v>0.64744888072514095</v>
      </c>
      <c r="S3184" t="s">
        <v>9010</v>
      </c>
      <c r="T3184" t="s">
        <v>11650</v>
      </c>
      <c r="U3184" t="s">
        <v>11650</v>
      </c>
      <c r="V3184" t="s">
        <v>11650</v>
      </c>
      <c r="W3184" t="s">
        <v>14786</v>
      </c>
      <c r="X3184">
        <v>31</v>
      </c>
      <c r="Y3184" t="s">
        <v>20477</v>
      </c>
      <c r="Z3184" t="s">
        <v>26246</v>
      </c>
      <c r="AA3184">
        <v>0.68919297722134654</v>
      </c>
      <c r="AB3184" t="str">
        <f>HYPERLINK("Melting_Curves/meltCurve_Q14764_MVP.pdf", "Melting_Curves/meltCurve_Q14764_MVP.pdf")</f>
        <v>Melting_Curves/meltCurve_Q14764_MVP.pdf</v>
      </c>
    </row>
    <row r="3185" spans="1:28" x14ac:dyDescent="0.25">
      <c r="A3185" t="s">
        <v>3189</v>
      </c>
      <c r="B3185">
        <v>0.99996721820229495</v>
      </c>
      <c r="C3185">
        <v>0.84315393945885797</v>
      </c>
      <c r="D3185">
        <v>0.71277534732539305</v>
      </c>
      <c r="E3185">
        <v>0.55071952118103096</v>
      </c>
      <c r="F3185">
        <v>0.62033199538776196</v>
      </c>
      <c r="G3185">
        <v>0.57790397286724704</v>
      </c>
      <c r="H3185">
        <v>0.38844125931317403</v>
      </c>
      <c r="I3185">
        <v>0.28744620633920998</v>
      </c>
      <c r="J3185">
        <v>0.218973206419705</v>
      </c>
      <c r="K3185">
        <v>0.217542586312096</v>
      </c>
      <c r="L3185">
        <v>328.276908898606</v>
      </c>
      <c r="M3185">
        <v>5.91032538261749</v>
      </c>
      <c r="N3185">
        <v>55.542950277423202</v>
      </c>
      <c r="O3185">
        <v>50.180226586848399</v>
      </c>
      <c r="P3185">
        <v>-2.95460987340708E-2</v>
      </c>
      <c r="Q3185">
        <v>0</v>
      </c>
      <c r="R3185">
        <v>0.93248848850304999</v>
      </c>
      <c r="S3185" t="s">
        <v>9011</v>
      </c>
      <c r="T3185" t="s">
        <v>11650</v>
      </c>
      <c r="U3185" t="s">
        <v>11650</v>
      </c>
      <c r="V3185" t="s">
        <v>11650</v>
      </c>
      <c r="W3185" t="s">
        <v>14787</v>
      </c>
      <c r="X3185">
        <v>78</v>
      </c>
      <c r="Y3185" t="s">
        <v>20478</v>
      </c>
      <c r="Z3185" t="s">
        <v>26247</v>
      </c>
      <c r="AA3185">
        <v>0.53797511341759452</v>
      </c>
      <c r="AB3185" t="str">
        <f>HYPERLINK("Melting_Curves/meltCurve_Q14789_2_GOLGB1.pdf", "Melting_Curves/meltCurve_Q14789_2_GOLGB1.pdf")</f>
        <v>Melting_Curves/meltCurve_Q14789_2_GOLGB1.pdf</v>
      </c>
    </row>
    <row r="3186" spans="1:28" x14ac:dyDescent="0.25">
      <c r="A3186" t="s">
        <v>3190</v>
      </c>
      <c r="B3186">
        <v>0.99996721820229495</v>
      </c>
      <c r="C3186">
        <v>1.03598960606829</v>
      </c>
      <c r="D3186">
        <v>0.90929206633769599</v>
      </c>
      <c r="E3186">
        <v>0.46582176460637997</v>
      </c>
      <c r="F3186">
        <v>0.41064846174559999</v>
      </c>
      <c r="G3186">
        <v>0.325971220940869</v>
      </c>
      <c r="H3186">
        <v>0.23020242734823901</v>
      </c>
      <c r="I3186">
        <v>0.143179102781988</v>
      </c>
      <c r="J3186">
        <v>0.12460605946167901</v>
      </c>
      <c r="K3186">
        <v>8.9529311278996798E-2</v>
      </c>
      <c r="L3186">
        <v>867.42619525858504</v>
      </c>
      <c r="M3186">
        <v>17.3165754737872</v>
      </c>
      <c r="N3186">
        <v>51.087745880552099</v>
      </c>
      <c r="O3186">
        <v>49.438529283300298</v>
      </c>
      <c r="P3186">
        <v>-7.5031147136585E-2</v>
      </c>
      <c r="Q3186">
        <v>0.143198559250591</v>
      </c>
      <c r="R3186">
        <v>0.96870054229966995</v>
      </c>
      <c r="S3186" t="s">
        <v>9012</v>
      </c>
      <c r="T3186" t="s">
        <v>11650</v>
      </c>
      <c r="U3186" t="s">
        <v>11650</v>
      </c>
      <c r="V3186" t="s">
        <v>11650</v>
      </c>
      <c r="W3186" t="s">
        <v>14788</v>
      </c>
      <c r="X3186">
        <v>11</v>
      </c>
      <c r="Y3186" t="s">
        <v>20479</v>
      </c>
      <c r="Z3186" t="s">
        <v>26248</v>
      </c>
      <c r="AA3186">
        <v>0.44712842251368762</v>
      </c>
      <c r="AB3186" t="str">
        <f>HYPERLINK("Melting_Curves/meltCurve_Q14790_CASP8.pdf", "Melting_Curves/meltCurve_Q14790_CASP8.pdf")</f>
        <v>Melting_Curves/meltCurve_Q14790_CASP8.pdf</v>
      </c>
    </row>
    <row r="3187" spans="1:28" x14ac:dyDescent="0.25">
      <c r="A3187" t="s">
        <v>3191</v>
      </c>
      <c r="B3187">
        <v>0.99996721820229495</v>
      </c>
      <c r="C3187">
        <v>1.0502581218773801</v>
      </c>
      <c r="D3187">
        <v>1.0050302148364001</v>
      </c>
      <c r="E3187">
        <v>0.89673082818934602</v>
      </c>
      <c r="F3187">
        <v>0.483888606308712</v>
      </c>
      <c r="G3187">
        <v>0.37174375719727398</v>
      </c>
      <c r="H3187">
        <v>0.22607095372125299</v>
      </c>
      <c r="I3187">
        <v>0.20436140029078001</v>
      </c>
      <c r="J3187">
        <v>0.153369692365946</v>
      </c>
      <c r="K3187">
        <v>0.11752091097244299</v>
      </c>
      <c r="L3187">
        <v>1262.8234915982</v>
      </c>
      <c r="M3187">
        <v>23.886916971919799</v>
      </c>
      <c r="N3187">
        <v>53.803682975932901</v>
      </c>
      <c r="O3187">
        <v>52.500403532954898</v>
      </c>
      <c r="P3187">
        <v>-9.4394007140119807E-2</v>
      </c>
      <c r="Q3187">
        <v>0.17014935154086699</v>
      </c>
      <c r="R3187">
        <v>0.98113050771852095</v>
      </c>
      <c r="S3187" t="s">
        <v>9013</v>
      </c>
      <c r="T3187" t="s">
        <v>11650</v>
      </c>
      <c r="U3187" t="s">
        <v>11650</v>
      </c>
      <c r="V3187" t="s">
        <v>11650</v>
      </c>
      <c r="W3187" t="s">
        <v>14789</v>
      </c>
      <c r="X3187">
        <v>7</v>
      </c>
      <c r="Y3187" t="s">
        <v>20480</v>
      </c>
      <c r="Z3187" t="s">
        <v>26249</v>
      </c>
      <c r="AA3187">
        <v>0.53437723703878115</v>
      </c>
      <c r="AB3187" t="str">
        <f>HYPERLINK("Melting_Curves/meltCurve_Q147X3_NAA30.pdf", "Melting_Curves/meltCurve_Q147X3_NAA30.pdf")</f>
        <v>Melting_Curves/meltCurve_Q147X3_NAA30.pdf</v>
      </c>
    </row>
    <row r="3188" spans="1:28" x14ac:dyDescent="0.25">
      <c r="A3188" t="s">
        <v>3192</v>
      </c>
      <c r="B3188">
        <v>0.99996721820229495</v>
      </c>
      <c r="C3188">
        <v>0.87366509852411001</v>
      </c>
      <c r="D3188">
        <v>0.78878493574906905</v>
      </c>
      <c r="E3188">
        <v>0.88137361068949804</v>
      </c>
      <c r="F3188">
        <v>1.0984289552239701</v>
      </c>
      <c r="G3188">
        <v>1.06376671672691</v>
      </c>
      <c r="H3188">
        <v>0.80921650245788701</v>
      </c>
      <c r="I3188">
        <v>0.80425933088643697</v>
      </c>
      <c r="J3188">
        <v>0.69454232333795396</v>
      </c>
      <c r="K3188">
        <v>0.48120391836304499</v>
      </c>
      <c r="L3188">
        <v>1048.32625971933</v>
      </c>
      <c r="M3188">
        <v>14.988866839682499</v>
      </c>
      <c r="N3188">
        <v>69.940327769966203</v>
      </c>
      <c r="O3188">
        <v>68.730828299634695</v>
      </c>
      <c r="P3188">
        <v>-5.4525698000297697E-2</v>
      </c>
      <c r="Q3188">
        <v>0</v>
      </c>
      <c r="R3188">
        <v>0.65159333329173796</v>
      </c>
      <c r="S3188" t="s">
        <v>9014</v>
      </c>
      <c r="T3188" t="s">
        <v>11650</v>
      </c>
      <c r="U3188" t="s">
        <v>11650</v>
      </c>
      <c r="V3188" t="s">
        <v>11650</v>
      </c>
      <c r="W3188" t="s">
        <v>14790</v>
      </c>
      <c r="X3188">
        <v>26</v>
      </c>
      <c r="Y3188" t="s">
        <v>20481</v>
      </c>
      <c r="Z3188" t="s">
        <v>26250</v>
      </c>
      <c r="AA3188">
        <v>0.90530730023586037</v>
      </c>
      <c r="AB3188" t="str">
        <f>HYPERLINK("Melting_Curves/meltCurve_Q14847_LASP1.pdf", "Melting_Curves/meltCurve_Q14847_LASP1.pdf")</f>
        <v>Melting_Curves/meltCurve_Q14847_LASP1.pdf</v>
      </c>
    </row>
    <row r="3189" spans="1:28" x14ac:dyDescent="0.25">
      <c r="A3189" t="s">
        <v>3193</v>
      </c>
      <c r="B3189">
        <v>0.99996721820229495</v>
      </c>
      <c r="C3189">
        <v>1.15068977296843</v>
      </c>
      <c r="D3189">
        <v>1.0279769333240301</v>
      </c>
      <c r="E3189">
        <v>0.726824681111784</v>
      </c>
      <c r="F3189">
        <v>0.42863520381812997</v>
      </c>
      <c r="G3189">
        <v>0.30481089569629599</v>
      </c>
      <c r="H3189">
        <v>0.19090579022335699</v>
      </c>
      <c r="I3189">
        <v>0.10864718655707301</v>
      </c>
      <c r="J3189">
        <v>9.3930121669059605E-2</v>
      </c>
      <c r="K3189">
        <v>4.7583557895662799E-2</v>
      </c>
      <c r="L3189">
        <v>1091.66709693299</v>
      </c>
      <c r="M3189">
        <v>20.9041244165481</v>
      </c>
      <c r="N3189">
        <v>52.7815897247091</v>
      </c>
      <c r="O3189">
        <v>51.751707879911997</v>
      </c>
      <c r="P3189">
        <v>-9.0957622339834704E-2</v>
      </c>
      <c r="Q3189">
        <v>9.9300488924009903E-2</v>
      </c>
      <c r="R3189">
        <v>0.97237276058086597</v>
      </c>
      <c r="S3189" t="s">
        <v>9015</v>
      </c>
      <c r="T3189" t="s">
        <v>11650</v>
      </c>
      <c r="U3189" t="s">
        <v>11650</v>
      </c>
      <c r="V3189" t="s">
        <v>11650</v>
      </c>
      <c r="W3189" t="s">
        <v>14791</v>
      </c>
      <c r="X3189">
        <v>3</v>
      </c>
      <c r="Y3189" t="s">
        <v>20482</v>
      </c>
      <c r="Z3189" t="s">
        <v>26251</v>
      </c>
      <c r="AA3189">
        <v>0.47776661912157531</v>
      </c>
      <c r="AB3189" t="str">
        <f>HYPERLINK("Melting_Curves/meltCurve_Q14872_MTF1.pdf", "Melting_Curves/meltCurve_Q14872_MTF1.pdf")</f>
        <v>Melting_Curves/meltCurve_Q14872_MTF1.pdf</v>
      </c>
    </row>
    <row r="3190" spans="1:28" x14ac:dyDescent="0.25">
      <c r="A3190" t="s">
        <v>3194</v>
      </c>
      <c r="B3190">
        <v>0.99996721820229495</v>
      </c>
      <c r="C3190">
        <v>1.08534461215877</v>
      </c>
      <c r="D3190">
        <v>1.0953255009101499</v>
      </c>
      <c r="E3190">
        <v>1.05457399267527</v>
      </c>
      <c r="F3190">
        <v>0.98989149072668303</v>
      </c>
      <c r="G3190">
        <v>0.97672242615853599</v>
      </c>
      <c r="H3190">
        <v>0.68124983815472595</v>
      </c>
      <c r="I3190">
        <v>0.53549017780437502</v>
      </c>
      <c r="J3190">
        <v>0.36096232840779702</v>
      </c>
      <c r="K3190">
        <v>0.219765674015903</v>
      </c>
      <c r="L3190">
        <v>1368.86221439108</v>
      </c>
      <c r="M3190">
        <v>21.652618144117401</v>
      </c>
      <c r="N3190">
        <v>64.231298429960702</v>
      </c>
      <c r="O3190">
        <v>62.687421074601303</v>
      </c>
      <c r="P3190">
        <v>-7.3872921649320203E-2</v>
      </c>
      <c r="Q3190">
        <v>0.14452971701595499</v>
      </c>
      <c r="R3190">
        <v>0.97267710893326997</v>
      </c>
      <c r="S3190" t="s">
        <v>9016</v>
      </c>
      <c r="T3190" t="s">
        <v>11650</v>
      </c>
      <c r="U3190" t="s">
        <v>11650</v>
      </c>
      <c r="V3190" t="s">
        <v>11650</v>
      </c>
      <c r="W3190" t="s">
        <v>14792</v>
      </c>
      <c r="X3190">
        <v>19</v>
      </c>
      <c r="Y3190" t="s">
        <v>20483</v>
      </c>
      <c r="Z3190" t="s">
        <v>26252</v>
      </c>
      <c r="AA3190">
        <v>0.80638022252885244</v>
      </c>
      <c r="AB3190" t="str">
        <f>HYPERLINK("Melting_Curves/meltCurve_Q14914_2_PTGR1.pdf", "Melting_Curves/meltCurve_Q14914_2_PTGR1.pdf")</f>
        <v>Melting_Curves/meltCurve_Q14914_2_PTGR1.pdf</v>
      </c>
    </row>
    <row r="3191" spans="1:28" x14ac:dyDescent="0.25">
      <c r="A3191" t="s">
        <v>3195</v>
      </c>
      <c r="B3191">
        <v>0.99996721820229495</v>
      </c>
      <c r="C3191">
        <v>0.92048831833923195</v>
      </c>
      <c r="D3191">
        <v>0.44954199447213</v>
      </c>
      <c r="E3191">
        <v>0.25086485613038301</v>
      </c>
      <c r="F3191">
        <v>0.292962549230812</v>
      </c>
      <c r="G3191">
        <v>0.28829826182599599</v>
      </c>
      <c r="H3191">
        <v>0.231735387702377</v>
      </c>
      <c r="I3191">
        <v>0.21980701628213301</v>
      </c>
      <c r="J3191">
        <v>0.15621200032931901</v>
      </c>
      <c r="K3191">
        <v>0.15082375571859899</v>
      </c>
      <c r="L3191">
        <v>1896.60286452639</v>
      </c>
      <c r="M3191">
        <v>42.103168254757499</v>
      </c>
      <c r="N3191">
        <v>45.695323765258003</v>
      </c>
      <c r="O3191">
        <v>44.945293639832897</v>
      </c>
      <c r="P3191">
        <v>-0.18150316891443199</v>
      </c>
      <c r="Q3191">
        <v>0.224979994363665</v>
      </c>
      <c r="R3191">
        <v>0.97797500774707902</v>
      </c>
      <c r="S3191" t="s">
        <v>9017</v>
      </c>
      <c r="T3191" t="s">
        <v>11650</v>
      </c>
      <c r="U3191" t="s">
        <v>11650</v>
      </c>
      <c r="V3191" t="s">
        <v>11650</v>
      </c>
      <c r="W3191" t="s">
        <v>14793</v>
      </c>
      <c r="X3191">
        <v>3</v>
      </c>
      <c r="Y3191" t="s">
        <v>20484</v>
      </c>
      <c r="Z3191" t="s">
        <v>26253</v>
      </c>
      <c r="AA3191">
        <v>0.35763264129504418</v>
      </c>
      <c r="AB3191" t="str">
        <f>HYPERLINK("Melting_Curves/meltCurve_Q14934_13_NFATC4.pdf", "Melting_Curves/meltCurve_Q14934_13_NFATC4.pdf")</f>
        <v>Melting_Curves/meltCurve_Q14934_13_NFATC4.pdf</v>
      </c>
    </row>
    <row r="3192" spans="1:28" x14ac:dyDescent="0.25">
      <c r="A3192" t="s">
        <v>3196</v>
      </c>
      <c r="B3192">
        <v>0.99996721820229495</v>
      </c>
      <c r="C3192">
        <v>1.04387647680522</v>
      </c>
      <c r="D3192">
        <v>1.0875770278952399</v>
      </c>
      <c r="E3192">
        <v>0.92517544618000003</v>
      </c>
      <c r="F3192">
        <v>1.0535334795537701</v>
      </c>
      <c r="G3192">
        <v>0.95820718817829698</v>
      </c>
      <c r="H3192">
        <v>0.619501519935168</v>
      </c>
      <c r="I3192">
        <v>0.46011725034172302</v>
      </c>
      <c r="J3192">
        <v>0.24970482493409801</v>
      </c>
      <c r="K3192">
        <v>8.9507037718506696E-2</v>
      </c>
      <c r="L3192">
        <v>1349.8604388245501</v>
      </c>
      <c r="M3192">
        <v>21.366588328796599</v>
      </c>
      <c r="N3192">
        <v>63.176231183098999</v>
      </c>
      <c r="O3192">
        <v>62.630658310901502</v>
      </c>
      <c r="P3192">
        <v>-8.5290212694082504E-2</v>
      </c>
      <c r="Q3192">
        <v>0</v>
      </c>
      <c r="R3192">
        <v>0.97736563911737395</v>
      </c>
      <c r="S3192" t="s">
        <v>9018</v>
      </c>
      <c r="T3192" t="s">
        <v>11650</v>
      </c>
      <c r="U3192" t="s">
        <v>11650</v>
      </c>
      <c r="V3192" t="s">
        <v>11650</v>
      </c>
      <c r="W3192" t="s">
        <v>14794</v>
      </c>
      <c r="X3192">
        <v>3</v>
      </c>
      <c r="Y3192" t="s">
        <v>20485</v>
      </c>
      <c r="Z3192" t="s">
        <v>26254</v>
      </c>
      <c r="AA3192">
        <v>0.7721798428262614</v>
      </c>
      <c r="AB3192" t="str">
        <f>HYPERLINK("Melting_Curves/meltCurve_Q14964_RAB39A.pdf", "Melting_Curves/meltCurve_Q14964_RAB39A.pdf")</f>
        <v>Melting_Curves/meltCurve_Q14964_RAB39A.pdf</v>
      </c>
    </row>
    <row r="3193" spans="1:28" x14ac:dyDescent="0.25">
      <c r="A3193" t="s">
        <v>3197</v>
      </c>
      <c r="B3193">
        <v>0.99996721820229495</v>
      </c>
      <c r="C3193">
        <v>0.93807885276565595</v>
      </c>
      <c r="D3193">
        <v>0.84174127675696198</v>
      </c>
      <c r="E3193">
        <v>0.71269233913094199</v>
      </c>
      <c r="F3193">
        <v>0.77677316365716598</v>
      </c>
      <c r="G3193">
        <v>0.58271487376384701</v>
      </c>
      <c r="H3193">
        <v>0.41277583211313201</v>
      </c>
      <c r="I3193">
        <v>0.36338223436251699</v>
      </c>
      <c r="J3193">
        <v>0.22407316427233301</v>
      </c>
      <c r="K3193">
        <v>0.19604818571593399</v>
      </c>
      <c r="L3193">
        <v>458.00129500061098</v>
      </c>
      <c r="M3193">
        <v>7.8310774866131601</v>
      </c>
      <c r="N3193">
        <v>58.485093700366598</v>
      </c>
      <c r="O3193">
        <v>55.039253095911697</v>
      </c>
      <c r="P3193">
        <v>-3.5613988284519102E-2</v>
      </c>
      <c r="Q3193">
        <v>0</v>
      </c>
      <c r="R3193">
        <v>0.97297676870819105</v>
      </c>
      <c r="S3193" t="s">
        <v>9019</v>
      </c>
      <c r="T3193" t="s">
        <v>11650</v>
      </c>
      <c r="U3193" t="s">
        <v>11650</v>
      </c>
      <c r="V3193" t="s">
        <v>11650</v>
      </c>
      <c r="W3193" t="s">
        <v>14795</v>
      </c>
      <c r="X3193">
        <v>5</v>
      </c>
      <c r="Y3193" t="s">
        <v>20486</v>
      </c>
      <c r="Z3193" t="s">
        <v>26255</v>
      </c>
      <c r="AA3193">
        <v>0.61458668331768151</v>
      </c>
      <c r="AB3193" t="str">
        <f>HYPERLINK("Melting_Curves/meltCurve_Q14966_ZNF638.pdf", "Melting_Curves/meltCurve_Q14966_ZNF638.pdf")</f>
        <v>Melting_Curves/meltCurve_Q14966_ZNF638.pdf</v>
      </c>
    </row>
    <row r="3194" spans="1:28" x14ac:dyDescent="0.25">
      <c r="A3194" t="s">
        <v>3198</v>
      </c>
      <c r="B3194">
        <v>0.99996721820229495</v>
      </c>
      <c r="C3194">
        <v>0.95683412541445401</v>
      </c>
      <c r="D3194">
        <v>1.0695642792867099</v>
      </c>
      <c r="E3194">
        <v>1.08672681901734</v>
      </c>
      <c r="F3194">
        <v>0.48989556140340001</v>
      </c>
      <c r="G3194">
        <v>0.35052934409210001</v>
      </c>
      <c r="H3194">
        <v>0.17296377813170599</v>
      </c>
      <c r="I3194">
        <v>0.124469939188844</v>
      </c>
      <c r="J3194">
        <v>9.9919625064406395E-2</v>
      </c>
      <c r="K3194">
        <v>7.61186478598945E-2</v>
      </c>
      <c r="L3194">
        <v>13226.1237091083</v>
      </c>
      <c r="M3194">
        <v>250</v>
      </c>
      <c r="N3194">
        <v>52.989270723512803</v>
      </c>
      <c r="O3194">
        <v>52.901112939473002</v>
      </c>
      <c r="P3194">
        <v>-0.98674650288388799</v>
      </c>
      <c r="Q3194">
        <v>0.164800247315461</v>
      </c>
      <c r="R3194">
        <v>0.96365465733376299</v>
      </c>
      <c r="S3194" t="s">
        <v>9020</v>
      </c>
      <c r="T3194" t="s">
        <v>11650</v>
      </c>
      <c r="U3194" t="s">
        <v>11650</v>
      </c>
      <c r="V3194" t="s">
        <v>11650</v>
      </c>
      <c r="W3194" t="s">
        <v>14796</v>
      </c>
      <c r="X3194">
        <v>30</v>
      </c>
      <c r="Y3194" t="s">
        <v>20487</v>
      </c>
      <c r="Z3194" t="s">
        <v>26256</v>
      </c>
      <c r="AA3194">
        <v>0.5241388226072371</v>
      </c>
      <c r="AB3194" t="str">
        <f>HYPERLINK("Melting_Curves/meltCurve_Q14974_KPNB1.pdf", "Melting_Curves/meltCurve_Q14974_KPNB1.pdf")</f>
        <v>Melting_Curves/meltCurve_Q14974_KPNB1.pdf</v>
      </c>
    </row>
    <row r="3195" spans="1:28" x14ac:dyDescent="0.25">
      <c r="A3195" t="s">
        <v>3199</v>
      </c>
      <c r="B3195">
        <v>0.99996721820229495</v>
      </c>
      <c r="C3195">
        <v>0.91545536915517101</v>
      </c>
      <c r="D3195">
        <v>0.93882509961308802</v>
      </c>
      <c r="E3195">
        <v>0.95693439370838895</v>
      </c>
      <c r="F3195">
        <v>1.1543309948934399</v>
      </c>
      <c r="G3195">
        <v>0.94407661567635903</v>
      </c>
      <c r="H3195">
        <v>0.55468722666503201</v>
      </c>
      <c r="I3195">
        <v>1.18722210548169</v>
      </c>
      <c r="J3195">
        <v>0.70141922848551397</v>
      </c>
      <c r="K3195">
        <v>1.05057008539696</v>
      </c>
      <c r="L3195">
        <v>14263.285070853601</v>
      </c>
      <c r="M3195">
        <v>250</v>
      </c>
      <c r="O3195">
        <v>57.049481890969197</v>
      </c>
      <c r="P3195">
        <v>-0.13861355640182699</v>
      </c>
      <c r="Q3195">
        <v>0.87347467855751704</v>
      </c>
      <c r="R3195">
        <v>9.5936274057899201E-2</v>
      </c>
      <c r="S3195" t="s">
        <v>9021</v>
      </c>
      <c r="T3195" t="s">
        <v>11650</v>
      </c>
      <c r="U3195" t="s">
        <v>11650</v>
      </c>
      <c r="V3195" t="s">
        <v>11650</v>
      </c>
      <c r="W3195" t="s">
        <v>14797</v>
      </c>
      <c r="X3195">
        <v>11</v>
      </c>
      <c r="Y3195" t="s">
        <v>20488</v>
      </c>
      <c r="Z3195" t="s">
        <v>26257</v>
      </c>
      <c r="AA3195">
        <v>0.94540914907102869</v>
      </c>
      <c r="AB3195" t="str">
        <f>HYPERLINK("Melting_Curves/meltCurve_Q14978_NOLC1.pdf", "Melting_Curves/meltCurve_Q14978_NOLC1.pdf")</f>
        <v>Melting_Curves/meltCurve_Q14978_NOLC1.pdf</v>
      </c>
    </row>
    <row r="3196" spans="1:28" x14ac:dyDescent="0.25">
      <c r="A3196" t="s">
        <v>3200</v>
      </c>
      <c r="B3196">
        <v>0.99996721820229495</v>
      </c>
      <c r="C3196">
        <v>0.92113570955240698</v>
      </c>
      <c r="D3196">
        <v>0.89533318957369401</v>
      </c>
      <c r="E3196">
        <v>1.0371877458868499</v>
      </c>
      <c r="F3196">
        <v>1.01692950911762</v>
      </c>
      <c r="G3196">
        <v>0.95129238545605599</v>
      </c>
      <c r="H3196">
        <v>0.70144356762036097</v>
      </c>
      <c r="I3196">
        <v>0.60615131615570295</v>
      </c>
      <c r="J3196">
        <v>0.47959117341798202</v>
      </c>
      <c r="K3196">
        <v>0.42130049818562898</v>
      </c>
      <c r="L3196">
        <v>1525.1914148599101</v>
      </c>
      <c r="M3196">
        <v>24.760526240518999</v>
      </c>
      <c r="N3196">
        <v>66.044459274292606</v>
      </c>
      <c r="O3196">
        <v>61.2001331006987</v>
      </c>
      <c r="P3196">
        <v>-6.0121340195708702E-2</v>
      </c>
      <c r="Q3196">
        <v>0.40560516785299</v>
      </c>
      <c r="R3196">
        <v>0.95335911880835</v>
      </c>
      <c r="S3196" t="s">
        <v>9022</v>
      </c>
      <c r="T3196" t="s">
        <v>11650</v>
      </c>
      <c r="U3196" t="s">
        <v>11650</v>
      </c>
      <c r="V3196" t="s">
        <v>11650</v>
      </c>
      <c r="W3196" t="s">
        <v>14798</v>
      </c>
      <c r="X3196">
        <v>31</v>
      </c>
      <c r="Y3196" t="s">
        <v>20489</v>
      </c>
      <c r="Z3196" t="s">
        <v>26258</v>
      </c>
      <c r="AA3196">
        <v>0.83670431206062956</v>
      </c>
      <c r="AB3196" t="str">
        <f>HYPERLINK("Melting_Curves/meltCurve_Q14980_NUMA1.pdf", "Melting_Curves/meltCurve_Q14980_NUMA1.pdf")</f>
        <v>Melting_Curves/meltCurve_Q14980_NUMA1.pdf</v>
      </c>
    </row>
    <row r="3197" spans="1:28" x14ac:dyDescent="0.25">
      <c r="A3197" t="s">
        <v>3201</v>
      </c>
      <c r="B3197">
        <v>0.99996721820229495</v>
      </c>
      <c r="C3197">
        <v>0.93278774222500005</v>
      </c>
      <c r="D3197">
        <v>1.0150465495218599</v>
      </c>
      <c r="E3197">
        <v>0.91284173552767101</v>
      </c>
      <c r="F3197">
        <v>1.1234352268393299</v>
      </c>
      <c r="G3197">
        <v>1.1858968490808399</v>
      </c>
      <c r="H3197">
        <v>0.79587315062561603</v>
      </c>
      <c r="I3197">
        <v>0.60856251020671503</v>
      </c>
      <c r="J3197">
        <v>0.46924373673687397</v>
      </c>
      <c r="K3197">
        <v>0.37504645600994801</v>
      </c>
      <c r="L3197">
        <v>2379.7285012789398</v>
      </c>
      <c r="M3197">
        <v>37.911429786017898</v>
      </c>
      <c r="N3197">
        <v>65.412460321614503</v>
      </c>
      <c r="O3197">
        <v>62.596855053719501</v>
      </c>
      <c r="P3197">
        <v>-9.2081111828175105E-2</v>
      </c>
      <c r="Q3197">
        <v>0.39184852521803099</v>
      </c>
      <c r="R3197">
        <v>0.89428363309410397</v>
      </c>
      <c r="S3197" t="s">
        <v>9023</v>
      </c>
      <c r="T3197" t="s">
        <v>11650</v>
      </c>
      <c r="U3197" t="s">
        <v>11650</v>
      </c>
      <c r="V3197" t="s">
        <v>11650</v>
      </c>
      <c r="W3197" t="s">
        <v>14799</v>
      </c>
      <c r="X3197">
        <v>5</v>
      </c>
      <c r="Y3197" t="s">
        <v>20490</v>
      </c>
      <c r="Z3197" t="s">
        <v>26259</v>
      </c>
      <c r="AA3197">
        <v>0.85551425665950254</v>
      </c>
      <c r="AB3197" t="str">
        <f>HYPERLINK("Melting_Curves/meltCurve_Q14BN4_2_SLMAP.pdf", "Melting_Curves/meltCurve_Q14BN4_2_SLMAP.pdf")</f>
        <v>Melting_Curves/meltCurve_Q14BN4_2_SLMAP.pdf</v>
      </c>
    </row>
    <row r="3198" spans="1:28" x14ac:dyDescent="0.25">
      <c r="A3198" t="s">
        <v>3202</v>
      </c>
      <c r="B3198">
        <v>0.99996721820229495</v>
      </c>
      <c r="C3198">
        <v>1.06921245109734</v>
      </c>
      <c r="D3198">
        <v>1.1200582068426601</v>
      </c>
      <c r="E3198">
        <v>0.84890384680168796</v>
      </c>
      <c r="F3198">
        <v>0.64233127778218102</v>
      </c>
      <c r="G3198">
        <v>0.68021334340969797</v>
      </c>
      <c r="H3198">
        <v>0.44793119791414598</v>
      </c>
      <c r="I3198">
        <v>0.36354604968620602</v>
      </c>
      <c r="J3198">
        <v>0.29711676660675401</v>
      </c>
      <c r="K3198">
        <v>0.23795729415427</v>
      </c>
      <c r="L3198">
        <v>682.24681704445197</v>
      </c>
      <c r="M3198">
        <v>11.892687297042</v>
      </c>
      <c r="N3198">
        <v>59.434918346746102</v>
      </c>
      <c r="O3198">
        <v>55.817066039720402</v>
      </c>
      <c r="P3198">
        <v>-4.4252336167837802E-2</v>
      </c>
      <c r="Q3198">
        <v>0.169432929330154</v>
      </c>
      <c r="R3198">
        <v>0.94040142265960402</v>
      </c>
      <c r="S3198" t="s">
        <v>9024</v>
      </c>
      <c r="T3198" t="s">
        <v>11650</v>
      </c>
      <c r="U3198" t="s">
        <v>11650</v>
      </c>
      <c r="V3198" t="s">
        <v>11650</v>
      </c>
      <c r="W3198" t="s">
        <v>14800</v>
      </c>
      <c r="X3198">
        <v>4</v>
      </c>
      <c r="Y3198" t="s">
        <v>20491</v>
      </c>
      <c r="Z3198" t="s">
        <v>26260</v>
      </c>
      <c r="AA3198">
        <v>0.66299568532534947</v>
      </c>
      <c r="AB3198" t="str">
        <f>HYPERLINK("Melting_Curves/meltCurve_Q14C86_3_GAPVD1.pdf", "Melting_Curves/meltCurve_Q14C86_3_GAPVD1.pdf")</f>
        <v>Melting_Curves/meltCurve_Q14C86_3_GAPVD1.pdf</v>
      </c>
    </row>
    <row r="3199" spans="1:28" x14ac:dyDescent="0.25">
      <c r="A3199" t="s">
        <v>3203</v>
      </c>
      <c r="B3199">
        <v>0.99996721820229495</v>
      </c>
      <c r="C3199">
        <v>0.94386162580426103</v>
      </c>
      <c r="D3199">
        <v>0.63856484309047601</v>
      </c>
      <c r="E3199">
        <v>0.33183235415978901</v>
      </c>
      <c r="F3199">
        <v>0.30984344152586402</v>
      </c>
      <c r="G3199">
        <v>0.29660736243675601</v>
      </c>
      <c r="H3199">
        <v>0.14881561399381499</v>
      </c>
      <c r="I3199">
        <v>0.107458117408247</v>
      </c>
      <c r="J3199">
        <v>0.10097916613510299</v>
      </c>
      <c r="K3199">
        <v>5.7119952252175497E-2</v>
      </c>
      <c r="L3199">
        <v>763.19012307040998</v>
      </c>
      <c r="M3199">
        <v>16.022849348500799</v>
      </c>
      <c r="N3199">
        <v>48.433313226136001</v>
      </c>
      <c r="O3199">
        <v>46.907957992484697</v>
      </c>
      <c r="P3199">
        <v>-7.5451337185497194E-2</v>
      </c>
      <c r="Q3199">
        <v>0.11651372516821699</v>
      </c>
      <c r="R3199">
        <v>0.96767413375940303</v>
      </c>
      <c r="S3199" t="s">
        <v>9025</v>
      </c>
      <c r="T3199" t="s">
        <v>11650</v>
      </c>
      <c r="U3199" t="s">
        <v>11650</v>
      </c>
      <c r="V3199" t="s">
        <v>11650</v>
      </c>
      <c r="W3199" t="s">
        <v>14801</v>
      </c>
      <c r="X3199">
        <v>1</v>
      </c>
      <c r="Y3199" t="s">
        <v>20492</v>
      </c>
      <c r="Z3199" t="s">
        <v>26261</v>
      </c>
      <c r="AA3199">
        <v>0.36149849006524121</v>
      </c>
      <c r="AB3199" t="str">
        <f>HYPERLINK("Melting_Curves/meltCurve_Q14CS0_UBXN2B.pdf", "Melting_Curves/meltCurve_Q14CS0_UBXN2B.pdf")</f>
        <v>Melting_Curves/meltCurve_Q14CS0_UBXN2B.pdf</v>
      </c>
    </row>
    <row r="3200" spans="1:28" x14ac:dyDescent="0.25">
      <c r="A3200" t="s">
        <v>3204</v>
      </c>
      <c r="B3200">
        <v>0.99996721820229495</v>
      </c>
      <c r="C3200">
        <v>0.99660276670379699</v>
      </c>
      <c r="D3200">
        <v>0.98526324773422502</v>
      </c>
      <c r="E3200">
        <v>1.1533279254726001</v>
      </c>
      <c r="F3200">
        <v>0.48911563221980098</v>
      </c>
      <c r="G3200">
        <v>0.44701139069029899</v>
      </c>
      <c r="H3200">
        <v>0.23471531886101901</v>
      </c>
      <c r="I3200">
        <v>0.162962825884305</v>
      </c>
      <c r="J3200">
        <v>9.3854055999605196E-2</v>
      </c>
      <c r="K3200">
        <v>9.0098629350711903E-2</v>
      </c>
      <c r="L3200">
        <v>1239.9408577629499</v>
      </c>
      <c r="M3200">
        <v>22.7647602123753</v>
      </c>
      <c r="N3200">
        <v>55.142522702056901</v>
      </c>
      <c r="O3200">
        <v>54.052477609500102</v>
      </c>
      <c r="P3200">
        <v>-9.2488876615411705E-2</v>
      </c>
      <c r="Q3200">
        <v>0.12159753086255</v>
      </c>
      <c r="R3200">
        <v>0.92631145894578903</v>
      </c>
      <c r="S3200" t="s">
        <v>9026</v>
      </c>
      <c r="T3200" t="s">
        <v>11650</v>
      </c>
      <c r="U3200" t="s">
        <v>11650</v>
      </c>
      <c r="V3200" t="s">
        <v>11650</v>
      </c>
      <c r="W3200" t="s">
        <v>14802</v>
      </c>
      <c r="X3200">
        <v>9</v>
      </c>
      <c r="Y3200" t="s">
        <v>20493</v>
      </c>
      <c r="Z3200" t="s">
        <v>26262</v>
      </c>
      <c r="AA3200">
        <v>0.55479029225840593</v>
      </c>
      <c r="AB3200" t="str">
        <f>HYPERLINK("Melting_Curves/meltCurve_Q14CX7_2_NAA25.pdf", "Melting_Curves/meltCurve_Q14CX7_2_NAA25.pdf")</f>
        <v>Melting_Curves/meltCurve_Q14CX7_2_NAA25.pdf</v>
      </c>
    </row>
    <row r="3201" spans="1:28" x14ac:dyDescent="0.25">
      <c r="A3201" t="s">
        <v>3205</v>
      </c>
      <c r="B3201">
        <v>0.99996721820229495</v>
      </c>
      <c r="C3201">
        <v>0.95078081317151797</v>
      </c>
      <c r="D3201">
        <v>1.1260945268568101</v>
      </c>
      <c r="E3201">
        <v>1.4278588711235001</v>
      </c>
      <c r="F3201">
        <v>1.9543746166420299</v>
      </c>
      <c r="G3201">
        <v>0.67893329045608497</v>
      </c>
      <c r="H3201">
        <v>0.31096988409086301</v>
      </c>
      <c r="I3201">
        <v>0.195547190417692</v>
      </c>
      <c r="J3201">
        <v>6.6907689932594494E-2</v>
      </c>
      <c r="K3201">
        <v>8.5375265955445007E-2</v>
      </c>
      <c r="L3201">
        <v>6109.55013683584</v>
      </c>
      <c r="M3201">
        <v>106.704815700168</v>
      </c>
      <c r="N3201">
        <v>57.471021314407203</v>
      </c>
      <c r="O3201">
        <v>57.236451804909798</v>
      </c>
      <c r="P3201">
        <v>-0.38952560976202499</v>
      </c>
      <c r="Q3201">
        <v>0.164234051809339</v>
      </c>
      <c r="R3201">
        <v>0.676770342061215</v>
      </c>
      <c r="S3201" t="s">
        <v>9027</v>
      </c>
      <c r="T3201" t="s">
        <v>11650</v>
      </c>
      <c r="U3201" t="s">
        <v>11650</v>
      </c>
      <c r="V3201" t="s">
        <v>11650</v>
      </c>
      <c r="W3201" t="s">
        <v>14803</v>
      </c>
      <c r="X3201">
        <v>1</v>
      </c>
      <c r="Y3201" t="s">
        <v>20494</v>
      </c>
      <c r="Z3201" t="s">
        <v>26263</v>
      </c>
      <c r="AA3201">
        <v>0.6454435364104234</v>
      </c>
      <c r="AB3201" t="str">
        <f>HYPERLINK("Melting_Curves/meltCurve_Q15006_EMC2.pdf", "Melting_Curves/meltCurve_Q15006_EMC2.pdf")</f>
        <v>Melting_Curves/meltCurve_Q15006_EMC2.pdf</v>
      </c>
    </row>
    <row r="3202" spans="1:28" x14ac:dyDescent="0.25">
      <c r="A3202" t="s">
        <v>3206</v>
      </c>
      <c r="B3202">
        <v>0.99996721820229495</v>
      </c>
      <c r="C3202">
        <v>1.10180148100099</v>
      </c>
      <c r="D3202">
        <v>1.2402942619878301</v>
      </c>
      <c r="E3202">
        <v>1.70596410550593</v>
      </c>
      <c r="F3202">
        <v>1.8071690114704899</v>
      </c>
      <c r="G3202">
        <v>2.7205183995462501</v>
      </c>
      <c r="H3202">
        <v>0.70246628357125396</v>
      </c>
      <c r="I3202">
        <v>0.36331152489722202</v>
      </c>
      <c r="J3202">
        <v>0.216609956225495</v>
      </c>
      <c r="K3202">
        <v>0.15652133553424499</v>
      </c>
      <c r="L3202">
        <v>5579.1568350914304</v>
      </c>
      <c r="M3202">
        <v>90.916654457144801</v>
      </c>
      <c r="N3202">
        <v>61.802434983889</v>
      </c>
      <c r="O3202">
        <v>61.335943588650103</v>
      </c>
      <c r="P3202">
        <v>-0.28273038721145999</v>
      </c>
      <c r="Q3202">
        <v>0.23703594468955699</v>
      </c>
      <c r="R3202">
        <v>0.28749905172004198</v>
      </c>
      <c r="S3202" t="s">
        <v>9028</v>
      </c>
      <c r="T3202" t="s">
        <v>11650</v>
      </c>
      <c r="U3202" t="s">
        <v>11650</v>
      </c>
      <c r="V3202" t="s">
        <v>11650</v>
      </c>
      <c r="W3202" t="s">
        <v>14804</v>
      </c>
      <c r="X3202">
        <v>9</v>
      </c>
      <c r="Y3202" t="s">
        <v>20495</v>
      </c>
      <c r="Z3202" t="s">
        <v>26264</v>
      </c>
      <c r="AA3202">
        <v>0.7810311589101383</v>
      </c>
      <c r="AB3202" t="str">
        <f>HYPERLINK("Melting_Curves/meltCurve_Q15008_PSMD6.pdf", "Melting_Curves/meltCurve_Q15008_PSMD6.pdf")</f>
        <v>Melting_Curves/meltCurve_Q15008_PSMD6.pdf</v>
      </c>
    </row>
    <row r="3203" spans="1:28" x14ac:dyDescent="0.25">
      <c r="A3203" t="s">
        <v>3207</v>
      </c>
      <c r="B3203">
        <v>0.99996721820229495</v>
      </c>
      <c r="C3203">
        <v>0.82078682038164197</v>
      </c>
      <c r="D3203">
        <v>0.84834222870430698</v>
      </c>
      <c r="E3203">
        <v>0.88094083294499104</v>
      </c>
      <c r="F3203">
        <v>0.75257257468565797</v>
      </c>
      <c r="G3203">
        <v>0.53450972884325598</v>
      </c>
      <c r="H3203">
        <v>0.30591134555149402</v>
      </c>
      <c r="I3203">
        <v>0.16485157477828299</v>
      </c>
      <c r="J3203">
        <v>0.118539197568779</v>
      </c>
      <c r="K3203">
        <v>0.177445248905339</v>
      </c>
      <c r="L3203">
        <v>661.15676003006104</v>
      </c>
      <c r="M3203">
        <v>11.5700441584956</v>
      </c>
      <c r="N3203">
        <v>57.1438396014346</v>
      </c>
      <c r="O3203">
        <v>55.516777075401798</v>
      </c>
      <c r="P3203">
        <v>-5.21160247428182E-2</v>
      </c>
      <c r="Q3203">
        <v>0</v>
      </c>
      <c r="R3203">
        <v>0.95385516613316002</v>
      </c>
      <c r="S3203" t="s">
        <v>9029</v>
      </c>
      <c r="T3203" t="s">
        <v>11650</v>
      </c>
      <c r="U3203" t="s">
        <v>11650</v>
      </c>
      <c r="V3203" t="s">
        <v>11650</v>
      </c>
      <c r="W3203" t="s">
        <v>14805</v>
      </c>
      <c r="X3203">
        <v>7</v>
      </c>
      <c r="Y3203" t="s">
        <v>20496</v>
      </c>
      <c r="Z3203" t="s">
        <v>26265</v>
      </c>
      <c r="AA3203">
        <v>0.58763062266202515</v>
      </c>
      <c r="AB3203" t="str">
        <f>HYPERLINK("Melting_Curves/meltCurve_Q15011_3_HERPUD1.pdf", "Melting_Curves/meltCurve_Q15011_3_HERPUD1.pdf")</f>
        <v>Melting_Curves/meltCurve_Q15011_3_HERPUD1.pdf</v>
      </c>
    </row>
    <row r="3204" spans="1:28" x14ac:dyDescent="0.25">
      <c r="A3204" t="s">
        <v>3208</v>
      </c>
      <c r="B3204">
        <v>0.99996721820229495</v>
      </c>
      <c r="C3204">
        <v>1.02850902451328</v>
      </c>
      <c r="D3204">
        <v>1.0150450108693501</v>
      </c>
      <c r="E3204">
        <v>1.10372797833948</v>
      </c>
      <c r="F3204">
        <v>1.12635250637159</v>
      </c>
      <c r="G3204">
        <v>1.2003313947311001</v>
      </c>
      <c r="H3204">
        <v>0.84498838518362696</v>
      </c>
      <c r="I3204">
        <v>0.83481892856178197</v>
      </c>
      <c r="J3204">
        <v>0.63670912031656701</v>
      </c>
      <c r="K3204">
        <v>0.498889274586091</v>
      </c>
      <c r="L3204">
        <v>1781.29318161483</v>
      </c>
      <c r="M3204">
        <v>27.061557356106999</v>
      </c>
      <c r="O3204">
        <v>65.467458715132096</v>
      </c>
      <c r="P3204">
        <v>-6.1572900195461501E-2</v>
      </c>
      <c r="Q3204">
        <v>0.40417595450490801</v>
      </c>
      <c r="R3204">
        <v>0.82100150235548297</v>
      </c>
      <c r="S3204" t="s">
        <v>9030</v>
      </c>
      <c r="T3204" t="s">
        <v>11650</v>
      </c>
      <c r="U3204" t="s">
        <v>11650</v>
      </c>
      <c r="V3204" t="s">
        <v>11650</v>
      </c>
      <c r="W3204" t="s">
        <v>14806</v>
      </c>
      <c r="X3204">
        <v>1</v>
      </c>
      <c r="Y3204" t="s">
        <v>20497</v>
      </c>
      <c r="Z3204" t="s">
        <v>26266</v>
      </c>
      <c r="AA3204">
        <v>0.91219700736943166</v>
      </c>
      <c r="AB3204" t="str">
        <f>HYPERLINK("Melting_Curves/meltCurve_Q15012_LAPTM4A.pdf", "Melting_Curves/meltCurve_Q15012_LAPTM4A.pdf")</f>
        <v>Melting_Curves/meltCurve_Q15012_LAPTM4A.pdf</v>
      </c>
    </row>
    <row r="3205" spans="1:28" x14ac:dyDescent="0.25">
      <c r="A3205" t="s">
        <v>3209</v>
      </c>
      <c r="B3205">
        <v>0.99996721820229495</v>
      </c>
      <c r="C3205">
        <v>0.94417844811638696</v>
      </c>
      <c r="D3205">
        <v>1.0979025111729299</v>
      </c>
      <c r="E3205">
        <v>1.77700154668163</v>
      </c>
      <c r="F3205">
        <v>2.5557615819653599</v>
      </c>
      <c r="G3205">
        <v>3.5595288349534999</v>
      </c>
      <c r="H3205">
        <v>2.4049399061229599</v>
      </c>
      <c r="I3205">
        <v>1.0588896732568001</v>
      </c>
      <c r="J3205">
        <v>0.36056641992191502</v>
      </c>
      <c r="K3205">
        <v>0.246741282864467</v>
      </c>
      <c r="L3205">
        <v>15000</v>
      </c>
      <c r="M3205">
        <v>225.605245494093</v>
      </c>
      <c r="N3205">
        <v>66.688806405260806</v>
      </c>
      <c r="O3205">
        <v>66.482591273900894</v>
      </c>
      <c r="P3205">
        <v>-0.63908758451646297</v>
      </c>
      <c r="Q3205">
        <v>0.246680661645095</v>
      </c>
      <c r="R3205">
        <v>-0.152371474357342</v>
      </c>
      <c r="S3205" t="s">
        <v>9031</v>
      </c>
      <c r="T3205" t="s">
        <v>11650</v>
      </c>
      <c r="U3205" t="s">
        <v>11650</v>
      </c>
      <c r="V3205" t="s">
        <v>11650</v>
      </c>
      <c r="W3205" t="s">
        <v>14807</v>
      </c>
      <c r="X3205">
        <v>15</v>
      </c>
      <c r="Y3205" t="s">
        <v>20498</v>
      </c>
      <c r="Z3205" t="s">
        <v>26267</v>
      </c>
      <c r="AA3205">
        <v>0.91191463348273272</v>
      </c>
      <c r="AB3205" t="str">
        <f>HYPERLINK("Melting_Curves/meltCurve_Q15018_FAM175B.pdf", "Melting_Curves/meltCurve_Q15018_FAM175B.pdf")</f>
        <v>Melting_Curves/meltCurve_Q15018_FAM175B.pdf</v>
      </c>
    </row>
    <row r="3206" spans="1:28" x14ac:dyDescent="0.25">
      <c r="A3206" t="s">
        <v>3210</v>
      </c>
      <c r="B3206">
        <v>0.99996721820229495</v>
      </c>
      <c r="C3206">
        <v>1.1676168833642899</v>
      </c>
      <c r="D3206">
        <v>1.3923419121257401</v>
      </c>
      <c r="E3206">
        <v>2.4539668168258801</v>
      </c>
      <c r="F3206">
        <v>3.87101942047829</v>
      </c>
      <c r="G3206">
        <v>4.0022905280034804</v>
      </c>
      <c r="H3206">
        <v>1.52517131323477</v>
      </c>
      <c r="I3206">
        <v>0.62575360753898501</v>
      </c>
      <c r="J3206">
        <v>0.31656088589597797</v>
      </c>
      <c r="K3206">
        <v>0.16411439467490599</v>
      </c>
      <c r="L3206">
        <v>15000</v>
      </c>
      <c r="M3206">
        <v>234.34539661182001</v>
      </c>
      <c r="N3206">
        <v>64.187534293375194</v>
      </c>
      <c r="O3206">
        <v>64.003423198240299</v>
      </c>
      <c r="P3206">
        <v>-0.69538173119114199</v>
      </c>
      <c r="Q3206">
        <v>0.24032113659829801</v>
      </c>
      <c r="R3206">
        <v>-0.175024994983383</v>
      </c>
      <c r="S3206" t="s">
        <v>9032</v>
      </c>
      <c r="T3206" t="s">
        <v>11650</v>
      </c>
      <c r="U3206" t="s">
        <v>11650</v>
      </c>
      <c r="V3206" t="s">
        <v>11650</v>
      </c>
      <c r="W3206" t="s">
        <v>14808</v>
      </c>
      <c r="X3206">
        <v>4</v>
      </c>
      <c r="Y3206" t="s">
        <v>20499</v>
      </c>
      <c r="Z3206" t="s">
        <v>26268</v>
      </c>
      <c r="AA3206">
        <v>0.84836607587345059</v>
      </c>
      <c r="AB3206" t="str">
        <f>HYPERLINK("Melting_Curves/meltCurve_Q15024_EXOSC7.pdf", "Melting_Curves/meltCurve_Q15024_EXOSC7.pdf")</f>
        <v>Melting_Curves/meltCurve_Q15024_EXOSC7.pdf</v>
      </c>
    </row>
    <row r="3207" spans="1:28" x14ac:dyDescent="0.25">
      <c r="A3207" t="s">
        <v>3211</v>
      </c>
      <c r="B3207">
        <v>0.99996721820229495</v>
      </c>
      <c r="C3207">
        <v>1.0281827501429199</v>
      </c>
      <c r="D3207">
        <v>1.08473195389555</v>
      </c>
      <c r="E3207">
        <v>1.38016338783911</v>
      </c>
      <c r="F3207">
        <v>3.0507475831673201</v>
      </c>
      <c r="G3207">
        <v>3.0723308097798201</v>
      </c>
      <c r="H3207">
        <v>1.29818190438109</v>
      </c>
      <c r="I3207">
        <v>0.46267108263722501</v>
      </c>
      <c r="J3207">
        <v>0.25035442258805002</v>
      </c>
      <c r="K3207">
        <v>0.19903612186693101</v>
      </c>
      <c r="L3207">
        <v>15000</v>
      </c>
      <c r="M3207">
        <v>235.18918891634499</v>
      </c>
      <c r="N3207">
        <v>63.940661305974302</v>
      </c>
      <c r="O3207">
        <v>63.773830351603301</v>
      </c>
      <c r="P3207">
        <v>-0.71481644062638705</v>
      </c>
      <c r="Q3207">
        <v>0.224682350684484</v>
      </c>
      <c r="R3207">
        <v>7.3352132304397605E-2</v>
      </c>
      <c r="S3207" t="s">
        <v>9033</v>
      </c>
      <c r="T3207" t="s">
        <v>11650</v>
      </c>
      <c r="U3207" t="s">
        <v>11650</v>
      </c>
      <c r="V3207" t="s">
        <v>11650</v>
      </c>
      <c r="W3207" t="s">
        <v>14809</v>
      </c>
      <c r="X3207">
        <v>23</v>
      </c>
      <c r="Y3207" t="s">
        <v>20500</v>
      </c>
      <c r="Z3207" t="s">
        <v>26269</v>
      </c>
      <c r="AA3207">
        <v>0.83930859602974361</v>
      </c>
      <c r="AB3207" t="str">
        <f>HYPERLINK("Melting_Curves/meltCurve_Q15029_2_EFTUD2.pdf", "Melting_Curves/meltCurve_Q15029_2_EFTUD2.pdf")</f>
        <v>Melting_Curves/meltCurve_Q15029_2_EFTUD2.pdf</v>
      </c>
    </row>
    <row r="3208" spans="1:28" x14ac:dyDescent="0.25">
      <c r="A3208" t="s">
        <v>3212</v>
      </c>
      <c r="B3208">
        <v>0.99996721820229495</v>
      </c>
      <c r="C3208">
        <v>0.87893392538225301</v>
      </c>
      <c r="D3208">
        <v>0.91137368360359094</v>
      </c>
      <c r="E3208">
        <v>0.40507829000453799</v>
      </c>
      <c r="F3208">
        <v>0.27159726485172703</v>
      </c>
      <c r="G3208">
        <v>0.172017873398504</v>
      </c>
      <c r="H3208">
        <v>0.11138782595388801</v>
      </c>
      <c r="I3208">
        <v>8.3788797311400501E-2</v>
      </c>
      <c r="J3208">
        <v>5.7842690971639403E-2</v>
      </c>
      <c r="K3208">
        <v>5.15780650221958E-2</v>
      </c>
      <c r="L3208">
        <v>1049.2921656512699</v>
      </c>
      <c r="M3208">
        <v>21.3104080711237</v>
      </c>
      <c r="N3208">
        <v>49.641276493924501</v>
      </c>
      <c r="O3208">
        <v>48.811054907591497</v>
      </c>
      <c r="P3208">
        <v>-0.100484236051801</v>
      </c>
      <c r="Q3208">
        <v>7.9394995895263207E-2</v>
      </c>
      <c r="R3208">
        <v>0.98406183544159298</v>
      </c>
      <c r="S3208" t="s">
        <v>9034</v>
      </c>
      <c r="T3208" t="s">
        <v>11650</v>
      </c>
      <c r="U3208" t="s">
        <v>11650</v>
      </c>
      <c r="V3208" t="s">
        <v>11650</v>
      </c>
      <c r="W3208" t="s">
        <v>14810</v>
      </c>
      <c r="X3208">
        <v>6</v>
      </c>
      <c r="Y3208" t="s">
        <v>20501</v>
      </c>
      <c r="Z3208" t="s">
        <v>26270</v>
      </c>
      <c r="AA3208">
        <v>0.3742148393762722</v>
      </c>
      <c r="AB3208" t="str">
        <f>HYPERLINK("Melting_Curves/meltCurve_Q15031_LARS2.pdf", "Melting_Curves/meltCurve_Q15031_LARS2.pdf")</f>
        <v>Melting_Curves/meltCurve_Q15031_LARS2.pdf</v>
      </c>
    </row>
    <row r="3209" spans="1:28" x14ac:dyDescent="0.25">
      <c r="A3209" t="s">
        <v>3213</v>
      </c>
      <c r="B3209">
        <v>0.99996721820229495</v>
      </c>
      <c r="C3209">
        <v>0.98618288380615704</v>
      </c>
      <c r="D3209">
        <v>0.92869495563970395</v>
      </c>
      <c r="E3209">
        <v>0.73182659342673495</v>
      </c>
      <c r="F3209">
        <v>0.67687717693594296</v>
      </c>
      <c r="G3209">
        <v>0.64828330396344702</v>
      </c>
      <c r="H3209">
        <v>0.47107383958115701</v>
      </c>
      <c r="I3209">
        <v>0.40458163621978399</v>
      </c>
      <c r="J3209">
        <v>0.31162161584440501</v>
      </c>
      <c r="K3209">
        <v>0.20783537720043599</v>
      </c>
      <c r="L3209">
        <v>439.89698521089201</v>
      </c>
      <c r="M3209">
        <v>7.3655639426630302</v>
      </c>
      <c r="N3209">
        <v>59.723463350496203</v>
      </c>
      <c r="O3209">
        <v>55.794549124143003</v>
      </c>
      <c r="P3209">
        <v>-3.30537967592038E-2</v>
      </c>
      <c r="Q3209">
        <v>0</v>
      </c>
      <c r="R3209">
        <v>0.97654014690404201</v>
      </c>
      <c r="S3209" t="s">
        <v>9035</v>
      </c>
      <c r="T3209" t="s">
        <v>11650</v>
      </c>
      <c r="U3209" t="s">
        <v>11650</v>
      </c>
      <c r="V3209" t="s">
        <v>11650</v>
      </c>
      <c r="W3209" t="s">
        <v>14811</v>
      </c>
      <c r="X3209">
        <v>4</v>
      </c>
      <c r="Y3209" t="s">
        <v>20502</v>
      </c>
      <c r="Z3209" t="s">
        <v>26271</v>
      </c>
      <c r="AA3209">
        <v>0.64036876681587218</v>
      </c>
      <c r="AB3209" t="str">
        <f>HYPERLINK("Melting_Curves/meltCurve_Q15032_2_R3HDM1.pdf", "Melting_Curves/meltCurve_Q15032_2_R3HDM1.pdf")</f>
        <v>Melting_Curves/meltCurve_Q15032_2_R3HDM1.pdf</v>
      </c>
    </row>
    <row r="3210" spans="1:28" x14ac:dyDescent="0.25">
      <c r="A3210" t="s">
        <v>3214</v>
      </c>
      <c r="B3210">
        <v>0.99996721820229495</v>
      </c>
      <c r="C3210">
        <v>1.0118659465789199</v>
      </c>
      <c r="D3210">
        <v>0.86448301223211999</v>
      </c>
      <c r="E3210">
        <v>0.45531897546843397</v>
      </c>
      <c r="F3210">
        <v>0.33566697469739698</v>
      </c>
      <c r="G3210">
        <v>0.31228133443853501</v>
      </c>
      <c r="H3210">
        <v>0.18868052330757801</v>
      </c>
      <c r="I3210">
        <v>0.11070328147591101</v>
      </c>
      <c r="J3210">
        <v>6.9570263157413104E-2</v>
      </c>
      <c r="K3210">
        <v>6.7948626259091302E-2</v>
      </c>
      <c r="L3210">
        <v>852.50773529617197</v>
      </c>
      <c r="M3210">
        <v>17.127996261863601</v>
      </c>
      <c r="N3210">
        <v>50.488945289571497</v>
      </c>
      <c r="O3210">
        <v>49.109168142383197</v>
      </c>
      <c r="P3210">
        <v>-7.7794536555342103E-2</v>
      </c>
      <c r="Q3210">
        <v>0.107847827112382</v>
      </c>
      <c r="R3210">
        <v>0.97504667044021898</v>
      </c>
      <c r="S3210" t="s">
        <v>9036</v>
      </c>
      <c r="T3210" t="s">
        <v>11650</v>
      </c>
      <c r="U3210" t="s">
        <v>11650</v>
      </c>
      <c r="V3210" t="s">
        <v>11650</v>
      </c>
      <c r="W3210" t="s">
        <v>14812</v>
      </c>
      <c r="X3210">
        <v>17</v>
      </c>
      <c r="Y3210" t="s">
        <v>20503</v>
      </c>
      <c r="Z3210" t="s">
        <v>26272</v>
      </c>
      <c r="AA3210">
        <v>0.41525064307122062</v>
      </c>
      <c r="AB3210" t="str">
        <f>HYPERLINK("Melting_Curves/meltCurve_Q15036_SNX17.pdf", "Melting_Curves/meltCurve_Q15036_SNX17.pdf")</f>
        <v>Melting_Curves/meltCurve_Q15036_SNX17.pdf</v>
      </c>
    </row>
    <row r="3211" spans="1:28" x14ac:dyDescent="0.25">
      <c r="A3211" t="s">
        <v>3215</v>
      </c>
      <c r="B3211">
        <v>0.99996721820229495</v>
      </c>
      <c r="C3211">
        <v>1.0380093002100801</v>
      </c>
      <c r="D3211">
        <v>1.15264693932484</v>
      </c>
      <c r="E3211">
        <v>1.6785655156435</v>
      </c>
      <c r="F3211">
        <v>2.6756704661989401</v>
      </c>
      <c r="G3211">
        <v>2.9940200708887299</v>
      </c>
      <c r="H3211">
        <v>2.26792914047466</v>
      </c>
      <c r="I3211">
        <v>1.64290349987836</v>
      </c>
      <c r="J3211">
        <v>0.79454318813256297</v>
      </c>
      <c r="K3211">
        <v>1.9206245930483401</v>
      </c>
      <c r="L3211">
        <v>11537.8218447897</v>
      </c>
      <c r="M3211">
        <v>250</v>
      </c>
      <c r="O3211">
        <v>46.148324140672599</v>
      </c>
      <c r="P3211">
        <v>0.67716420732187199</v>
      </c>
      <c r="Q3211">
        <v>1.5</v>
      </c>
      <c r="R3211">
        <v>2.25919267068454E-2</v>
      </c>
      <c r="S3211" t="s">
        <v>9037</v>
      </c>
      <c r="T3211" t="s">
        <v>11650</v>
      </c>
      <c r="U3211" t="s">
        <v>11650</v>
      </c>
      <c r="V3211" t="s">
        <v>11650</v>
      </c>
      <c r="W3211" t="s">
        <v>14813</v>
      </c>
      <c r="X3211">
        <v>5</v>
      </c>
      <c r="Y3211" t="s">
        <v>20504</v>
      </c>
      <c r="Z3211" t="s">
        <v>26273</v>
      </c>
      <c r="AA3211">
        <v>1.3974380462851479</v>
      </c>
      <c r="AB3211" t="str">
        <f>HYPERLINK("Melting_Curves/meltCurve_Q15043_2_SLC39A14.pdf", "Melting_Curves/meltCurve_Q15043_2_SLC39A14.pdf")</f>
        <v>Melting_Curves/meltCurve_Q15043_2_SLC39A14.pdf</v>
      </c>
    </row>
    <row r="3212" spans="1:28" x14ac:dyDescent="0.25">
      <c r="A3212" t="s">
        <v>3216</v>
      </c>
      <c r="B3212">
        <v>0.99996721820229495</v>
      </c>
      <c r="C3212">
        <v>1.1245689555703799</v>
      </c>
      <c r="D3212">
        <v>1.3623461634552501</v>
      </c>
      <c r="E3212">
        <v>1.95239686488621</v>
      </c>
      <c r="F3212">
        <v>1.8799479128935199</v>
      </c>
      <c r="G3212">
        <v>1.3112057283779299</v>
      </c>
      <c r="H3212">
        <v>0.44727867513095398</v>
      </c>
      <c r="I3212">
        <v>0.55707500280538103</v>
      </c>
      <c r="J3212">
        <v>0.157216019424609</v>
      </c>
      <c r="K3212">
        <v>0.15169810218596999</v>
      </c>
      <c r="L3212">
        <v>7898.3679298521702</v>
      </c>
      <c r="M3212">
        <v>130.71200671376701</v>
      </c>
      <c r="N3212">
        <v>60.825085761913797</v>
      </c>
      <c r="O3212">
        <v>60.411585593123199</v>
      </c>
      <c r="P3212">
        <v>-0.38511645251535997</v>
      </c>
      <c r="Q3212">
        <v>0.288038014891636</v>
      </c>
      <c r="R3212">
        <v>0.47280250131734097</v>
      </c>
      <c r="S3212" t="s">
        <v>9038</v>
      </c>
      <c r="T3212" t="s">
        <v>11650</v>
      </c>
      <c r="U3212" t="s">
        <v>11650</v>
      </c>
      <c r="V3212" t="s">
        <v>11650</v>
      </c>
      <c r="W3212" t="s">
        <v>14814</v>
      </c>
      <c r="X3212">
        <v>19</v>
      </c>
      <c r="Y3212" t="s">
        <v>20505</v>
      </c>
      <c r="Z3212" t="s">
        <v>26274</v>
      </c>
      <c r="AA3212">
        <v>0.77305904881480458</v>
      </c>
      <c r="AB3212" t="str">
        <f>HYPERLINK("Melting_Curves/meltCurve_Q15046_KARS.pdf", "Melting_Curves/meltCurve_Q15046_KARS.pdf")</f>
        <v>Melting_Curves/meltCurve_Q15046_KARS.pdf</v>
      </c>
    </row>
    <row r="3213" spans="1:28" x14ac:dyDescent="0.25">
      <c r="A3213" t="s">
        <v>3217</v>
      </c>
      <c r="B3213">
        <v>0.99996721820229495</v>
      </c>
      <c r="C3213">
        <v>0.75066122572907201</v>
      </c>
      <c r="D3213">
        <v>0.62167016317553303</v>
      </c>
      <c r="E3213">
        <v>0.95800052786492096</v>
      </c>
      <c r="F3213">
        <v>0.86480600574161204</v>
      </c>
      <c r="G3213">
        <v>0.535675249319984</v>
      </c>
      <c r="H3213">
        <v>0.475568216678871</v>
      </c>
      <c r="I3213">
        <v>0.422102963324749</v>
      </c>
      <c r="J3213">
        <v>0.40625305095679898</v>
      </c>
      <c r="K3213">
        <v>0.49301931152156703</v>
      </c>
      <c r="L3213">
        <v>258.83529237417298</v>
      </c>
      <c r="M3213">
        <v>4.08187652855033</v>
      </c>
      <c r="N3213">
        <v>63.410859486567503</v>
      </c>
      <c r="O3213">
        <v>52.388993847294699</v>
      </c>
      <c r="P3213">
        <v>-1.9713260955408901E-2</v>
      </c>
      <c r="Q3213">
        <v>0</v>
      </c>
      <c r="R3213">
        <v>0.64354894159508103</v>
      </c>
      <c r="S3213" t="s">
        <v>9039</v>
      </c>
      <c r="T3213" t="s">
        <v>11650</v>
      </c>
      <c r="U3213" t="s">
        <v>11650</v>
      </c>
      <c r="V3213" t="s">
        <v>11650</v>
      </c>
      <c r="W3213" t="s">
        <v>14815</v>
      </c>
      <c r="X3213">
        <v>25</v>
      </c>
      <c r="Y3213" t="s">
        <v>20506</v>
      </c>
      <c r="Z3213" t="s">
        <v>26275</v>
      </c>
      <c r="AA3213">
        <v>0.65592106067613376</v>
      </c>
      <c r="AB3213" t="str">
        <f>HYPERLINK("Melting_Curves/meltCurve_Q15056_EIF4H.pdf", "Melting_Curves/meltCurve_Q15056_EIF4H.pdf")</f>
        <v>Melting_Curves/meltCurve_Q15056_EIF4H.pdf</v>
      </c>
    </row>
    <row r="3214" spans="1:28" x14ac:dyDescent="0.25">
      <c r="A3214" t="s">
        <v>3218</v>
      </c>
      <c r="B3214">
        <v>0.99996721820229495</v>
      </c>
      <c r="C3214">
        <v>1.09883196350074</v>
      </c>
      <c r="D3214">
        <v>0.96070219465893003</v>
      </c>
      <c r="E3214">
        <v>0.773404754904365</v>
      </c>
      <c r="F3214">
        <v>0.72384467290737298</v>
      </c>
      <c r="G3214">
        <v>0.56612365503254702</v>
      </c>
      <c r="H3214">
        <v>0.34292166185515299</v>
      </c>
      <c r="I3214">
        <v>0.393448622518142</v>
      </c>
      <c r="J3214">
        <v>0.29826894721446801</v>
      </c>
      <c r="K3214">
        <v>0.22110390993314699</v>
      </c>
      <c r="L3214">
        <v>685.54447806860901</v>
      </c>
      <c r="M3214">
        <v>12.341877196853501</v>
      </c>
      <c r="N3214">
        <v>57.9304199335186</v>
      </c>
      <c r="O3214">
        <v>54.148341536658997</v>
      </c>
      <c r="P3214">
        <v>-4.5644508914864199E-2</v>
      </c>
      <c r="Q3214">
        <v>0.19913634047628101</v>
      </c>
      <c r="R3214">
        <v>0.96914970503614595</v>
      </c>
      <c r="S3214" t="s">
        <v>9040</v>
      </c>
      <c r="T3214" t="s">
        <v>11650</v>
      </c>
      <c r="U3214" t="s">
        <v>11650</v>
      </c>
      <c r="V3214" t="s">
        <v>11650</v>
      </c>
      <c r="W3214" t="s">
        <v>14816</v>
      </c>
      <c r="X3214">
        <v>24</v>
      </c>
      <c r="Y3214" t="s">
        <v>20506</v>
      </c>
      <c r="Z3214" t="s">
        <v>26276</v>
      </c>
      <c r="AA3214">
        <v>0.63135892661561155</v>
      </c>
      <c r="AB3214" t="str">
        <f>HYPERLINK("Melting_Curves/meltCurve_Q15056_2_EIF4H.pdf", "Melting_Curves/meltCurve_Q15056_2_EIF4H.pdf")</f>
        <v>Melting_Curves/meltCurve_Q15056_2_EIF4H.pdf</v>
      </c>
    </row>
    <row r="3215" spans="1:28" x14ac:dyDescent="0.25">
      <c r="A3215" t="s">
        <v>3219</v>
      </c>
      <c r="B3215">
        <v>0.99996721820229495</v>
      </c>
      <c r="C3215">
        <v>0.940046532289745</v>
      </c>
      <c r="D3215">
        <v>0.94764492251254895</v>
      </c>
      <c r="E3215">
        <v>0.72897883738996705</v>
      </c>
      <c r="F3215">
        <v>0.27937333570915301</v>
      </c>
      <c r="G3215">
        <v>0.25534785678706501</v>
      </c>
      <c r="H3215">
        <v>0.16596186791012299</v>
      </c>
      <c r="I3215">
        <v>9.7609814621510901E-2</v>
      </c>
      <c r="J3215">
        <v>7.3925103394052796E-2</v>
      </c>
      <c r="K3215">
        <v>6.8173369695488498E-2</v>
      </c>
      <c r="L3215">
        <v>1497.5600513183599</v>
      </c>
      <c r="M3215">
        <v>29.317090020653801</v>
      </c>
      <c r="N3215">
        <v>51.5364195051786</v>
      </c>
      <c r="O3215">
        <v>50.845568942966302</v>
      </c>
      <c r="P3215">
        <v>-0.12771391589887801</v>
      </c>
      <c r="Q3215">
        <v>0.114012976112364</v>
      </c>
      <c r="R3215">
        <v>0.98240295417276902</v>
      </c>
      <c r="S3215" t="s">
        <v>9041</v>
      </c>
      <c r="T3215" t="s">
        <v>11650</v>
      </c>
      <c r="U3215" t="s">
        <v>11650</v>
      </c>
      <c r="V3215" t="s">
        <v>11650</v>
      </c>
      <c r="W3215" t="s">
        <v>14817</v>
      </c>
      <c r="X3215">
        <v>27</v>
      </c>
      <c r="Y3215" t="s">
        <v>20507</v>
      </c>
      <c r="Z3215" t="s">
        <v>26277</v>
      </c>
      <c r="AA3215">
        <v>0.44712184034519142</v>
      </c>
      <c r="AB3215" t="str">
        <f>HYPERLINK("Melting_Curves/meltCurve_Q15057_ACAP2.pdf", "Melting_Curves/meltCurve_Q15057_ACAP2.pdf")</f>
        <v>Melting_Curves/meltCurve_Q15057_ACAP2.pdf</v>
      </c>
    </row>
    <row r="3216" spans="1:28" x14ac:dyDescent="0.25">
      <c r="A3216" t="s">
        <v>3220</v>
      </c>
      <c r="B3216">
        <v>0.99996721820229495</v>
      </c>
      <c r="C3216">
        <v>0.84628233320972002</v>
      </c>
      <c r="D3216">
        <v>0.94577171219647405</v>
      </c>
      <c r="E3216">
        <v>1.6670314950229499</v>
      </c>
      <c r="F3216">
        <v>3.0881850420454602</v>
      </c>
      <c r="G3216">
        <v>1.80457146339283</v>
      </c>
      <c r="H3216">
        <v>0.75009472804497901</v>
      </c>
      <c r="I3216">
        <v>0.46498667724589199</v>
      </c>
      <c r="J3216">
        <v>0.30915857822192899</v>
      </c>
      <c r="K3216">
        <v>0.24198483210768501</v>
      </c>
      <c r="L3216">
        <v>3439.3508390184502</v>
      </c>
      <c r="M3216">
        <v>55.284953138536103</v>
      </c>
      <c r="N3216">
        <v>63.172316172874297</v>
      </c>
      <c r="O3216">
        <v>62.130097121137503</v>
      </c>
      <c r="P3216">
        <v>-0.15919867513058999</v>
      </c>
      <c r="Q3216">
        <v>0.284360542233217</v>
      </c>
      <c r="R3216">
        <v>0.18622525314513999</v>
      </c>
      <c r="S3216" t="s">
        <v>9042</v>
      </c>
      <c r="T3216" t="s">
        <v>11650</v>
      </c>
      <c r="U3216" t="s">
        <v>11650</v>
      </c>
      <c r="V3216" t="s">
        <v>11650</v>
      </c>
      <c r="W3216" t="s">
        <v>14818</v>
      </c>
      <c r="X3216">
        <v>7</v>
      </c>
      <c r="Y3216" t="s">
        <v>20508</v>
      </c>
      <c r="Z3216" t="s">
        <v>26278</v>
      </c>
      <c r="AA3216">
        <v>0.81573337555531455</v>
      </c>
      <c r="AB3216" t="str">
        <f>HYPERLINK("Melting_Curves/meltCurve_Q15061_WDR43.pdf", "Melting_Curves/meltCurve_Q15061_WDR43.pdf")</f>
        <v>Melting_Curves/meltCurve_Q15061_WDR43.pdf</v>
      </c>
    </row>
    <row r="3217" spans="1:28" x14ac:dyDescent="0.25">
      <c r="A3217" t="s">
        <v>3221</v>
      </c>
      <c r="B3217">
        <v>0.99996721820229495</v>
      </c>
      <c r="C3217">
        <v>0.94536499283368502</v>
      </c>
      <c r="D3217">
        <v>0.93925340858518203</v>
      </c>
      <c r="E3217">
        <v>1.10081591424088</v>
      </c>
      <c r="F3217">
        <v>1.78887823030874</v>
      </c>
      <c r="G3217">
        <v>1.2043097401754499</v>
      </c>
      <c r="H3217">
        <v>0.57514400362092</v>
      </c>
      <c r="I3217">
        <v>0.12033744020385299</v>
      </c>
      <c r="J3217">
        <v>7.3473360781038097E-2</v>
      </c>
      <c r="K3217">
        <v>0</v>
      </c>
      <c r="L3217">
        <v>4584.2309116058796</v>
      </c>
      <c r="M3217">
        <v>74.90572184506</v>
      </c>
      <c r="N3217">
        <v>61.288425734468802</v>
      </c>
      <c r="O3217">
        <v>61.156431978245799</v>
      </c>
      <c r="P3217">
        <v>-0.29052405041817397</v>
      </c>
      <c r="Q3217">
        <v>5.1212063548143998E-2</v>
      </c>
      <c r="R3217">
        <v>0.77001089182968696</v>
      </c>
      <c r="S3217" t="s">
        <v>9043</v>
      </c>
      <c r="T3217" t="s">
        <v>11650</v>
      </c>
      <c r="U3217" t="s">
        <v>11650</v>
      </c>
      <c r="V3217" t="s">
        <v>11650</v>
      </c>
      <c r="W3217" t="s">
        <v>14819</v>
      </c>
      <c r="X3217">
        <v>19</v>
      </c>
      <c r="Y3217" t="s">
        <v>20509</v>
      </c>
      <c r="Z3217" t="s">
        <v>26279</v>
      </c>
      <c r="AA3217">
        <v>0.72282402919316302</v>
      </c>
      <c r="AB3217" t="str">
        <f>HYPERLINK("Melting_Curves/meltCurve_Q15067_2_ACOX1.pdf", "Melting_Curves/meltCurve_Q15067_2_ACOX1.pdf")</f>
        <v>Melting_Curves/meltCurve_Q15067_2_ACOX1.pdf</v>
      </c>
    </row>
    <row r="3218" spans="1:28" x14ac:dyDescent="0.25">
      <c r="A3218" t="s">
        <v>3222</v>
      </c>
      <c r="B3218">
        <v>0.99996721820229495</v>
      </c>
      <c r="C3218">
        <v>1.00474061373382</v>
      </c>
      <c r="D3218">
        <v>0.96663066045789903</v>
      </c>
      <c r="E3218">
        <v>1.095981117582</v>
      </c>
      <c r="F3218">
        <v>1.3810752603040199</v>
      </c>
      <c r="G3218">
        <v>1.5609518525371999</v>
      </c>
      <c r="H3218">
        <v>1.20160575116552</v>
      </c>
      <c r="I3218">
        <v>0.92014828134926996</v>
      </c>
      <c r="J3218">
        <v>0.66266668709047305</v>
      </c>
      <c r="K3218">
        <v>0.71422729700953203</v>
      </c>
      <c r="L3218">
        <v>15000</v>
      </c>
      <c r="M3218">
        <v>233.309800844877</v>
      </c>
      <c r="O3218">
        <v>64.287471129511403</v>
      </c>
      <c r="P3218">
        <v>-0.28267851501729502</v>
      </c>
      <c r="Q3218">
        <v>0.68843678701295297</v>
      </c>
      <c r="R3218">
        <v>0.25432672384455901</v>
      </c>
      <c r="S3218" t="s">
        <v>9044</v>
      </c>
      <c r="T3218" t="s">
        <v>11650</v>
      </c>
      <c r="U3218" t="s">
        <v>11650</v>
      </c>
      <c r="V3218" t="s">
        <v>11650</v>
      </c>
      <c r="W3218" t="s">
        <v>14820</v>
      </c>
      <c r="X3218">
        <v>171</v>
      </c>
      <c r="Y3218" t="s">
        <v>20510</v>
      </c>
      <c r="Z3218" t="s">
        <v>26280</v>
      </c>
      <c r="AA3218">
        <v>0.94076233135561027</v>
      </c>
      <c r="AB3218" t="str">
        <f>HYPERLINK("Melting_Curves/meltCurve_Q15075_EEA1.pdf", "Melting_Curves/meltCurve_Q15075_EEA1.pdf")</f>
        <v>Melting_Curves/meltCurve_Q15075_EEA1.pdf</v>
      </c>
    </row>
    <row r="3219" spans="1:28" x14ac:dyDescent="0.25">
      <c r="A3219" t="s">
        <v>3223</v>
      </c>
      <c r="B3219">
        <v>0.99996721820229495</v>
      </c>
      <c r="C3219">
        <v>0.90856280886283602</v>
      </c>
      <c r="D3219">
        <v>0.73776121814450701</v>
      </c>
      <c r="E3219">
        <v>0.33390020716017399</v>
      </c>
      <c r="F3219">
        <v>0.213189098627972</v>
      </c>
      <c r="G3219">
        <v>0.158616021882762</v>
      </c>
      <c r="H3219">
        <v>0.101743077605633</v>
      </c>
      <c r="I3219">
        <v>9.9899710858425403E-2</v>
      </c>
      <c r="J3219">
        <v>4.9021097515651701E-2</v>
      </c>
      <c r="K3219">
        <v>4.9643001473507101E-2</v>
      </c>
      <c r="L3219">
        <v>937.41597224780298</v>
      </c>
      <c r="M3219">
        <v>19.543394967318399</v>
      </c>
      <c r="N3219">
        <v>48.379555935648199</v>
      </c>
      <c r="O3219">
        <v>47.472133316093299</v>
      </c>
      <c r="P3219">
        <v>-9.50041438167116E-2</v>
      </c>
      <c r="Q3219">
        <v>7.6948800119704494E-2</v>
      </c>
      <c r="R3219">
        <v>0.9954092193588</v>
      </c>
      <c r="S3219" t="s">
        <v>9045</v>
      </c>
      <c r="T3219" t="s">
        <v>11650</v>
      </c>
      <c r="U3219" t="s">
        <v>11650</v>
      </c>
      <c r="V3219" t="s">
        <v>11650</v>
      </c>
      <c r="W3219" t="s">
        <v>14821</v>
      </c>
      <c r="X3219">
        <v>7</v>
      </c>
      <c r="Y3219" t="s">
        <v>20511</v>
      </c>
      <c r="Z3219" t="s">
        <v>26281</v>
      </c>
      <c r="AA3219">
        <v>0.33583196247625741</v>
      </c>
      <c r="AB3219" t="str">
        <f>HYPERLINK("Melting_Curves/meltCurve_Q15102_PAFAH1B3.pdf", "Melting_Curves/meltCurve_Q15102_PAFAH1B3.pdf")</f>
        <v>Melting_Curves/meltCurve_Q15102_PAFAH1B3.pdf</v>
      </c>
    </row>
    <row r="3220" spans="1:28" x14ac:dyDescent="0.25">
      <c r="A3220" t="s">
        <v>3224</v>
      </c>
      <c r="B3220">
        <v>0.99996721820229495</v>
      </c>
      <c r="C3220">
        <v>1.0505631950369301</v>
      </c>
      <c r="D3220">
        <v>1.1040439839974101</v>
      </c>
      <c r="E3220">
        <v>1.1365774921159399</v>
      </c>
      <c r="F3220">
        <v>1.16784239237012</v>
      </c>
      <c r="G3220">
        <v>1.15271379917974</v>
      </c>
      <c r="H3220">
        <v>0.613244824150597</v>
      </c>
      <c r="I3220">
        <v>0.35137471607676501</v>
      </c>
      <c r="J3220">
        <v>0.17416513583096299</v>
      </c>
      <c r="K3220">
        <v>0.18690391525643801</v>
      </c>
      <c r="L3220">
        <v>3096.3244469645201</v>
      </c>
      <c r="M3220">
        <v>50.492373277970501</v>
      </c>
      <c r="N3220">
        <v>61.940373909963903</v>
      </c>
      <c r="O3220">
        <v>61.226675912938603</v>
      </c>
      <c r="P3220">
        <v>-0.16538588044246499</v>
      </c>
      <c r="Q3220">
        <v>0.19781817463954199</v>
      </c>
      <c r="R3220">
        <v>0.93860444787115505</v>
      </c>
      <c r="S3220" t="s">
        <v>9046</v>
      </c>
      <c r="T3220" t="s">
        <v>11650</v>
      </c>
      <c r="U3220" t="s">
        <v>11650</v>
      </c>
      <c r="V3220" t="s">
        <v>11650</v>
      </c>
      <c r="W3220" t="s">
        <v>14822</v>
      </c>
      <c r="X3220">
        <v>6</v>
      </c>
      <c r="Y3220" t="s">
        <v>20512</v>
      </c>
      <c r="Z3220" t="s">
        <v>26282</v>
      </c>
      <c r="AA3220">
        <v>0.77001475799825836</v>
      </c>
      <c r="AB3220" t="str">
        <f>HYPERLINK("Melting_Curves/meltCurve_Q15113_PCOLCE.pdf", "Melting_Curves/meltCurve_Q15113_PCOLCE.pdf")</f>
        <v>Melting_Curves/meltCurve_Q15113_PCOLCE.pdf</v>
      </c>
    </row>
    <row r="3221" spans="1:28" x14ac:dyDescent="0.25">
      <c r="A3221" t="s">
        <v>3225</v>
      </c>
      <c r="B3221">
        <v>0.99996721820229495</v>
      </c>
      <c r="C3221">
        <v>0.98559818451885295</v>
      </c>
      <c r="D3221">
        <v>0.91351565423951797</v>
      </c>
      <c r="E3221">
        <v>0.473388612802495</v>
      </c>
      <c r="F3221">
        <v>0.46064464496788698</v>
      </c>
      <c r="G3221">
        <v>0.36049299552967701</v>
      </c>
      <c r="H3221">
        <v>0.228078483023892</v>
      </c>
      <c r="I3221">
        <v>0.152895982976993</v>
      </c>
      <c r="J3221">
        <v>0.110852676318082</v>
      </c>
      <c r="K3221">
        <v>6.4428767275229906E-2</v>
      </c>
      <c r="L3221">
        <v>658.57161637731099</v>
      </c>
      <c r="M3221">
        <v>12.8430676810866</v>
      </c>
      <c r="N3221">
        <v>52.034566925478103</v>
      </c>
      <c r="O3221">
        <v>50.0828730950292</v>
      </c>
      <c r="P3221">
        <v>-5.8662362835941603E-2</v>
      </c>
      <c r="Q3221">
        <v>8.5129599676566803E-2</v>
      </c>
      <c r="R3221">
        <v>0.96555525221652205</v>
      </c>
      <c r="S3221" t="s">
        <v>9047</v>
      </c>
      <c r="T3221" t="s">
        <v>11650</v>
      </c>
      <c r="U3221" t="s">
        <v>11650</v>
      </c>
      <c r="V3221" t="s">
        <v>11650</v>
      </c>
      <c r="W3221" t="s">
        <v>14823</v>
      </c>
      <c r="X3221">
        <v>7</v>
      </c>
      <c r="Y3221" t="s">
        <v>20513</v>
      </c>
      <c r="Z3221" t="s">
        <v>26283</v>
      </c>
      <c r="AA3221">
        <v>0.45569281508713122</v>
      </c>
      <c r="AB3221" t="str">
        <f>HYPERLINK("Melting_Curves/meltCurve_Q15118_PDK1.pdf", "Melting_Curves/meltCurve_Q15118_PDK1.pdf")</f>
        <v>Melting_Curves/meltCurve_Q15118_PDK1.pdf</v>
      </c>
    </row>
    <row r="3222" spans="1:28" x14ac:dyDescent="0.25">
      <c r="A3222" t="s">
        <v>3226</v>
      </c>
      <c r="B3222">
        <v>0.99996721820229495</v>
      </c>
      <c r="C3222">
        <v>1.0181658104182501</v>
      </c>
      <c r="D3222">
        <v>0.97241252537727196</v>
      </c>
      <c r="E3222">
        <v>0.62916901677257697</v>
      </c>
      <c r="F3222">
        <v>0.52320452124468597</v>
      </c>
      <c r="G3222">
        <v>0.468283469803154</v>
      </c>
      <c r="H3222">
        <v>0.31675112721766502</v>
      </c>
      <c r="I3222">
        <v>0.15768427390640799</v>
      </c>
      <c r="J3222">
        <v>0.13105814245717001</v>
      </c>
      <c r="K3222">
        <v>9.4597851854189605E-2</v>
      </c>
      <c r="L3222">
        <v>586.96585779483496</v>
      </c>
      <c r="M3222">
        <v>10.7980722674607</v>
      </c>
      <c r="N3222">
        <v>54.677264774710103</v>
      </c>
      <c r="O3222">
        <v>52.593645933487998</v>
      </c>
      <c r="P3222">
        <v>-4.9779562575636198E-2</v>
      </c>
      <c r="Q3222">
        <v>3.0515680340881299E-2</v>
      </c>
      <c r="R3222">
        <v>0.96942020894685699</v>
      </c>
      <c r="S3222" t="s">
        <v>9048</v>
      </c>
      <c r="T3222" t="s">
        <v>11650</v>
      </c>
      <c r="U3222" t="s">
        <v>11650</v>
      </c>
      <c r="V3222" t="s">
        <v>11650</v>
      </c>
      <c r="W3222" t="s">
        <v>14824</v>
      </c>
      <c r="X3222">
        <v>4</v>
      </c>
      <c r="Y3222" t="s">
        <v>20514</v>
      </c>
      <c r="Z3222" t="s">
        <v>26284</v>
      </c>
      <c r="AA3222">
        <v>0.52101934258171811</v>
      </c>
      <c r="AB3222" t="str">
        <f>HYPERLINK("Melting_Curves/meltCurve_Q15119_PDK2.pdf", "Melting_Curves/meltCurve_Q15119_PDK2.pdf")</f>
        <v>Melting_Curves/meltCurve_Q15119_PDK2.pdf</v>
      </c>
    </row>
    <row r="3223" spans="1:28" x14ac:dyDescent="0.25">
      <c r="A3223" t="s">
        <v>3227</v>
      </c>
      <c r="B3223">
        <v>0.99996721820229495</v>
      </c>
      <c r="C3223">
        <v>1.14052926979452</v>
      </c>
      <c r="D3223">
        <v>1.0292308921347699</v>
      </c>
      <c r="E3223">
        <v>0.88437024234345496</v>
      </c>
      <c r="F3223">
        <v>0.65389046011991903</v>
      </c>
      <c r="G3223">
        <v>0.53576548949960501</v>
      </c>
      <c r="H3223">
        <v>0.35226913520664599</v>
      </c>
      <c r="I3223">
        <v>0.309113323355238</v>
      </c>
      <c r="J3223">
        <v>0.29198028751604499</v>
      </c>
      <c r="K3223">
        <v>0.21127083901396701</v>
      </c>
      <c r="L3223">
        <v>924.26461395019703</v>
      </c>
      <c r="M3223">
        <v>16.8861110064115</v>
      </c>
      <c r="N3223">
        <v>56.888591443238802</v>
      </c>
      <c r="O3223">
        <v>53.984845060120499</v>
      </c>
      <c r="P3223">
        <v>-5.97363934942799E-2</v>
      </c>
      <c r="Q3223">
        <v>0.236140203613281</v>
      </c>
      <c r="R3223">
        <v>0.96887341962525797</v>
      </c>
      <c r="S3223" t="s">
        <v>9049</v>
      </c>
      <c r="T3223" t="s">
        <v>11650</v>
      </c>
      <c r="U3223" t="s">
        <v>11650</v>
      </c>
      <c r="V3223" t="s">
        <v>11650</v>
      </c>
      <c r="W3223" t="s">
        <v>14825</v>
      </c>
      <c r="X3223">
        <v>12</v>
      </c>
      <c r="Y3223" t="s">
        <v>20515</v>
      </c>
      <c r="Z3223" t="s">
        <v>26285</v>
      </c>
      <c r="AA3223">
        <v>0.62433322995244966</v>
      </c>
      <c r="AB3223" t="str">
        <f>HYPERLINK("Melting_Curves/meltCurve_Q15121_PEA15.pdf", "Melting_Curves/meltCurve_Q15121_PEA15.pdf")</f>
        <v>Melting_Curves/meltCurve_Q15121_PEA15.pdf</v>
      </c>
    </row>
    <row r="3224" spans="1:28" x14ac:dyDescent="0.25">
      <c r="A3224" t="s">
        <v>3228</v>
      </c>
      <c r="B3224">
        <v>0.99996721820229495</v>
      </c>
      <c r="C3224">
        <v>1.04634554075657</v>
      </c>
      <c r="D3224">
        <v>1.0207087261579399</v>
      </c>
      <c r="E3224">
        <v>1.06230333310033</v>
      </c>
      <c r="F3224">
        <v>1.42915760630251</v>
      </c>
      <c r="G3224">
        <v>1.53958552454844</v>
      </c>
      <c r="H3224">
        <v>1.0587921656563499</v>
      </c>
      <c r="I3224">
        <v>0.69272517685017498</v>
      </c>
      <c r="J3224">
        <v>0.36475640923305602</v>
      </c>
      <c r="K3224">
        <v>0.19234601306586199</v>
      </c>
      <c r="L3224">
        <v>3437.2540871473998</v>
      </c>
      <c r="M3224">
        <v>53.046402983381199</v>
      </c>
      <c r="N3224">
        <v>65.445980496246804</v>
      </c>
      <c r="O3224">
        <v>64.705242003506001</v>
      </c>
      <c r="P3224">
        <v>-0.16304263402123001</v>
      </c>
      <c r="Q3224">
        <v>0.20449244326569499</v>
      </c>
      <c r="R3224">
        <v>0.69143692386828604</v>
      </c>
      <c r="S3224" t="s">
        <v>9050</v>
      </c>
      <c r="T3224" t="s">
        <v>11650</v>
      </c>
      <c r="U3224" t="s">
        <v>11650</v>
      </c>
      <c r="V3224" t="s">
        <v>11650</v>
      </c>
      <c r="W3224" t="s">
        <v>14826</v>
      </c>
      <c r="X3224">
        <v>27</v>
      </c>
      <c r="Y3224" t="s">
        <v>20516</v>
      </c>
      <c r="Z3224" t="s">
        <v>26286</v>
      </c>
      <c r="AA3224">
        <v>0.86329662726351053</v>
      </c>
      <c r="AB3224" t="str">
        <f>HYPERLINK("Melting_Curves/meltCurve_Q15124_PGM5.pdf", "Melting_Curves/meltCurve_Q15124_PGM5.pdf")</f>
        <v>Melting_Curves/meltCurve_Q15124_PGM5.pdf</v>
      </c>
    </row>
    <row r="3225" spans="1:28" x14ac:dyDescent="0.25">
      <c r="A3225" t="s">
        <v>3229</v>
      </c>
      <c r="B3225">
        <v>0.99996721820229495</v>
      </c>
      <c r="C3225">
        <v>0.96178358149423804</v>
      </c>
      <c r="D3225">
        <v>0.59312009477785699</v>
      </c>
      <c r="E3225">
        <v>0.214450921630543</v>
      </c>
      <c r="F3225">
        <v>0.19860120093742101</v>
      </c>
      <c r="G3225">
        <v>0.176854088912729</v>
      </c>
      <c r="H3225">
        <v>0.111049996217211</v>
      </c>
      <c r="I3225">
        <v>6.6565852378802998E-2</v>
      </c>
      <c r="J3225">
        <v>4.68394090628826E-2</v>
      </c>
      <c r="K3225">
        <v>3.7732971952284797E-2</v>
      </c>
      <c r="L3225">
        <v>1208.37487774381</v>
      </c>
      <c r="M3225">
        <v>25.947385034965301</v>
      </c>
      <c r="N3225">
        <v>46.951823673885599</v>
      </c>
      <c r="O3225">
        <v>46.296227177684898</v>
      </c>
      <c r="P3225">
        <v>-0.12679685612459199</v>
      </c>
      <c r="Q3225">
        <v>9.50690794130718E-2</v>
      </c>
      <c r="R3225">
        <v>0.98394430010681699</v>
      </c>
      <c r="S3225" t="s">
        <v>9051</v>
      </c>
      <c r="T3225" t="s">
        <v>11650</v>
      </c>
      <c r="U3225" t="s">
        <v>11650</v>
      </c>
      <c r="V3225" t="s">
        <v>11650</v>
      </c>
      <c r="W3225" t="s">
        <v>14827</v>
      </c>
      <c r="X3225">
        <v>13</v>
      </c>
      <c r="Y3225" t="s">
        <v>20517</v>
      </c>
      <c r="Z3225" t="s">
        <v>26287</v>
      </c>
      <c r="AA3225">
        <v>0.30076874965124262</v>
      </c>
      <c r="AB3225" t="str">
        <f>HYPERLINK("Melting_Curves/meltCurve_Q15126_PMVK.pdf", "Melting_Curves/meltCurve_Q15126_PMVK.pdf")</f>
        <v>Melting_Curves/meltCurve_Q15126_PMVK.pdf</v>
      </c>
    </row>
    <row r="3226" spans="1:28" x14ac:dyDescent="0.25">
      <c r="A3226" t="s">
        <v>3230</v>
      </c>
      <c r="B3226">
        <v>0.99996721820229495</v>
      </c>
      <c r="C3226">
        <v>0.89643076000301203</v>
      </c>
      <c r="D3226">
        <v>0.90499672607361403</v>
      </c>
      <c r="E3226">
        <v>0.84105559014906806</v>
      </c>
      <c r="F3226">
        <v>0.42330170665007499</v>
      </c>
      <c r="G3226">
        <v>0.24792094880378299</v>
      </c>
      <c r="H3226">
        <v>0.1676141604893</v>
      </c>
      <c r="I3226">
        <v>0.11800402608738</v>
      </c>
      <c r="J3226">
        <v>7.8131494297010398E-2</v>
      </c>
      <c r="K3226">
        <v>7.7514002517156899E-2</v>
      </c>
      <c r="L3226">
        <v>1149.1832766525599</v>
      </c>
      <c r="M3226">
        <v>21.940428141404301</v>
      </c>
      <c r="N3226">
        <v>52.8756312738589</v>
      </c>
      <c r="O3226">
        <v>51.948139392641998</v>
      </c>
      <c r="P3226">
        <v>-9.5730720189839802E-2</v>
      </c>
      <c r="Q3226">
        <v>9.3377657884556195E-2</v>
      </c>
      <c r="R3226">
        <v>0.98153099516264497</v>
      </c>
      <c r="S3226" t="s">
        <v>9052</v>
      </c>
      <c r="T3226" t="s">
        <v>11650</v>
      </c>
      <c r="U3226" t="s">
        <v>11650</v>
      </c>
      <c r="V3226" t="s">
        <v>11650</v>
      </c>
      <c r="W3226" t="s">
        <v>14828</v>
      </c>
      <c r="X3226">
        <v>3</v>
      </c>
      <c r="Y3226" t="s">
        <v>20518</v>
      </c>
      <c r="Z3226" t="s">
        <v>26288</v>
      </c>
      <c r="AA3226">
        <v>0.47803701785296587</v>
      </c>
      <c r="AB3226" t="str">
        <f>HYPERLINK("Melting_Curves/meltCurve_Q15139_PRKD1.pdf", "Melting_Curves/meltCurve_Q15139_PRKD1.pdf")</f>
        <v>Melting_Curves/meltCurve_Q15139_PRKD1.pdf</v>
      </c>
    </row>
    <row r="3227" spans="1:28" x14ac:dyDescent="0.25">
      <c r="A3227" t="s">
        <v>3231</v>
      </c>
      <c r="B3227">
        <v>0.99996721820229495</v>
      </c>
      <c r="C3227">
        <v>1.0771074541742001</v>
      </c>
      <c r="D3227">
        <v>0.98112915742940399</v>
      </c>
      <c r="E3227">
        <v>0.87028353767589794</v>
      </c>
      <c r="F3227">
        <v>0.38629334010196897</v>
      </c>
      <c r="G3227">
        <v>0.30287174082526502</v>
      </c>
      <c r="H3227">
        <v>0.18393671512056101</v>
      </c>
      <c r="I3227">
        <v>0.119438963715225</v>
      </c>
      <c r="J3227">
        <v>7.9348916597334701E-2</v>
      </c>
      <c r="K3227">
        <v>6.9069766903542107E-2</v>
      </c>
      <c r="L3227">
        <v>1601.7223710927001</v>
      </c>
      <c r="M3227">
        <v>30.717494540587499</v>
      </c>
      <c r="N3227">
        <v>52.650385367565697</v>
      </c>
      <c r="O3227">
        <v>51.924153028435697</v>
      </c>
      <c r="P3227">
        <v>-0.12897014644112201</v>
      </c>
      <c r="Q3227">
        <v>0.12797239183317799</v>
      </c>
      <c r="R3227">
        <v>0.97774881358548105</v>
      </c>
      <c r="S3227" t="s">
        <v>9053</v>
      </c>
      <c r="T3227" t="s">
        <v>11650</v>
      </c>
      <c r="U3227" t="s">
        <v>11650</v>
      </c>
      <c r="V3227" t="s">
        <v>11650</v>
      </c>
      <c r="W3227" t="s">
        <v>14829</v>
      </c>
      <c r="X3227">
        <v>12</v>
      </c>
      <c r="Y3227" t="s">
        <v>20519</v>
      </c>
      <c r="Z3227" t="s">
        <v>26289</v>
      </c>
      <c r="AA3227">
        <v>0.4862876102840531</v>
      </c>
      <c r="AB3227" t="str">
        <f>HYPERLINK("Melting_Curves/meltCurve_Q15147_PLCB4.pdf", "Melting_Curves/meltCurve_Q15147_PLCB4.pdf")</f>
        <v>Melting_Curves/meltCurve_Q15147_PLCB4.pdf</v>
      </c>
    </row>
    <row r="3228" spans="1:28" x14ac:dyDescent="0.25">
      <c r="A3228" t="s">
        <v>3232</v>
      </c>
      <c r="B3228">
        <v>0.99996721820229495</v>
      </c>
      <c r="C3228">
        <v>0.80074667880379102</v>
      </c>
      <c r="D3228">
        <v>0.66471679948472295</v>
      </c>
      <c r="E3228">
        <v>2.0827993379795502</v>
      </c>
      <c r="F3228">
        <v>2.1124747392685399</v>
      </c>
      <c r="G3228">
        <v>1.1491101764652301</v>
      </c>
      <c r="H3228">
        <v>2.7562433873357599</v>
      </c>
      <c r="I3228">
        <v>0.54012995963293298</v>
      </c>
      <c r="J3228">
        <v>0.45805493385757101</v>
      </c>
      <c r="K3228">
        <v>0.32854375100466399</v>
      </c>
      <c r="L3228">
        <v>15000</v>
      </c>
      <c r="M3228">
        <v>235.51339199705899</v>
      </c>
      <c r="N3228">
        <v>64.110881918923695</v>
      </c>
      <c r="O3228">
        <v>63.686055933076197</v>
      </c>
      <c r="P3228">
        <v>-0.56098228063512601</v>
      </c>
      <c r="Q3228">
        <v>0.39321077295343299</v>
      </c>
      <c r="R3228">
        <v>9.4042281739866701E-2</v>
      </c>
      <c r="S3228" t="s">
        <v>9054</v>
      </c>
      <c r="T3228" t="s">
        <v>11650</v>
      </c>
      <c r="U3228" t="s">
        <v>11650</v>
      </c>
      <c r="V3228" t="s">
        <v>11650</v>
      </c>
      <c r="W3228" t="s">
        <v>14830</v>
      </c>
      <c r="X3228">
        <v>314</v>
      </c>
      <c r="Y3228" t="s">
        <v>20520</v>
      </c>
      <c r="Z3228" t="s">
        <v>26290</v>
      </c>
      <c r="AA3228">
        <v>0.87246148590978589</v>
      </c>
      <c r="AB3228" t="str">
        <f>HYPERLINK("Melting_Curves/meltCurve_Q15149_PLEC.pdf", "Melting_Curves/meltCurve_Q15149_PLEC.pdf")</f>
        <v>Melting_Curves/meltCurve_Q15149_PLEC.pdf</v>
      </c>
    </row>
    <row r="3229" spans="1:28" x14ac:dyDescent="0.25">
      <c r="A3229" t="s">
        <v>3233</v>
      </c>
      <c r="B3229">
        <v>0.99996721820229495</v>
      </c>
      <c r="C3229">
        <v>1.0959681735161499</v>
      </c>
      <c r="D3229">
        <v>1.0747098257795999</v>
      </c>
      <c r="E3229">
        <v>1.08448403680241</v>
      </c>
      <c r="F3229">
        <v>0.80856048863721797</v>
      </c>
      <c r="G3229">
        <v>0.741711883950255</v>
      </c>
      <c r="H3229">
        <v>0.31297148861653901</v>
      </c>
      <c r="I3229">
        <v>0.24055559776327901</v>
      </c>
      <c r="J3229">
        <v>0.196048649169177</v>
      </c>
      <c r="K3229">
        <v>0.127401267721936</v>
      </c>
      <c r="L3229">
        <v>1344.8243826712201</v>
      </c>
      <c r="M3229">
        <v>23.0433279528337</v>
      </c>
      <c r="N3229">
        <v>59.105715048963198</v>
      </c>
      <c r="O3229">
        <v>57.926492494762002</v>
      </c>
      <c r="P3229">
        <v>-8.6917233292595694E-2</v>
      </c>
      <c r="Q3229">
        <v>0.126043439229581</v>
      </c>
      <c r="R3229">
        <v>0.968949456923346</v>
      </c>
      <c r="S3229" t="s">
        <v>9055</v>
      </c>
      <c r="T3229" t="s">
        <v>11650</v>
      </c>
      <c r="U3229" t="s">
        <v>11650</v>
      </c>
      <c r="V3229" t="s">
        <v>11650</v>
      </c>
      <c r="W3229" t="s">
        <v>14831</v>
      </c>
      <c r="X3229">
        <v>311</v>
      </c>
      <c r="Y3229" t="s">
        <v>20520</v>
      </c>
      <c r="Z3229" t="s">
        <v>26291</v>
      </c>
      <c r="AA3229">
        <v>0.66918895710695914</v>
      </c>
      <c r="AB3229" t="str">
        <f>HYPERLINK("Melting_Curves/meltCurve_Q15149_3_PLEC.pdf", "Melting_Curves/meltCurve_Q15149_3_PLEC.pdf")</f>
        <v>Melting_Curves/meltCurve_Q15149_3_PLEC.pdf</v>
      </c>
    </row>
    <row r="3230" spans="1:28" x14ac:dyDescent="0.25">
      <c r="A3230" t="s">
        <v>3234</v>
      </c>
      <c r="B3230">
        <v>0.99996721820229495</v>
      </c>
      <c r="C3230">
        <v>1.11389532770404</v>
      </c>
      <c r="D3230">
        <v>1.01444201971104</v>
      </c>
      <c r="E3230">
        <v>1.06466049898607</v>
      </c>
      <c r="F3230">
        <v>0.73938754792549799</v>
      </c>
      <c r="G3230">
        <v>0.506736642280187</v>
      </c>
      <c r="H3230">
        <v>0.261174873443069</v>
      </c>
      <c r="I3230">
        <v>0.19449207439125299</v>
      </c>
      <c r="J3230">
        <v>0.14976684515941499</v>
      </c>
      <c r="K3230">
        <v>0.110159571053417</v>
      </c>
      <c r="L3230">
        <v>1233.50090766265</v>
      </c>
      <c r="M3230">
        <v>21.9597194196201</v>
      </c>
      <c r="N3230">
        <v>56.901478221367299</v>
      </c>
      <c r="O3230">
        <v>55.711480808968602</v>
      </c>
      <c r="P3230">
        <v>-8.6441235714804998E-2</v>
      </c>
      <c r="Q3230">
        <v>0.12281921911665</v>
      </c>
      <c r="R3230">
        <v>0.977819475941199</v>
      </c>
      <c r="S3230" t="s">
        <v>9056</v>
      </c>
      <c r="T3230" t="s">
        <v>11650</v>
      </c>
      <c r="U3230" t="s">
        <v>11650</v>
      </c>
      <c r="V3230" t="s">
        <v>11650</v>
      </c>
      <c r="W3230" t="s">
        <v>14832</v>
      </c>
      <c r="X3230">
        <v>314</v>
      </c>
      <c r="Y3230" t="s">
        <v>20520</v>
      </c>
      <c r="Z3230" t="s">
        <v>26292</v>
      </c>
      <c r="AA3230">
        <v>0.60548810582112045</v>
      </c>
      <c r="AB3230" t="str">
        <f>HYPERLINK("Melting_Curves/meltCurve_Q15149_4_PLEC.pdf", "Melting_Curves/meltCurve_Q15149_4_PLEC.pdf")</f>
        <v>Melting_Curves/meltCurve_Q15149_4_PLEC.pdf</v>
      </c>
    </row>
    <row r="3231" spans="1:28" x14ac:dyDescent="0.25">
      <c r="A3231" t="s">
        <v>3235</v>
      </c>
      <c r="B3231">
        <v>0.99996721820229495</v>
      </c>
      <c r="C3231">
        <v>1.2097410754973701</v>
      </c>
      <c r="D3231">
        <v>1.1870063026859401</v>
      </c>
      <c r="E3231">
        <v>1.1990423929609599</v>
      </c>
      <c r="F3231">
        <v>0.85508986820127197</v>
      </c>
      <c r="G3231">
        <v>0.63199505610459905</v>
      </c>
      <c r="H3231">
        <v>0.24916584595420299</v>
      </c>
      <c r="I3231">
        <v>0.13379515093240199</v>
      </c>
      <c r="J3231">
        <v>0.12272605726007201</v>
      </c>
      <c r="K3231">
        <v>9.9256086372394303E-2</v>
      </c>
      <c r="L3231">
        <v>1670.7317987506301</v>
      </c>
      <c r="M3231">
        <v>28.992761944755099</v>
      </c>
      <c r="N3231">
        <v>58.057225587273997</v>
      </c>
      <c r="O3231">
        <v>57.353749385836501</v>
      </c>
      <c r="P3231">
        <v>-0.114131896593495</v>
      </c>
      <c r="Q3231">
        <v>9.6899486530051704E-2</v>
      </c>
      <c r="R3231">
        <v>0.937421931772907</v>
      </c>
      <c r="S3231" t="s">
        <v>9057</v>
      </c>
      <c r="T3231" t="s">
        <v>11650</v>
      </c>
      <c r="U3231" t="s">
        <v>11650</v>
      </c>
      <c r="V3231" t="s">
        <v>11650</v>
      </c>
      <c r="W3231" t="s">
        <v>14833</v>
      </c>
      <c r="X3231">
        <v>314</v>
      </c>
      <c r="Y3231" t="s">
        <v>20520</v>
      </c>
      <c r="Z3231" t="s">
        <v>26293</v>
      </c>
      <c r="AA3231">
        <v>0.63382740921780401</v>
      </c>
      <c r="AB3231" t="str">
        <f>HYPERLINK("Melting_Curves/meltCurve_Q15149_8_PLEC.pdf", "Melting_Curves/meltCurve_Q15149_8_PLEC.pdf")</f>
        <v>Melting_Curves/meltCurve_Q15149_8_PLEC.pdf</v>
      </c>
    </row>
    <row r="3232" spans="1:28" x14ac:dyDescent="0.25">
      <c r="A3232" t="s">
        <v>3236</v>
      </c>
      <c r="B3232">
        <v>0.99996721820229495</v>
      </c>
      <c r="C3232">
        <v>0.83796258424905001</v>
      </c>
      <c r="D3232">
        <v>1.0068008507751001</v>
      </c>
      <c r="E3232">
        <v>1.17490418029303</v>
      </c>
      <c r="F3232">
        <v>0.42305127034446499</v>
      </c>
      <c r="G3232">
        <v>0.26909732706985601</v>
      </c>
      <c r="H3232">
        <v>0.20906562603342399</v>
      </c>
      <c r="I3232">
        <v>0.160782543163354</v>
      </c>
      <c r="J3232">
        <v>8.8677707824262E-2</v>
      </c>
      <c r="K3232">
        <v>9.1436810876033003E-2</v>
      </c>
      <c r="L3232">
        <v>13207.6000943579</v>
      </c>
      <c r="M3232">
        <v>250</v>
      </c>
      <c r="N3232">
        <v>52.914415946205096</v>
      </c>
      <c r="O3232">
        <v>52.827028778735702</v>
      </c>
      <c r="P3232">
        <v>-0.98929968583905104</v>
      </c>
      <c r="Q3232">
        <v>0.16381193856087001</v>
      </c>
      <c r="R3232">
        <v>0.95139201799997397</v>
      </c>
      <c r="S3232" t="s">
        <v>9058</v>
      </c>
      <c r="T3232" t="s">
        <v>11650</v>
      </c>
      <c r="U3232" t="s">
        <v>11650</v>
      </c>
      <c r="V3232" t="s">
        <v>11650</v>
      </c>
      <c r="W3232" t="s">
        <v>14834</v>
      </c>
      <c r="X3232">
        <v>32</v>
      </c>
      <c r="Y3232" t="s">
        <v>20521</v>
      </c>
      <c r="Z3232" t="s">
        <v>26294</v>
      </c>
      <c r="AA3232">
        <v>0.52151038765313551</v>
      </c>
      <c r="AB3232" t="str">
        <f>HYPERLINK("Melting_Curves/meltCurve_Q15155_NOMO1.pdf", "Melting_Curves/meltCurve_Q15155_NOMO1.pdf")</f>
        <v>Melting_Curves/meltCurve_Q15155_NOMO1.pdf</v>
      </c>
    </row>
    <row r="3233" spans="1:28" x14ac:dyDescent="0.25">
      <c r="A3233" t="s">
        <v>3237</v>
      </c>
      <c r="B3233">
        <v>0.99996721820229495</v>
      </c>
      <c r="C3233">
        <v>0.90938631024507499</v>
      </c>
      <c r="D3233">
        <v>0.887062603033824</v>
      </c>
      <c r="E3233">
        <v>1.0531684539952899</v>
      </c>
      <c r="F3233">
        <v>1.2305809970161301</v>
      </c>
      <c r="G3233">
        <v>1.01578610706065</v>
      </c>
      <c r="H3233">
        <v>0.94609214797285102</v>
      </c>
      <c r="I3233">
        <v>1.0073851777493701</v>
      </c>
      <c r="J3233">
        <v>0.91093566973397599</v>
      </c>
      <c r="K3233">
        <v>0.74806311722499796</v>
      </c>
      <c r="L3233">
        <v>15000</v>
      </c>
      <c r="M3233">
        <v>223.27678646298</v>
      </c>
      <c r="O3233">
        <v>67.175799484406298</v>
      </c>
      <c r="P3233">
        <v>-0.20937106869382299</v>
      </c>
      <c r="Q3233">
        <v>0.74803168575273604</v>
      </c>
      <c r="R3233">
        <v>0.43965719138078502</v>
      </c>
      <c r="S3233" t="s">
        <v>9059</v>
      </c>
      <c r="T3233" t="s">
        <v>11650</v>
      </c>
      <c r="U3233" t="s">
        <v>11650</v>
      </c>
      <c r="V3233" t="s">
        <v>11650</v>
      </c>
      <c r="W3233" t="s">
        <v>14835</v>
      </c>
      <c r="X3233">
        <v>8</v>
      </c>
      <c r="Y3233" t="s">
        <v>20522</v>
      </c>
      <c r="Z3233" t="s">
        <v>26295</v>
      </c>
      <c r="AA3233">
        <v>0.97636186669821157</v>
      </c>
      <c r="AB3233" t="str">
        <f>HYPERLINK("Melting_Curves/meltCurve_Q15170_2_TCEAL1.pdf", "Melting_Curves/meltCurve_Q15170_2_TCEAL1.pdf")</f>
        <v>Melting_Curves/meltCurve_Q15170_2_TCEAL1.pdf</v>
      </c>
    </row>
    <row r="3234" spans="1:28" x14ac:dyDescent="0.25">
      <c r="A3234" t="s">
        <v>3238</v>
      </c>
      <c r="B3234">
        <v>0.99996721820229495</v>
      </c>
      <c r="C3234">
        <v>1.1291174093399801</v>
      </c>
      <c r="D3234">
        <v>1.18214187042608</v>
      </c>
      <c r="E3234">
        <v>1.0181827124578899</v>
      </c>
      <c r="F3234">
        <v>0.39209945865408202</v>
      </c>
      <c r="G3234">
        <v>0.230603219071398</v>
      </c>
      <c r="H3234">
        <v>0.12532897041791799</v>
      </c>
      <c r="I3234">
        <v>8.2100698315937401E-2</v>
      </c>
      <c r="J3234">
        <v>5.5465155949777897E-2</v>
      </c>
      <c r="K3234">
        <v>5.2524933480975401E-2</v>
      </c>
      <c r="L3234">
        <v>13209.458414049401</v>
      </c>
      <c r="M3234">
        <v>250</v>
      </c>
      <c r="N3234">
        <v>52.889968858939298</v>
      </c>
      <c r="O3234">
        <v>52.834453672118002</v>
      </c>
      <c r="P3234">
        <v>-1.0537577451756599</v>
      </c>
      <c r="Q3234">
        <v>0.109204586425855</v>
      </c>
      <c r="R3234">
        <v>0.96680801083392398</v>
      </c>
      <c r="S3234" t="s">
        <v>9060</v>
      </c>
      <c r="T3234" t="s">
        <v>11650</v>
      </c>
      <c r="U3234" t="s">
        <v>11650</v>
      </c>
      <c r="V3234" t="s">
        <v>11650</v>
      </c>
      <c r="W3234" t="s">
        <v>14836</v>
      </c>
      <c r="X3234">
        <v>3</v>
      </c>
      <c r="Y3234" t="s">
        <v>20523</v>
      </c>
      <c r="Z3234" t="s">
        <v>26296</v>
      </c>
      <c r="AA3234">
        <v>0.49048330087890368</v>
      </c>
      <c r="AB3234" t="str">
        <f>HYPERLINK("Melting_Curves/meltCurve_Q15172_PPP2R5A.pdf", "Melting_Curves/meltCurve_Q15172_PPP2R5A.pdf")</f>
        <v>Melting_Curves/meltCurve_Q15172_PPP2R5A.pdf</v>
      </c>
    </row>
    <row r="3235" spans="1:28" x14ac:dyDescent="0.25">
      <c r="A3235" t="s">
        <v>3239</v>
      </c>
      <c r="B3235">
        <v>0.99996721820229495</v>
      </c>
      <c r="C3235">
        <v>1.0237180872492</v>
      </c>
      <c r="D3235">
        <v>0.93848377551120898</v>
      </c>
      <c r="E3235">
        <v>0.78646683160367903</v>
      </c>
      <c r="F3235">
        <v>0.66851251660178801</v>
      </c>
      <c r="G3235">
        <v>0.40462280667254202</v>
      </c>
      <c r="H3235">
        <v>0.258085837666576</v>
      </c>
      <c r="I3235">
        <v>0.15380247507519901</v>
      </c>
      <c r="J3235">
        <v>0.122868037871272</v>
      </c>
      <c r="K3235">
        <v>0.114998207141746</v>
      </c>
      <c r="L3235">
        <v>777.19902313353396</v>
      </c>
      <c r="M3235">
        <v>14.1532667359263</v>
      </c>
      <c r="N3235">
        <v>55.419538863085599</v>
      </c>
      <c r="O3235">
        <v>53.851678605275197</v>
      </c>
      <c r="P3235">
        <v>-6.1726609920932499E-2</v>
      </c>
      <c r="Q3235">
        <v>6.0666570545904498E-2</v>
      </c>
      <c r="R3235">
        <v>0.99720397887158396</v>
      </c>
      <c r="S3235" t="s">
        <v>9061</v>
      </c>
      <c r="T3235" t="s">
        <v>11650</v>
      </c>
      <c r="U3235" t="s">
        <v>11650</v>
      </c>
      <c r="V3235" t="s">
        <v>11650</v>
      </c>
      <c r="W3235" t="s">
        <v>14837</v>
      </c>
      <c r="X3235">
        <v>6</v>
      </c>
      <c r="Y3235" t="s">
        <v>20524</v>
      </c>
      <c r="Z3235" t="s">
        <v>26297</v>
      </c>
      <c r="AA3235">
        <v>0.54696140906458623</v>
      </c>
      <c r="AB3235" t="str">
        <f>HYPERLINK("Melting_Curves/meltCurve_Q15173_2_PPP2R5B.pdf", "Melting_Curves/meltCurve_Q15173_2_PPP2R5B.pdf")</f>
        <v>Melting_Curves/meltCurve_Q15173_2_PPP2R5B.pdf</v>
      </c>
    </row>
    <row r="3236" spans="1:28" x14ac:dyDescent="0.25">
      <c r="A3236" t="s">
        <v>3240</v>
      </c>
      <c r="B3236">
        <v>0.99996721820229495</v>
      </c>
      <c r="C3236">
        <v>1.0154627926009401</v>
      </c>
      <c r="D3236">
        <v>0.96690965109103999</v>
      </c>
      <c r="E3236">
        <v>0.84767233858574798</v>
      </c>
      <c r="F3236">
        <v>0.64320105759396395</v>
      </c>
      <c r="G3236">
        <v>0.36404326687932997</v>
      </c>
      <c r="H3236">
        <v>0.158410112882406</v>
      </c>
      <c r="I3236">
        <v>9.1973168784374199E-2</v>
      </c>
      <c r="J3236">
        <v>6.9721552559450201E-2</v>
      </c>
      <c r="K3236">
        <v>5.1428667721757602E-2</v>
      </c>
      <c r="L3236">
        <v>964.79129578439802</v>
      </c>
      <c r="M3236">
        <v>17.621280155649501</v>
      </c>
      <c r="N3236">
        <v>54.932265962254498</v>
      </c>
      <c r="O3236">
        <v>54.060953661355299</v>
      </c>
      <c r="P3236">
        <v>-7.9196705122024397E-2</v>
      </c>
      <c r="Q3236">
        <v>2.8170557053355E-2</v>
      </c>
      <c r="R3236">
        <v>0.99943983224635502</v>
      </c>
      <c r="S3236" t="s">
        <v>9062</v>
      </c>
      <c r="T3236" t="s">
        <v>11650</v>
      </c>
      <c r="U3236" t="s">
        <v>11650</v>
      </c>
      <c r="V3236" t="s">
        <v>11650</v>
      </c>
      <c r="W3236" t="s">
        <v>14838</v>
      </c>
      <c r="X3236">
        <v>21</v>
      </c>
      <c r="Y3236" t="s">
        <v>20525</v>
      </c>
      <c r="Z3236" t="s">
        <v>26298</v>
      </c>
      <c r="AA3236">
        <v>0.52166246844109221</v>
      </c>
      <c r="AB3236" t="str">
        <f>HYPERLINK("Melting_Curves/meltCurve_Q15181_PPA1.pdf", "Melting_Curves/meltCurve_Q15181_PPA1.pdf")</f>
        <v>Melting_Curves/meltCurve_Q15181_PPA1.pdf</v>
      </c>
    </row>
    <row r="3237" spans="1:28" x14ac:dyDescent="0.25">
      <c r="A3237" t="s">
        <v>3241</v>
      </c>
      <c r="B3237">
        <v>0.99996721820229495</v>
      </c>
      <c r="C3237">
        <v>0.95552761779794504</v>
      </c>
      <c r="D3237">
        <v>0.794818947625195</v>
      </c>
      <c r="E3237">
        <v>0.426674896051222</v>
      </c>
      <c r="F3237">
        <v>0.33147076438893402</v>
      </c>
      <c r="G3237">
        <v>0.29623441996278299</v>
      </c>
      <c r="H3237">
        <v>0.191877176125448</v>
      </c>
      <c r="I3237">
        <v>0.11718662881528399</v>
      </c>
      <c r="J3237">
        <v>9.3105657004184397E-2</v>
      </c>
      <c r="K3237">
        <v>6.7166268278794405E-2</v>
      </c>
      <c r="L3237">
        <v>756.19637225873601</v>
      </c>
      <c r="M3237">
        <v>15.3656272883109</v>
      </c>
      <c r="N3237">
        <v>49.996706424493802</v>
      </c>
      <c r="O3237">
        <v>48.4025406618413</v>
      </c>
      <c r="P3237">
        <v>-7.0881302933061496E-2</v>
      </c>
      <c r="Q3237">
        <v>0.106962619112853</v>
      </c>
      <c r="R3237">
        <v>0.98137509024421699</v>
      </c>
      <c r="S3237" t="s">
        <v>9063</v>
      </c>
      <c r="T3237" t="s">
        <v>11650</v>
      </c>
      <c r="U3237" t="s">
        <v>11650</v>
      </c>
      <c r="V3237" t="s">
        <v>11650</v>
      </c>
      <c r="W3237" t="s">
        <v>14839</v>
      </c>
      <c r="X3237">
        <v>17</v>
      </c>
      <c r="Y3237" t="s">
        <v>20526</v>
      </c>
      <c r="Z3237" t="s">
        <v>26299</v>
      </c>
      <c r="AA3237">
        <v>0.40213703762411313</v>
      </c>
      <c r="AB3237" t="str">
        <f>HYPERLINK("Melting_Curves/meltCurve_Q15208_STK38.pdf", "Melting_Curves/meltCurve_Q15208_STK38.pdf")</f>
        <v>Melting_Curves/meltCurve_Q15208_STK38.pdf</v>
      </c>
    </row>
    <row r="3238" spans="1:28" x14ac:dyDescent="0.25">
      <c r="A3238" t="s">
        <v>3242</v>
      </c>
      <c r="B3238">
        <v>0.99996721820229495</v>
      </c>
      <c r="C3238">
        <v>0.82274962952890596</v>
      </c>
      <c r="D3238">
        <v>0.94415968454620403</v>
      </c>
      <c r="E3238">
        <v>0.87000746800805695</v>
      </c>
      <c r="F3238">
        <v>1.0896429658107301</v>
      </c>
      <c r="G3238">
        <v>1.12066734355788</v>
      </c>
      <c r="H3238">
        <v>0.95767987414048406</v>
      </c>
      <c r="I3238">
        <v>0.70043514138596097</v>
      </c>
      <c r="J3238">
        <v>0.46158266563276001</v>
      </c>
      <c r="K3238">
        <v>0.44744658045500801</v>
      </c>
      <c r="L3238">
        <v>3841.5535462909902</v>
      </c>
      <c r="M3238">
        <v>60.182584013830898</v>
      </c>
      <c r="N3238">
        <v>66.135763319169101</v>
      </c>
      <c r="O3238">
        <v>63.761283843713798</v>
      </c>
      <c r="P3238">
        <v>-0.132479761758935</v>
      </c>
      <c r="Q3238">
        <v>0.43857005336318799</v>
      </c>
      <c r="R3238">
        <v>0.85404786476918604</v>
      </c>
      <c r="S3238" t="s">
        <v>9064</v>
      </c>
      <c r="T3238" t="s">
        <v>11650</v>
      </c>
      <c r="U3238" t="s">
        <v>11650</v>
      </c>
      <c r="V3238" t="s">
        <v>11650</v>
      </c>
      <c r="W3238" t="s">
        <v>14840</v>
      </c>
      <c r="X3238">
        <v>2</v>
      </c>
      <c r="Y3238" t="s">
        <v>20527</v>
      </c>
      <c r="Z3238" t="s">
        <v>26300</v>
      </c>
      <c r="AA3238">
        <v>0.88552959349808991</v>
      </c>
      <c r="AB3238" t="str">
        <f>HYPERLINK("Melting_Curves/meltCurve_Q15223_PVRL1.pdf", "Melting_Curves/meltCurve_Q15223_PVRL1.pdf")</f>
        <v>Melting_Curves/meltCurve_Q15223_PVRL1.pdf</v>
      </c>
    </row>
    <row r="3239" spans="1:28" x14ac:dyDescent="0.25">
      <c r="A3239" t="s">
        <v>3243</v>
      </c>
      <c r="B3239">
        <v>0.99996721820229495</v>
      </c>
      <c r="C3239">
        <v>0.96958452009829299</v>
      </c>
      <c r="D3239">
        <v>0.80970161464029899</v>
      </c>
      <c r="E3239">
        <v>0.62937682168919096</v>
      </c>
      <c r="F3239">
        <v>0.67634184849900103</v>
      </c>
      <c r="G3239">
        <v>0.64323354571235902</v>
      </c>
      <c r="H3239">
        <v>0.419574150556354</v>
      </c>
      <c r="I3239">
        <v>0.41326492942860399</v>
      </c>
      <c r="J3239">
        <v>0.27946838585294997</v>
      </c>
      <c r="K3239">
        <v>0.204006855814723</v>
      </c>
      <c r="L3239">
        <v>377.06185118491999</v>
      </c>
      <c r="M3239">
        <v>6.4483281226790696</v>
      </c>
      <c r="N3239">
        <v>58.474378116384699</v>
      </c>
      <c r="O3239">
        <v>53.611854351100597</v>
      </c>
      <c r="P3239">
        <v>-3.0144675522878299E-2</v>
      </c>
      <c r="Q3239">
        <v>0</v>
      </c>
      <c r="R3239">
        <v>0.94324515446222501</v>
      </c>
      <c r="S3239" t="s">
        <v>9065</v>
      </c>
      <c r="T3239" t="s">
        <v>11650</v>
      </c>
      <c r="U3239" t="s">
        <v>11650</v>
      </c>
      <c r="V3239" t="s">
        <v>11650</v>
      </c>
      <c r="W3239" t="s">
        <v>14841</v>
      </c>
      <c r="X3239">
        <v>13</v>
      </c>
      <c r="Y3239" t="s">
        <v>20528</v>
      </c>
      <c r="Z3239" t="s">
        <v>26301</v>
      </c>
      <c r="AA3239">
        <v>0.60521557567526207</v>
      </c>
      <c r="AB3239" t="str">
        <f>HYPERLINK("Melting_Curves/meltCurve_Q15233_2_NONO.pdf", "Melting_Curves/meltCurve_Q15233_2_NONO.pdf")</f>
        <v>Melting_Curves/meltCurve_Q15233_2_NONO.pdf</v>
      </c>
    </row>
    <row r="3240" spans="1:28" x14ac:dyDescent="0.25">
      <c r="A3240" t="s">
        <v>3244</v>
      </c>
      <c r="B3240">
        <v>0.99996721820229495</v>
      </c>
      <c r="C3240">
        <v>0.95382768127253004</v>
      </c>
      <c r="D3240">
        <v>1.0248216593289301</v>
      </c>
      <c r="E3240">
        <v>1.1850137784552199</v>
      </c>
      <c r="F3240">
        <v>1.62122551379834</v>
      </c>
      <c r="G3240">
        <v>1.84934004591113</v>
      </c>
      <c r="H3240">
        <v>1.3223113702874201</v>
      </c>
      <c r="I3240">
        <v>1.0690037790084499</v>
      </c>
      <c r="J3240">
        <v>0.484848240463365</v>
      </c>
      <c r="K3240">
        <v>1.05032331390265</v>
      </c>
      <c r="L3240">
        <v>1579.76975113559</v>
      </c>
      <c r="M3240">
        <v>23.6721590852835</v>
      </c>
      <c r="O3240">
        <v>66.264580690370707</v>
      </c>
      <c r="P3240">
        <v>-1.53144174303628E-2</v>
      </c>
      <c r="Q3240">
        <v>0.82852660400792699</v>
      </c>
      <c r="R3240">
        <v>-0.16729302424353601</v>
      </c>
      <c r="S3240" t="s">
        <v>9066</v>
      </c>
      <c r="T3240" t="s">
        <v>11650</v>
      </c>
      <c r="U3240" t="s">
        <v>11650</v>
      </c>
      <c r="V3240" t="s">
        <v>11650</v>
      </c>
      <c r="W3240" t="s">
        <v>14842</v>
      </c>
      <c r="X3240">
        <v>8</v>
      </c>
      <c r="Y3240" t="s">
        <v>20529</v>
      </c>
      <c r="Z3240" t="s">
        <v>26302</v>
      </c>
      <c r="AA3240">
        <v>0.97799620651460084</v>
      </c>
      <c r="AB3240" t="str">
        <f>HYPERLINK("Melting_Curves/meltCurve_Q15274_QPRT.pdf", "Melting_Curves/meltCurve_Q15274_QPRT.pdf")</f>
        <v>Melting_Curves/meltCurve_Q15274_QPRT.pdf</v>
      </c>
    </row>
    <row r="3241" spans="1:28" x14ac:dyDescent="0.25">
      <c r="A3241" t="s">
        <v>3245</v>
      </c>
      <c r="B3241">
        <v>0.99996721820229495</v>
      </c>
      <c r="C3241">
        <v>0.98813982648980803</v>
      </c>
      <c r="D3241">
        <v>0.99636057122626298</v>
      </c>
      <c r="E3241">
        <v>1.1842453097408501</v>
      </c>
      <c r="F3241">
        <v>0.74501458703937096</v>
      </c>
      <c r="G3241">
        <v>0.64409755476166697</v>
      </c>
      <c r="H3241">
        <v>0.45135067979427701</v>
      </c>
      <c r="I3241">
        <v>0.36933541325863201</v>
      </c>
      <c r="J3241">
        <v>0.29525112753945298</v>
      </c>
      <c r="K3241">
        <v>0.26396176194408599</v>
      </c>
      <c r="L3241">
        <v>1129.3665122340101</v>
      </c>
      <c r="M3241">
        <v>19.7807603777301</v>
      </c>
      <c r="N3241">
        <v>59.399930194127201</v>
      </c>
      <c r="O3241">
        <v>56.5202764439411</v>
      </c>
      <c r="P3241">
        <v>-6.4048602255083895E-2</v>
      </c>
      <c r="Q3241">
        <v>0.267991410845485</v>
      </c>
      <c r="R3241">
        <v>0.93330560331722401</v>
      </c>
      <c r="S3241" t="s">
        <v>9067</v>
      </c>
      <c r="T3241" t="s">
        <v>11650</v>
      </c>
      <c r="U3241" t="s">
        <v>11650</v>
      </c>
      <c r="V3241" t="s">
        <v>11650</v>
      </c>
      <c r="W3241" t="s">
        <v>14843</v>
      </c>
      <c r="X3241">
        <v>46</v>
      </c>
      <c r="Y3241" t="s">
        <v>20530</v>
      </c>
      <c r="Z3241" t="s">
        <v>26303</v>
      </c>
      <c r="AA3241">
        <v>0.69411578403269958</v>
      </c>
      <c r="AB3241" t="str">
        <f>HYPERLINK("Melting_Curves/meltCurve_Q15276_RABEP1.pdf", "Melting_Curves/meltCurve_Q15276_RABEP1.pdf")</f>
        <v>Melting_Curves/meltCurve_Q15276_RABEP1.pdf</v>
      </c>
    </row>
    <row r="3242" spans="1:28" x14ac:dyDescent="0.25">
      <c r="A3242" t="s">
        <v>3246</v>
      </c>
      <c r="B3242">
        <v>0.99996721820229495</v>
      </c>
      <c r="C3242">
        <v>0.92801131305066897</v>
      </c>
      <c r="D3242">
        <v>0.53266757797959396</v>
      </c>
      <c r="E3242">
        <v>0.30142091910942498</v>
      </c>
      <c r="F3242">
        <v>0.42636056926111399</v>
      </c>
      <c r="G3242">
        <v>0.201428267484353</v>
      </c>
      <c r="H3242">
        <v>0.104446239771694</v>
      </c>
      <c r="I3242">
        <v>7.4594709182352295E-2</v>
      </c>
      <c r="J3242">
        <v>6.5474669343928898E-2</v>
      </c>
      <c r="K3242">
        <v>5.1638693121866697E-2</v>
      </c>
      <c r="L3242">
        <v>621.65373452935705</v>
      </c>
      <c r="M3242">
        <v>13.018465272861899</v>
      </c>
      <c r="N3242">
        <v>48.256041869846001</v>
      </c>
      <c r="O3242">
        <v>46.6670936000464</v>
      </c>
      <c r="P3242">
        <v>-6.5316587871700901E-2</v>
      </c>
      <c r="Q3242">
        <v>6.3607020953902402E-2</v>
      </c>
      <c r="R3242">
        <v>0.94086473355784705</v>
      </c>
      <c r="S3242" t="s">
        <v>9068</v>
      </c>
      <c r="T3242" t="s">
        <v>11650</v>
      </c>
      <c r="U3242" t="s">
        <v>11650</v>
      </c>
      <c r="V3242" t="s">
        <v>11650</v>
      </c>
      <c r="W3242" t="s">
        <v>14844</v>
      </c>
      <c r="X3242">
        <v>4</v>
      </c>
      <c r="Y3242" t="s">
        <v>20531</v>
      </c>
      <c r="Z3242" t="s">
        <v>26304</v>
      </c>
      <c r="AA3242">
        <v>0.33766306424466452</v>
      </c>
      <c r="AB3242" t="str">
        <f>HYPERLINK("Melting_Curves/meltCurve_Q15283_2_RASA2.pdf", "Melting_Curves/meltCurve_Q15283_2_RASA2.pdf")</f>
        <v>Melting_Curves/meltCurve_Q15283_2_RASA2.pdf</v>
      </c>
    </row>
    <row r="3243" spans="1:28" x14ac:dyDescent="0.25">
      <c r="A3243" t="s">
        <v>3247</v>
      </c>
      <c r="B3243">
        <v>0.99996721820229495</v>
      </c>
      <c r="C3243">
        <v>0.869986230358336</v>
      </c>
      <c r="D3243">
        <v>0.93525880705332998</v>
      </c>
      <c r="E3243">
        <v>0.93335596626775696</v>
      </c>
      <c r="F3243">
        <v>0.96355192175595705</v>
      </c>
      <c r="G3243">
        <v>0.80661316989934095</v>
      </c>
      <c r="H3243">
        <v>0.48160212011453302</v>
      </c>
      <c r="I3243">
        <v>0.244804367204705</v>
      </c>
      <c r="J3243">
        <v>0.17584763373765899</v>
      </c>
      <c r="K3243">
        <v>0.12995828234074699</v>
      </c>
      <c r="L3243">
        <v>1421.6930065665399</v>
      </c>
      <c r="M3243">
        <v>23.6551091098687</v>
      </c>
      <c r="N3243">
        <v>60.640158506225298</v>
      </c>
      <c r="O3243">
        <v>59.676297195869701</v>
      </c>
      <c r="P3243">
        <v>-8.9699101793605407E-2</v>
      </c>
      <c r="Q3243">
        <v>9.4855726197492995E-2</v>
      </c>
      <c r="R3243">
        <v>0.97789180269442499</v>
      </c>
      <c r="S3243" t="s">
        <v>9069</v>
      </c>
      <c r="T3243" t="s">
        <v>11650</v>
      </c>
      <c r="U3243" t="s">
        <v>11650</v>
      </c>
      <c r="V3243" t="s">
        <v>11650</v>
      </c>
      <c r="W3243" t="s">
        <v>14845</v>
      </c>
      <c r="X3243">
        <v>12</v>
      </c>
      <c r="Y3243" t="s">
        <v>20532</v>
      </c>
      <c r="Z3243" t="s">
        <v>26305</v>
      </c>
      <c r="AA3243">
        <v>0.70824227767799164</v>
      </c>
      <c r="AB3243" t="str">
        <f>HYPERLINK("Melting_Curves/meltCurve_Q15286_RAB35.pdf", "Melting_Curves/meltCurve_Q15286_RAB35.pdf")</f>
        <v>Melting_Curves/meltCurve_Q15286_RAB35.pdf</v>
      </c>
    </row>
    <row r="3244" spans="1:28" x14ac:dyDescent="0.25">
      <c r="A3244" t="s">
        <v>3248</v>
      </c>
      <c r="B3244">
        <v>0.99996721820229495</v>
      </c>
      <c r="C3244">
        <v>0.92771027296317998</v>
      </c>
      <c r="D3244">
        <v>1.01367886594446</v>
      </c>
      <c r="E3244">
        <v>1.0693100273482401</v>
      </c>
      <c r="F3244">
        <v>1.74972995569456</v>
      </c>
      <c r="G3244">
        <v>1.7883918677220401</v>
      </c>
      <c r="H3244">
        <v>1.3626929773721701</v>
      </c>
      <c r="I3244">
        <v>0.86647730031949699</v>
      </c>
      <c r="J3244">
        <v>0.34152196915822602</v>
      </c>
      <c r="K3244">
        <v>0.26046540384516498</v>
      </c>
      <c r="L3244">
        <v>5796.1872792678896</v>
      </c>
      <c r="M3244">
        <v>88.944929496764502</v>
      </c>
      <c r="N3244">
        <v>65.738754351838907</v>
      </c>
      <c r="O3244">
        <v>65.133101663723707</v>
      </c>
      <c r="P3244">
        <v>-0.24934690556497199</v>
      </c>
      <c r="Q3244">
        <v>0.26962735144792799</v>
      </c>
      <c r="R3244">
        <v>0.425330413034538</v>
      </c>
      <c r="S3244" t="s">
        <v>9070</v>
      </c>
      <c r="T3244" t="s">
        <v>11650</v>
      </c>
      <c r="U3244" t="s">
        <v>11650</v>
      </c>
      <c r="V3244" t="s">
        <v>11650</v>
      </c>
      <c r="W3244" t="s">
        <v>14846</v>
      </c>
      <c r="X3244">
        <v>4</v>
      </c>
      <c r="Y3244" t="s">
        <v>20533</v>
      </c>
      <c r="Z3244" t="s">
        <v>26306</v>
      </c>
      <c r="AA3244">
        <v>0.88292876448572466</v>
      </c>
      <c r="AB3244" t="str">
        <f>HYPERLINK("Melting_Curves/meltCurve_Q15291_2_RBBP5.pdf", "Melting_Curves/meltCurve_Q15291_2_RBBP5.pdf")</f>
        <v>Melting_Curves/meltCurve_Q15291_2_RBBP5.pdf</v>
      </c>
    </row>
    <row r="3245" spans="1:28" x14ac:dyDescent="0.25">
      <c r="A3245" t="s">
        <v>3249</v>
      </c>
      <c r="B3245">
        <v>0.99996721820229495</v>
      </c>
      <c r="C3245">
        <v>1.0984847490458001</v>
      </c>
      <c r="D3245">
        <v>1.0238648825291199</v>
      </c>
      <c r="E3245">
        <v>0.99245966843836098</v>
      </c>
      <c r="F3245">
        <v>1.18697310108719</v>
      </c>
      <c r="G3245">
        <v>1.32718852731542</v>
      </c>
      <c r="H3245">
        <v>1.0562823934021199</v>
      </c>
      <c r="I3245">
        <v>0.98407618750179104</v>
      </c>
      <c r="J3245">
        <v>0.92998718451323503</v>
      </c>
      <c r="K3245">
        <v>0.67853662026067996</v>
      </c>
      <c r="L3245">
        <v>3596.9636857313999</v>
      </c>
      <c r="M3245">
        <v>51.810372061674201</v>
      </c>
      <c r="O3245">
        <v>69.3223562258312</v>
      </c>
      <c r="P3245">
        <v>-9.9317165020057399E-2</v>
      </c>
      <c r="Q3245">
        <v>0.46845433575957102</v>
      </c>
      <c r="R3245">
        <v>0.39267647882496898</v>
      </c>
      <c r="S3245" t="s">
        <v>9071</v>
      </c>
      <c r="T3245" t="s">
        <v>11650</v>
      </c>
      <c r="U3245" t="s">
        <v>11650</v>
      </c>
      <c r="V3245" t="s">
        <v>11650</v>
      </c>
      <c r="W3245" t="s">
        <v>14847</v>
      </c>
      <c r="X3245">
        <v>33</v>
      </c>
      <c r="Y3245" t="s">
        <v>20534</v>
      </c>
      <c r="Z3245" t="s">
        <v>26307</v>
      </c>
      <c r="AA3245">
        <v>0.97862514267501222</v>
      </c>
      <c r="AB3245" t="str">
        <f>HYPERLINK("Melting_Curves/meltCurve_Q15293_RCN1.pdf", "Melting_Curves/meltCurve_Q15293_RCN1.pdf")</f>
        <v>Melting_Curves/meltCurve_Q15293_RCN1.pdf</v>
      </c>
    </row>
    <row r="3246" spans="1:28" x14ac:dyDescent="0.25">
      <c r="A3246" t="s">
        <v>3250</v>
      </c>
      <c r="B3246">
        <v>0.99996721820229495</v>
      </c>
      <c r="C3246">
        <v>0.98057073840930598</v>
      </c>
      <c r="D3246">
        <v>0.60154165149086902</v>
      </c>
      <c r="E3246">
        <v>0.28843743191895599</v>
      </c>
      <c r="F3246">
        <v>0.30279208904869398</v>
      </c>
      <c r="G3246">
        <v>0.34739901870697998</v>
      </c>
      <c r="H3246">
        <v>0.24891311861173099</v>
      </c>
      <c r="I3246">
        <v>0.113894401174187</v>
      </c>
      <c r="J3246">
        <v>7.6464140703204203E-2</v>
      </c>
      <c r="K3246">
        <v>6.1644142027069901E-2</v>
      </c>
      <c r="L3246">
        <v>1045.10061732856</v>
      </c>
      <c r="M3246">
        <v>22.407319664731599</v>
      </c>
      <c r="N3246">
        <v>47.535201728545601</v>
      </c>
      <c r="O3246">
        <v>46.274340322104301</v>
      </c>
      <c r="P3246">
        <v>-0.100241227632637</v>
      </c>
      <c r="Q3246">
        <v>0.17196730780181799</v>
      </c>
      <c r="R3246">
        <v>0.93232919183940799</v>
      </c>
      <c r="S3246" t="s">
        <v>9072</v>
      </c>
      <c r="T3246" t="s">
        <v>11650</v>
      </c>
      <c r="U3246" t="s">
        <v>11650</v>
      </c>
      <c r="V3246" t="s">
        <v>11650</v>
      </c>
      <c r="W3246" t="s">
        <v>14848</v>
      </c>
      <c r="X3246">
        <v>6</v>
      </c>
      <c r="Y3246" t="s">
        <v>20535</v>
      </c>
      <c r="Z3246" t="s">
        <v>26308</v>
      </c>
      <c r="AA3246">
        <v>0.36480663384852619</v>
      </c>
      <c r="AB3246" t="str">
        <f>HYPERLINK("Melting_Curves/meltCurve_Q15311_RALBP1.pdf", "Melting_Curves/meltCurve_Q15311_RALBP1.pdf")</f>
        <v>Melting_Curves/meltCurve_Q15311_RALBP1.pdf</v>
      </c>
    </row>
    <row r="3247" spans="1:28" x14ac:dyDescent="0.25">
      <c r="A3247" t="s">
        <v>3251</v>
      </c>
      <c r="B3247">
        <v>0.99996721820229495</v>
      </c>
      <c r="C3247">
        <v>0.98626666902113702</v>
      </c>
      <c r="D3247">
        <v>0.82348177798160505</v>
      </c>
      <c r="E3247">
        <v>0.78885772833712198</v>
      </c>
      <c r="F3247">
        <v>0.33177917261365703</v>
      </c>
      <c r="G3247">
        <v>0.16776885073379999</v>
      </c>
      <c r="H3247">
        <v>0.116686649735166</v>
      </c>
      <c r="I3247">
        <v>6.9542799296416102E-2</v>
      </c>
      <c r="J3247">
        <v>5.4394593324264801E-2</v>
      </c>
      <c r="K3247">
        <v>7.2578893447428502E-2</v>
      </c>
      <c r="L3247">
        <v>1227.0472613633201</v>
      </c>
      <c r="M3247">
        <v>23.7763280975587</v>
      </c>
      <c r="N3247">
        <v>51.919991847809897</v>
      </c>
      <c r="O3247">
        <v>51.247023322094002</v>
      </c>
      <c r="P3247">
        <v>-0.10826821907098499</v>
      </c>
      <c r="Q3247">
        <v>6.6578678196633101E-2</v>
      </c>
      <c r="R3247">
        <v>0.98091791640758896</v>
      </c>
      <c r="S3247" t="s">
        <v>9073</v>
      </c>
      <c r="T3247" t="s">
        <v>11650</v>
      </c>
      <c r="U3247" t="s">
        <v>11650</v>
      </c>
      <c r="V3247" t="s">
        <v>11650</v>
      </c>
      <c r="W3247" t="s">
        <v>14849</v>
      </c>
      <c r="X3247">
        <v>6</v>
      </c>
      <c r="Y3247" t="s">
        <v>20536</v>
      </c>
      <c r="Z3247" t="s">
        <v>26309</v>
      </c>
      <c r="AA3247">
        <v>0.43710016275180907</v>
      </c>
      <c r="AB3247" t="str">
        <f>HYPERLINK("Melting_Curves/meltCurve_Q15334_LLGL1.pdf", "Melting_Curves/meltCurve_Q15334_LLGL1.pdf")</f>
        <v>Melting_Curves/meltCurve_Q15334_LLGL1.pdf</v>
      </c>
    </row>
    <row r="3248" spans="1:28" x14ac:dyDescent="0.25">
      <c r="A3248" t="s">
        <v>3252</v>
      </c>
      <c r="B3248">
        <v>0.99996721820229495</v>
      </c>
      <c r="C3248">
        <v>0.63587972628598999</v>
      </c>
      <c r="D3248">
        <v>0.83202017620433899</v>
      </c>
      <c r="E3248">
        <v>1.2003308267274699</v>
      </c>
      <c r="F3248">
        <v>0.79246253587038995</v>
      </c>
      <c r="G3248">
        <v>0.40151824429771898</v>
      </c>
      <c r="H3248">
        <v>0.176092731081957</v>
      </c>
      <c r="I3248">
        <v>0.1004505606777</v>
      </c>
      <c r="J3248">
        <v>7.4138083106586705E-2</v>
      </c>
      <c r="K3248">
        <v>8.1588058635809493E-2</v>
      </c>
      <c r="L3248">
        <v>1756.8084481543301</v>
      </c>
      <c r="M3248">
        <v>31.492980988990102</v>
      </c>
      <c r="N3248">
        <v>56.126989486876496</v>
      </c>
      <c r="O3248">
        <v>55.560656587557602</v>
      </c>
      <c r="P3248">
        <v>-0.12930636540613299</v>
      </c>
      <c r="Q3248">
        <v>8.7503736395439694E-2</v>
      </c>
      <c r="R3248">
        <v>0.86334435900716699</v>
      </c>
      <c r="S3248" t="s">
        <v>9074</v>
      </c>
      <c r="T3248" t="s">
        <v>11650</v>
      </c>
      <c r="U3248" t="s">
        <v>11650</v>
      </c>
      <c r="V3248" t="s">
        <v>11650</v>
      </c>
      <c r="W3248" t="s">
        <v>14850</v>
      </c>
      <c r="X3248">
        <v>9</v>
      </c>
      <c r="Y3248" t="s">
        <v>20537</v>
      </c>
      <c r="Z3248" t="s">
        <v>26310</v>
      </c>
      <c r="AA3248">
        <v>0.57315731789802637</v>
      </c>
      <c r="AB3248" t="str">
        <f>HYPERLINK("Melting_Curves/meltCurve_Q15363_TMED2.pdf", "Melting_Curves/meltCurve_Q15363_TMED2.pdf")</f>
        <v>Melting_Curves/meltCurve_Q15363_TMED2.pdf</v>
      </c>
    </row>
    <row r="3249" spans="1:28" x14ac:dyDescent="0.25">
      <c r="A3249" t="s">
        <v>3253</v>
      </c>
      <c r="B3249">
        <v>0.99996721820229495</v>
      </c>
      <c r="C3249">
        <v>0.99178589623393798</v>
      </c>
      <c r="D3249">
        <v>0.85195123595522504</v>
      </c>
      <c r="E3249">
        <v>0.63657304209460897</v>
      </c>
      <c r="F3249">
        <v>0.38244157703248899</v>
      </c>
      <c r="G3249">
        <v>0.28127725302702</v>
      </c>
      <c r="H3249">
        <v>0.164879733488563</v>
      </c>
      <c r="I3249">
        <v>0.123507335082508</v>
      </c>
      <c r="J3249">
        <v>8.0881927462036596E-2</v>
      </c>
      <c r="K3249">
        <v>6.0980623145896098E-2</v>
      </c>
      <c r="L3249">
        <v>762.66437695185698</v>
      </c>
      <c r="M3249">
        <v>14.8486315200195</v>
      </c>
      <c r="N3249">
        <v>51.858051835455399</v>
      </c>
      <c r="O3249">
        <v>50.458008614197702</v>
      </c>
      <c r="P3249">
        <v>-6.87113629745046E-2</v>
      </c>
      <c r="Q3249">
        <v>6.6129671917664001E-2</v>
      </c>
      <c r="R3249">
        <v>0.99487563552286995</v>
      </c>
      <c r="S3249" t="s">
        <v>9075</v>
      </c>
      <c r="T3249" t="s">
        <v>11650</v>
      </c>
      <c r="U3249" t="s">
        <v>11650</v>
      </c>
      <c r="V3249" t="s">
        <v>11650</v>
      </c>
      <c r="W3249" t="s">
        <v>14851</v>
      </c>
      <c r="X3249">
        <v>15</v>
      </c>
      <c r="Y3249" t="s">
        <v>20538</v>
      </c>
      <c r="Z3249" t="s">
        <v>26311</v>
      </c>
      <c r="AA3249">
        <v>0.44151475175843058</v>
      </c>
      <c r="AB3249" t="str">
        <f>HYPERLINK("Melting_Curves/meltCurve_Q15365_PCBP1.pdf", "Melting_Curves/meltCurve_Q15365_PCBP1.pdf")</f>
        <v>Melting_Curves/meltCurve_Q15365_PCBP1.pdf</v>
      </c>
    </row>
    <row r="3250" spans="1:28" x14ac:dyDescent="0.25">
      <c r="A3250" t="s">
        <v>3254</v>
      </c>
      <c r="B3250">
        <v>0.99996721820229495</v>
      </c>
      <c r="C3250">
        <v>1.0739356915565299</v>
      </c>
      <c r="D3250">
        <v>1.07333812755425</v>
      </c>
      <c r="E3250">
        <v>1.0401816640250401</v>
      </c>
      <c r="F3250">
        <v>0.95946089312674099</v>
      </c>
      <c r="G3250">
        <v>0.59855677951562902</v>
      </c>
      <c r="H3250">
        <v>0.32542579873806798</v>
      </c>
      <c r="I3250">
        <v>0.197880570441307</v>
      </c>
      <c r="J3250">
        <v>0.13074833538096001</v>
      </c>
      <c r="K3250">
        <v>0.102604339115202</v>
      </c>
      <c r="L3250">
        <v>1495.32684293125</v>
      </c>
      <c r="M3250">
        <v>25.862205917841202</v>
      </c>
      <c r="N3250">
        <v>58.398965813543803</v>
      </c>
      <c r="O3250">
        <v>57.476626323388402</v>
      </c>
      <c r="P3250">
        <v>-9.9751025057663895E-2</v>
      </c>
      <c r="Q3250">
        <v>0.113256616608467</v>
      </c>
      <c r="R3250">
        <v>0.98843204662325101</v>
      </c>
      <c r="S3250" t="s">
        <v>9076</v>
      </c>
      <c r="T3250" t="s">
        <v>11650</v>
      </c>
      <c r="U3250" t="s">
        <v>11650</v>
      </c>
      <c r="V3250" t="s">
        <v>11650</v>
      </c>
      <c r="W3250" t="s">
        <v>14852</v>
      </c>
      <c r="X3250">
        <v>12</v>
      </c>
      <c r="Y3250" t="s">
        <v>20539</v>
      </c>
      <c r="Z3250" t="s">
        <v>26312</v>
      </c>
      <c r="AA3250">
        <v>0.64735382005070752</v>
      </c>
      <c r="AB3250" t="str">
        <f>HYPERLINK("Melting_Curves/meltCurve_Q15370_TCEB2.pdf", "Melting_Curves/meltCurve_Q15370_TCEB2.pdf")</f>
        <v>Melting_Curves/meltCurve_Q15370_TCEB2.pdf</v>
      </c>
    </row>
    <row r="3251" spans="1:28" x14ac:dyDescent="0.25">
      <c r="A3251" t="s">
        <v>3255</v>
      </c>
      <c r="B3251">
        <v>0.99996721820229495</v>
      </c>
      <c r="C3251">
        <v>0.91182336317475698</v>
      </c>
      <c r="D3251">
        <v>0.85312060736763795</v>
      </c>
      <c r="E3251">
        <v>0.69808634177812701</v>
      </c>
      <c r="F3251">
        <v>0.60948333119546205</v>
      </c>
      <c r="G3251">
        <v>0.37886490397777001</v>
      </c>
      <c r="H3251">
        <v>0.16782543961339899</v>
      </c>
      <c r="I3251">
        <v>0.100577221251282</v>
      </c>
      <c r="J3251">
        <v>8.4027585014221806E-2</v>
      </c>
      <c r="K3251">
        <v>6.4384465126330601E-2</v>
      </c>
      <c r="L3251">
        <v>638.50617044793398</v>
      </c>
      <c r="M3251">
        <v>11.8248414208482</v>
      </c>
      <c r="N3251">
        <v>53.997017330225098</v>
      </c>
      <c r="O3251">
        <v>52.522161753589103</v>
      </c>
      <c r="P3251">
        <v>-5.6299372800779603E-2</v>
      </c>
      <c r="Q3251">
        <v>0</v>
      </c>
      <c r="R3251">
        <v>0.99176931332050799</v>
      </c>
      <c r="S3251" t="s">
        <v>9077</v>
      </c>
      <c r="T3251" t="s">
        <v>11650</v>
      </c>
      <c r="U3251" t="s">
        <v>11650</v>
      </c>
      <c r="V3251" t="s">
        <v>11650</v>
      </c>
      <c r="W3251" t="s">
        <v>14853</v>
      </c>
      <c r="X3251">
        <v>12</v>
      </c>
      <c r="Y3251" t="s">
        <v>20540</v>
      </c>
      <c r="Z3251" t="s">
        <v>26313</v>
      </c>
      <c r="AA3251">
        <v>0.49304560167968442</v>
      </c>
      <c r="AB3251" t="str">
        <f>HYPERLINK("Melting_Curves/meltCurve_Q15382_RHEB.pdf", "Melting_Curves/meltCurve_Q15382_RHEB.pdf")</f>
        <v>Melting_Curves/meltCurve_Q15382_RHEB.pdf</v>
      </c>
    </row>
    <row r="3252" spans="1:28" x14ac:dyDescent="0.25">
      <c r="A3252" t="s">
        <v>3256</v>
      </c>
      <c r="B3252">
        <v>0.99996721820229495</v>
      </c>
      <c r="C3252">
        <v>1.1122099871301501</v>
      </c>
      <c r="D3252">
        <v>1.1731049391663799</v>
      </c>
      <c r="E3252">
        <v>1.1581742043494201</v>
      </c>
      <c r="F3252">
        <v>0.41777974411017599</v>
      </c>
      <c r="G3252">
        <v>0.43927174033404498</v>
      </c>
      <c r="H3252">
        <v>0.34829618396517198</v>
      </c>
      <c r="I3252">
        <v>0.26964479684389803</v>
      </c>
      <c r="J3252">
        <v>0.26244007421064602</v>
      </c>
      <c r="K3252">
        <v>0.18279483473786401</v>
      </c>
      <c r="L3252">
        <v>13165.0847536684</v>
      </c>
      <c r="M3252">
        <v>250</v>
      </c>
      <c r="N3252">
        <v>52.8545786318941</v>
      </c>
      <c r="O3252">
        <v>52.656968539350899</v>
      </c>
      <c r="P3252">
        <v>-0.83026848819566201</v>
      </c>
      <c r="Q3252">
        <v>0.30048924674657401</v>
      </c>
      <c r="R3252">
        <v>0.932825574385581</v>
      </c>
      <c r="S3252" t="s">
        <v>9078</v>
      </c>
      <c r="T3252" t="s">
        <v>11650</v>
      </c>
      <c r="U3252" t="s">
        <v>11650</v>
      </c>
      <c r="V3252" t="s">
        <v>11650</v>
      </c>
      <c r="W3252" t="s">
        <v>14854</v>
      </c>
      <c r="X3252">
        <v>3</v>
      </c>
      <c r="Y3252" t="s">
        <v>20541</v>
      </c>
      <c r="Z3252" t="s">
        <v>26314</v>
      </c>
      <c r="AA3252">
        <v>0.59575533687070981</v>
      </c>
      <c r="AB3252" t="str">
        <f>HYPERLINK("Melting_Curves/meltCurve_Q15386_UBE3C.pdf", "Melting_Curves/meltCurve_Q15386_UBE3C.pdf")</f>
        <v>Melting_Curves/meltCurve_Q15386_UBE3C.pdf</v>
      </c>
    </row>
    <row r="3253" spans="1:28" x14ac:dyDescent="0.25">
      <c r="A3253" t="s">
        <v>3257</v>
      </c>
      <c r="B3253">
        <v>0.99996721820229495</v>
      </c>
      <c r="C3253">
        <v>0.900068743047579</v>
      </c>
      <c r="D3253">
        <v>1.0203900590502899</v>
      </c>
      <c r="E3253">
        <v>1.3984693940509401</v>
      </c>
      <c r="F3253">
        <v>2.2444621618684799</v>
      </c>
      <c r="G3253">
        <v>1.3558728902257799</v>
      </c>
      <c r="H3253">
        <v>0.59288964294659097</v>
      </c>
      <c r="I3253">
        <v>0.447812313132263</v>
      </c>
      <c r="J3253">
        <v>0.21543489889324899</v>
      </c>
      <c r="K3253">
        <v>0.20496027767098801</v>
      </c>
      <c r="L3253">
        <v>4014.0441693295002</v>
      </c>
      <c r="M3253">
        <v>65.831107362783101</v>
      </c>
      <c r="N3253">
        <v>61.7076572324723</v>
      </c>
      <c r="O3253">
        <v>60.9187029773246</v>
      </c>
      <c r="P3253">
        <v>-0.196894975535052</v>
      </c>
      <c r="Q3253">
        <v>0.27119069486266201</v>
      </c>
      <c r="R3253">
        <v>0.46651390257970998</v>
      </c>
      <c r="S3253" t="s">
        <v>9079</v>
      </c>
      <c r="T3253" t="s">
        <v>11650</v>
      </c>
      <c r="U3253" t="s">
        <v>11650</v>
      </c>
      <c r="V3253" t="s">
        <v>11650</v>
      </c>
      <c r="W3253" t="s">
        <v>14855</v>
      </c>
      <c r="X3253">
        <v>13</v>
      </c>
      <c r="Y3253" t="s">
        <v>20542</v>
      </c>
      <c r="Z3253" t="s">
        <v>26315</v>
      </c>
      <c r="AA3253">
        <v>0.78186884076551721</v>
      </c>
      <c r="AB3253" t="str">
        <f>HYPERLINK("Melting_Curves/meltCurve_Q15393_SF3B3.pdf", "Melting_Curves/meltCurve_Q15393_SF3B3.pdf")</f>
        <v>Melting_Curves/meltCurve_Q15393_SF3B3.pdf</v>
      </c>
    </row>
    <row r="3254" spans="1:28" x14ac:dyDescent="0.25">
      <c r="A3254" t="s">
        <v>3258</v>
      </c>
      <c r="B3254">
        <v>0.99996721820229495</v>
      </c>
      <c r="C3254">
        <v>0.97183718361284999</v>
      </c>
      <c r="D3254">
        <v>0.89770255870092996</v>
      </c>
      <c r="E3254">
        <v>0.89092057478973397</v>
      </c>
      <c r="F3254">
        <v>0.50591828840685305</v>
      </c>
      <c r="G3254">
        <v>0.33496425840449801</v>
      </c>
      <c r="H3254">
        <v>0.157026681842487</v>
      </c>
      <c r="I3254">
        <v>9.7670919473159798E-2</v>
      </c>
      <c r="J3254">
        <v>6.2728237598056402E-2</v>
      </c>
      <c r="K3254">
        <v>5.8624128503968101E-2</v>
      </c>
      <c r="L3254">
        <v>946.66336488184697</v>
      </c>
      <c r="M3254">
        <v>17.604086773498501</v>
      </c>
      <c r="N3254">
        <v>54.060783164951403</v>
      </c>
      <c r="O3254">
        <v>53.095679442867699</v>
      </c>
      <c r="P3254">
        <v>-7.9212565127951801E-2</v>
      </c>
      <c r="Q3254">
        <v>4.4399394076444103E-2</v>
      </c>
      <c r="R3254">
        <v>0.98717662306452503</v>
      </c>
      <c r="S3254" t="s">
        <v>9080</v>
      </c>
      <c r="T3254" t="s">
        <v>11650</v>
      </c>
      <c r="U3254" t="s">
        <v>11650</v>
      </c>
      <c r="V3254" t="s">
        <v>11650</v>
      </c>
      <c r="W3254" t="s">
        <v>14856</v>
      </c>
      <c r="X3254">
        <v>17</v>
      </c>
      <c r="Y3254" t="s">
        <v>20543</v>
      </c>
      <c r="Z3254" t="s">
        <v>26316</v>
      </c>
      <c r="AA3254">
        <v>0.49908815653374528</v>
      </c>
      <c r="AB3254" t="str">
        <f>HYPERLINK("Melting_Curves/meltCurve_Q15404_RSU1.pdf", "Melting_Curves/meltCurve_Q15404_RSU1.pdf")</f>
        <v>Melting_Curves/meltCurve_Q15404_RSU1.pdf</v>
      </c>
    </row>
    <row r="3255" spans="1:28" x14ac:dyDescent="0.25">
      <c r="A3255" t="s">
        <v>3259</v>
      </c>
      <c r="B3255">
        <v>0.99996721820229495</v>
      </c>
      <c r="C3255">
        <v>1.08249649600203</v>
      </c>
      <c r="D3255">
        <v>1.0110548267229</v>
      </c>
      <c r="E3255">
        <v>0.91553149512008003</v>
      </c>
      <c r="F3255">
        <v>0.34687368779666</v>
      </c>
      <c r="G3255">
        <v>0.30356201120447801</v>
      </c>
      <c r="H3255">
        <v>0.150643302721295</v>
      </c>
      <c r="I3255">
        <v>0.112520122896204</v>
      </c>
      <c r="J3255">
        <v>9.5496123444892694E-2</v>
      </c>
      <c r="K3255">
        <v>7.9485938664490802E-2</v>
      </c>
      <c r="L3255">
        <v>2742.7123582160102</v>
      </c>
      <c r="M3255">
        <v>52.824997939262602</v>
      </c>
      <c r="N3255">
        <v>52.258269976131402</v>
      </c>
      <c r="O3255">
        <v>51.846480021362503</v>
      </c>
      <c r="P3255">
        <v>-0.21790087733645799</v>
      </c>
      <c r="Q3255">
        <v>0.14454245500801199</v>
      </c>
      <c r="R3255">
        <v>0.97759538455205397</v>
      </c>
      <c r="S3255" t="s">
        <v>9081</v>
      </c>
      <c r="T3255" t="s">
        <v>11650</v>
      </c>
      <c r="U3255" t="s">
        <v>11650</v>
      </c>
      <c r="V3255" t="s">
        <v>11650</v>
      </c>
      <c r="W3255" t="s">
        <v>14857</v>
      </c>
      <c r="X3255">
        <v>20</v>
      </c>
      <c r="Y3255" t="s">
        <v>20544</v>
      </c>
      <c r="Z3255" t="s">
        <v>26317</v>
      </c>
      <c r="AA3255">
        <v>0.48621918740564513</v>
      </c>
      <c r="AB3255" t="str">
        <f>HYPERLINK("Melting_Curves/meltCurve_Q15417_CNN3.pdf", "Melting_Curves/meltCurve_Q15417_CNN3.pdf")</f>
        <v>Melting_Curves/meltCurve_Q15417_CNN3.pdf</v>
      </c>
    </row>
    <row r="3256" spans="1:28" x14ac:dyDescent="0.25">
      <c r="A3256" t="s">
        <v>3260</v>
      </c>
      <c r="B3256">
        <v>0.99996721820229495</v>
      </c>
      <c r="C3256">
        <v>1.02095567326702</v>
      </c>
      <c r="D3256">
        <v>1.0484568173580699</v>
      </c>
      <c r="E3256">
        <v>1.0041589034765299</v>
      </c>
      <c r="F3256">
        <v>1.2945559364187</v>
      </c>
      <c r="G3256">
        <v>1.6756104912537</v>
      </c>
      <c r="H3256">
        <v>1.2416615400845901</v>
      </c>
      <c r="I3256">
        <v>2.1578131116770498</v>
      </c>
      <c r="J3256">
        <v>1.2810980170652899</v>
      </c>
      <c r="K3256">
        <v>1.4102466155175299</v>
      </c>
      <c r="L3256">
        <v>13230.904349890599</v>
      </c>
      <c r="M3256">
        <v>250</v>
      </c>
      <c r="O3256">
        <v>52.920249586428604</v>
      </c>
      <c r="P3256">
        <v>0.59051140927977996</v>
      </c>
      <c r="Q3256">
        <v>1.5</v>
      </c>
      <c r="R3256">
        <v>0.51305837667112997</v>
      </c>
      <c r="S3256" t="s">
        <v>9082</v>
      </c>
      <c r="T3256" t="s">
        <v>11650</v>
      </c>
      <c r="U3256" t="s">
        <v>11650</v>
      </c>
      <c r="V3256" t="s">
        <v>11650</v>
      </c>
      <c r="W3256" t="s">
        <v>14858</v>
      </c>
      <c r="X3256">
        <v>15</v>
      </c>
      <c r="Y3256" t="s">
        <v>20545</v>
      </c>
      <c r="Z3256" t="s">
        <v>26318</v>
      </c>
      <c r="AA3256">
        <v>1.284559936611527</v>
      </c>
      <c r="AB3256" t="str">
        <f>HYPERLINK("Melting_Curves/meltCurve_Q15424_SAFB.pdf", "Melting_Curves/meltCurve_Q15424_SAFB.pdf")</f>
        <v>Melting_Curves/meltCurve_Q15424_SAFB.pdf</v>
      </c>
    </row>
    <row r="3257" spans="1:28" x14ac:dyDescent="0.25">
      <c r="A3257" t="s">
        <v>3261</v>
      </c>
      <c r="B3257">
        <v>0.99996721820229495</v>
      </c>
      <c r="C3257">
        <v>1.01687292067921</v>
      </c>
      <c r="D3257">
        <v>1.0351976255263899</v>
      </c>
      <c r="E3257">
        <v>0.943245431710247</v>
      </c>
      <c r="F3257">
        <v>1.0572704654438501</v>
      </c>
      <c r="G3257">
        <v>0.85981874617929899</v>
      </c>
      <c r="H3257">
        <v>0.51271789541179902</v>
      </c>
      <c r="I3257">
        <v>0.55487317215290499</v>
      </c>
      <c r="J3257">
        <v>0.31648069963599701</v>
      </c>
      <c r="K3257">
        <v>0.16534201372590701</v>
      </c>
      <c r="L3257">
        <v>977.45074977435604</v>
      </c>
      <c r="M3257">
        <v>15.4909424804813</v>
      </c>
      <c r="N3257">
        <v>63.270703077823697</v>
      </c>
      <c r="O3257">
        <v>62.074759859575003</v>
      </c>
      <c r="P3257">
        <v>-6.1103724557880698E-2</v>
      </c>
      <c r="Q3257">
        <v>2.0676505681947101E-2</v>
      </c>
      <c r="R3257">
        <v>0.95813055056079899</v>
      </c>
      <c r="S3257" t="s">
        <v>9083</v>
      </c>
      <c r="T3257" t="s">
        <v>11650</v>
      </c>
      <c r="U3257" t="s">
        <v>11650</v>
      </c>
      <c r="V3257" t="s">
        <v>11650</v>
      </c>
      <c r="W3257" t="s">
        <v>14859</v>
      </c>
      <c r="X3257">
        <v>2</v>
      </c>
      <c r="Y3257" t="s">
        <v>20546</v>
      </c>
      <c r="Z3257" t="s">
        <v>26319</v>
      </c>
      <c r="AA3257">
        <v>0.76627713448295409</v>
      </c>
      <c r="AB3257" t="str">
        <f>HYPERLINK("Melting_Curves/meltCurve_Q15427_SF3B4.pdf", "Melting_Curves/meltCurve_Q15427_SF3B4.pdf")</f>
        <v>Melting_Curves/meltCurve_Q15427_SF3B4.pdf</v>
      </c>
    </row>
    <row r="3258" spans="1:28" x14ac:dyDescent="0.25">
      <c r="A3258" t="s">
        <v>3262</v>
      </c>
      <c r="B3258">
        <v>0.99996721820229495</v>
      </c>
      <c r="C3258">
        <v>0.89184180225638199</v>
      </c>
      <c r="D3258">
        <v>0.80807718250109095</v>
      </c>
      <c r="E3258">
        <v>0.83634229227009704</v>
      </c>
      <c r="F3258">
        <v>0.40528011117380802</v>
      </c>
      <c r="G3258">
        <v>0.25801137637969801</v>
      </c>
      <c r="H3258">
        <v>0.15689473291693801</v>
      </c>
      <c r="I3258">
        <v>0.13194595344849699</v>
      </c>
      <c r="J3258">
        <v>9.1958862182939693E-2</v>
      </c>
      <c r="K3258">
        <v>7.6199510900659406E-2</v>
      </c>
      <c r="L3258">
        <v>794.73955745068497</v>
      </c>
      <c r="M3258">
        <v>15.177371782324901</v>
      </c>
      <c r="N3258">
        <v>52.788917077128502</v>
      </c>
      <c r="O3258">
        <v>51.479644133944198</v>
      </c>
      <c r="P3258">
        <v>-6.9469152104400397E-2</v>
      </c>
      <c r="Q3258">
        <v>5.7570104692113197E-2</v>
      </c>
      <c r="R3258">
        <v>0.96688442008370501</v>
      </c>
      <c r="S3258" t="s">
        <v>9084</v>
      </c>
      <c r="T3258" t="s">
        <v>11650</v>
      </c>
      <c r="U3258" t="s">
        <v>11650</v>
      </c>
      <c r="V3258" t="s">
        <v>11650</v>
      </c>
      <c r="W3258" t="s">
        <v>14860</v>
      </c>
      <c r="X3258">
        <v>9</v>
      </c>
      <c r="Y3258" t="s">
        <v>20547</v>
      </c>
      <c r="Z3258" t="s">
        <v>26320</v>
      </c>
      <c r="AA3258">
        <v>0.46639543876575051</v>
      </c>
      <c r="AB3258" t="str">
        <f>HYPERLINK("Melting_Curves/meltCurve_Q15428_SF3A2.pdf", "Melting_Curves/meltCurve_Q15428_SF3A2.pdf")</f>
        <v>Melting_Curves/meltCurve_Q15428_SF3A2.pdf</v>
      </c>
    </row>
    <row r="3259" spans="1:28" x14ac:dyDescent="0.25">
      <c r="A3259" t="s">
        <v>3263</v>
      </c>
      <c r="B3259">
        <v>0.99996721820229495</v>
      </c>
      <c r="C3259">
        <v>0.996289008856448</v>
      </c>
      <c r="D3259">
        <v>0.94169653477376303</v>
      </c>
      <c r="E3259">
        <v>0.79869228400881498</v>
      </c>
      <c r="F3259">
        <v>0.50148160156477795</v>
      </c>
      <c r="G3259">
        <v>0.26845847351255198</v>
      </c>
      <c r="H3259">
        <v>0.119661261063107</v>
      </c>
      <c r="I3259">
        <v>8.7833710149667496E-2</v>
      </c>
      <c r="J3259">
        <v>6.0167366696431697E-2</v>
      </c>
      <c r="K3259">
        <v>4.55130116006605E-2</v>
      </c>
      <c r="L3259">
        <v>1003.33937684964</v>
      </c>
      <c r="M3259">
        <v>18.895751611825201</v>
      </c>
      <c r="N3259">
        <v>53.361021262629798</v>
      </c>
      <c r="O3259">
        <v>52.514686905586203</v>
      </c>
      <c r="P3259">
        <v>-8.5968153819270102E-2</v>
      </c>
      <c r="Q3259">
        <v>4.4355166318769498E-2</v>
      </c>
      <c r="R3259">
        <v>0.998662521175956</v>
      </c>
      <c r="S3259" t="s">
        <v>9085</v>
      </c>
      <c r="T3259" t="s">
        <v>11650</v>
      </c>
      <c r="U3259" t="s">
        <v>11650</v>
      </c>
      <c r="V3259" t="s">
        <v>11650</v>
      </c>
      <c r="W3259" t="s">
        <v>14861</v>
      </c>
      <c r="X3259">
        <v>26</v>
      </c>
      <c r="Y3259" t="s">
        <v>20548</v>
      </c>
      <c r="Z3259" t="s">
        <v>26321</v>
      </c>
      <c r="AA3259">
        <v>0.47605002535451191</v>
      </c>
      <c r="AB3259" t="str">
        <f>HYPERLINK("Melting_Curves/meltCurve_Q15435_PPP1R7.pdf", "Melting_Curves/meltCurve_Q15435_PPP1R7.pdf")</f>
        <v>Melting_Curves/meltCurve_Q15435_PPP1R7.pdf</v>
      </c>
    </row>
    <row r="3260" spans="1:28" x14ac:dyDescent="0.25">
      <c r="A3260" t="s">
        <v>3264</v>
      </c>
      <c r="B3260">
        <v>0.99996721820229495</v>
      </c>
      <c r="C3260">
        <v>0.985160197927472</v>
      </c>
      <c r="D3260">
        <v>1.0416125571383501</v>
      </c>
      <c r="E3260">
        <v>1.0144594786081</v>
      </c>
      <c r="F3260">
        <v>0.87649973671509895</v>
      </c>
      <c r="G3260">
        <v>0.68350898529645898</v>
      </c>
      <c r="H3260">
        <v>0.30318123443620099</v>
      </c>
      <c r="I3260">
        <v>0.20567810651142701</v>
      </c>
      <c r="J3260">
        <v>0.159416866386865</v>
      </c>
      <c r="K3260">
        <v>0.12259823848066</v>
      </c>
      <c r="L3260">
        <v>1406.3386723993899</v>
      </c>
      <c r="M3260">
        <v>24.212714894513098</v>
      </c>
      <c r="N3260">
        <v>58.7120177288134</v>
      </c>
      <c r="O3260">
        <v>57.690803973371303</v>
      </c>
      <c r="P3260">
        <v>-9.2932745657404794E-2</v>
      </c>
      <c r="Q3260">
        <v>0.11430288522910299</v>
      </c>
      <c r="R3260">
        <v>0.99541071738084796</v>
      </c>
      <c r="S3260" t="s">
        <v>9086</v>
      </c>
      <c r="T3260" t="s">
        <v>11650</v>
      </c>
      <c r="U3260" t="s">
        <v>11650</v>
      </c>
      <c r="V3260" t="s">
        <v>11650</v>
      </c>
      <c r="W3260" t="s">
        <v>14862</v>
      </c>
      <c r="X3260">
        <v>12</v>
      </c>
      <c r="Y3260" t="s">
        <v>20549</v>
      </c>
      <c r="Z3260" t="s">
        <v>26322</v>
      </c>
      <c r="AA3260">
        <v>0.6561741086602455</v>
      </c>
      <c r="AB3260" t="str">
        <f>HYPERLINK("Melting_Curves/meltCurve_Q15437_SEC23B.pdf", "Melting_Curves/meltCurve_Q15437_SEC23B.pdf")</f>
        <v>Melting_Curves/meltCurve_Q15437_SEC23B.pdf</v>
      </c>
    </row>
    <row r="3261" spans="1:28" x14ac:dyDescent="0.25">
      <c r="A3261" t="s">
        <v>3265</v>
      </c>
      <c r="B3261">
        <v>0.99996721820229495</v>
      </c>
      <c r="C3261">
        <v>0.839105442632611</v>
      </c>
      <c r="D3261">
        <v>0.72894073684787997</v>
      </c>
      <c r="E3261">
        <v>0.76971507731858102</v>
      </c>
      <c r="F3261">
        <v>0.61403550044726296</v>
      </c>
      <c r="G3261">
        <v>0.41756114391935401</v>
      </c>
      <c r="H3261">
        <v>0.27647258617669801</v>
      </c>
      <c r="I3261">
        <v>0.21928202413495501</v>
      </c>
      <c r="J3261">
        <v>0.184015005140448</v>
      </c>
      <c r="K3261">
        <v>0.140537886850719</v>
      </c>
      <c r="L3261">
        <v>445.154728756694</v>
      </c>
      <c r="M3261">
        <v>8.1215868172816208</v>
      </c>
      <c r="N3261">
        <v>54.8112996243064</v>
      </c>
      <c r="O3261">
        <v>51.788541797070998</v>
      </c>
      <c r="P3261">
        <v>-3.9247427271311301E-2</v>
      </c>
      <c r="Q3261">
        <v>0</v>
      </c>
      <c r="R3261">
        <v>0.96969780370306302</v>
      </c>
      <c r="S3261" t="s">
        <v>9087</v>
      </c>
      <c r="T3261" t="s">
        <v>11650</v>
      </c>
      <c r="U3261" t="s">
        <v>11650</v>
      </c>
      <c r="V3261" t="s">
        <v>11650</v>
      </c>
      <c r="W3261" t="s">
        <v>14863</v>
      </c>
      <c r="X3261">
        <v>3</v>
      </c>
      <c r="Y3261" t="s">
        <v>20550</v>
      </c>
      <c r="Z3261" t="s">
        <v>26323</v>
      </c>
      <c r="AA3261">
        <v>0.52214807317809342</v>
      </c>
      <c r="AB3261" t="str">
        <f>HYPERLINK("Melting_Curves/meltCurve_Q15438_2_CYTH1.pdf", "Melting_Curves/meltCurve_Q15438_2_CYTH1.pdf")</f>
        <v>Melting_Curves/meltCurve_Q15438_2_CYTH1.pdf</v>
      </c>
    </row>
    <row r="3262" spans="1:28" x14ac:dyDescent="0.25">
      <c r="A3262" t="s">
        <v>3266</v>
      </c>
      <c r="B3262">
        <v>0.99996721820229495</v>
      </c>
      <c r="C3262">
        <v>1.0925496595519</v>
      </c>
      <c r="D3262">
        <v>1.07984526031193</v>
      </c>
      <c r="E3262">
        <v>0.96518387293427998</v>
      </c>
      <c r="F3262">
        <v>0.72579973929567598</v>
      </c>
      <c r="G3262">
        <v>0.52443761074092099</v>
      </c>
      <c r="H3262">
        <v>0.34818905264809102</v>
      </c>
      <c r="I3262">
        <v>0.321264722503394</v>
      </c>
      <c r="J3262">
        <v>0.21534217980295101</v>
      </c>
      <c r="K3262">
        <v>0.15617746157713</v>
      </c>
      <c r="L3262">
        <v>996.21463994753503</v>
      </c>
      <c r="M3262">
        <v>17.772929102212199</v>
      </c>
      <c r="N3262">
        <v>57.496282414398998</v>
      </c>
      <c r="O3262">
        <v>55.357186819066797</v>
      </c>
      <c r="P3262">
        <v>-6.5819361447619407E-2</v>
      </c>
      <c r="Q3262">
        <v>0.18001457765128701</v>
      </c>
      <c r="R3262">
        <v>0.975792656032476</v>
      </c>
      <c r="S3262" t="s">
        <v>9088</v>
      </c>
      <c r="T3262" t="s">
        <v>11650</v>
      </c>
      <c r="U3262" t="s">
        <v>11650</v>
      </c>
      <c r="V3262" t="s">
        <v>11650</v>
      </c>
      <c r="W3262" t="s">
        <v>14864</v>
      </c>
      <c r="X3262">
        <v>14</v>
      </c>
      <c r="Y3262" t="s">
        <v>20551</v>
      </c>
      <c r="Z3262" t="s">
        <v>26324</v>
      </c>
      <c r="AA3262">
        <v>0.63099273255625832</v>
      </c>
      <c r="AB3262" t="str">
        <f>HYPERLINK("Melting_Curves/meltCurve_Q15459_SF3A1.pdf", "Melting_Curves/meltCurve_Q15459_SF3A1.pdf")</f>
        <v>Melting_Curves/meltCurve_Q15459_SF3A1.pdf</v>
      </c>
    </row>
    <row r="3263" spans="1:28" x14ac:dyDescent="0.25">
      <c r="A3263" t="s">
        <v>3267</v>
      </c>
      <c r="B3263">
        <v>0.99996721820229495</v>
      </c>
      <c r="C3263">
        <v>0.90906520059423901</v>
      </c>
      <c r="D3263">
        <v>0.89270162412894305</v>
      </c>
      <c r="E3263">
        <v>0.87660789376388704</v>
      </c>
      <c r="F3263">
        <v>0.88712224291049402</v>
      </c>
      <c r="G3263">
        <v>0.83053783007641702</v>
      </c>
      <c r="H3263">
        <v>0.63877612164209796</v>
      </c>
      <c r="I3263">
        <v>0.62434259378605905</v>
      </c>
      <c r="J3263">
        <v>0.59772562484014202</v>
      </c>
      <c r="K3263">
        <v>0.36359944291343399</v>
      </c>
      <c r="L3263">
        <v>438.75292236072301</v>
      </c>
      <c r="M3263">
        <v>6.4550486891477696</v>
      </c>
      <c r="N3263">
        <v>67.970505487886001</v>
      </c>
      <c r="O3263">
        <v>62.328540952620102</v>
      </c>
      <c r="P3263">
        <v>-2.59557034699981E-2</v>
      </c>
      <c r="Q3263">
        <v>0</v>
      </c>
      <c r="R3263">
        <v>0.91595632650951697</v>
      </c>
      <c r="S3263" t="s">
        <v>9089</v>
      </c>
      <c r="T3263" t="s">
        <v>11650</v>
      </c>
      <c r="U3263" t="s">
        <v>11650</v>
      </c>
      <c r="V3263" t="s">
        <v>11650</v>
      </c>
      <c r="W3263" t="s">
        <v>14865</v>
      </c>
      <c r="X3263">
        <v>1</v>
      </c>
      <c r="Y3263" t="s">
        <v>20552</v>
      </c>
      <c r="Z3263" t="s">
        <v>26325</v>
      </c>
      <c r="AA3263">
        <v>0.78338496845113892</v>
      </c>
      <c r="AB3263" t="str">
        <f>HYPERLINK("Melting_Curves/meltCurve_Q15464_SHB.pdf", "Melting_Curves/meltCurve_Q15464_SHB.pdf")</f>
        <v>Melting_Curves/meltCurve_Q15464_SHB.pdf</v>
      </c>
    </row>
    <row r="3264" spans="1:28" x14ac:dyDescent="0.25">
      <c r="A3264" t="s">
        <v>3268</v>
      </c>
      <c r="B3264">
        <v>0.99996721820229495</v>
      </c>
      <c r="C3264">
        <v>0.995864486260162</v>
      </c>
      <c r="D3264">
        <v>0.99521388175576297</v>
      </c>
      <c r="E3264">
        <v>0.97193019303368</v>
      </c>
      <c r="F3264">
        <v>1.2069536946919499</v>
      </c>
      <c r="G3264">
        <v>1.0856180529279</v>
      </c>
      <c r="H3264">
        <v>0.78381172593718795</v>
      </c>
      <c r="I3264">
        <v>0.62146093320184903</v>
      </c>
      <c r="J3264">
        <v>0.39423169020510201</v>
      </c>
      <c r="K3264">
        <v>0.16821992682864101</v>
      </c>
      <c r="L3264">
        <v>1596.8082768839699</v>
      </c>
      <c r="M3264">
        <v>24.5059710565214</v>
      </c>
      <c r="N3264">
        <v>65.359825300984795</v>
      </c>
      <c r="O3264">
        <v>64.730717278651895</v>
      </c>
      <c r="P3264">
        <v>-9.1230646026859305E-2</v>
      </c>
      <c r="Q3264">
        <v>3.6097905314296297E-2</v>
      </c>
      <c r="R3264">
        <v>0.93557292040874696</v>
      </c>
      <c r="S3264" t="s">
        <v>9090</v>
      </c>
      <c r="T3264" t="s">
        <v>11650</v>
      </c>
      <c r="U3264" t="s">
        <v>11650</v>
      </c>
      <c r="V3264" t="s">
        <v>11650</v>
      </c>
      <c r="W3264" t="s">
        <v>14866</v>
      </c>
      <c r="X3264">
        <v>7</v>
      </c>
      <c r="Y3264" t="s">
        <v>20553</v>
      </c>
      <c r="Z3264" t="s">
        <v>26326</v>
      </c>
      <c r="AA3264">
        <v>0.83783752424996494</v>
      </c>
      <c r="AB3264" t="str">
        <f>HYPERLINK("Melting_Curves/meltCurve_Q15493_RGN.pdf", "Melting_Curves/meltCurve_Q15493_RGN.pdf")</f>
        <v>Melting_Curves/meltCurve_Q15493_RGN.pdf</v>
      </c>
    </row>
    <row r="3265" spans="1:28" x14ac:dyDescent="0.25">
      <c r="A3265" t="s">
        <v>3269</v>
      </c>
      <c r="B3265">
        <v>0.99996721820229495</v>
      </c>
      <c r="C3265">
        <v>0.71644289936543304</v>
      </c>
      <c r="D3265">
        <v>0.82616320088241302</v>
      </c>
      <c r="E3265">
        <v>0.98969216497154999</v>
      </c>
      <c r="F3265">
        <v>1.5608307918640401</v>
      </c>
      <c r="G3265">
        <v>1.5420982159416801</v>
      </c>
      <c r="H3265">
        <v>1.4371565748317601</v>
      </c>
      <c r="I3265">
        <v>1.5217969656058301</v>
      </c>
      <c r="J3265">
        <v>1.2642790778759101</v>
      </c>
      <c r="K3265">
        <v>1.03533926691016</v>
      </c>
      <c r="L3265">
        <v>12796.238986767799</v>
      </c>
      <c r="M3265">
        <v>250</v>
      </c>
      <c r="O3265">
        <v>51.181680462171897</v>
      </c>
      <c r="P3265">
        <v>0.48062320335512498</v>
      </c>
      <c r="Q3265">
        <v>1.39358565090963</v>
      </c>
      <c r="R3265">
        <v>0.63774953200200701</v>
      </c>
      <c r="S3265" t="s">
        <v>9091</v>
      </c>
      <c r="T3265" t="s">
        <v>11650</v>
      </c>
      <c r="U3265" t="s">
        <v>11650</v>
      </c>
      <c r="V3265" t="s">
        <v>11650</v>
      </c>
      <c r="W3265" t="s">
        <v>14867</v>
      </c>
      <c r="X3265">
        <v>1</v>
      </c>
      <c r="Y3265" t="s">
        <v>20554</v>
      </c>
      <c r="Z3265" t="s">
        <v>26327</v>
      </c>
      <c r="AA3265">
        <v>1.246809023355038</v>
      </c>
      <c r="AB3265" t="str">
        <f>HYPERLINK("Melting_Curves/meltCurve_Q15506_SPA17.pdf", "Melting_Curves/meltCurve_Q15506_SPA17.pdf")</f>
        <v>Melting_Curves/meltCurve_Q15506_SPA17.pdf</v>
      </c>
    </row>
    <row r="3266" spans="1:28" x14ac:dyDescent="0.25">
      <c r="A3266" t="s">
        <v>3270</v>
      </c>
      <c r="B3266">
        <v>0.99996721820229495</v>
      </c>
      <c r="C3266">
        <v>0.88773603967044101</v>
      </c>
      <c r="D3266">
        <v>0.95654380419805696</v>
      </c>
      <c r="E3266">
        <v>1.03078477234619</v>
      </c>
      <c r="F3266">
        <v>0.75988176307322297</v>
      </c>
      <c r="G3266">
        <v>0.67000318955337801</v>
      </c>
      <c r="H3266">
        <v>0.43460507849401903</v>
      </c>
      <c r="I3266">
        <v>0.41707413725042902</v>
      </c>
      <c r="J3266">
        <v>0.27173680439804299</v>
      </c>
      <c r="K3266">
        <v>0.190516430807359</v>
      </c>
      <c r="L3266">
        <v>693.46630666646899</v>
      </c>
      <c r="M3266">
        <v>11.6010269318509</v>
      </c>
      <c r="N3266">
        <v>60.481704902979601</v>
      </c>
      <c r="O3266">
        <v>58.082932078592201</v>
      </c>
      <c r="P3266">
        <v>-4.6786318022588098E-2</v>
      </c>
      <c r="Q3266">
        <v>6.3276012113934396E-2</v>
      </c>
      <c r="R3266">
        <v>0.96068160983579298</v>
      </c>
      <c r="S3266" t="s">
        <v>9092</v>
      </c>
      <c r="T3266" t="s">
        <v>11650</v>
      </c>
      <c r="U3266" t="s">
        <v>11650</v>
      </c>
      <c r="V3266" t="s">
        <v>11650</v>
      </c>
      <c r="W3266" t="s">
        <v>14868</v>
      </c>
      <c r="X3266">
        <v>7</v>
      </c>
      <c r="Y3266" t="s">
        <v>20555</v>
      </c>
      <c r="Z3266" t="s">
        <v>26328</v>
      </c>
      <c r="AA3266">
        <v>0.68336029242606222</v>
      </c>
      <c r="AB3266" t="str">
        <f>HYPERLINK("Melting_Curves/meltCurve_Q15526_2_SURF1.pdf", "Melting_Curves/meltCurve_Q15526_2_SURF1.pdf")</f>
        <v>Melting_Curves/meltCurve_Q15526_2_SURF1.pdf</v>
      </c>
    </row>
    <row r="3267" spans="1:28" x14ac:dyDescent="0.25">
      <c r="A3267" t="s">
        <v>3271</v>
      </c>
      <c r="B3267">
        <v>0.99996721820229495</v>
      </c>
      <c r="C3267">
        <v>0.97169922765278005</v>
      </c>
      <c r="D3267">
        <v>0.86944762456290403</v>
      </c>
      <c r="E3267">
        <v>0.860554779419206</v>
      </c>
      <c r="F3267">
        <v>0.89535579822535905</v>
      </c>
      <c r="G3267">
        <v>0.81697090427271601</v>
      </c>
      <c r="H3267">
        <v>0.59030259481625202</v>
      </c>
      <c r="I3267">
        <v>0.54674441559171305</v>
      </c>
      <c r="J3267">
        <v>0.55687875650027996</v>
      </c>
      <c r="K3267">
        <v>0.48689611307115599</v>
      </c>
      <c r="L3267">
        <v>420.24443128656799</v>
      </c>
      <c r="M3267">
        <v>6.5446999477184402</v>
      </c>
      <c r="N3267">
        <v>68.562799136877601</v>
      </c>
      <c r="O3267">
        <v>59.007710269369198</v>
      </c>
      <c r="P3267">
        <v>-2.3070282582206902E-2</v>
      </c>
      <c r="Q3267">
        <v>0.16995000415101</v>
      </c>
      <c r="R3267">
        <v>0.93475166187033698</v>
      </c>
      <c r="S3267" t="s">
        <v>9093</v>
      </c>
      <c r="T3267" t="s">
        <v>11650</v>
      </c>
      <c r="U3267" t="s">
        <v>11650</v>
      </c>
      <c r="V3267" t="s">
        <v>11650</v>
      </c>
      <c r="W3267" t="s">
        <v>14869</v>
      </c>
      <c r="X3267">
        <v>9</v>
      </c>
      <c r="Y3267" t="s">
        <v>20556</v>
      </c>
      <c r="Z3267" t="s">
        <v>26329</v>
      </c>
      <c r="AA3267">
        <v>0.76913102885582585</v>
      </c>
      <c r="AB3267" t="str">
        <f>HYPERLINK("Melting_Curves/meltCurve_Q15545_TAF7.pdf", "Melting_Curves/meltCurve_Q15545_TAF7.pdf")</f>
        <v>Melting_Curves/meltCurve_Q15545_TAF7.pdf</v>
      </c>
    </row>
    <row r="3268" spans="1:28" x14ac:dyDescent="0.25">
      <c r="A3268" t="s">
        <v>3272</v>
      </c>
      <c r="B3268">
        <v>0.99996721820229495</v>
      </c>
      <c r="C3268">
        <v>0.76874386276450801</v>
      </c>
      <c r="D3268">
        <v>0.270670084317988</v>
      </c>
      <c r="E3268">
        <v>0.16391801532858999</v>
      </c>
      <c r="F3268">
        <v>0.185286202183889</v>
      </c>
      <c r="G3268">
        <v>0.195616589287404</v>
      </c>
      <c r="H3268">
        <v>0.17894420482045401</v>
      </c>
      <c r="I3268">
        <v>9.32211315028358E-2</v>
      </c>
      <c r="J3268">
        <v>8.69919499106757E-2</v>
      </c>
      <c r="K3268">
        <v>6.18181631553767E-2</v>
      </c>
      <c r="L3268">
        <v>1713.3040377397599</v>
      </c>
      <c r="M3268">
        <v>38.921102793011599</v>
      </c>
      <c r="N3268">
        <v>44.383001962136703</v>
      </c>
      <c r="O3268">
        <v>43.904200191468902</v>
      </c>
      <c r="P3268">
        <v>-0.191409441213163</v>
      </c>
      <c r="Q3268">
        <v>0.136339093266473</v>
      </c>
      <c r="R3268">
        <v>0.98015236572936904</v>
      </c>
      <c r="S3268" t="s">
        <v>9094</v>
      </c>
      <c r="T3268" t="s">
        <v>11650</v>
      </c>
      <c r="U3268" t="s">
        <v>11650</v>
      </c>
      <c r="V3268" t="s">
        <v>11650</v>
      </c>
      <c r="W3268" t="s">
        <v>14870</v>
      </c>
      <c r="X3268">
        <v>8</v>
      </c>
      <c r="Y3268" t="s">
        <v>20557</v>
      </c>
      <c r="Z3268" t="s">
        <v>26330</v>
      </c>
      <c r="AA3268">
        <v>0.25535457470937412</v>
      </c>
      <c r="AB3268" t="str">
        <f>HYPERLINK("Melting_Curves/meltCurve_Q15555_4_MAPRE2.pdf", "Melting_Curves/meltCurve_Q15555_4_MAPRE2.pdf")</f>
        <v>Melting_Curves/meltCurve_Q15555_4_MAPRE2.pdf</v>
      </c>
    </row>
    <row r="3269" spans="1:28" x14ac:dyDescent="0.25">
      <c r="A3269" t="s">
        <v>3273</v>
      </c>
      <c r="B3269">
        <v>0.99996721820229495</v>
      </c>
      <c r="C3269">
        <v>0.98009539125538403</v>
      </c>
      <c r="D3269">
        <v>1.08882084903103</v>
      </c>
      <c r="E3269">
        <v>1.2642619630585199</v>
      </c>
      <c r="F3269">
        <v>1.53833280562099</v>
      </c>
      <c r="G3269">
        <v>1.70846353862055</v>
      </c>
      <c r="H3269">
        <v>0.946338018253432</v>
      </c>
      <c r="I3269">
        <v>0.47680407905759897</v>
      </c>
      <c r="J3269">
        <v>0.38456020171287603</v>
      </c>
      <c r="K3269">
        <v>0.28472965440920001</v>
      </c>
      <c r="L3269">
        <v>4863.4631125661799</v>
      </c>
      <c r="M3269">
        <v>77.238656549073696</v>
      </c>
      <c r="N3269">
        <v>63.858867172702602</v>
      </c>
      <c r="O3269">
        <v>62.924526124387498</v>
      </c>
      <c r="P3269">
        <v>-0.205588712886421</v>
      </c>
      <c r="Q3269">
        <v>0.330046845629616</v>
      </c>
      <c r="R3269">
        <v>0.56835880476485601</v>
      </c>
      <c r="S3269" t="s">
        <v>9095</v>
      </c>
      <c r="T3269" t="s">
        <v>11650</v>
      </c>
      <c r="U3269" t="s">
        <v>11650</v>
      </c>
      <c r="V3269" t="s">
        <v>11650</v>
      </c>
      <c r="W3269" t="s">
        <v>14871</v>
      </c>
      <c r="X3269">
        <v>12</v>
      </c>
      <c r="Y3269" t="s">
        <v>20558</v>
      </c>
      <c r="Z3269" t="s">
        <v>26331</v>
      </c>
      <c r="AA3269">
        <v>0.84370125133986107</v>
      </c>
      <c r="AB3269" t="str">
        <f>HYPERLINK("Melting_Curves/meltCurve_Q15582_TGFBI.pdf", "Melting_Curves/meltCurve_Q15582_TGFBI.pdf")</f>
        <v>Melting_Curves/meltCurve_Q15582_TGFBI.pdf</v>
      </c>
    </row>
    <row r="3270" spans="1:28" x14ac:dyDescent="0.25">
      <c r="A3270" t="s">
        <v>3274</v>
      </c>
      <c r="B3270">
        <v>0.99996721820229495</v>
      </c>
      <c r="C3270">
        <v>0.92964178078766502</v>
      </c>
      <c r="D3270">
        <v>0.88937129532761705</v>
      </c>
      <c r="E3270">
        <v>1.0709562038557401</v>
      </c>
      <c r="F3270">
        <v>1.190454459613</v>
      </c>
      <c r="G3270">
        <v>1.1289812840921201</v>
      </c>
      <c r="H3270">
        <v>0.79398972091122499</v>
      </c>
      <c r="I3270">
        <v>0.72732214459173705</v>
      </c>
      <c r="J3270">
        <v>0.727098261124283</v>
      </c>
      <c r="K3270">
        <v>0.67162775968876198</v>
      </c>
      <c r="L3270">
        <v>10737.247676446401</v>
      </c>
      <c r="M3270">
        <v>176.90168304417301</v>
      </c>
      <c r="O3270">
        <v>60.6883521618646</v>
      </c>
      <c r="P3270">
        <v>-0.212302165843162</v>
      </c>
      <c r="Q3270">
        <v>0.70866815935430905</v>
      </c>
      <c r="R3270">
        <v>0.74134572330741499</v>
      </c>
      <c r="S3270" t="s">
        <v>9096</v>
      </c>
      <c r="T3270" t="s">
        <v>11650</v>
      </c>
      <c r="U3270" t="s">
        <v>11650</v>
      </c>
      <c r="V3270" t="s">
        <v>11650</v>
      </c>
      <c r="W3270" t="s">
        <v>14872</v>
      </c>
      <c r="X3270">
        <v>19</v>
      </c>
      <c r="Y3270" t="s">
        <v>20559</v>
      </c>
      <c r="Z3270" t="s">
        <v>26332</v>
      </c>
      <c r="AA3270">
        <v>0.90971154625290085</v>
      </c>
      <c r="AB3270" t="str">
        <f>HYPERLINK("Melting_Curves/meltCurve_Q15599_SLC9A3R2.pdf", "Melting_Curves/meltCurve_Q15599_SLC9A3R2.pdf")</f>
        <v>Melting_Curves/meltCurve_Q15599_SLC9A3R2.pdf</v>
      </c>
    </row>
    <row r="3271" spans="1:28" x14ac:dyDescent="0.25">
      <c r="A3271" t="s">
        <v>3275</v>
      </c>
      <c r="B3271">
        <v>0.99996721820229495</v>
      </c>
      <c r="C3271">
        <v>1.0276625115459299</v>
      </c>
      <c r="D3271">
        <v>0.84429605961761101</v>
      </c>
      <c r="E3271">
        <v>0.48966590574149599</v>
      </c>
      <c r="F3271">
        <v>0.38571546811202501</v>
      </c>
      <c r="G3271">
        <v>0.30163667618345202</v>
      </c>
      <c r="H3271">
        <v>0.178541203410015</v>
      </c>
      <c r="I3271">
        <v>0.13976593506948801</v>
      </c>
      <c r="J3271">
        <v>0.114428176276881</v>
      </c>
      <c r="K3271">
        <v>7.6103947633925306E-2</v>
      </c>
      <c r="L3271">
        <v>803.25559531538897</v>
      </c>
      <c r="M3271">
        <v>16.034809137510301</v>
      </c>
      <c r="N3271">
        <v>50.918857267950401</v>
      </c>
      <c r="O3271">
        <v>49.334781006546102</v>
      </c>
      <c r="P3271">
        <v>-7.1971614198795802E-2</v>
      </c>
      <c r="Q3271">
        <v>0.114319929660497</v>
      </c>
      <c r="R3271">
        <v>0.98248458239707803</v>
      </c>
      <c r="S3271" t="s">
        <v>9097</v>
      </c>
      <c r="T3271" t="s">
        <v>11650</v>
      </c>
      <c r="U3271" t="s">
        <v>11650</v>
      </c>
      <c r="V3271" t="s">
        <v>11650</v>
      </c>
      <c r="W3271" t="s">
        <v>14873</v>
      </c>
      <c r="X3271">
        <v>14</v>
      </c>
      <c r="Y3271" t="s">
        <v>20560</v>
      </c>
      <c r="Z3271" t="s">
        <v>26333</v>
      </c>
      <c r="AA3271">
        <v>0.43102578176896622</v>
      </c>
      <c r="AB3271" t="str">
        <f>HYPERLINK("Melting_Curves/meltCurve_Q15628_TRADD.pdf", "Melting_Curves/meltCurve_Q15628_TRADD.pdf")</f>
        <v>Melting_Curves/meltCurve_Q15628_TRADD.pdf</v>
      </c>
    </row>
    <row r="3272" spans="1:28" x14ac:dyDescent="0.25">
      <c r="A3272" t="s">
        <v>3276</v>
      </c>
      <c r="B3272">
        <v>0.99996721820229495</v>
      </c>
      <c r="C3272">
        <v>0.99951572132002797</v>
      </c>
      <c r="D3272">
        <v>0.94569891554861796</v>
      </c>
      <c r="E3272">
        <v>0.94569662961564005</v>
      </c>
      <c r="F3272">
        <v>1.1469160550620201</v>
      </c>
      <c r="G3272">
        <v>1.11714172259633</v>
      </c>
      <c r="H3272">
        <v>0.72054269939003801</v>
      </c>
      <c r="I3272">
        <v>0.55507983526936</v>
      </c>
      <c r="J3272">
        <v>0.47716145276552202</v>
      </c>
      <c r="K3272">
        <v>0.39224486959129101</v>
      </c>
      <c r="L3272">
        <v>2965.8360104749399</v>
      </c>
      <c r="M3272">
        <v>48.3881056570117</v>
      </c>
      <c r="N3272">
        <v>64.210394524378401</v>
      </c>
      <c r="O3272">
        <v>61.188248361813201</v>
      </c>
      <c r="P3272">
        <v>-0.109817561015202</v>
      </c>
      <c r="Q3272">
        <v>0.444529760428994</v>
      </c>
      <c r="R3272">
        <v>0.92309696181951895</v>
      </c>
      <c r="S3272" t="s">
        <v>9098</v>
      </c>
      <c r="T3272" t="s">
        <v>11650</v>
      </c>
      <c r="U3272" t="s">
        <v>11650</v>
      </c>
      <c r="V3272" t="s">
        <v>11650</v>
      </c>
      <c r="W3272" t="s">
        <v>14874</v>
      </c>
      <c r="X3272">
        <v>19</v>
      </c>
      <c r="Y3272" t="s">
        <v>20561</v>
      </c>
      <c r="Z3272" t="s">
        <v>26334</v>
      </c>
      <c r="AA3272">
        <v>0.84030387825024555</v>
      </c>
      <c r="AB3272" t="str">
        <f>HYPERLINK("Melting_Curves/meltCurve_Q15637_5_SF1.pdf", "Melting_Curves/meltCurve_Q15637_5_SF1.pdf")</f>
        <v>Melting_Curves/meltCurve_Q15637_5_SF1.pdf</v>
      </c>
    </row>
    <row r="3273" spans="1:28" x14ac:dyDescent="0.25">
      <c r="A3273" t="s">
        <v>3277</v>
      </c>
      <c r="B3273">
        <v>0.99996721820229495</v>
      </c>
      <c r="C3273">
        <v>1.23883817623337</v>
      </c>
      <c r="D3273">
        <v>1.0165827940368499</v>
      </c>
      <c r="E3273">
        <v>0.88199356631035397</v>
      </c>
      <c r="F3273">
        <v>0.52719942284871701</v>
      </c>
      <c r="G3273">
        <v>0.55051622067691597</v>
      </c>
      <c r="H3273">
        <v>0.33324541942406599</v>
      </c>
      <c r="I3273">
        <v>0.22423614228535299</v>
      </c>
      <c r="J3273">
        <v>8.6669823277202601E-2</v>
      </c>
      <c r="K3273">
        <v>9.1693109932332595E-2</v>
      </c>
      <c r="L3273">
        <v>728.91537168890898</v>
      </c>
      <c r="M3273">
        <v>12.929605682444601</v>
      </c>
      <c r="N3273">
        <v>56.608470352967998</v>
      </c>
      <c r="O3273">
        <v>55.078214111423797</v>
      </c>
      <c r="P3273">
        <v>-5.7178209662263502E-2</v>
      </c>
      <c r="Q3273">
        <v>2.5892750925688299E-2</v>
      </c>
      <c r="R3273">
        <v>0.92818843688030706</v>
      </c>
      <c r="S3273" t="s">
        <v>9099</v>
      </c>
      <c r="T3273" t="s">
        <v>11650</v>
      </c>
      <c r="U3273" t="s">
        <v>11650</v>
      </c>
      <c r="V3273" t="s">
        <v>11650</v>
      </c>
      <c r="W3273" t="s">
        <v>14875</v>
      </c>
      <c r="X3273">
        <v>22</v>
      </c>
      <c r="Y3273" t="s">
        <v>20562</v>
      </c>
      <c r="Z3273" t="s">
        <v>26335</v>
      </c>
      <c r="AA3273">
        <v>0.57576878781930574</v>
      </c>
      <c r="AB3273" t="str">
        <f>HYPERLINK("Melting_Curves/meltCurve_Q15642_TRIP10.pdf", "Melting_Curves/meltCurve_Q15642_TRIP10.pdf")</f>
        <v>Melting_Curves/meltCurve_Q15642_TRIP10.pdf</v>
      </c>
    </row>
    <row r="3274" spans="1:28" x14ac:dyDescent="0.25">
      <c r="A3274" t="s">
        <v>3278</v>
      </c>
      <c r="B3274">
        <v>0.99996721820229495</v>
      </c>
      <c r="C3274">
        <v>0.86305417041855104</v>
      </c>
      <c r="D3274">
        <v>0.82688497715361997</v>
      </c>
      <c r="E3274">
        <v>0.85256255811297899</v>
      </c>
      <c r="F3274">
        <v>0.91259536034283795</v>
      </c>
      <c r="G3274">
        <v>0.71932443238402999</v>
      </c>
      <c r="H3274">
        <v>0.616043477164954</v>
      </c>
      <c r="I3274">
        <v>0.24143775076219001</v>
      </c>
      <c r="J3274">
        <v>0.21283863433296299</v>
      </c>
      <c r="K3274">
        <v>0.168789679557315</v>
      </c>
      <c r="L3274">
        <v>795.97986238589601</v>
      </c>
      <c r="M3274">
        <v>13.056297196294</v>
      </c>
      <c r="N3274">
        <v>60.9652071685679</v>
      </c>
      <c r="O3274">
        <v>59.588200091838502</v>
      </c>
      <c r="P3274">
        <v>-5.4786706637811197E-2</v>
      </c>
      <c r="Q3274">
        <v>0</v>
      </c>
      <c r="R3274">
        <v>0.91220375817584498</v>
      </c>
      <c r="S3274" t="s">
        <v>9100</v>
      </c>
      <c r="T3274" t="s">
        <v>11650</v>
      </c>
      <c r="U3274" t="s">
        <v>11650</v>
      </c>
      <c r="V3274" t="s">
        <v>11650</v>
      </c>
      <c r="W3274" t="s">
        <v>14876</v>
      </c>
      <c r="X3274">
        <v>23</v>
      </c>
      <c r="Y3274" t="s">
        <v>20562</v>
      </c>
      <c r="Z3274" t="s">
        <v>26336</v>
      </c>
      <c r="AA3274">
        <v>0.69792174609933155</v>
      </c>
      <c r="AB3274" t="str">
        <f>HYPERLINK("Melting_Curves/meltCurve_Q15642_2_TRIP10.pdf", "Melting_Curves/meltCurve_Q15642_2_TRIP10.pdf")</f>
        <v>Melting_Curves/meltCurve_Q15642_2_TRIP10.pdf</v>
      </c>
    </row>
    <row r="3275" spans="1:28" x14ac:dyDescent="0.25">
      <c r="A3275" t="s">
        <v>3279</v>
      </c>
      <c r="B3275">
        <v>0.99996721820229495</v>
      </c>
      <c r="C3275">
        <v>0.84969675581414905</v>
      </c>
      <c r="D3275">
        <v>0.46052803227481398</v>
      </c>
      <c r="E3275">
        <v>0.36580812463715001</v>
      </c>
      <c r="F3275">
        <v>0.37225076026968601</v>
      </c>
      <c r="G3275">
        <v>0.33548988673368402</v>
      </c>
      <c r="H3275">
        <v>0.235230299655147</v>
      </c>
      <c r="I3275">
        <v>0.17825377464672601</v>
      </c>
      <c r="J3275">
        <v>0.14582747962564799</v>
      </c>
      <c r="K3275">
        <v>0.120419585892706</v>
      </c>
      <c r="L3275">
        <v>727.84949375830104</v>
      </c>
      <c r="M3275">
        <v>15.9173824287434</v>
      </c>
      <c r="N3275">
        <v>47.227627559551102</v>
      </c>
      <c r="O3275">
        <v>45.0232312641769</v>
      </c>
      <c r="P3275">
        <v>-7.0844926297941396E-2</v>
      </c>
      <c r="Q3275">
        <v>0.19850839681761101</v>
      </c>
      <c r="R3275">
        <v>0.93185339276728596</v>
      </c>
      <c r="S3275" t="s">
        <v>9101</v>
      </c>
      <c r="T3275" t="s">
        <v>11650</v>
      </c>
      <c r="U3275" t="s">
        <v>11650</v>
      </c>
      <c r="V3275" t="s">
        <v>11650</v>
      </c>
      <c r="W3275" t="s">
        <v>14877</v>
      </c>
      <c r="X3275">
        <v>32</v>
      </c>
      <c r="Y3275" t="s">
        <v>20563</v>
      </c>
      <c r="Z3275" t="s">
        <v>26337</v>
      </c>
      <c r="AA3275">
        <v>0.3726174897118032</v>
      </c>
      <c r="AB3275" t="str">
        <f>HYPERLINK("Melting_Curves/meltCurve_Q15643_TRIP11.pdf", "Melting_Curves/meltCurve_Q15643_TRIP11.pdf")</f>
        <v>Melting_Curves/meltCurve_Q15643_TRIP11.pdf</v>
      </c>
    </row>
    <row r="3276" spans="1:28" x14ac:dyDescent="0.25">
      <c r="A3276" t="s">
        <v>3280</v>
      </c>
      <c r="B3276">
        <v>0.99996721820229495</v>
      </c>
      <c r="C3276">
        <v>1.0654078263523601</v>
      </c>
      <c r="D3276">
        <v>0.91685220242387799</v>
      </c>
      <c r="E3276">
        <v>0.81204759640134705</v>
      </c>
      <c r="F3276">
        <v>0.52091525584276499</v>
      </c>
      <c r="G3276">
        <v>0.30015460939381999</v>
      </c>
      <c r="H3276">
        <v>0.188257851150504</v>
      </c>
      <c r="I3276">
        <v>0.11499182398692499</v>
      </c>
      <c r="J3276">
        <v>0.111993521130338</v>
      </c>
      <c r="K3276">
        <v>6.7282464817488896E-2</v>
      </c>
      <c r="L3276">
        <v>967.812274595806</v>
      </c>
      <c r="M3276">
        <v>18.198436831872499</v>
      </c>
      <c r="N3276">
        <v>53.702667555829699</v>
      </c>
      <c r="O3276">
        <v>52.551386377430298</v>
      </c>
      <c r="P3276">
        <v>-7.9564815011091597E-2</v>
      </c>
      <c r="Q3276">
        <v>8.1010336919892095E-2</v>
      </c>
      <c r="R3276">
        <v>0.99270069320405596</v>
      </c>
      <c r="S3276" t="s">
        <v>9102</v>
      </c>
      <c r="T3276" t="s">
        <v>11650</v>
      </c>
      <c r="U3276" t="s">
        <v>11650</v>
      </c>
      <c r="V3276" t="s">
        <v>11650</v>
      </c>
      <c r="W3276" t="s">
        <v>14878</v>
      </c>
      <c r="X3276">
        <v>7</v>
      </c>
      <c r="Y3276" t="s">
        <v>20564</v>
      </c>
      <c r="Z3276" t="s">
        <v>26338</v>
      </c>
      <c r="AA3276">
        <v>0.49952096933587631</v>
      </c>
      <c r="AB3276" t="str">
        <f>HYPERLINK("Melting_Curves/meltCurve_Q15645_TRIP13.pdf", "Melting_Curves/meltCurve_Q15645_TRIP13.pdf")</f>
        <v>Melting_Curves/meltCurve_Q15645_TRIP13.pdf</v>
      </c>
    </row>
    <row r="3277" spans="1:28" x14ac:dyDescent="0.25">
      <c r="A3277" t="s">
        <v>3281</v>
      </c>
      <c r="B3277">
        <v>0.99996721820229495</v>
      </c>
      <c r="C3277">
        <v>1.2740898428202401</v>
      </c>
      <c r="D3277">
        <v>1.0618813740970701</v>
      </c>
      <c r="E3277">
        <v>0.83297892268902496</v>
      </c>
      <c r="F3277">
        <v>0.99878055283280298</v>
      </c>
      <c r="G3277">
        <v>0.85517162822264603</v>
      </c>
      <c r="H3277">
        <v>0.51366962265539895</v>
      </c>
      <c r="I3277">
        <v>0.480718326713651</v>
      </c>
      <c r="J3277">
        <v>0.355496795690598</v>
      </c>
      <c r="K3277">
        <v>0.31866452560727598</v>
      </c>
      <c r="L3277">
        <v>1436.41268624498</v>
      </c>
      <c r="M3277">
        <v>24.112159205497601</v>
      </c>
      <c r="N3277">
        <v>62.161174944193199</v>
      </c>
      <c r="O3277">
        <v>59.166914742833903</v>
      </c>
      <c r="P3277">
        <v>-6.9602079492570801E-2</v>
      </c>
      <c r="Q3277">
        <v>0.31684653787813999</v>
      </c>
      <c r="R3277">
        <v>0.88531682152535796</v>
      </c>
      <c r="S3277" t="s">
        <v>9103</v>
      </c>
      <c r="T3277" t="s">
        <v>11650</v>
      </c>
      <c r="U3277" t="s">
        <v>11650</v>
      </c>
      <c r="V3277" t="s">
        <v>11650</v>
      </c>
      <c r="W3277" t="s">
        <v>14879</v>
      </c>
      <c r="X3277">
        <v>1</v>
      </c>
      <c r="Y3277" t="s">
        <v>20565</v>
      </c>
      <c r="Z3277" t="s">
        <v>26339</v>
      </c>
      <c r="AA3277">
        <v>0.76805233714989929</v>
      </c>
      <c r="AB3277" t="str">
        <f>HYPERLINK("Melting_Curves/meltCurve_Q15650_TRIP4.pdf", "Melting_Curves/meltCurve_Q15650_TRIP4.pdf")</f>
        <v>Melting_Curves/meltCurve_Q15650_TRIP4.pdf</v>
      </c>
    </row>
    <row r="3278" spans="1:28" x14ac:dyDescent="0.25">
      <c r="A3278" t="s">
        <v>3282</v>
      </c>
      <c r="B3278">
        <v>0.99996721820229495</v>
      </c>
      <c r="C3278">
        <v>0.96188743579207603</v>
      </c>
      <c r="D3278">
        <v>0.80892057981978105</v>
      </c>
      <c r="E3278">
        <v>0.62350340392552295</v>
      </c>
      <c r="F3278">
        <v>0.40197097919268798</v>
      </c>
      <c r="G3278">
        <v>0.31781315337537602</v>
      </c>
      <c r="H3278">
        <v>0.19616305761029601</v>
      </c>
      <c r="I3278">
        <v>0.13450101710482501</v>
      </c>
      <c r="J3278">
        <v>0.108758490999982</v>
      </c>
      <c r="K3278">
        <v>9.4676513926748501E-2</v>
      </c>
      <c r="L3278">
        <v>655.47465351978406</v>
      </c>
      <c r="M3278">
        <v>12.776769505648099</v>
      </c>
      <c r="N3278">
        <v>51.953873077980901</v>
      </c>
      <c r="O3278">
        <v>50.094050052264301</v>
      </c>
      <c r="P3278">
        <v>-5.9053080388204601E-2</v>
      </c>
      <c r="Q3278">
        <v>7.4054195960928701E-2</v>
      </c>
      <c r="R3278">
        <v>0.99478586284361104</v>
      </c>
      <c r="S3278" t="s">
        <v>9104</v>
      </c>
      <c r="T3278" t="s">
        <v>11650</v>
      </c>
      <c r="U3278" t="s">
        <v>11650</v>
      </c>
      <c r="V3278" t="s">
        <v>11650</v>
      </c>
      <c r="W3278" t="s">
        <v>14880</v>
      </c>
      <c r="X3278">
        <v>11</v>
      </c>
      <c r="Y3278" t="s">
        <v>20566</v>
      </c>
      <c r="Z3278" t="s">
        <v>26340</v>
      </c>
      <c r="AA3278">
        <v>0.45000485100504067</v>
      </c>
      <c r="AB3278" t="str">
        <f>HYPERLINK("Melting_Curves/meltCurve_Q15654_TRIP6.pdf", "Melting_Curves/meltCurve_Q15654_TRIP6.pdf")</f>
        <v>Melting_Curves/meltCurve_Q15654_TRIP6.pdf</v>
      </c>
    </row>
    <row r="3279" spans="1:28" x14ac:dyDescent="0.25">
      <c r="A3279" t="s">
        <v>3283</v>
      </c>
      <c r="B3279">
        <v>0.99996721820229495</v>
      </c>
      <c r="C3279">
        <v>1.1046875642457901</v>
      </c>
      <c r="D3279">
        <v>1.0383339509462499</v>
      </c>
      <c r="E3279">
        <v>0.99577190725236997</v>
      </c>
      <c r="F3279">
        <v>0.541174866657403</v>
      </c>
      <c r="G3279">
        <v>0.36953604831352399</v>
      </c>
      <c r="H3279">
        <v>0.20809517187327201</v>
      </c>
      <c r="I3279">
        <v>0.16480711192370501</v>
      </c>
      <c r="J3279">
        <v>0.120939762595988</v>
      </c>
      <c r="K3279">
        <v>8.8682913418940704E-2</v>
      </c>
      <c r="L3279">
        <v>1352.33751567325</v>
      </c>
      <c r="M3279">
        <v>25.1550311224882</v>
      </c>
      <c r="N3279">
        <v>54.444955442397898</v>
      </c>
      <c r="O3279">
        <v>53.4238342784558</v>
      </c>
      <c r="P3279">
        <v>-0.101751338352622</v>
      </c>
      <c r="Q3279">
        <v>0.13562038630856499</v>
      </c>
      <c r="R3279">
        <v>0.97257009011174</v>
      </c>
      <c r="S3279" t="s">
        <v>9105</v>
      </c>
      <c r="T3279" t="s">
        <v>11650</v>
      </c>
      <c r="U3279" t="s">
        <v>11650</v>
      </c>
      <c r="V3279" t="s">
        <v>11650</v>
      </c>
      <c r="W3279" t="s">
        <v>14881</v>
      </c>
      <c r="X3279">
        <v>21</v>
      </c>
      <c r="Y3279" t="s">
        <v>20567</v>
      </c>
      <c r="Z3279" t="s">
        <v>26341</v>
      </c>
      <c r="AA3279">
        <v>0.53998800121185908</v>
      </c>
      <c r="AB3279" t="str">
        <f>HYPERLINK("Melting_Curves/meltCurve_Q15691_MAPRE1.pdf", "Melting_Curves/meltCurve_Q15691_MAPRE1.pdf")</f>
        <v>Melting_Curves/meltCurve_Q15691_MAPRE1.pdf</v>
      </c>
    </row>
    <row r="3280" spans="1:28" x14ac:dyDescent="0.25">
      <c r="A3280" t="s">
        <v>3284</v>
      </c>
      <c r="B3280">
        <v>0.99996721820229495</v>
      </c>
      <c r="C3280">
        <v>1.0289672135407499</v>
      </c>
      <c r="D3280">
        <v>1.02543209745585</v>
      </c>
      <c r="E3280">
        <v>1.06890123673908</v>
      </c>
      <c r="F3280">
        <v>1.36895675884944</v>
      </c>
      <c r="G3280">
        <v>1.5984335906384799</v>
      </c>
      <c r="H3280">
        <v>1.23628393747014</v>
      </c>
      <c r="I3280">
        <v>1.19246628877043</v>
      </c>
      <c r="J3280">
        <v>1.12082310154006</v>
      </c>
      <c r="K3280">
        <v>0.83815543472755005</v>
      </c>
      <c r="L3280">
        <v>12541.162235449499</v>
      </c>
      <c r="M3280">
        <v>250</v>
      </c>
      <c r="O3280">
        <v>50.161437987663803</v>
      </c>
      <c r="P3280">
        <v>0.28140784329296697</v>
      </c>
      <c r="Q3280">
        <v>1.2258531563993</v>
      </c>
      <c r="R3280">
        <v>0.22195674416473701</v>
      </c>
      <c r="S3280" t="s">
        <v>9106</v>
      </c>
      <c r="T3280" t="s">
        <v>11650</v>
      </c>
      <c r="U3280" t="s">
        <v>11650</v>
      </c>
      <c r="V3280" t="s">
        <v>11650</v>
      </c>
      <c r="W3280" t="s">
        <v>14882</v>
      </c>
      <c r="X3280">
        <v>23</v>
      </c>
      <c r="Y3280" t="s">
        <v>20568</v>
      </c>
      <c r="Z3280" t="s">
        <v>26342</v>
      </c>
      <c r="AA3280">
        <v>1.14930933779235</v>
      </c>
      <c r="AB3280" t="str">
        <f>HYPERLINK("Melting_Curves/meltCurve_Q15714_TSC22D1.pdf", "Melting_Curves/meltCurve_Q15714_TSC22D1.pdf")</f>
        <v>Melting_Curves/meltCurve_Q15714_TSC22D1.pdf</v>
      </c>
    </row>
    <row r="3281" spans="1:28" x14ac:dyDescent="0.25">
      <c r="A3281" t="s">
        <v>3285</v>
      </c>
      <c r="B3281">
        <v>0.99996721820229495</v>
      </c>
      <c r="C3281">
        <v>1.1314767878690399</v>
      </c>
      <c r="D3281">
        <v>0.96866195130149901</v>
      </c>
      <c r="E3281">
        <v>0.92645066627760297</v>
      </c>
      <c r="F3281">
        <v>0.87870343473000201</v>
      </c>
      <c r="G3281">
        <v>0.92180944643195895</v>
      </c>
      <c r="H3281">
        <v>0.62496148075955105</v>
      </c>
      <c r="I3281">
        <v>0.423765218769938</v>
      </c>
      <c r="J3281">
        <v>0.309483382099075</v>
      </c>
      <c r="K3281">
        <v>0.27758547004341499</v>
      </c>
      <c r="L3281">
        <v>1375.83542681226</v>
      </c>
      <c r="M3281">
        <v>22.469508731721302</v>
      </c>
      <c r="N3281">
        <v>62.855188303447903</v>
      </c>
      <c r="O3281">
        <v>60.752408839589201</v>
      </c>
      <c r="P3281">
        <v>-7.2104364551335495E-2</v>
      </c>
      <c r="Q3281">
        <v>0.220201157651924</v>
      </c>
      <c r="R3281">
        <v>0.95981490207106301</v>
      </c>
      <c r="S3281" t="s">
        <v>9107</v>
      </c>
      <c r="T3281" t="s">
        <v>11650</v>
      </c>
      <c r="U3281" t="s">
        <v>11650</v>
      </c>
      <c r="V3281" t="s">
        <v>11650</v>
      </c>
      <c r="W3281" t="s">
        <v>14883</v>
      </c>
      <c r="X3281">
        <v>2</v>
      </c>
      <c r="Y3281" t="s">
        <v>20569</v>
      </c>
      <c r="Z3281" t="s">
        <v>26343</v>
      </c>
      <c r="AA3281">
        <v>0.7766923876458639</v>
      </c>
      <c r="AB3281" t="str">
        <f>HYPERLINK("Melting_Curves/meltCurve_Q15717_ELAVL1.pdf", "Melting_Curves/meltCurve_Q15717_ELAVL1.pdf")</f>
        <v>Melting_Curves/meltCurve_Q15717_ELAVL1.pdf</v>
      </c>
    </row>
    <row r="3282" spans="1:28" x14ac:dyDescent="0.25">
      <c r="A3282" t="s">
        <v>3286</v>
      </c>
      <c r="B3282">
        <v>0.99996721820229495</v>
      </c>
      <c r="C3282">
        <v>1.0145169237131699</v>
      </c>
      <c r="D3282">
        <v>0.95755390349383296</v>
      </c>
      <c r="E3282">
        <v>0.89710528293118996</v>
      </c>
      <c r="F3282">
        <v>0.60973177614346297</v>
      </c>
      <c r="G3282">
        <v>0.28463280722884599</v>
      </c>
      <c r="H3282">
        <v>0.154775891369132</v>
      </c>
      <c r="I3282">
        <v>0.11417904309371101</v>
      </c>
      <c r="J3282">
        <v>9.3622227128227695E-2</v>
      </c>
      <c r="K3282">
        <v>7.2105514903481299E-2</v>
      </c>
      <c r="L3282">
        <v>1257.94696553224</v>
      </c>
      <c r="M3282">
        <v>23.3618923284921</v>
      </c>
      <c r="N3282">
        <v>54.280695793836102</v>
      </c>
      <c r="O3282">
        <v>53.456220592776297</v>
      </c>
      <c r="P3282">
        <v>-9.9939702830564997E-2</v>
      </c>
      <c r="Q3282">
        <v>8.5295824273434698E-2</v>
      </c>
      <c r="R3282">
        <v>0.998367690771229</v>
      </c>
      <c r="S3282" t="s">
        <v>9108</v>
      </c>
      <c r="T3282" t="s">
        <v>11650</v>
      </c>
      <c r="U3282" t="s">
        <v>11650</v>
      </c>
      <c r="V3282" t="s">
        <v>11650</v>
      </c>
      <c r="W3282" t="s">
        <v>14884</v>
      </c>
      <c r="X3282">
        <v>18</v>
      </c>
      <c r="Y3282" t="s">
        <v>20570</v>
      </c>
      <c r="Z3282" t="s">
        <v>26344</v>
      </c>
      <c r="AA3282">
        <v>0.51702652945375949</v>
      </c>
      <c r="AB3282" t="str">
        <f>HYPERLINK("Melting_Curves/meltCurve_Q15738_NSDHL.pdf", "Melting_Curves/meltCurve_Q15738_NSDHL.pdf")</f>
        <v>Melting_Curves/meltCurve_Q15738_NSDHL.pdf</v>
      </c>
    </row>
    <row r="3283" spans="1:28" x14ac:dyDescent="0.25">
      <c r="A3283" t="s">
        <v>3287</v>
      </c>
      <c r="B3283">
        <v>0.99996721820229495</v>
      </c>
      <c r="C3283">
        <v>0.54191664965004105</v>
      </c>
      <c r="D3283">
        <v>0.33759048157612598</v>
      </c>
      <c r="E3283">
        <v>0.23248708536971599</v>
      </c>
      <c r="F3283">
        <v>0.28338509800811701</v>
      </c>
      <c r="G3283">
        <v>0.24390251921905301</v>
      </c>
      <c r="H3283">
        <v>0.165962368234785</v>
      </c>
      <c r="I3283">
        <v>0.11603428050461501</v>
      </c>
      <c r="J3283">
        <v>7.0831053949798703E-2</v>
      </c>
      <c r="K3283">
        <v>4.9776183471729303E-2</v>
      </c>
      <c r="L3283">
        <v>1121.0512304537201</v>
      </c>
      <c r="M3283">
        <v>25.9896974706582</v>
      </c>
      <c r="N3283">
        <v>43.797077481069302</v>
      </c>
      <c r="O3283">
        <v>42.881507139200501</v>
      </c>
      <c r="P3283">
        <v>-0.126890897989412</v>
      </c>
      <c r="Q3283">
        <v>0.16255895636067999</v>
      </c>
      <c r="R3283">
        <v>0.91662092766040804</v>
      </c>
      <c r="S3283" t="s">
        <v>9109</v>
      </c>
      <c r="T3283" t="s">
        <v>11650</v>
      </c>
      <c r="U3283" t="s">
        <v>11650</v>
      </c>
      <c r="V3283" t="s">
        <v>11650</v>
      </c>
      <c r="W3283" t="s">
        <v>14885</v>
      </c>
      <c r="X3283">
        <v>2</v>
      </c>
      <c r="Y3283" t="s">
        <v>20571</v>
      </c>
      <c r="Z3283" t="s">
        <v>26345</v>
      </c>
      <c r="AA3283">
        <v>0.26060085436939928</v>
      </c>
      <c r="AB3283" t="str">
        <f>HYPERLINK("Melting_Curves/meltCurve_Q15742_3_NAB2.pdf", "Melting_Curves/meltCurve_Q15742_3_NAB2.pdf")</f>
        <v>Melting_Curves/meltCurve_Q15742_3_NAB2.pdf</v>
      </c>
    </row>
    <row r="3284" spans="1:28" x14ac:dyDescent="0.25">
      <c r="A3284" t="s">
        <v>3288</v>
      </c>
      <c r="B3284">
        <v>0.99996721820229495</v>
      </c>
      <c r="C3284">
        <v>1.0999128748587399</v>
      </c>
      <c r="D3284">
        <v>1.22950512531161</v>
      </c>
      <c r="E3284">
        <v>1.4148871526651301</v>
      </c>
      <c r="F3284">
        <v>2.2138173610896801</v>
      </c>
      <c r="G3284">
        <v>2.4921922294360699</v>
      </c>
      <c r="H3284">
        <v>1.91596484032534</v>
      </c>
      <c r="I3284">
        <v>1.18751011662302</v>
      </c>
      <c r="J3284">
        <v>0.88153402698938699</v>
      </c>
      <c r="K3284">
        <v>0.87034480774667</v>
      </c>
      <c r="L3284">
        <v>1958.69772662882</v>
      </c>
      <c r="M3284">
        <v>42.542739256624998</v>
      </c>
      <c r="O3284">
        <v>45.939324815020697</v>
      </c>
      <c r="P3284">
        <v>0.115758145055105</v>
      </c>
      <c r="Q3284">
        <v>1.5</v>
      </c>
      <c r="R3284">
        <v>0.143412285523634</v>
      </c>
      <c r="S3284" t="s">
        <v>9110</v>
      </c>
      <c r="T3284" t="s">
        <v>11650</v>
      </c>
      <c r="U3284" t="s">
        <v>11650</v>
      </c>
      <c r="V3284" t="s">
        <v>11650</v>
      </c>
      <c r="W3284" t="s">
        <v>14886</v>
      </c>
      <c r="X3284">
        <v>2</v>
      </c>
      <c r="Y3284" t="s">
        <v>20572</v>
      </c>
      <c r="Z3284" t="s">
        <v>26346</v>
      </c>
      <c r="AA3284">
        <v>1.3978947370482311</v>
      </c>
      <c r="AB3284" t="str">
        <f>HYPERLINK("Melting_Curves/meltCurve_Q15743_GPR68.pdf", "Melting_Curves/meltCurve_Q15743_GPR68.pdf")</f>
        <v>Melting_Curves/meltCurve_Q15743_GPR68.pdf</v>
      </c>
    </row>
    <row r="3285" spans="1:28" x14ac:dyDescent="0.25">
      <c r="A3285" t="s">
        <v>3289</v>
      </c>
      <c r="B3285">
        <v>0.99996721820229495</v>
      </c>
      <c r="C3285">
        <v>0.95578797303701502</v>
      </c>
      <c r="D3285">
        <v>0.75229421450094203</v>
      </c>
      <c r="E3285">
        <v>0.45090805640830101</v>
      </c>
      <c r="F3285">
        <v>0.41457094936182698</v>
      </c>
      <c r="G3285">
        <v>0.34155709909683102</v>
      </c>
      <c r="H3285">
        <v>0.18793258628398099</v>
      </c>
      <c r="I3285">
        <v>7.3520476849942007E-2</v>
      </c>
      <c r="J3285">
        <v>6.1443605353001599E-2</v>
      </c>
      <c r="K3285">
        <v>4.5206015018915399E-2</v>
      </c>
      <c r="L3285">
        <v>544.85753661035903</v>
      </c>
      <c r="M3285">
        <v>10.6880123201689</v>
      </c>
      <c r="N3285">
        <v>51.062482656522697</v>
      </c>
      <c r="O3285">
        <v>49.290972408553401</v>
      </c>
      <c r="P3285">
        <v>-5.3756153764752297E-2</v>
      </c>
      <c r="Q3285">
        <v>8.7233431430767394E-3</v>
      </c>
      <c r="R3285">
        <v>0.97443510753451101</v>
      </c>
      <c r="S3285" t="s">
        <v>9111</v>
      </c>
      <c r="T3285" t="s">
        <v>11650</v>
      </c>
      <c r="U3285" t="s">
        <v>11650</v>
      </c>
      <c r="V3285" t="s">
        <v>11650</v>
      </c>
      <c r="W3285" t="s">
        <v>14887</v>
      </c>
      <c r="X3285">
        <v>84</v>
      </c>
      <c r="Y3285" t="s">
        <v>20573</v>
      </c>
      <c r="Z3285" t="s">
        <v>26347</v>
      </c>
      <c r="AA3285">
        <v>0.40942431919719291</v>
      </c>
      <c r="AB3285" t="str">
        <f>HYPERLINK("Melting_Curves/meltCurve_Q15746_6_MYLK.pdf", "Melting_Curves/meltCurve_Q15746_6_MYLK.pdf")</f>
        <v>Melting_Curves/meltCurve_Q15746_6_MYLK.pdf</v>
      </c>
    </row>
    <row r="3286" spans="1:28" x14ac:dyDescent="0.25">
      <c r="A3286" t="s">
        <v>3290</v>
      </c>
      <c r="B3286">
        <v>0.99996721820229495</v>
      </c>
      <c r="C3286">
        <v>0.99026820147800498</v>
      </c>
      <c r="D3286">
        <v>0.86988698749509596</v>
      </c>
      <c r="E3286">
        <v>0.39598110775557499</v>
      </c>
      <c r="F3286">
        <v>0.39816493898036398</v>
      </c>
      <c r="G3286">
        <v>0.34285567575367798</v>
      </c>
      <c r="H3286">
        <v>0.221328967505112</v>
      </c>
      <c r="I3286">
        <v>0.16785281041428399</v>
      </c>
      <c r="J3286">
        <v>0.120662276966489</v>
      </c>
      <c r="K3286">
        <v>8.6204816714082699E-2</v>
      </c>
      <c r="L3286">
        <v>841.18258702420405</v>
      </c>
      <c r="M3286">
        <v>17.0582244449377</v>
      </c>
      <c r="N3286">
        <v>50.398723850657298</v>
      </c>
      <c r="O3286">
        <v>48.6496935765947</v>
      </c>
      <c r="P3286">
        <v>-7.4178712740640904E-2</v>
      </c>
      <c r="Q3286">
        <v>0.15382714745069401</v>
      </c>
      <c r="R3286">
        <v>0.95932898105708797</v>
      </c>
      <c r="S3286" t="s">
        <v>9112</v>
      </c>
      <c r="T3286" t="s">
        <v>11650</v>
      </c>
      <c r="U3286" t="s">
        <v>11650</v>
      </c>
      <c r="V3286" t="s">
        <v>11650</v>
      </c>
      <c r="W3286" t="s">
        <v>14888</v>
      </c>
      <c r="X3286">
        <v>12</v>
      </c>
      <c r="Y3286" t="s">
        <v>20574</v>
      </c>
      <c r="Z3286" t="s">
        <v>26348</v>
      </c>
      <c r="AA3286">
        <v>0.43267784964183109</v>
      </c>
      <c r="AB3286" t="str">
        <f>HYPERLINK("Melting_Curves/meltCurve_Q15750_2_TAB1.pdf", "Melting_Curves/meltCurve_Q15750_2_TAB1.pdf")</f>
        <v>Melting_Curves/meltCurve_Q15750_2_TAB1.pdf</v>
      </c>
    </row>
    <row r="3287" spans="1:28" x14ac:dyDescent="0.25">
      <c r="A3287" t="s">
        <v>3291</v>
      </c>
      <c r="B3287">
        <v>0.99996721820229495</v>
      </c>
      <c r="C3287">
        <v>0.795283184684211</v>
      </c>
      <c r="D3287">
        <v>1.00433914688283</v>
      </c>
      <c r="E3287">
        <v>1.30122265686038</v>
      </c>
      <c r="F3287">
        <v>1.7122069570838401</v>
      </c>
      <c r="G3287">
        <v>1.65793203839282</v>
      </c>
      <c r="H3287">
        <v>1.4689624245417601</v>
      </c>
      <c r="I3287">
        <v>1.31002598666848</v>
      </c>
      <c r="J3287">
        <v>1.0407882528696499</v>
      </c>
      <c r="K3287">
        <v>1.27111962811651</v>
      </c>
      <c r="L3287">
        <v>12449.151647049401</v>
      </c>
      <c r="M3287">
        <v>250</v>
      </c>
      <c r="O3287">
        <v>49.793419863387903</v>
      </c>
      <c r="P3287">
        <v>0.51484275542538405</v>
      </c>
      <c r="Q3287">
        <v>1.4101725038669699</v>
      </c>
      <c r="R3287">
        <v>0.54957053953868695</v>
      </c>
      <c r="S3287" t="s">
        <v>9113</v>
      </c>
      <c r="T3287" t="s">
        <v>11650</v>
      </c>
      <c r="U3287" t="s">
        <v>11650</v>
      </c>
      <c r="V3287" t="s">
        <v>11650</v>
      </c>
      <c r="W3287" t="s">
        <v>14889</v>
      </c>
      <c r="X3287">
        <v>10</v>
      </c>
      <c r="Y3287" t="s">
        <v>20575</v>
      </c>
      <c r="Z3287" t="s">
        <v>26349</v>
      </c>
      <c r="AA3287">
        <v>1.2761933695049441</v>
      </c>
      <c r="AB3287" t="str">
        <f>HYPERLINK("Melting_Curves/meltCurve_Q15758_SLC1A5.pdf", "Melting_Curves/meltCurve_Q15758_SLC1A5.pdf")</f>
        <v>Melting_Curves/meltCurve_Q15758_SLC1A5.pdf</v>
      </c>
    </row>
    <row r="3288" spans="1:28" x14ac:dyDescent="0.25">
      <c r="A3288" t="s">
        <v>3292</v>
      </c>
      <c r="B3288">
        <v>0.99996721820229495</v>
      </c>
      <c r="C3288">
        <v>1.04648553386292</v>
      </c>
      <c r="D3288">
        <v>0.93668374352932504</v>
      </c>
      <c r="E3288">
        <v>0.65445848766639803</v>
      </c>
      <c r="F3288">
        <v>0.35802384813041999</v>
      </c>
      <c r="G3288">
        <v>0.25411579004630103</v>
      </c>
      <c r="H3288">
        <v>0.157610346228654</v>
      </c>
      <c r="I3288">
        <v>9.8906224347015806E-2</v>
      </c>
      <c r="J3288">
        <v>5.68361417002353E-2</v>
      </c>
      <c r="K3288">
        <v>5.04681383110865E-2</v>
      </c>
      <c r="L3288">
        <v>1004.48726480781</v>
      </c>
      <c r="M3288">
        <v>19.563976879677899</v>
      </c>
      <c r="N3288">
        <v>51.797521993247003</v>
      </c>
      <c r="O3288">
        <v>50.816298273337701</v>
      </c>
      <c r="P3288">
        <v>-8.86714188515665E-2</v>
      </c>
      <c r="Q3288">
        <v>7.8757162816762094E-2</v>
      </c>
      <c r="R3288">
        <v>0.99067255377144503</v>
      </c>
      <c r="S3288" t="s">
        <v>9114</v>
      </c>
      <c r="T3288" t="s">
        <v>11650</v>
      </c>
      <c r="U3288" t="s">
        <v>11650</v>
      </c>
      <c r="V3288" t="s">
        <v>11650</v>
      </c>
      <c r="W3288" t="s">
        <v>14890</v>
      </c>
      <c r="X3288">
        <v>8</v>
      </c>
      <c r="Y3288" t="s">
        <v>20576</v>
      </c>
      <c r="Z3288" t="s">
        <v>26350</v>
      </c>
      <c r="AA3288">
        <v>0.44040621286929721</v>
      </c>
      <c r="AB3288" t="str">
        <f>HYPERLINK("Melting_Curves/meltCurve_Q15759_MAPK11.pdf", "Melting_Curves/meltCurve_Q15759_MAPK11.pdf")</f>
        <v>Melting_Curves/meltCurve_Q15759_MAPK11.pdf</v>
      </c>
    </row>
    <row r="3289" spans="1:28" x14ac:dyDescent="0.25">
      <c r="A3289" t="s">
        <v>3293</v>
      </c>
      <c r="B3289">
        <v>0.99996721820229495</v>
      </c>
      <c r="C3289">
        <v>0.88670414714845303</v>
      </c>
      <c r="D3289">
        <v>0.77583796259100202</v>
      </c>
      <c r="E3289">
        <v>0.52148013192968801</v>
      </c>
      <c r="F3289">
        <v>0.39997983408049398</v>
      </c>
      <c r="G3289">
        <v>0.29785348003165701</v>
      </c>
      <c r="H3289">
        <v>0.16322589888728301</v>
      </c>
      <c r="I3289">
        <v>7.3623222969929306E-2</v>
      </c>
      <c r="J3289">
        <v>4.5171727237899202E-2</v>
      </c>
      <c r="K3289">
        <v>4.3244123743749599E-2</v>
      </c>
      <c r="L3289">
        <v>557.68544654509606</v>
      </c>
      <c r="M3289">
        <v>10.9121352630843</v>
      </c>
      <c r="N3289">
        <v>51.106903771848799</v>
      </c>
      <c r="O3289">
        <v>49.480426487878297</v>
      </c>
      <c r="P3289">
        <v>-5.51527863568953E-2</v>
      </c>
      <c r="Q3289">
        <v>0</v>
      </c>
      <c r="R3289">
        <v>0.99304630509467195</v>
      </c>
      <c r="S3289" t="s">
        <v>9115</v>
      </c>
      <c r="T3289" t="s">
        <v>11650</v>
      </c>
      <c r="U3289" t="s">
        <v>11650</v>
      </c>
      <c r="V3289" t="s">
        <v>11650</v>
      </c>
      <c r="W3289" t="s">
        <v>14891</v>
      </c>
      <c r="X3289">
        <v>5</v>
      </c>
      <c r="Y3289" t="s">
        <v>20577</v>
      </c>
      <c r="Z3289" t="s">
        <v>26351</v>
      </c>
      <c r="AA3289">
        <v>0.40712106743340121</v>
      </c>
      <c r="AB3289" t="str">
        <f>HYPERLINK("Melting_Curves/meltCurve_Q15771_RAB30.pdf", "Melting_Curves/meltCurve_Q15771_RAB30.pdf")</f>
        <v>Melting_Curves/meltCurve_Q15771_RAB30.pdf</v>
      </c>
    </row>
    <row r="3290" spans="1:28" x14ac:dyDescent="0.25">
      <c r="A3290" t="s">
        <v>3294</v>
      </c>
      <c r="B3290">
        <v>0.99996721820229495</v>
      </c>
      <c r="C3290">
        <v>1.0076004534590099</v>
      </c>
      <c r="D3290">
        <v>0.61045389812644901</v>
      </c>
      <c r="E3290">
        <v>0.340376393795919</v>
      </c>
      <c r="F3290">
        <v>0.38545538788544098</v>
      </c>
      <c r="G3290">
        <v>0.31519136695764399</v>
      </c>
      <c r="H3290">
        <v>0.208185140116315</v>
      </c>
      <c r="I3290">
        <v>0.13218708437146201</v>
      </c>
      <c r="J3290">
        <v>9.7261360981444403E-2</v>
      </c>
      <c r="K3290">
        <v>8.3489144749464506E-2</v>
      </c>
      <c r="L3290">
        <v>744.95299379280004</v>
      </c>
      <c r="M3290">
        <v>15.599316411098499</v>
      </c>
      <c r="N3290">
        <v>48.808338846042503</v>
      </c>
      <c r="O3290">
        <v>46.9913350199325</v>
      </c>
      <c r="P3290">
        <v>-7.11401054878288E-2</v>
      </c>
      <c r="Q3290">
        <v>0.142865284339556</v>
      </c>
      <c r="R3290">
        <v>0.94109534169126796</v>
      </c>
      <c r="S3290" t="s">
        <v>9116</v>
      </c>
      <c r="T3290" t="s">
        <v>11650</v>
      </c>
      <c r="U3290" t="s">
        <v>11650</v>
      </c>
      <c r="V3290" t="s">
        <v>11650</v>
      </c>
      <c r="W3290" t="s">
        <v>14892</v>
      </c>
      <c r="X3290">
        <v>11</v>
      </c>
      <c r="Y3290" t="s">
        <v>20578</v>
      </c>
      <c r="Z3290" t="s">
        <v>26352</v>
      </c>
      <c r="AA3290">
        <v>0.38507520428048392</v>
      </c>
      <c r="AB3290" t="str">
        <f>HYPERLINK("Melting_Curves/meltCurve_Q15785_TOMM34.pdf", "Melting_Curves/meltCurve_Q15785_TOMM34.pdf")</f>
        <v>Melting_Curves/meltCurve_Q15785_TOMM34.pdf</v>
      </c>
    </row>
    <row r="3291" spans="1:28" x14ac:dyDescent="0.25">
      <c r="A3291" t="s">
        <v>3295</v>
      </c>
      <c r="B3291">
        <v>0.99996721820229495</v>
      </c>
      <c r="C3291">
        <v>0.82109155544676204</v>
      </c>
      <c r="D3291">
        <v>0.73675993513531302</v>
      </c>
      <c r="E3291">
        <v>0.491901399627728</v>
      </c>
      <c r="F3291">
        <v>0.29200993552681698</v>
      </c>
      <c r="G3291">
        <v>0.22824043624419099</v>
      </c>
      <c r="H3291">
        <v>0.15611551969936999</v>
      </c>
      <c r="I3291">
        <v>0.13408754393553801</v>
      </c>
      <c r="J3291">
        <v>0.102541413829793</v>
      </c>
      <c r="K3291">
        <v>8.2215581455631098E-2</v>
      </c>
      <c r="L3291">
        <v>629.15973949913496</v>
      </c>
      <c r="M3291">
        <v>12.859252728580101</v>
      </c>
      <c r="N3291">
        <v>49.595884914092601</v>
      </c>
      <c r="O3291">
        <v>47.788705315527601</v>
      </c>
      <c r="P3291">
        <v>-6.1924428217974899E-2</v>
      </c>
      <c r="Q3291">
        <v>7.9653221573413605E-2</v>
      </c>
      <c r="R3291">
        <v>0.99240305317006305</v>
      </c>
      <c r="S3291" t="s">
        <v>9117</v>
      </c>
      <c r="T3291" t="s">
        <v>11650</v>
      </c>
      <c r="U3291" t="s">
        <v>11650</v>
      </c>
      <c r="V3291" t="s">
        <v>11650</v>
      </c>
      <c r="W3291" t="s">
        <v>14893</v>
      </c>
      <c r="X3291">
        <v>9</v>
      </c>
      <c r="Y3291" t="s">
        <v>20579</v>
      </c>
      <c r="Z3291" t="s">
        <v>26353</v>
      </c>
      <c r="AA3291">
        <v>0.38366579839873638</v>
      </c>
      <c r="AB3291" t="str">
        <f>HYPERLINK("Melting_Curves/meltCurve_Q15796_2_SMAD2.pdf", "Melting_Curves/meltCurve_Q15796_2_SMAD2.pdf")</f>
        <v>Melting_Curves/meltCurve_Q15796_2_SMAD2.pdf</v>
      </c>
    </row>
    <row r="3292" spans="1:28" x14ac:dyDescent="0.25">
      <c r="A3292" t="s">
        <v>3296</v>
      </c>
      <c r="B3292">
        <v>0.99996721820229495</v>
      </c>
      <c r="C3292">
        <v>1.1593638062539999</v>
      </c>
      <c r="D3292">
        <v>1.23911285266737</v>
      </c>
      <c r="E3292">
        <v>1.28225615818702</v>
      </c>
      <c r="F3292">
        <v>1.2911732569698899</v>
      </c>
      <c r="G3292">
        <v>1.3541512922538499</v>
      </c>
      <c r="H3292">
        <v>0.89746100062442802</v>
      </c>
      <c r="I3292">
        <v>0.36469709918205401</v>
      </c>
      <c r="J3292">
        <v>0.19501756210823501</v>
      </c>
      <c r="K3292">
        <v>0.140411235776081</v>
      </c>
      <c r="L3292">
        <v>4139.29919899776</v>
      </c>
      <c r="M3292">
        <v>65.804912149118294</v>
      </c>
      <c r="N3292">
        <v>63.2716016913974</v>
      </c>
      <c r="O3292">
        <v>62.844577884880501</v>
      </c>
      <c r="P3292">
        <v>-0.22005744824866399</v>
      </c>
      <c r="Q3292">
        <v>0.15936901206988099</v>
      </c>
      <c r="R3292">
        <v>0.81824158459428897</v>
      </c>
      <c r="S3292" t="s">
        <v>9118</v>
      </c>
      <c r="T3292" t="s">
        <v>11650</v>
      </c>
      <c r="U3292" t="s">
        <v>11650</v>
      </c>
      <c r="V3292" t="s">
        <v>11650</v>
      </c>
      <c r="W3292" t="s">
        <v>14894</v>
      </c>
      <c r="X3292">
        <v>3</v>
      </c>
      <c r="Y3292" t="s">
        <v>20580</v>
      </c>
      <c r="Z3292" t="s">
        <v>26354</v>
      </c>
      <c r="AA3292">
        <v>0.80242310290537433</v>
      </c>
      <c r="AB3292" t="str">
        <f>HYPERLINK("Melting_Curves/meltCurve_Q15800_MSMO1.pdf", "Melting_Curves/meltCurve_Q15800_MSMO1.pdf")</f>
        <v>Melting_Curves/meltCurve_Q15800_MSMO1.pdf</v>
      </c>
    </row>
    <row r="3293" spans="1:28" x14ac:dyDescent="0.25">
      <c r="A3293" t="s">
        <v>3297</v>
      </c>
      <c r="B3293">
        <v>0.99996721820229495</v>
      </c>
      <c r="C3293">
        <v>1.06050253406872</v>
      </c>
      <c r="D3293">
        <v>0.96104606134457804</v>
      </c>
      <c r="E3293">
        <v>0.88619281871643796</v>
      </c>
      <c r="F3293">
        <v>0.82091656683534198</v>
      </c>
      <c r="G3293">
        <v>0.43536681957156398</v>
      </c>
      <c r="H3293">
        <v>0.221881694510526</v>
      </c>
      <c r="I3293">
        <v>0.127233489805648</v>
      </c>
      <c r="J3293">
        <v>0.103140988623057</v>
      </c>
      <c r="K3293">
        <v>7.4354865460991404E-2</v>
      </c>
      <c r="L3293">
        <v>1152.5497983594901</v>
      </c>
      <c r="M3293">
        <v>20.5523590296104</v>
      </c>
      <c r="N3293">
        <v>56.452467602690497</v>
      </c>
      <c r="O3293">
        <v>55.555899195671699</v>
      </c>
      <c r="P3293">
        <v>-8.6604713484273094E-2</v>
      </c>
      <c r="Q3293">
        <v>6.3608876643225704E-2</v>
      </c>
      <c r="R3293">
        <v>0.99444149539256999</v>
      </c>
      <c r="S3293" t="s">
        <v>9119</v>
      </c>
      <c r="T3293" t="s">
        <v>11650</v>
      </c>
      <c r="U3293" t="s">
        <v>11650</v>
      </c>
      <c r="V3293" t="s">
        <v>11650</v>
      </c>
      <c r="W3293" t="s">
        <v>14895</v>
      </c>
      <c r="X3293">
        <v>16</v>
      </c>
      <c r="Y3293" t="s">
        <v>20581</v>
      </c>
      <c r="Z3293" t="s">
        <v>26355</v>
      </c>
      <c r="AA3293">
        <v>0.57705705279943398</v>
      </c>
      <c r="AB3293" t="str">
        <f>HYPERLINK("Melting_Curves/meltCurve_Q15814_TBCC.pdf", "Melting_Curves/meltCurve_Q15814_TBCC.pdf")</f>
        <v>Melting_Curves/meltCurve_Q15814_TBCC.pdf</v>
      </c>
    </row>
    <row r="3294" spans="1:28" x14ac:dyDescent="0.25">
      <c r="A3294" t="s">
        <v>3298</v>
      </c>
      <c r="B3294">
        <v>0.99996721820229495</v>
      </c>
      <c r="C3294">
        <v>1.09286223129645</v>
      </c>
      <c r="D3294">
        <v>1.0388868906630799</v>
      </c>
      <c r="E3294">
        <v>0.938352748511461</v>
      </c>
      <c r="F3294">
        <v>0.68467100223255195</v>
      </c>
      <c r="G3294">
        <v>0.40380216688521098</v>
      </c>
      <c r="H3294">
        <v>0.19641859351392801</v>
      </c>
      <c r="I3294">
        <v>0.14448133094606999</v>
      </c>
      <c r="J3294">
        <v>9.6291979650836801E-2</v>
      </c>
      <c r="K3294">
        <v>7.7116456145560203E-2</v>
      </c>
      <c r="L3294">
        <v>1157.2087711240499</v>
      </c>
      <c r="M3294">
        <v>20.986252627036102</v>
      </c>
      <c r="N3294">
        <v>55.6143932503266</v>
      </c>
      <c r="O3294">
        <v>54.647926897801199</v>
      </c>
      <c r="P3294">
        <v>-8.8160355154049505E-2</v>
      </c>
      <c r="Q3294">
        <v>8.1751103523767604E-2</v>
      </c>
      <c r="R3294">
        <v>0.99067045685956701</v>
      </c>
      <c r="S3294" t="s">
        <v>9120</v>
      </c>
      <c r="T3294" t="s">
        <v>11650</v>
      </c>
      <c r="U3294" t="s">
        <v>11650</v>
      </c>
      <c r="V3294" t="s">
        <v>11650</v>
      </c>
      <c r="W3294" t="s">
        <v>14896</v>
      </c>
      <c r="X3294">
        <v>14</v>
      </c>
      <c r="Y3294" t="s">
        <v>20582</v>
      </c>
      <c r="Z3294" t="s">
        <v>26356</v>
      </c>
      <c r="AA3294">
        <v>0.55652485918528882</v>
      </c>
      <c r="AB3294" t="str">
        <f>HYPERLINK("Melting_Curves/meltCurve_Q15819_UBE2V2.pdf", "Melting_Curves/meltCurve_Q15819_UBE2V2.pdf")</f>
        <v>Melting_Curves/meltCurve_Q15819_UBE2V2.pdf</v>
      </c>
    </row>
    <row r="3295" spans="1:28" x14ac:dyDescent="0.25">
      <c r="A3295" t="s">
        <v>3299</v>
      </c>
      <c r="B3295">
        <v>0.99996721820229495</v>
      </c>
      <c r="C3295">
        <v>1.05378109099173</v>
      </c>
      <c r="D3295">
        <v>1.11732541202998</v>
      </c>
      <c r="E3295">
        <v>1.37686166938251</v>
      </c>
      <c r="F3295">
        <v>1.70204142697852</v>
      </c>
      <c r="G3295">
        <v>1.8489528820938199</v>
      </c>
      <c r="H3295">
        <v>0.82764303017045304</v>
      </c>
      <c r="I3295">
        <v>0.320358761772781</v>
      </c>
      <c r="J3295">
        <v>0.214501026436866</v>
      </c>
      <c r="K3295">
        <v>0.16350886360532299</v>
      </c>
      <c r="L3295">
        <v>4280.6373289554303</v>
      </c>
      <c r="M3295">
        <v>68.691895244865407</v>
      </c>
      <c r="N3295">
        <v>62.7553189114251</v>
      </c>
      <c r="O3295">
        <v>62.263744018720402</v>
      </c>
      <c r="P3295">
        <v>-0.223210000537337</v>
      </c>
      <c r="Q3295">
        <v>0.19071185435160101</v>
      </c>
      <c r="R3295">
        <v>0.56534682933229796</v>
      </c>
      <c r="S3295" t="s">
        <v>9121</v>
      </c>
      <c r="T3295" t="s">
        <v>11650</v>
      </c>
      <c r="U3295" t="s">
        <v>11650</v>
      </c>
      <c r="V3295" t="s">
        <v>11650</v>
      </c>
      <c r="W3295" t="s">
        <v>14897</v>
      </c>
      <c r="X3295">
        <v>5</v>
      </c>
      <c r="Y3295" t="s">
        <v>20583</v>
      </c>
      <c r="Z3295" t="s">
        <v>26357</v>
      </c>
      <c r="AA3295">
        <v>0.79388591287832921</v>
      </c>
      <c r="AB3295" t="str">
        <f>HYPERLINK("Melting_Curves/meltCurve_Q15831_2_STK11.pdf", "Melting_Curves/meltCurve_Q15831_2_STK11.pdf")</f>
        <v>Melting_Curves/meltCurve_Q15831_2_STK11.pdf</v>
      </c>
    </row>
    <row r="3296" spans="1:28" x14ac:dyDescent="0.25">
      <c r="A3296" t="s">
        <v>3300</v>
      </c>
      <c r="B3296">
        <v>0.99996721820229495</v>
      </c>
      <c r="C3296">
        <v>1.00633316327231</v>
      </c>
      <c r="D3296">
        <v>0.97626351702772096</v>
      </c>
      <c r="E3296">
        <v>0.51548787167805099</v>
      </c>
      <c r="F3296">
        <v>0.45541766558351598</v>
      </c>
      <c r="G3296">
        <v>0.34840219163295999</v>
      </c>
      <c r="H3296">
        <v>0.19856300365387999</v>
      </c>
      <c r="I3296">
        <v>0.14064093183381701</v>
      </c>
      <c r="J3296">
        <v>0.104237998555989</v>
      </c>
      <c r="K3296">
        <v>0.10360929092912299</v>
      </c>
      <c r="L3296">
        <v>803.20902123403198</v>
      </c>
      <c r="M3296">
        <v>15.6859516446691</v>
      </c>
      <c r="N3296">
        <v>52.064111379819799</v>
      </c>
      <c r="O3296">
        <v>50.395058023822202</v>
      </c>
      <c r="P3296">
        <v>-6.8953793340526606E-2</v>
      </c>
      <c r="Q3296">
        <v>0.11394964332283</v>
      </c>
      <c r="R3296">
        <v>0.97048508093201002</v>
      </c>
      <c r="S3296" t="s">
        <v>9122</v>
      </c>
      <c r="T3296" t="s">
        <v>11650</v>
      </c>
      <c r="U3296" t="s">
        <v>11650</v>
      </c>
      <c r="V3296" t="s">
        <v>11650</v>
      </c>
      <c r="W3296" t="s">
        <v>14898</v>
      </c>
      <c r="X3296">
        <v>4</v>
      </c>
      <c r="Y3296" t="s">
        <v>20584</v>
      </c>
      <c r="Z3296" t="s">
        <v>26358</v>
      </c>
      <c r="AA3296">
        <v>0.46380081364323861</v>
      </c>
      <c r="AB3296" t="str">
        <f>HYPERLINK("Melting_Curves/meltCurve_Q15833_2_STXBP2.pdf", "Melting_Curves/meltCurve_Q15833_2_STXBP2.pdf")</f>
        <v>Melting_Curves/meltCurve_Q15833_2_STXBP2.pdf</v>
      </c>
    </row>
    <row r="3297" spans="1:28" x14ac:dyDescent="0.25">
      <c r="A3297" t="s">
        <v>3301</v>
      </c>
      <c r="B3297">
        <v>0.99996721820229495</v>
      </c>
      <c r="C3297">
        <v>1.07844636512452</v>
      </c>
      <c r="D3297">
        <v>1.00194012170185</v>
      </c>
      <c r="E3297">
        <v>1.1183153762028799</v>
      </c>
      <c r="F3297">
        <v>1.2741982703232899</v>
      </c>
      <c r="G3297">
        <v>1.4995379181164601</v>
      </c>
      <c r="H3297">
        <v>0.67391407788143098</v>
      </c>
      <c r="I3297">
        <v>0.50687248886026604</v>
      </c>
      <c r="J3297">
        <v>0.477977634738249</v>
      </c>
      <c r="K3297">
        <v>0.33133907177438299</v>
      </c>
      <c r="L3297">
        <v>7958.6262359615403</v>
      </c>
      <c r="M3297">
        <v>130.78870681907199</v>
      </c>
      <c r="N3297">
        <v>61.840129074744901</v>
      </c>
      <c r="O3297">
        <v>60.8367966644172</v>
      </c>
      <c r="P3297">
        <v>-0.30190407460829399</v>
      </c>
      <c r="Q3297">
        <v>0.43827332509311501</v>
      </c>
      <c r="R3297">
        <v>0.72246935252505895</v>
      </c>
      <c r="S3297" t="s">
        <v>9123</v>
      </c>
      <c r="T3297" t="s">
        <v>11650</v>
      </c>
      <c r="U3297" t="s">
        <v>11650</v>
      </c>
      <c r="V3297" t="s">
        <v>11650</v>
      </c>
      <c r="W3297" t="s">
        <v>14899</v>
      </c>
      <c r="X3297">
        <v>2</v>
      </c>
      <c r="Y3297" t="s">
        <v>20585</v>
      </c>
      <c r="Z3297" t="s">
        <v>26359</v>
      </c>
      <c r="AA3297">
        <v>0.82891177677997774</v>
      </c>
      <c r="AB3297" t="str">
        <f>HYPERLINK("Melting_Curves/meltCurve_Q15834_CCDC85B.pdf", "Melting_Curves/meltCurve_Q15834_CCDC85B.pdf")</f>
        <v>Melting_Curves/meltCurve_Q15834_CCDC85B.pdf</v>
      </c>
    </row>
    <row r="3298" spans="1:28" x14ac:dyDescent="0.25">
      <c r="A3298" t="s">
        <v>3302</v>
      </c>
      <c r="B3298">
        <v>0.99996721820229495</v>
      </c>
      <c r="C3298">
        <v>0.96446573943062097</v>
      </c>
      <c r="D3298">
        <v>0.99323993925700105</v>
      </c>
      <c r="E3298">
        <v>1.00746890091973</v>
      </c>
      <c r="F3298">
        <v>1.3718063772158899</v>
      </c>
      <c r="G3298">
        <v>1.52412035655765</v>
      </c>
      <c r="H3298">
        <v>1.1578468447119701</v>
      </c>
      <c r="I3298">
        <v>0.934162402689381</v>
      </c>
      <c r="J3298">
        <v>0.67576876890017701</v>
      </c>
      <c r="K3298">
        <v>0.57192778524824595</v>
      </c>
      <c r="L3298">
        <v>4504.7089636197697</v>
      </c>
      <c r="M3298">
        <v>68.384998275569799</v>
      </c>
      <c r="O3298">
        <v>65.816502386571599</v>
      </c>
      <c r="P3298">
        <v>-0.112479771475696</v>
      </c>
      <c r="Q3298">
        <v>0.56697968741833504</v>
      </c>
      <c r="R3298">
        <v>0.39545587575910301</v>
      </c>
      <c r="S3298" t="s">
        <v>9124</v>
      </c>
      <c r="T3298" t="s">
        <v>11650</v>
      </c>
      <c r="U3298" t="s">
        <v>11650</v>
      </c>
      <c r="V3298" t="s">
        <v>11650</v>
      </c>
      <c r="W3298" t="s">
        <v>14900</v>
      </c>
      <c r="X3298">
        <v>10</v>
      </c>
      <c r="Y3298" t="s">
        <v>20586</v>
      </c>
      <c r="Z3298" t="s">
        <v>26360</v>
      </c>
      <c r="AA3298">
        <v>0.94081321552489361</v>
      </c>
      <c r="AB3298" t="str">
        <f>HYPERLINK("Melting_Curves/meltCurve_Q15836_VAMP3.pdf", "Melting_Curves/meltCurve_Q15836_VAMP3.pdf")</f>
        <v>Melting_Curves/meltCurve_Q15836_VAMP3.pdf</v>
      </c>
    </row>
    <row r="3299" spans="1:28" x14ac:dyDescent="0.25">
      <c r="A3299" t="s">
        <v>3303</v>
      </c>
      <c r="B3299">
        <v>0.99996721820229495</v>
      </c>
      <c r="C3299">
        <v>1.0987382822584799</v>
      </c>
      <c r="D3299">
        <v>0.99282334849095999</v>
      </c>
      <c r="E3299">
        <v>1.07198037172286</v>
      </c>
      <c r="F3299">
        <v>1.3543597470212101</v>
      </c>
      <c r="G3299">
        <v>1.5653383819362301</v>
      </c>
      <c r="H3299">
        <v>1.3141324983707301</v>
      </c>
      <c r="I3299">
        <v>1.51251121045589</v>
      </c>
      <c r="J3299">
        <v>1.4089495417067199</v>
      </c>
      <c r="K3299">
        <v>1.0073456904233999</v>
      </c>
      <c r="L3299">
        <v>4792.8499819070403</v>
      </c>
      <c r="M3299">
        <v>94.464271010408595</v>
      </c>
      <c r="O3299">
        <v>50.714446033372298</v>
      </c>
      <c r="P3299">
        <v>0.16833573122946699</v>
      </c>
      <c r="Q3299">
        <v>1.3614934062819699</v>
      </c>
      <c r="R3299">
        <v>0.54416159953202403</v>
      </c>
      <c r="S3299" t="s">
        <v>9125</v>
      </c>
      <c r="T3299" t="s">
        <v>11650</v>
      </c>
      <c r="U3299" t="s">
        <v>11650</v>
      </c>
      <c r="V3299" t="s">
        <v>11650</v>
      </c>
      <c r="W3299" t="s">
        <v>14901</v>
      </c>
      <c r="X3299">
        <v>6</v>
      </c>
      <c r="Y3299" t="s">
        <v>20587</v>
      </c>
      <c r="Z3299" t="s">
        <v>26361</v>
      </c>
      <c r="AA3299">
        <v>1.231887094049529</v>
      </c>
      <c r="AB3299" t="str">
        <f>HYPERLINK("Melting_Curves/meltCurve_Q15847_ADIRF.pdf", "Melting_Curves/meltCurve_Q15847_ADIRF.pdf")</f>
        <v>Melting_Curves/meltCurve_Q15847_ADIRF.pdf</v>
      </c>
    </row>
    <row r="3300" spans="1:28" x14ac:dyDescent="0.25">
      <c r="A3300" t="s">
        <v>3304</v>
      </c>
      <c r="B3300">
        <v>0.99996721820229495</v>
      </c>
      <c r="C3300">
        <v>0.57120063495336104</v>
      </c>
      <c r="D3300">
        <v>0.45293743777143602</v>
      </c>
      <c r="E3300">
        <v>0.73864631036603801</v>
      </c>
      <c r="F3300">
        <v>0.86124288409927197</v>
      </c>
      <c r="G3300">
        <v>0.40518291294060099</v>
      </c>
      <c r="H3300">
        <v>0.69258173427652003</v>
      </c>
      <c r="I3300">
        <v>0.93827134873861195</v>
      </c>
      <c r="J3300">
        <v>1.3281048665607</v>
      </c>
      <c r="K3300">
        <v>2.21093798270083</v>
      </c>
      <c r="L3300">
        <v>15000</v>
      </c>
      <c r="M3300">
        <v>224.52791306888901</v>
      </c>
      <c r="O3300">
        <v>66.801538301807199</v>
      </c>
      <c r="P3300">
        <v>0.42013986367739498</v>
      </c>
      <c r="Q3300">
        <v>1.5</v>
      </c>
      <c r="R3300">
        <v>0.39657755540943501</v>
      </c>
      <c r="S3300" t="s">
        <v>9126</v>
      </c>
      <c r="T3300" t="s">
        <v>11650</v>
      </c>
      <c r="U3300" t="s">
        <v>11650</v>
      </c>
      <c r="V3300" t="s">
        <v>11650</v>
      </c>
      <c r="W3300" t="s">
        <v>14902</v>
      </c>
      <c r="X3300">
        <v>2</v>
      </c>
      <c r="Y3300" t="s">
        <v>20588</v>
      </c>
      <c r="Z3300" t="s">
        <v>26362</v>
      </c>
      <c r="AA3300">
        <v>1.053146874240074</v>
      </c>
      <c r="AB3300" t="str">
        <f>HYPERLINK("Melting_Curves/meltCurve_Q15904_ATP6AP1.pdf", "Melting_Curves/meltCurve_Q15904_ATP6AP1.pdf")</f>
        <v>Melting_Curves/meltCurve_Q15904_ATP6AP1.pdf</v>
      </c>
    </row>
    <row r="3301" spans="1:28" x14ac:dyDescent="0.25">
      <c r="A3301" t="s">
        <v>3305</v>
      </c>
      <c r="B3301">
        <v>0.99996721820229495</v>
      </c>
      <c r="C3301">
        <v>1.01061042186977</v>
      </c>
      <c r="D3301">
        <v>1.0651649644269501</v>
      </c>
      <c r="E3301">
        <v>0.99326225449078498</v>
      </c>
      <c r="F3301">
        <v>0.88553741745298797</v>
      </c>
      <c r="G3301">
        <v>0.65897486246991099</v>
      </c>
      <c r="H3301">
        <v>0.357257802002582</v>
      </c>
      <c r="I3301">
        <v>0.14725665699479401</v>
      </c>
      <c r="J3301">
        <v>5.9119203716134598E-2</v>
      </c>
      <c r="K3301">
        <v>2.5679746329825701E-2</v>
      </c>
      <c r="L3301">
        <v>1218.94098462333</v>
      </c>
      <c r="M3301">
        <v>20.695543210518998</v>
      </c>
      <c r="N3301">
        <v>58.898719385207002</v>
      </c>
      <c r="O3301">
        <v>58.357067550045002</v>
      </c>
      <c r="P3301">
        <v>-8.8661633269616805E-2</v>
      </c>
      <c r="Q3301">
        <v>0</v>
      </c>
      <c r="R3301">
        <v>0.99575811818423898</v>
      </c>
      <c r="S3301" t="s">
        <v>9127</v>
      </c>
      <c r="T3301" t="s">
        <v>11650</v>
      </c>
      <c r="U3301" t="s">
        <v>11650</v>
      </c>
      <c r="V3301" t="s">
        <v>11650</v>
      </c>
      <c r="W3301" t="s">
        <v>11801</v>
      </c>
      <c r="X3301">
        <v>20</v>
      </c>
      <c r="Y3301" t="s">
        <v>17562</v>
      </c>
      <c r="Z3301" t="s">
        <v>26363</v>
      </c>
      <c r="AA3301">
        <v>0.63992362767847999</v>
      </c>
      <c r="AB3301" t="str">
        <f>HYPERLINK("Melting_Curves/meltCurve_Q15907_RAB11B.pdf", "Melting_Curves/meltCurve_Q15907_RAB11B.pdf")</f>
        <v>Melting_Curves/meltCurve_Q15907_RAB11B.pdf</v>
      </c>
    </row>
    <row r="3302" spans="1:28" x14ac:dyDescent="0.25">
      <c r="A3302" t="s">
        <v>3306</v>
      </c>
      <c r="B3302">
        <v>0.99996721820229495</v>
      </c>
      <c r="C3302">
        <v>1.0007343988614701</v>
      </c>
      <c r="D3302">
        <v>0.95186993639125494</v>
      </c>
      <c r="E3302">
        <v>0.95545578235255602</v>
      </c>
      <c r="F3302">
        <v>1.23103147335781</v>
      </c>
      <c r="G3302">
        <v>1.3672213700818401</v>
      </c>
      <c r="H3302">
        <v>1.0102688409077101</v>
      </c>
      <c r="I3302">
        <v>0.90346879962767002</v>
      </c>
      <c r="J3302">
        <v>0.78422542878618395</v>
      </c>
      <c r="K3302">
        <v>0.46922394933122402</v>
      </c>
      <c r="L3302">
        <v>2231.5942953292702</v>
      </c>
      <c r="M3302">
        <v>32.195698344927301</v>
      </c>
      <c r="N3302">
        <v>69.715884317152401</v>
      </c>
      <c r="O3302">
        <v>69.047663887158294</v>
      </c>
      <c r="P3302">
        <v>-0.106685510419728</v>
      </c>
      <c r="Q3302">
        <v>8.4803322447717294E-2</v>
      </c>
      <c r="R3302">
        <v>0.624360382271273</v>
      </c>
      <c r="S3302" t="s">
        <v>9128</v>
      </c>
      <c r="T3302" t="s">
        <v>11650</v>
      </c>
      <c r="U3302" t="s">
        <v>11650</v>
      </c>
      <c r="V3302" t="s">
        <v>11650</v>
      </c>
      <c r="W3302" t="s">
        <v>14903</v>
      </c>
      <c r="X3302">
        <v>31</v>
      </c>
      <c r="Y3302" t="s">
        <v>20589</v>
      </c>
      <c r="Z3302" t="s">
        <v>26364</v>
      </c>
      <c r="AA3302">
        <v>0.94622929091480268</v>
      </c>
      <c r="AB3302" t="str">
        <f>HYPERLINK("Melting_Curves/meltCurve_Q15942_ZYX.pdf", "Melting_Curves/meltCurve_Q15942_ZYX.pdf")</f>
        <v>Melting_Curves/meltCurve_Q15942_ZYX.pdf</v>
      </c>
    </row>
    <row r="3303" spans="1:28" x14ac:dyDescent="0.25">
      <c r="A3303" t="s">
        <v>3307</v>
      </c>
      <c r="B3303">
        <v>0.99996721820229495</v>
      </c>
      <c r="C3303">
        <v>0.91117992070035503</v>
      </c>
      <c r="D3303">
        <v>0.85014865652475002</v>
      </c>
      <c r="E3303">
        <v>0.69435057236157105</v>
      </c>
      <c r="F3303">
        <v>0.78613933447817297</v>
      </c>
      <c r="G3303">
        <v>0.670145913723322</v>
      </c>
      <c r="H3303">
        <v>0.43452123066971099</v>
      </c>
      <c r="I3303">
        <v>0.32846093130589898</v>
      </c>
      <c r="J3303">
        <v>0.30438671788780097</v>
      </c>
      <c r="K3303">
        <v>0.208872242627791</v>
      </c>
      <c r="L3303">
        <v>437.24264381098197</v>
      </c>
      <c r="M3303">
        <v>7.3734823238554297</v>
      </c>
      <c r="N3303">
        <v>59.299341279951598</v>
      </c>
      <c r="O3303">
        <v>55.405826166109001</v>
      </c>
      <c r="P3303">
        <v>-3.33212870733356E-2</v>
      </c>
      <c r="Q3303">
        <v>0</v>
      </c>
      <c r="R3303">
        <v>0.953035324337144</v>
      </c>
      <c r="S3303" t="s">
        <v>9129</v>
      </c>
      <c r="T3303" t="s">
        <v>11650</v>
      </c>
      <c r="U3303" t="s">
        <v>11650</v>
      </c>
      <c r="V3303" t="s">
        <v>11650</v>
      </c>
      <c r="W3303" t="s">
        <v>14904</v>
      </c>
      <c r="X3303">
        <v>2</v>
      </c>
      <c r="Y3303" t="s">
        <v>20590</v>
      </c>
      <c r="Z3303" t="s">
        <v>26365</v>
      </c>
      <c r="AA3303">
        <v>0.63079201185411538</v>
      </c>
      <c r="AB3303" t="str">
        <f>HYPERLINK("Melting_Curves/meltCurve_Q16082_HSPB2.pdf", "Melting_Curves/meltCurve_Q16082_HSPB2.pdf")</f>
        <v>Melting_Curves/meltCurve_Q16082_HSPB2.pdf</v>
      </c>
    </row>
    <row r="3304" spans="1:28" x14ac:dyDescent="0.25">
      <c r="A3304" t="s">
        <v>3308</v>
      </c>
      <c r="B3304">
        <v>0.99996721820229495</v>
      </c>
      <c r="C3304">
        <v>0.96011312591599496</v>
      </c>
      <c r="D3304">
        <v>0.97805371574140798</v>
      </c>
      <c r="E3304">
        <v>1.11896873007103</v>
      </c>
      <c r="F3304">
        <v>1.0146297315583199</v>
      </c>
      <c r="G3304">
        <v>0.34126443905171899</v>
      </c>
      <c r="H3304">
        <v>0.19960293118776301</v>
      </c>
      <c r="I3304">
        <v>0.12740440974032899</v>
      </c>
      <c r="J3304">
        <v>9.6585878909400305E-2</v>
      </c>
      <c r="K3304">
        <v>8.2344454066040698E-2</v>
      </c>
      <c r="L3304">
        <v>5374.1693167312596</v>
      </c>
      <c r="M3304">
        <v>95.400216627856196</v>
      </c>
      <c r="N3304">
        <v>56.505238913728697</v>
      </c>
      <c r="O3304">
        <v>56.308129126117201</v>
      </c>
      <c r="P3304">
        <v>-0.37009248566901098</v>
      </c>
      <c r="Q3304">
        <v>0.12624016255943499</v>
      </c>
      <c r="R3304">
        <v>0.98666089646850896</v>
      </c>
      <c r="S3304" t="s">
        <v>9130</v>
      </c>
      <c r="T3304" t="s">
        <v>11650</v>
      </c>
      <c r="U3304" t="s">
        <v>11650</v>
      </c>
      <c r="V3304" t="s">
        <v>11650</v>
      </c>
      <c r="W3304" t="s">
        <v>14905</v>
      </c>
      <c r="X3304">
        <v>22</v>
      </c>
      <c r="Y3304" t="s">
        <v>20591</v>
      </c>
      <c r="Z3304" t="s">
        <v>26366</v>
      </c>
      <c r="AA3304">
        <v>0.60253474104310711</v>
      </c>
      <c r="AB3304" t="str">
        <f>HYPERLINK("Melting_Curves/meltCurve_Q16134_ETFDH.pdf", "Melting_Curves/meltCurve_Q16134_ETFDH.pdf")</f>
        <v>Melting_Curves/meltCurve_Q16134_ETFDH.pdf</v>
      </c>
    </row>
    <row r="3305" spans="1:28" x14ac:dyDescent="0.25">
      <c r="A3305" t="s">
        <v>3309</v>
      </c>
      <c r="B3305">
        <v>0.99996721820229495</v>
      </c>
      <c r="C3305">
        <v>0.91666347271153503</v>
      </c>
      <c r="D3305">
        <v>0.91713581672048805</v>
      </c>
      <c r="E3305">
        <v>0.95377731284696599</v>
      </c>
      <c r="F3305">
        <v>1.21987478016591</v>
      </c>
      <c r="G3305">
        <v>1.43701149460711</v>
      </c>
      <c r="H3305">
        <v>0.92354689582447103</v>
      </c>
      <c r="I3305">
        <v>1.00753142955826</v>
      </c>
      <c r="J3305">
        <v>0.92801929801343597</v>
      </c>
      <c r="K3305">
        <v>0.65581198595119705</v>
      </c>
      <c r="L3305">
        <v>15000</v>
      </c>
      <c r="M3305">
        <v>222.55009963326501</v>
      </c>
      <c r="O3305">
        <v>67.395111471712696</v>
      </c>
      <c r="P3305">
        <v>-0.28421500117158999</v>
      </c>
      <c r="Q3305">
        <v>0.65572333358677204</v>
      </c>
      <c r="R3305">
        <v>0.321018145287992</v>
      </c>
      <c r="S3305" t="s">
        <v>9131</v>
      </c>
      <c r="T3305" t="s">
        <v>11650</v>
      </c>
      <c r="U3305" t="s">
        <v>11650</v>
      </c>
      <c r="V3305" t="s">
        <v>11650</v>
      </c>
      <c r="W3305" t="s">
        <v>14906</v>
      </c>
      <c r="X3305">
        <v>6</v>
      </c>
      <c r="Y3305" t="s">
        <v>20592</v>
      </c>
      <c r="Z3305" t="s">
        <v>26367</v>
      </c>
      <c r="AA3305">
        <v>0.97021946352045729</v>
      </c>
      <c r="AB3305" t="str">
        <f>HYPERLINK("Melting_Curves/meltCurve_Q16143_SNCB.pdf", "Melting_Curves/meltCurve_Q16143_SNCB.pdf")</f>
        <v>Melting_Curves/meltCurve_Q16143_SNCB.pdf</v>
      </c>
    </row>
    <row r="3306" spans="1:28" x14ac:dyDescent="0.25">
      <c r="A3306" t="s">
        <v>3310</v>
      </c>
      <c r="B3306">
        <v>0.99996721820229495</v>
      </c>
      <c r="C3306">
        <v>0.899028709655459</v>
      </c>
      <c r="D3306">
        <v>1.1089754241769001</v>
      </c>
      <c r="E3306">
        <v>2.06984354012994</v>
      </c>
      <c r="F3306">
        <v>2.3664026536393101</v>
      </c>
      <c r="G3306">
        <v>1.7777865340679999</v>
      </c>
      <c r="H3306">
        <v>0.34051828089402097</v>
      </c>
      <c r="I3306">
        <v>0.19749823898406499</v>
      </c>
      <c r="J3306">
        <v>0.14307865561369801</v>
      </c>
      <c r="K3306">
        <v>9.5797392477571006E-2</v>
      </c>
      <c r="L3306">
        <v>14968.0186309158</v>
      </c>
      <c r="M3306">
        <v>246.59549337396501</v>
      </c>
      <c r="N3306">
        <v>60.783389756220998</v>
      </c>
      <c r="O3306">
        <v>60.694682380822499</v>
      </c>
      <c r="P3306">
        <v>-0.86797774579356601</v>
      </c>
      <c r="Q3306">
        <v>0.14545672673135099</v>
      </c>
      <c r="R3306">
        <v>0.41879831866259598</v>
      </c>
      <c r="S3306" t="s">
        <v>9132</v>
      </c>
      <c r="T3306" t="s">
        <v>11650</v>
      </c>
      <c r="U3306" t="s">
        <v>11650</v>
      </c>
      <c r="V3306" t="s">
        <v>11650</v>
      </c>
      <c r="W3306" t="s">
        <v>14907</v>
      </c>
      <c r="X3306">
        <v>28</v>
      </c>
      <c r="Y3306" t="s">
        <v>20593</v>
      </c>
      <c r="Z3306" t="s">
        <v>26368</v>
      </c>
      <c r="AA3306">
        <v>0.73514728033068444</v>
      </c>
      <c r="AB3306" t="str">
        <f>HYPERLINK("Melting_Curves/meltCurve_Q16181_SEPT7.pdf", "Melting_Curves/meltCurve_Q16181_SEPT7.pdf")</f>
        <v>Melting_Curves/meltCurve_Q16181_SEPT7.pdf</v>
      </c>
    </row>
    <row r="3307" spans="1:28" x14ac:dyDescent="0.25">
      <c r="A3307" t="s">
        <v>3311</v>
      </c>
      <c r="B3307">
        <v>0.99996721820229495</v>
      </c>
      <c r="C3307">
        <v>0.807409951964979</v>
      </c>
      <c r="D3307">
        <v>0.79472441165461905</v>
      </c>
      <c r="E3307">
        <v>1.0207537671800599</v>
      </c>
      <c r="F3307">
        <v>0.82610884875886603</v>
      </c>
      <c r="G3307">
        <v>0.77758528144016203</v>
      </c>
      <c r="H3307">
        <v>0.56807333812810301</v>
      </c>
      <c r="I3307">
        <v>0.456974604884125</v>
      </c>
      <c r="J3307">
        <v>0.42230649096044198</v>
      </c>
      <c r="K3307">
        <v>0.30555855160622503</v>
      </c>
      <c r="L3307">
        <v>509.72161408161202</v>
      </c>
      <c r="M3307">
        <v>8.0076884819554</v>
      </c>
      <c r="N3307">
        <v>63.654024453466697</v>
      </c>
      <c r="O3307">
        <v>60.052258756380098</v>
      </c>
      <c r="P3307">
        <v>-3.3373902324945998E-2</v>
      </c>
      <c r="Q3307">
        <v>0</v>
      </c>
      <c r="R3307">
        <v>0.85982413568218097</v>
      </c>
      <c r="S3307" t="s">
        <v>9133</v>
      </c>
      <c r="T3307" t="s">
        <v>11650</v>
      </c>
      <c r="U3307" t="s">
        <v>11650</v>
      </c>
      <c r="V3307" t="s">
        <v>11650</v>
      </c>
      <c r="W3307" t="s">
        <v>14908</v>
      </c>
      <c r="X3307">
        <v>7</v>
      </c>
      <c r="Y3307" t="s">
        <v>20594</v>
      </c>
      <c r="Z3307" t="s">
        <v>26369</v>
      </c>
      <c r="AA3307">
        <v>0.73140917458828525</v>
      </c>
      <c r="AB3307" t="str">
        <f>HYPERLINK("Melting_Curves/meltCurve_Q16186_ADRM1.pdf", "Melting_Curves/meltCurve_Q16186_ADRM1.pdf")</f>
        <v>Melting_Curves/meltCurve_Q16186_ADRM1.pdf</v>
      </c>
    </row>
    <row r="3308" spans="1:28" x14ac:dyDescent="0.25">
      <c r="A3308" t="s">
        <v>3312</v>
      </c>
      <c r="B3308">
        <v>0.99996721820229495</v>
      </c>
      <c r="C3308">
        <v>0.91033203245368299</v>
      </c>
      <c r="D3308">
        <v>0.90909926525070905</v>
      </c>
      <c r="E3308">
        <v>1.17300798944315</v>
      </c>
      <c r="F3308">
        <v>1.1381221263861501</v>
      </c>
      <c r="G3308">
        <v>0.80292105129331404</v>
      </c>
      <c r="H3308">
        <v>0.473601426448375</v>
      </c>
      <c r="I3308">
        <v>0.29942943323272297</v>
      </c>
      <c r="J3308">
        <v>0.18641268478599701</v>
      </c>
      <c r="K3308">
        <v>0.15862101013537</v>
      </c>
      <c r="L3308">
        <v>1775.8324712758099</v>
      </c>
      <c r="M3308">
        <v>29.639878463013499</v>
      </c>
      <c r="N3308">
        <v>60.705859799276702</v>
      </c>
      <c r="O3308">
        <v>59.642881785953101</v>
      </c>
      <c r="P3308">
        <v>-0.104312972806632</v>
      </c>
      <c r="Q3308">
        <v>0.16039011527695199</v>
      </c>
      <c r="R3308">
        <v>0.94581829113434601</v>
      </c>
      <c r="S3308" t="s">
        <v>9134</v>
      </c>
      <c r="T3308" t="s">
        <v>11650</v>
      </c>
      <c r="U3308" t="s">
        <v>11650</v>
      </c>
      <c r="V3308" t="s">
        <v>11650</v>
      </c>
      <c r="W3308" t="s">
        <v>14909</v>
      </c>
      <c r="X3308">
        <v>28</v>
      </c>
      <c r="Y3308" t="s">
        <v>20595</v>
      </c>
      <c r="Z3308" t="s">
        <v>26370</v>
      </c>
      <c r="AA3308">
        <v>0.72292620990581469</v>
      </c>
      <c r="AB3308" t="str">
        <f>HYPERLINK("Melting_Curves/meltCurve_Q16204_CCDC6.pdf", "Melting_Curves/meltCurve_Q16204_CCDC6.pdf")</f>
        <v>Melting_Curves/meltCurve_Q16204_CCDC6.pdf</v>
      </c>
    </row>
    <row r="3309" spans="1:28" x14ac:dyDescent="0.25">
      <c r="A3309" t="s">
        <v>3313</v>
      </c>
      <c r="B3309">
        <v>0.99996721820229495</v>
      </c>
      <c r="C3309">
        <v>1.01058021497535</v>
      </c>
      <c r="D3309">
        <v>0.99887033918720503</v>
      </c>
      <c r="E3309">
        <v>0.77447797815793995</v>
      </c>
      <c r="F3309">
        <v>0.45626609575022598</v>
      </c>
      <c r="G3309">
        <v>0.26414330413432402</v>
      </c>
      <c r="H3309">
        <v>0.139329264587536</v>
      </c>
      <c r="I3309">
        <v>9.2315985921897298E-2</v>
      </c>
      <c r="J3309">
        <v>6.9667819093282499E-2</v>
      </c>
      <c r="K3309">
        <v>5.96100245266558E-2</v>
      </c>
      <c r="L3309">
        <v>1106.37276436868</v>
      </c>
      <c r="M3309">
        <v>21.048623407359401</v>
      </c>
      <c r="N3309">
        <v>52.961394995894999</v>
      </c>
      <c r="O3309">
        <v>52.095189318881602</v>
      </c>
      <c r="P3309">
        <v>-9.3612204227452603E-2</v>
      </c>
      <c r="Q3309">
        <v>7.3266832497117601E-2</v>
      </c>
      <c r="R3309">
        <v>0.99594314379858395</v>
      </c>
      <c r="S3309" t="s">
        <v>9135</v>
      </c>
      <c r="T3309" t="s">
        <v>11650</v>
      </c>
      <c r="U3309" t="s">
        <v>11650</v>
      </c>
      <c r="V3309" t="s">
        <v>11650</v>
      </c>
      <c r="W3309" t="s">
        <v>14910</v>
      </c>
      <c r="X3309">
        <v>30</v>
      </c>
      <c r="Y3309" t="s">
        <v>20596</v>
      </c>
      <c r="Z3309" t="s">
        <v>26371</v>
      </c>
      <c r="AA3309">
        <v>0.47302676552759487</v>
      </c>
      <c r="AB3309" t="str">
        <f>HYPERLINK("Melting_Curves/meltCurve_Q16222_3_UAP1.pdf", "Melting_Curves/meltCurve_Q16222_3_UAP1.pdf")</f>
        <v>Melting_Curves/meltCurve_Q16222_3_UAP1.pdf</v>
      </c>
    </row>
    <row r="3310" spans="1:28" x14ac:dyDescent="0.25">
      <c r="A3310" t="s">
        <v>3314</v>
      </c>
      <c r="B3310">
        <v>0.99996721820229495</v>
      </c>
      <c r="C3310">
        <v>0.863205839357996</v>
      </c>
      <c r="D3310">
        <v>0.79749682021983104</v>
      </c>
      <c r="E3310">
        <v>0.89410013334208904</v>
      </c>
      <c r="F3310">
        <v>0.60049921614677704</v>
      </c>
      <c r="G3310">
        <v>0.351526728247465</v>
      </c>
      <c r="H3310">
        <v>0.25468622180460099</v>
      </c>
      <c r="I3310">
        <v>0.366907727394993</v>
      </c>
      <c r="J3310">
        <v>0.33942728942289901</v>
      </c>
      <c r="K3310">
        <v>0.21538174476651201</v>
      </c>
      <c r="L3310">
        <v>760.65503120861695</v>
      </c>
      <c r="M3310">
        <v>14.459850565642199</v>
      </c>
      <c r="N3310">
        <v>55.064859421969999</v>
      </c>
      <c r="O3310">
        <v>51.629212666584799</v>
      </c>
      <c r="P3310">
        <v>-5.3363701805349897E-2</v>
      </c>
      <c r="Q3310">
        <v>0.23794381907050799</v>
      </c>
      <c r="R3310">
        <v>0.91430879337725002</v>
      </c>
      <c r="S3310" t="s">
        <v>9136</v>
      </c>
      <c r="T3310" t="s">
        <v>11650</v>
      </c>
      <c r="U3310" t="s">
        <v>11650</v>
      </c>
      <c r="V3310" t="s">
        <v>11650</v>
      </c>
      <c r="W3310" t="s">
        <v>14911</v>
      </c>
      <c r="X3310">
        <v>1</v>
      </c>
      <c r="Y3310" t="s">
        <v>20597</v>
      </c>
      <c r="Z3310" t="s">
        <v>26372</v>
      </c>
      <c r="AA3310">
        <v>0.57568244450688222</v>
      </c>
      <c r="AB3310" t="str">
        <f>HYPERLINK("Melting_Curves/meltCurve_Q16254_E2F4.pdf", "Melting_Curves/meltCurve_Q16254_E2F4.pdf")</f>
        <v>Melting_Curves/meltCurve_Q16254_E2F4.pdf</v>
      </c>
    </row>
    <row r="3311" spans="1:28" x14ac:dyDescent="0.25">
      <c r="A3311" t="s">
        <v>3315</v>
      </c>
      <c r="B3311">
        <v>0.99996721820229495</v>
      </c>
      <c r="C3311">
        <v>1.0481703915640701</v>
      </c>
      <c r="D3311">
        <v>0.94182850080527103</v>
      </c>
      <c r="E3311">
        <v>0.93706041579113397</v>
      </c>
      <c r="F3311">
        <v>1.1254415145457199</v>
      </c>
      <c r="G3311">
        <v>1.0752739910795599</v>
      </c>
      <c r="H3311">
        <v>0.75808160647505995</v>
      </c>
      <c r="I3311">
        <v>0.54769991114669503</v>
      </c>
      <c r="J3311">
        <v>0.429182424303238</v>
      </c>
      <c r="K3311">
        <v>0.37544861391371598</v>
      </c>
      <c r="L3311">
        <v>2485.0007870867298</v>
      </c>
      <c r="M3311">
        <v>40.0963633897153</v>
      </c>
      <c r="N3311">
        <v>64.408218968847805</v>
      </c>
      <c r="O3311">
        <v>61.8221575333245</v>
      </c>
      <c r="P3311">
        <v>-9.8904366495849605E-2</v>
      </c>
      <c r="Q3311">
        <v>0.39002262553289901</v>
      </c>
      <c r="R3311">
        <v>0.94806251979007405</v>
      </c>
      <c r="S3311" t="s">
        <v>9137</v>
      </c>
      <c r="T3311" t="s">
        <v>11650</v>
      </c>
      <c r="U3311" t="s">
        <v>11650</v>
      </c>
      <c r="V3311" t="s">
        <v>11650</v>
      </c>
      <c r="W3311" t="s">
        <v>14912</v>
      </c>
      <c r="X3311">
        <v>8</v>
      </c>
      <c r="Y3311" t="s">
        <v>20598</v>
      </c>
      <c r="Z3311" t="s">
        <v>26373</v>
      </c>
      <c r="AA3311">
        <v>0.83901943254984168</v>
      </c>
      <c r="AB3311" t="str">
        <f>HYPERLINK("Melting_Curves/meltCurve_Q16270_2_IGFBP7.pdf", "Melting_Curves/meltCurve_Q16270_2_IGFBP7.pdf")</f>
        <v>Melting_Curves/meltCurve_Q16270_2_IGFBP7.pdf</v>
      </c>
    </row>
    <row r="3312" spans="1:28" x14ac:dyDescent="0.25">
      <c r="A3312" t="s">
        <v>3316</v>
      </c>
      <c r="B3312">
        <v>0.99996721820229495</v>
      </c>
      <c r="C3312">
        <v>1.0090647663305801</v>
      </c>
      <c r="D3312">
        <v>1.2574168722919701</v>
      </c>
      <c r="E3312">
        <v>1.45013032938201</v>
      </c>
      <c r="F3312">
        <v>2.14736396910352</v>
      </c>
      <c r="G3312">
        <v>1.6902705477186399</v>
      </c>
      <c r="H3312">
        <v>1.08281660074721</v>
      </c>
      <c r="I3312">
        <v>1.0107787482913899</v>
      </c>
      <c r="J3312">
        <v>0.92999046942441099</v>
      </c>
      <c r="K3312">
        <v>0.63881285847970704</v>
      </c>
      <c r="L3312">
        <v>15000</v>
      </c>
      <c r="M3312">
        <v>222.45493611914699</v>
      </c>
      <c r="O3312">
        <v>67.423937557184701</v>
      </c>
      <c r="P3312">
        <v>-0.298004629035521</v>
      </c>
      <c r="Q3312">
        <v>0.63871072888153702</v>
      </c>
      <c r="R3312">
        <v>-0.207825717366593</v>
      </c>
      <c r="S3312" t="s">
        <v>9138</v>
      </c>
      <c r="T3312" t="s">
        <v>11650</v>
      </c>
      <c r="U3312" t="s">
        <v>11650</v>
      </c>
      <c r="V3312" t="s">
        <v>11650</v>
      </c>
      <c r="W3312" t="s">
        <v>14913</v>
      </c>
      <c r="X3312">
        <v>6</v>
      </c>
      <c r="Y3312" t="s">
        <v>20599</v>
      </c>
      <c r="Z3312" t="s">
        <v>26374</v>
      </c>
      <c r="AA3312">
        <v>0.96909504726648577</v>
      </c>
      <c r="AB3312" t="str">
        <f>HYPERLINK("Melting_Curves/meltCurve_Q16352_INA.pdf", "Melting_Curves/meltCurve_Q16352_INA.pdf")</f>
        <v>Melting_Curves/meltCurve_Q16352_INA.pdf</v>
      </c>
    </row>
    <row r="3313" spans="1:28" x14ac:dyDescent="0.25">
      <c r="A3313" t="s">
        <v>3317</v>
      </c>
      <c r="B3313">
        <v>0.99996721820229495</v>
      </c>
      <c r="C3313">
        <v>1.0586337795493199</v>
      </c>
      <c r="D3313">
        <v>1.11147184316662</v>
      </c>
      <c r="E3313">
        <v>1.0039740030708899</v>
      </c>
      <c r="F3313">
        <v>0.97847044900561497</v>
      </c>
      <c r="G3313">
        <v>0.92152881458759595</v>
      </c>
      <c r="H3313">
        <v>0.64148570260779503</v>
      </c>
      <c r="I3313">
        <v>0.52185720277362901</v>
      </c>
      <c r="J3313">
        <v>0.478631494540116</v>
      </c>
      <c r="K3313">
        <v>0.35052120779006601</v>
      </c>
      <c r="L3313">
        <v>1467.12451064623</v>
      </c>
      <c r="M3313">
        <v>24.115352047255801</v>
      </c>
      <c r="N3313">
        <v>64.352350051523104</v>
      </c>
      <c r="O3313">
        <v>60.424063873540398</v>
      </c>
      <c r="P3313">
        <v>-6.3255007049347806E-2</v>
      </c>
      <c r="Q3313">
        <v>0.366036167686346</v>
      </c>
      <c r="R3313">
        <v>0.96858777653665395</v>
      </c>
      <c r="S3313" t="s">
        <v>9139</v>
      </c>
      <c r="T3313" t="s">
        <v>11650</v>
      </c>
      <c r="U3313" t="s">
        <v>11650</v>
      </c>
      <c r="V3313" t="s">
        <v>11650</v>
      </c>
      <c r="W3313" t="s">
        <v>14914</v>
      </c>
      <c r="X3313">
        <v>5</v>
      </c>
      <c r="Y3313" t="s">
        <v>20600</v>
      </c>
      <c r="Z3313" t="s">
        <v>26375</v>
      </c>
      <c r="AA3313">
        <v>0.81056102194735502</v>
      </c>
      <c r="AB3313" t="str">
        <f>HYPERLINK("Melting_Curves/meltCurve_Q16363_2_LAMA4.pdf", "Melting_Curves/meltCurve_Q16363_2_LAMA4.pdf")</f>
        <v>Melting_Curves/meltCurve_Q16363_2_LAMA4.pdf</v>
      </c>
    </row>
    <row r="3314" spans="1:28" x14ac:dyDescent="0.25">
      <c r="A3314" t="s">
        <v>3318</v>
      </c>
      <c r="B3314">
        <v>0.99996721820229495</v>
      </c>
      <c r="C3314">
        <v>0.88380977733547295</v>
      </c>
      <c r="D3314">
        <v>0.87813667991162403</v>
      </c>
      <c r="E3314">
        <v>0.98952806730921306</v>
      </c>
      <c r="F3314">
        <v>0.64331898641187601</v>
      </c>
      <c r="G3314">
        <v>0.39820550067493699</v>
      </c>
      <c r="H3314">
        <v>0.16928301050696701</v>
      </c>
      <c r="I3314">
        <v>0.134338781889107</v>
      </c>
      <c r="J3314">
        <v>8.98038720014291E-2</v>
      </c>
      <c r="K3314">
        <v>6.8252759331450405E-2</v>
      </c>
      <c r="L3314">
        <v>1082.30278541281</v>
      </c>
      <c r="M3314">
        <v>19.667671188983199</v>
      </c>
      <c r="N3314">
        <v>55.408416291309202</v>
      </c>
      <c r="O3314">
        <v>54.470107264456502</v>
      </c>
      <c r="P3314">
        <v>-8.4591647344281401E-2</v>
      </c>
      <c r="Q3314">
        <v>6.2917957026173699E-2</v>
      </c>
      <c r="R3314">
        <v>0.97291333820987402</v>
      </c>
      <c r="S3314" t="s">
        <v>9140</v>
      </c>
      <c r="T3314" t="s">
        <v>11650</v>
      </c>
      <c r="U3314" t="s">
        <v>11650</v>
      </c>
      <c r="V3314" t="s">
        <v>11650</v>
      </c>
      <c r="W3314" t="s">
        <v>14915</v>
      </c>
      <c r="X3314">
        <v>21</v>
      </c>
      <c r="Y3314" t="s">
        <v>20601</v>
      </c>
      <c r="Z3314" t="s">
        <v>26376</v>
      </c>
      <c r="AA3314">
        <v>0.54516219873201666</v>
      </c>
      <c r="AB3314" t="str">
        <f>HYPERLINK("Melting_Curves/meltCurve_Q16401_2_PSMD5.pdf", "Melting_Curves/meltCurve_Q16401_2_PSMD5.pdf")</f>
        <v>Melting_Curves/meltCurve_Q16401_2_PSMD5.pdf</v>
      </c>
    </row>
    <row r="3315" spans="1:28" x14ac:dyDescent="0.25">
      <c r="A3315" t="s">
        <v>3319</v>
      </c>
      <c r="B3315">
        <v>0.99996721820229495</v>
      </c>
      <c r="C3315">
        <v>0.96801400432175599</v>
      </c>
      <c r="D3315">
        <v>0.91018303337411199</v>
      </c>
      <c r="E3315">
        <v>0.63141346110418195</v>
      </c>
      <c r="F3315">
        <v>0.27450674712180401</v>
      </c>
      <c r="G3315">
        <v>0.249257291075306</v>
      </c>
      <c r="H3315">
        <v>0.139323257188674</v>
      </c>
      <c r="I3315">
        <v>0.10661427566331801</v>
      </c>
      <c r="J3315">
        <v>8.3220161078311206E-2</v>
      </c>
      <c r="K3315">
        <v>6.6548604420173699E-2</v>
      </c>
      <c r="L3315">
        <v>1094.5745099190101</v>
      </c>
      <c r="M3315">
        <v>21.650576964254199</v>
      </c>
      <c r="N3315">
        <v>51.074242960320497</v>
      </c>
      <c r="O3315">
        <v>50.130987333411703</v>
      </c>
      <c r="P3315">
        <v>-9.7331740823483906E-2</v>
      </c>
      <c r="Q3315">
        <v>9.8551471314462097E-2</v>
      </c>
      <c r="R3315">
        <v>0.990143325859422</v>
      </c>
      <c r="S3315" t="s">
        <v>9141</v>
      </c>
      <c r="T3315" t="s">
        <v>11650</v>
      </c>
      <c r="U3315" t="s">
        <v>11650</v>
      </c>
      <c r="V3315" t="s">
        <v>11650</v>
      </c>
      <c r="W3315" t="s">
        <v>14916</v>
      </c>
      <c r="X3315">
        <v>26</v>
      </c>
      <c r="Y3315" t="s">
        <v>20602</v>
      </c>
      <c r="Z3315" t="s">
        <v>26377</v>
      </c>
      <c r="AA3315">
        <v>0.426505906347797</v>
      </c>
      <c r="AB3315" t="str">
        <f>HYPERLINK("Melting_Curves/meltCurve_Q16512_PKN1.pdf", "Melting_Curves/meltCurve_Q16512_PKN1.pdf")</f>
        <v>Melting_Curves/meltCurve_Q16512_PKN1.pdf</v>
      </c>
    </row>
    <row r="3316" spans="1:28" x14ac:dyDescent="0.25">
      <c r="A3316" t="s">
        <v>3320</v>
      </c>
      <c r="B3316">
        <v>0.99996721820229495</v>
      </c>
      <c r="C3316">
        <v>1.0678268462572</v>
      </c>
      <c r="D3316">
        <v>0.82995822168009903</v>
      </c>
      <c r="E3316">
        <v>0.32470037656755002</v>
      </c>
      <c r="F3316">
        <v>0.30335580823806002</v>
      </c>
      <c r="G3316">
        <v>0.23031486014893701</v>
      </c>
      <c r="H3316">
        <v>0.144590289136138</v>
      </c>
      <c r="I3316">
        <v>8.1011736762535397E-2</v>
      </c>
      <c r="J3316">
        <v>6.3481426274424907E-2</v>
      </c>
      <c r="K3316">
        <v>4.4123355508470199E-2</v>
      </c>
      <c r="L3316">
        <v>1198.03171799907</v>
      </c>
      <c r="M3316">
        <v>24.6886185277843</v>
      </c>
      <c r="N3316">
        <v>49.035355321052002</v>
      </c>
      <c r="O3316">
        <v>48.2106748524685</v>
      </c>
      <c r="P3316">
        <v>-0.113537857847767</v>
      </c>
      <c r="Q3316">
        <v>0.11316904696802001</v>
      </c>
      <c r="R3316">
        <v>0.970038521374881</v>
      </c>
      <c r="S3316" t="s">
        <v>9142</v>
      </c>
      <c r="T3316" t="s">
        <v>11650</v>
      </c>
      <c r="U3316" t="s">
        <v>11650</v>
      </c>
      <c r="V3316" t="s">
        <v>11650</v>
      </c>
      <c r="W3316" t="s">
        <v>14917</v>
      </c>
      <c r="X3316">
        <v>16</v>
      </c>
      <c r="Y3316" t="s">
        <v>20603</v>
      </c>
      <c r="Z3316" t="s">
        <v>26378</v>
      </c>
      <c r="AA3316">
        <v>0.37324514662513092</v>
      </c>
      <c r="AB3316" t="str">
        <f>HYPERLINK("Melting_Curves/meltCurve_Q16513_PKN2.pdf", "Melting_Curves/meltCurve_Q16513_PKN2.pdf")</f>
        <v>Melting_Curves/meltCurve_Q16513_PKN2.pdf</v>
      </c>
    </row>
    <row r="3317" spans="1:28" x14ac:dyDescent="0.25">
      <c r="A3317" t="s">
        <v>3321</v>
      </c>
      <c r="B3317">
        <v>0.99996721820229495</v>
      </c>
      <c r="C3317">
        <v>1.0106622013966899</v>
      </c>
      <c r="D3317">
        <v>1.16478026900694</v>
      </c>
      <c r="E3317">
        <v>1.50114258088709</v>
      </c>
      <c r="F3317">
        <v>2.4869622518246799</v>
      </c>
      <c r="G3317">
        <v>3.8577345992856702</v>
      </c>
      <c r="H3317">
        <v>2.3843047740755998</v>
      </c>
      <c r="I3317">
        <v>0.53807428984664896</v>
      </c>
      <c r="J3317">
        <v>0.25536694232981</v>
      </c>
      <c r="K3317">
        <v>0.18265195342432899</v>
      </c>
      <c r="L3317">
        <v>5235.8620576072999</v>
      </c>
      <c r="M3317">
        <v>113.113006965484</v>
      </c>
      <c r="O3317">
        <v>46.274307627926497</v>
      </c>
      <c r="P3317">
        <v>0.30555025579508299</v>
      </c>
      <c r="Q3317">
        <v>1.5</v>
      </c>
      <c r="R3317">
        <v>4.6615382330627897E-2</v>
      </c>
      <c r="S3317" t="s">
        <v>9143</v>
      </c>
      <c r="T3317" t="s">
        <v>11650</v>
      </c>
      <c r="U3317" t="s">
        <v>11650</v>
      </c>
      <c r="V3317" t="s">
        <v>11650</v>
      </c>
      <c r="W3317" t="s">
        <v>14918</v>
      </c>
      <c r="X3317">
        <v>49</v>
      </c>
      <c r="Y3317" t="s">
        <v>20604</v>
      </c>
      <c r="Z3317" t="s">
        <v>26379</v>
      </c>
      <c r="AA3317">
        <v>1.3949885671183719</v>
      </c>
      <c r="AB3317" t="str">
        <f>HYPERLINK("Melting_Curves/meltCurve_Q16531_DDB1.pdf", "Melting_Curves/meltCurve_Q16531_DDB1.pdf")</f>
        <v>Melting_Curves/meltCurve_Q16531_DDB1.pdf</v>
      </c>
    </row>
    <row r="3318" spans="1:28" x14ac:dyDescent="0.25">
      <c r="A3318" t="s">
        <v>3322</v>
      </c>
      <c r="B3318">
        <v>0.99996721820229495</v>
      </c>
      <c r="C3318">
        <v>0.96985253625710999</v>
      </c>
      <c r="D3318">
        <v>0.77194844465850299</v>
      </c>
      <c r="E3318">
        <v>0.27131187126246797</v>
      </c>
      <c r="F3318">
        <v>0.21100092356226399</v>
      </c>
      <c r="G3318">
        <v>0.155235827836394</v>
      </c>
      <c r="H3318">
        <v>0.10924845919603</v>
      </c>
      <c r="I3318">
        <v>8.3242441190560804E-2</v>
      </c>
      <c r="J3318">
        <v>3.0552058345265701E-2</v>
      </c>
      <c r="K3318">
        <v>4.7060864254968401E-2</v>
      </c>
      <c r="L3318">
        <v>1227.0947225575601</v>
      </c>
      <c r="M3318">
        <v>25.643712287722401</v>
      </c>
      <c r="N3318">
        <v>48.204116051472802</v>
      </c>
      <c r="O3318">
        <v>47.5635422256087</v>
      </c>
      <c r="P3318">
        <v>-0.123266441109406</v>
      </c>
      <c r="Q3318">
        <v>8.5480986719912597E-2</v>
      </c>
      <c r="R3318">
        <v>0.99027652883367301</v>
      </c>
      <c r="S3318" t="s">
        <v>9144</v>
      </c>
      <c r="T3318" t="s">
        <v>11650</v>
      </c>
      <c r="U3318" t="s">
        <v>11650</v>
      </c>
      <c r="V3318" t="s">
        <v>11650</v>
      </c>
      <c r="W3318" t="s">
        <v>14919</v>
      </c>
      <c r="X3318">
        <v>10</v>
      </c>
      <c r="Y3318" t="s">
        <v>20605</v>
      </c>
      <c r="Z3318" t="s">
        <v>26380</v>
      </c>
      <c r="AA3318">
        <v>0.33249157693551717</v>
      </c>
      <c r="AB3318" t="str">
        <f>HYPERLINK("Melting_Curves/meltCurve_Q16539_MAPK14.pdf", "Melting_Curves/meltCurve_Q16539_MAPK14.pdf")</f>
        <v>Melting_Curves/meltCurve_Q16539_MAPK14.pdf</v>
      </c>
    </row>
    <row r="3319" spans="1:28" x14ac:dyDescent="0.25">
      <c r="A3319" t="s">
        <v>3323</v>
      </c>
      <c r="B3319">
        <v>0.99996721820229495</v>
      </c>
      <c r="C3319">
        <v>1.01491057330596</v>
      </c>
      <c r="D3319">
        <v>1.05686827329179</v>
      </c>
      <c r="E3319">
        <v>1.22737421113736</v>
      </c>
      <c r="F3319">
        <v>1.4608285950954301</v>
      </c>
      <c r="G3319">
        <v>0.84064090399347802</v>
      </c>
      <c r="H3319">
        <v>0.355973124736012</v>
      </c>
      <c r="I3319">
        <v>0.18940971905088799</v>
      </c>
      <c r="J3319">
        <v>0.120766959466584</v>
      </c>
      <c r="K3319">
        <v>8.9197326408070501E-2</v>
      </c>
      <c r="L3319">
        <v>2508.4721941591401</v>
      </c>
      <c r="M3319">
        <v>42.128553600048598</v>
      </c>
      <c r="N3319">
        <v>59.913366104781602</v>
      </c>
      <c r="O3319">
        <v>59.409584481454203</v>
      </c>
      <c r="P3319">
        <v>-0.15696954475741201</v>
      </c>
      <c r="Q3319">
        <v>0.114569203770231</v>
      </c>
      <c r="R3319">
        <v>0.87850703665121699</v>
      </c>
      <c r="S3319" t="s">
        <v>9145</v>
      </c>
      <c r="T3319" t="s">
        <v>11650</v>
      </c>
      <c r="U3319" t="s">
        <v>11650</v>
      </c>
      <c r="V3319" t="s">
        <v>11650</v>
      </c>
      <c r="W3319" t="s">
        <v>14920</v>
      </c>
      <c r="X3319">
        <v>43</v>
      </c>
      <c r="Y3319" t="s">
        <v>18482</v>
      </c>
      <c r="Z3319" t="s">
        <v>26381</v>
      </c>
      <c r="AA3319">
        <v>0.69454693292917891</v>
      </c>
      <c r="AB3319" t="str">
        <f>HYPERLINK("Melting_Curves/meltCurve_Q16543_CDC37.pdf", "Melting_Curves/meltCurve_Q16543_CDC37.pdf")</f>
        <v>Melting_Curves/meltCurve_Q16543_CDC37.pdf</v>
      </c>
    </row>
    <row r="3320" spans="1:28" x14ac:dyDescent="0.25">
      <c r="A3320" t="s">
        <v>3324</v>
      </c>
      <c r="B3320">
        <v>0.99996721820229495</v>
      </c>
      <c r="C3320">
        <v>0.98239551241360501</v>
      </c>
      <c r="D3320">
        <v>1.18252869260198</v>
      </c>
      <c r="E3320">
        <v>1.7431792039110099</v>
      </c>
      <c r="F3320">
        <v>2.2105406784010899</v>
      </c>
      <c r="G3320">
        <v>2.6830021431020801</v>
      </c>
      <c r="H3320">
        <v>1.3401751061404401</v>
      </c>
      <c r="I3320">
        <v>0.34081047316256402</v>
      </c>
      <c r="J3320">
        <v>0.18265707190994701</v>
      </c>
      <c r="K3320">
        <v>0.13306167343076999</v>
      </c>
      <c r="L3320">
        <v>15000</v>
      </c>
      <c r="M3320">
        <v>235.65614901078001</v>
      </c>
      <c r="N3320">
        <v>63.754680650219001</v>
      </c>
      <c r="O3320">
        <v>63.6474770382843</v>
      </c>
      <c r="P3320">
        <v>-0.77953454466475003</v>
      </c>
      <c r="Q3320">
        <v>0.15783384576496601</v>
      </c>
      <c r="R3320">
        <v>0.234217401235679</v>
      </c>
      <c r="S3320" t="s">
        <v>9146</v>
      </c>
      <c r="T3320" t="s">
        <v>11650</v>
      </c>
      <c r="U3320" t="s">
        <v>11650</v>
      </c>
      <c r="V3320" t="s">
        <v>11650</v>
      </c>
      <c r="W3320" t="s">
        <v>14921</v>
      </c>
      <c r="X3320">
        <v>22</v>
      </c>
      <c r="Y3320" t="s">
        <v>20606</v>
      </c>
      <c r="Z3320" t="s">
        <v>26382</v>
      </c>
      <c r="AA3320">
        <v>0.82190528617005321</v>
      </c>
      <c r="AB3320" t="str">
        <f>HYPERLINK("Melting_Curves/meltCurve_Q16555_DPYSL2.pdf", "Melting_Curves/meltCurve_Q16555_DPYSL2.pdf")</f>
        <v>Melting_Curves/meltCurve_Q16555_DPYSL2.pdf</v>
      </c>
    </row>
    <row r="3321" spans="1:28" x14ac:dyDescent="0.25">
      <c r="A3321" t="s">
        <v>3325</v>
      </c>
      <c r="B3321">
        <v>0.99996721820229495</v>
      </c>
      <c r="C3321">
        <v>1.0537064538718599</v>
      </c>
      <c r="D3321">
        <v>1.03135881783239</v>
      </c>
      <c r="E3321">
        <v>0.97294968094327405</v>
      </c>
      <c r="F3321">
        <v>0.81194030087401603</v>
      </c>
      <c r="G3321">
        <v>0.63048049406789497</v>
      </c>
      <c r="H3321">
        <v>0.37936457249608702</v>
      </c>
      <c r="I3321">
        <v>0.28908771531187899</v>
      </c>
      <c r="J3321">
        <v>0.254623950629287</v>
      </c>
      <c r="K3321">
        <v>0.161172209887573</v>
      </c>
      <c r="L3321">
        <v>985.75642136646104</v>
      </c>
      <c r="M3321">
        <v>17.087985154157298</v>
      </c>
      <c r="N3321">
        <v>58.919501738627098</v>
      </c>
      <c r="O3321">
        <v>56.914450361538499</v>
      </c>
      <c r="P3321">
        <v>-6.3785197854574593E-2</v>
      </c>
      <c r="Q3321">
        <v>0.150261511628551</v>
      </c>
      <c r="R3321">
        <v>0.99205182303934603</v>
      </c>
      <c r="S3321" t="s">
        <v>9147</v>
      </c>
      <c r="T3321" t="s">
        <v>11650</v>
      </c>
      <c r="U3321" t="s">
        <v>11650</v>
      </c>
      <c r="V3321" t="s">
        <v>11650</v>
      </c>
      <c r="W3321" t="s">
        <v>14922</v>
      </c>
      <c r="X3321">
        <v>5</v>
      </c>
      <c r="Y3321" t="s">
        <v>20607</v>
      </c>
      <c r="Z3321" t="s">
        <v>26383</v>
      </c>
      <c r="AA3321">
        <v>0.66257440551618418</v>
      </c>
      <c r="AB3321" t="str">
        <f>HYPERLINK("Melting_Curves/meltCurve_Q16566_CAMK4.pdf", "Melting_Curves/meltCurve_Q16566_CAMK4.pdf")</f>
        <v>Melting_Curves/meltCurve_Q16566_CAMK4.pdf</v>
      </c>
    </row>
    <row r="3322" spans="1:28" x14ac:dyDescent="0.25">
      <c r="A3322" t="s">
        <v>3326</v>
      </c>
      <c r="B3322">
        <v>0.99996721820229495</v>
      </c>
      <c r="C3322">
        <v>0.96256513211276495</v>
      </c>
      <c r="D3322">
        <v>1.0690861084483101</v>
      </c>
      <c r="E3322">
        <v>1.39887484873424</v>
      </c>
      <c r="F3322">
        <v>1.740037726537</v>
      </c>
      <c r="G3322">
        <v>1.4972174249453201</v>
      </c>
      <c r="H3322">
        <v>0.76166210470381501</v>
      </c>
      <c r="I3322">
        <v>0.34207628912264398</v>
      </c>
      <c r="J3322">
        <v>0.23482075360462301</v>
      </c>
      <c r="K3322">
        <v>0.22839413829986999</v>
      </c>
      <c r="L3322">
        <v>4179.5091278234404</v>
      </c>
      <c r="M3322">
        <v>67.608331950483105</v>
      </c>
      <c r="N3322">
        <v>62.429283853290201</v>
      </c>
      <c r="O3322">
        <v>61.765419133689001</v>
      </c>
      <c r="P3322">
        <v>-0.20751177117394701</v>
      </c>
      <c r="Q3322">
        <v>0.241688244368471</v>
      </c>
      <c r="R3322">
        <v>0.62507183805299005</v>
      </c>
      <c r="S3322" t="s">
        <v>9148</v>
      </c>
      <c r="T3322" t="s">
        <v>11650</v>
      </c>
      <c r="U3322" t="s">
        <v>11650</v>
      </c>
      <c r="V3322" t="s">
        <v>11650</v>
      </c>
      <c r="W3322" t="s">
        <v>14923</v>
      </c>
      <c r="X3322">
        <v>7</v>
      </c>
      <c r="Y3322" t="s">
        <v>20608</v>
      </c>
      <c r="Z3322" t="s">
        <v>26384</v>
      </c>
      <c r="AA3322">
        <v>0.79433621600441462</v>
      </c>
      <c r="AB3322" t="str">
        <f>HYPERLINK("Melting_Curves/meltCurve_Q16585_SGCB.pdf", "Melting_Curves/meltCurve_Q16585_SGCB.pdf")</f>
        <v>Melting_Curves/meltCurve_Q16585_SGCB.pdf</v>
      </c>
    </row>
    <row r="3323" spans="1:28" x14ac:dyDescent="0.25">
      <c r="A3323" t="s">
        <v>3327</v>
      </c>
      <c r="B3323">
        <v>0.99996721820229495</v>
      </c>
      <c r="C3323">
        <v>1.03956862668443</v>
      </c>
      <c r="D3323">
        <v>1.04103691849241</v>
      </c>
      <c r="E3323">
        <v>1.1051710590000301</v>
      </c>
      <c r="F3323">
        <v>1.41117523595142</v>
      </c>
      <c r="G3323">
        <v>1.5715215818064301</v>
      </c>
      <c r="H3323">
        <v>1.08683412596976</v>
      </c>
      <c r="I3323">
        <v>0.69346456194241202</v>
      </c>
      <c r="J3323">
        <v>0.46877094196114</v>
      </c>
      <c r="K3323">
        <v>0.35930161356483997</v>
      </c>
      <c r="L3323">
        <v>10773.7836769814</v>
      </c>
      <c r="M3323">
        <v>168.43087535212501</v>
      </c>
      <c r="N3323">
        <v>64.640452944066993</v>
      </c>
      <c r="O3323">
        <v>63.956614202370801</v>
      </c>
      <c r="P3323">
        <v>-0.38591545416386203</v>
      </c>
      <c r="Q3323">
        <v>0.41384054607092702</v>
      </c>
      <c r="R3323">
        <v>0.59703817540803905</v>
      </c>
      <c r="S3323" t="s">
        <v>9149</v>
      </c>
      <c r="T3323" t="s">
        <v>11650</v>
      </c>
      <c r="U3323" t="s">
        <v>11650</v>
      </c>
      <c r="V3323" t="s">
        <v>11650</v>
      </c>
      <c r="W3323" t="s">
        <v>14924</v>
      </c>
      <c r="X3323">
        <v>24</v>
      </c>
      <c r="Y3323" t="s">
        <v>20609</v>
      </c>
      <c r="Z3323" t="s">
        <v>26385</v>
      </c>
      <c r="AA3323">
        <v>0.88224117636977506</v>
      </c>
      <c r="AB3323" t="str">
        <f>HYPERLINK("Melting_Curves/meltCurve_Q16610_ECM1.pdf", "Melting_Curves/meltCurve_Q16610_ECM1.pdf")</f>
        <v>Melting_Curves/meltCurve_Q16610_ECM1.pdf</v>
      </c>
    </row>
    <row r="3324" spans="1:28" x14ac:dyDescent="0.25">
      <c r="A3324" t="s">
        <v>3328</v>
      </c>
      <c r="B3324">
        <v>0.99996721820229495</v>
      </c>
      <c r="C3324">
        <v>1.00016338714001</v>
      </c>
      <c r="D3324">
        <v>0.95082813942206501</v>
      </c>
      <c r="E3324">
        <v>0.69037159779410295</v>
      </c>
      <c r="F3324">
        <v>0.34453411134210399</v>
      </c>
      <c r="G3324">
        <v>0.23467658155433499</v>
      </c>
      <c r="H3324">
        <v>0.13063703189822101</v>
      </c>
      <c r="I3324">
        <v>7.1256264177635503E-2</v>
      </c>
      <c r="J3324">
        <v>8.9794546109741497E-2</v>
      </c>
      <c r="K3324">
        <v>4.46823421720512E-2</v>
      </c>
      <c r="L3324">
        <v>1122.2963362317801</v>
      </c>
      <c r="M3324">
        <v>21.838189006902901</v>
      </c>
      <c r="N3324">
        <v>51.798486436051498</v>
      </c>
      <c r="O3324">
        <v>50.966353305811502</v>
      </c>
      <c r="P3324">
        <v>-9.8677562700829793E-2</v>
      </c>
      <c r="Q3324">
        <v>7.8839507688093696E-2</v>
      </c>
      <c r="R3324">
        <v>0.99416363279865105</v>
      </c>
      <c r="S3324" t="s">
        <v>9150</v>
      </c>
      <c r="T3324" t="s">
        <v>11650</v>
      </c>
      <c r="U3324" t="s">
        <v>11650</v>
      </c>
      <c r="V3324" t="s">
        <v>11650</v>
      </c>
      <c r="W3324" t="s">
        <v>14925</v>
      </c>
      <c r="X3324">
        <v>1</v>
      </c>
      <c r="Y3324" t="s">
        <v>20610</v>
      </c>
      <c r="Z3324" t="s">
        <v>26386</v>
      </c>
      <c r="AA3324">
        <v>0.43945784820215078</v>
      </c>
      <c r="AB3324" t="str">
        <f>HYPERLINK("Melting_Curves/meltCurve_Q16619_2_CTF1.pdf", "Melting_Curves/meltCurve_Q16619_2_CTF1.pdf")</f>
        <v>Melting_Curves/meltCurve_Q16619_2_CTF1.pdf</v>
      </c>
    </row>
    <row r="3325" spans="1:28" x14ac:dyDescent="0.25">
      <c r="A3325" t="s">
        <v>3329</v>
      </c>
      <c r="B3325">
        <v>0.99996721820229495</v>
      </c>
      <c r="C3325">
        <v>0.84046750730504705</v>
      </c>
      <c r="D3325">
        <v>0.94007504443427603</v>
      </c>
      <c r="E3325">
        <v>1.1397875410406</v>
      </c>
      <c r="F3325">
        <v>1.5423273097159</v>
      </c>
      <c r="G3325">
        <v>1.7674889997800101</v>
      </c>
      <c r="H3325">
        <v>1.08174242256515</v>
      </c>
      <c r="I3325">
        <v>1.0104017502456999</v>
      </c>
      <c r="J3325">
        <v>0.77743548174702104</v>
      </c>
      <c r="K3325">
        <v>0.69815447400017505</v>
      </c>
      <c r="L3325">
        <v>15000</v>
      </c>
      <c r="M3325">
        <v>224.912622831786</v>
      </c>
      <c r="O3325">
        <v>66.687301258006599</v>
      </c>
      <c r="P3325">
        <v>-0.25451260660846298</v>
      </c>
      <c r="Q3325">
        <v>0.698144877696941</v>
      </c>
      <c r="R3325">
        <v>7.5812480911763805E-2</v>
      </c>
      <c r="S3325" t="s">
        <v>9151</v>
      </c>
      <c r="T3325" t="s">
        <v>11650</v>
      </c>
      <c r="U3325" t="s">
        <v>11650</v>
      </c>
      <c r="V3325" t="s">
        <v>11650</v>
      </c>
      <c r="W3325" t="s">
        <v>14926</v>
      </c>
      <c r="X3325">
        <v>1</v>
      </c>
      <c r="Y3325" t="s">
        <v>20611</v>
      </c>
      <c r="Z3325" t="s">
        <v>26387</v>
      </c>
      <c r="AA3325">
        <v>0.96676471296687416</v>
      </c>
      <c r="AB3325" t="str">
        <f>HYPERLINK("Melting_Curves/meltCurve_Q16625_5_OCLN.pdf", "Melting_Curves/meltCurve_Q16625_5_OCLN.pdf")</f>
        <v>Melting_Curves/meltCurve_Q16625_5_OCLN.pdf</v>
      </c>
    </row>
    <row r="3326" spans="1:28" x14ac:dyDescent="0.25">
      <c r="A3326" t="s">
        <v>3330</v>
      </c>
      <c r="B3326">
        <v>0.99996721820229495</v>
      </c>
      <c r="C3326">
        <v>1.0140897641322699</v>
      </c>
      <c r="D3326">
        <v>1.07477232448757</v>
      </c>
      <c r="E3326">
        <v>1.19979623852057</v>
      </c>
      <c r="F3326">
        <v>1.6515410548141101</v>
      </c>
      <c r="G3326">
        <v>1.7566921975124601</v>
      </c>
      <c r="H3326">
        <v>0.96094596333153903</v>
      </c>
      <c r="I3326">
        <v>1.79112563658789</v>
      </c>
      <c r="J3326">
        <v>1.9085056704816901</v>
      </c>
      <c r="K3326">
        <v>1.2291635387508</v>
      </c>
      <c r="L3326">
        <v>12520.357909673199</v>
      </c>
      <c r="M3326">
        <v>250</v>
      </c>
      <c r="O3326">
        <v>50.078226774129</v>
      </c>
      <c r="P3326">
        <v>0.624023693707495</v>
      </c>
      <c r="Q3326">
        <v>1.5</v>
      </c>
      <c r="R3326">
        <v>0.43711611002664003</v>
      </c>
      <c r="S3326" t="s">
        <v>9152</v>
      </c>
      <c r="T3326" t="s">
        <v>11650</v>
      </c>
      <c r="U3326" t="s">
        <v>11650</v>
      </c>
      <c r="V3326" t="s">
        <v>11650</v>
      </c>
      <c r="W3326" t="s">
        <v>14927</v>
      </c>
      <c r="X3326">
        <v>2</v>
      </c>
      <c r="Y3326" t="s">
        <v>20612</v>
      </c>
      <c r="Z3326" t="s">
        <v>26388</v>
      </c>
      <c r="AA3326">
        <v>1.331932193288577</v>
      </c>
      <c r="AB3326" t="str">
        <f>HYPERLINK("Melting_Curves/meltCurve_Q16626_MEA1.pdf", "Melting_Curves/meltCurve_Q16626_MEA1.pdf")</f>
        <v>Melting_Curves/meltCurve_Q16626_MEA1.pdf</v>
      </c>
    </row>
    <row r="3327" spans="1:28" x14ac:dyDescent="0.25">
      <c r="A3327" t="s">
        <v>3331</v>
      </c>
      <c r="B3327">
        <v>0.99996721820229495</v>
      </c>
      <c r="C3327">
        <v>0.92577302657740801</v>
      </c>
      <c r="D3327">
        <v>0.87701972504480596</v>
      </c>
      <c r="E3327">
        <v>1.25911638766837</v>
      </c>
      <c r="F3327">
        <v>1.2495964585113899</v>
      </c>
      <c r="G3327">
        <v>0.947824825554754</v>
      </c>
      <c r="H3327">
        <v>0.69345646019220897</v>
      </c>
      <c r="I3327">
        <v>0.93669209879918702</v>
      </c>
      <c r="J3327">
        <v>1.40053895455886</v>
      </c>
      <c r="K3327">
        <v>3.27633865766578</v>
      </c>
      <c r="L3327">
        <v>15000</v>
      </c>
      <c r="M3327">
        <v>225.27544822699801</v>
      </c>
      <c r="O3327">
        <v>66.579904674420405</v>
      </c>
      <c r="P3327">
        <v>0.42294189557327</v>
      </c>
      <c r="Q3327">
        <v>1.5</v>
      </c>
      <c r="R3327">
        <v>0.30969440112076901</v>
      </c>
      <c r="S3327" t="s">
        <v>9153</v>
      </c>
      <c r="T3327" t="s">
        <v>11650</v>
      </c>
      <c r="U3327" t="s">
        <v>11650</v>
      </c>
      <c r="V3327" t="s">
        <v>11650</v>
      </c>
      <c r="W3327" t="s">
        <v>14928</v>
      </c>
      <c r="X3327">
        <v>37</v>
      </c>
      <c r="Y3327" t="s">
        <v>20613</v>
      </c>
      <c r="Z3327" t="s">
        <v>26389</v>
      </c>
      <c r="AA3327">
        <v>1.0568422625926901</v>
      </c>
      <c r="AB3327" t="str">
        <f>HYPERLINK("Melting_Curves/meltCurve_Q16643_DBN1.pdf", "Melting_Curves/meltCurve_Q16643_DBN1.pdf")</f>
        <v>Melting_Curves/meltCurve_Q16643_DBN1.pdf</v>
      </c>
    </row>
    <row r="3328" spans="1:28" x14ac:dyDescent="0.25">
      <c r="A3328" t="s">
        <v>3332</v>
      </c>
      <c r="B3328">
        <v>0.99996721820229495</v>
      </c>
      <c r="C3328">
        <v>0.92846815376384195</v>
      </c>
      <c r="D3328">
        <v>0.81937667393539604</v>
      </c>
      <c r="E3328">
        <v>0.45250866112404398</v>
      </c>
      <c r="F3328">
        <v>0.44287665607868598</v>
      </c>
      <c r="G3328">
        <v>0.306588998678826</v>
      </c>
      <c r="H3328">
        <v>0.178786622976051</v>
      </c>
      <c r="I3328">
        <v>0.120374885934687</v>
      </c>
      <c r="J3328">
        <v>0.112184285377336</v>
      </c>
      <c r="K3328">
        <v>7.9717390791027298E-2</v>
      </c>
      <c r="L3328">
        <v>621.73940334372105</v>
      </c>
      <c r="M3328">
        <v>12.3306847319024</v>
      </c>
      <c r="N3328">
        <v>51.075426482578102</v>
      </c>
      <c r="O3328">
        <v>49.151007205787799</v>
      </c>
      <c r="P3328">
        <v>-5.8155354269246902E-2</v>
      </c>
      <c r="Q3328">
        <v>7.2955218388525103E-2</v>
      </c>
      <c r="R3328">
        <v>0.98194341631092796</v>
      </c>
      <c r="S3328" t="s">
        <v>9154</v>
      </c>
      <c r="T3328" t="s">
        <v>11650</v>
      </c>
      <c r="U3328" t="s">
        <v>11650</v>
      </c>
      <c r="V3328" t="s">
        <v>11650</v>
      </c>
      <c r="W3328" t="s">
        <v>14929</v>
      </c>
      <c r="X3328">
        <v>7</v>
      </c>
      <c r="Y3328" t="s">
        <v>20614</v>
      </c>
      <c r="Z3328" t="s">
        <v>26390</v>
      </c>
      <c r="AA3328">
        <v>0.42504706522113239</v>
      </c>
      <c r="AB3328" t="str">
        <f>HYPERLINK("Melting_Curves/meltCurve_Q16644_MAPKAPK3.pdf", "Melting_Curves/meltCurve_Q16644_MAPKAPK3.pdf")</f>
        <v>Melting_Curves/meltCurve_Q16644_MAPKAPK3.pdf</v>
      </c>
    </row>
    <row r="3329" spans="1:28" x14ac:dyDescent="0.25">
      <c r="A3329" t="s">
        <v>3333</v>
      </c>
      <c r="B3329">
        <v>0.99996721820229495</v>
      </c>
      <c r="C3329">
        <v>0.89870695278550194</v>
      </c>
      <c r="D3329">
        <v>0.97132350295449199</v>
      </c>
      <c r="E3329">
        <v>0.94717060334233505</v>
      </c>
      <c r="F3329">
        <v>1.1096128520828099</v>
      </c>
      <c r="G3329">
        <v>0.73139714538991596</v>
      </c>
      <c r="H3329">
        <v>0.24262515969849099</v>
      </c>
      <c r="I3329">
        <v>0.10911205130002299</v>
      </c>
      <c r="J3329">
        <v>7.2395686020555503E-2</v>
      </c>
      <c r="K3329">
        <v>4.7688308059882903E-2</v>
      </c>
      <c r="L3329">
        <v>2233.0886402047399</v>
      </c>
      <c r="M3329">
        <v>38.144121455475798</v>
      </c>
      <c r="N3329">
        <v>58.753889113844899</v>
      </c>
      <c r="O3329">
        <v>58.3832438225011</v>
      </c>
      <c r="P3329">
        <v>-0.152907624469763</v>
      </c>
      <c r="Q3329">
        <v>6.3843128389970596E-2</v>
      </c>
      <c r="R3329">
        <v>0.98219965360235995</v>
      </c>
      <c r="S3329" t="s">
        <v>9155</v>
      </c>
      <c r="T3329" t="s">
        <v>11650</v>
      </c>
      <c r="U3329" t="s">
        <v>11650</v>
      </c>
      <c r="V3329" t="s">
        <v>11650</v>
      </c>
      <c r="W3329" t="s">
        <v>14930</v>
      </c>
      <c r="X3329">
        <v>12</v>
      </c>
      <c r="Y3329" t="s">
        <v>20615</v>
      </c>
      <c r="Z3329" t="s">
        <v>26391</v>
      </c>
      <c r="AA3329">
        <v>0.64652448422882836</v>
      </c>
      <c r="AB3329" t="str">
        <f>HYPERLINK("Melting_Curves/meltCurve_Q16647_PTGIS.pdf", "Melting_Curves/meltCurve_Q16647_PTGIS.pdf")</f>
        <v>Melting_Curves/meltCurve_Q16647_PTGIS.pdf</v>
      </c>
    </row>
    <row r="3330" spans="1:28" x14ac:dyDescent="0.25">
      <c r="A3330" t="s">
        <v>3334</v>
      </c>
      <c r="B3330">
        <v>0.99996721820229495</v>
      </c>
      <c r="C3330">
        <v>1.04690970828425</v>
      </c>
      <c r="D3330">
        <v>0.98661084233827201</v>
      </c>
      <c r="E3330">
        <v>1.0131593834889701</v>
      </c>
      <c r="F3330">
        <v>0.87449044099772999</v>
      </c>
      <c r="G3330">
        <v>0.44950039939639702</v>
      </c>
      <c r="H3330">
        <v>0.1796913292232</v>
      </c>
      <c r="I3330">
        <v>9.4643438677731298E-2</v>
      </c>
      <c r="J3330">
        <v>6.5081473802110101E-2</v>
      </c>
      <c r="K3330">
        <v>5.3601602789321599E-2</v>
      </c>
      <c r="L3330">
        <v>1625.6261805184499</v>
      </c>
      <c r="M3330">
        <v>28.815190100892799</v>
      </c>
      <c r="N3330">
        <v>56.672599926796401</v>
      </c>
      <c r="O3330">
        <v>56.145980940601397</v>
      </c>
      <c r="P3330">
        <v>-0.12044733701985599</v>
      </c>
      <c r="Q3330">
        <v>6.1247606134804497E-2</v>
      </c>
      <c r="R3330">
        <v>0.99751610008950997</v>
      </c>
      <c r="S3330" t="s">
        <v>9156</v>
      </c>
      <c r="T3330" t="s">
        <v>11650</v>
      </c>
      <c r="U3330" t="s">
        <v>11650</v>
      </c>
      <c r="V3330" t="s">
        <v>11650</v>
      </c>
      <c r="W3330" t="s">
        <v>14931</v>
      </c>
      <c r="X3330">
        <v>40</v>
      </c>
      <c r="Y3330" t="s">
        <v>20616</v>
      </c>
      <c r="Z3330" t="s">
        <v>26392</v>
      </c>
      <c r="AA3330">
        <v>0.58165030917426142</v>
      </c>
      <c r="AB3330" t="str">
        <f>HYPERLINK("Melting_Curves/meltCurve_Q16658_FSCN1.pdf", "Melting_Curves/meltCurve_Q16658_FSCN1.pdf")</f>
        <v>Melting_Curves/meltCurve_Q16658_FSCN1.pdf</v>
      </c>
    </row>
    <row r="3331" spans="1:28" x14ac:dyDescent="0.25">
      <c r="A3331" t="s">
        <v>3335</v>
      </c>
      <c r="B3331">
        <v>0.99996721820229495</v>
      </c>
      <c r="C3331">
        <v>0.92538137292135003</v>
      </c>
      <c r="D3331">
        <v>1.04250279102272</v>
      </c>
      <c r="E3331">
        <v>1.49602946420787</v>
      </c>
      <c r="F3331">
        <v>1.4435719149569599</v>
      </c>
      <c r="G3331">
        <v>0.650399171839389</v>
      </c>
      <c r="H3331">
        <v>0.24093896921592201</v>
      </c>
      <c r="I3331">
        <v>0.15606610249977601</v>
      </c>
      <c r="J3331">
        <v>0.122246068283314</v>
      </c>
      <c r="K3331">
        <v>9.2507238626948596E-2</v>
      </c>
      <c r="L3331">
        <v>6076.6912566370602</v>
      </c>
      <c r="M3331">
        <v>106.250840765004</v>
      </c>
      <c r="N3331">
        <v>57.388558659015303</v>
      </c>
      <c r="O3331">
        <v>57.171683597528101</v>
      </c>
      <c r="P3331">
        <v>-0.39372991693187998</v>
      </c>
      <c r="Q3331">
        <v>0.152563835607015</v>
      </c>
      <c r="R3331">
        <v>0.825714500377279</v>
      </c>
      <c r="S3331" t="s">
        <v>9157</v>
      </c>
      <c r="T3331" t="s">
        <v>11650</v>
      </c>
      <c r="U3331" t="s">
        <v>11650</v>
      </c>
      <c r="V3331" t="s">
        <v>11650</v>
      </c>
      <c r="W3331" t="s">
        <v>14932</v>
      </c>
      <c r="X3331">
        <v>23</v>
      </c>
      <c r="Y3331" t="s">
        <v>20617</v>
      </c>
      <c r="Z3331" t="s">
        <v>26393</v>
      </c>
      <c r="AA3331">
        <v>0.63867081353693111</v>
      </c>
      <c r="AB3331" t="str">
        <f>HYPERLINK("Melting_Curves/meltCurve_Q16706_MAN2A1.pdf", "Melting_Curves/meltCurve_Q16706_MAN2A1.pdf")</f>
        <v>Melting_Curves/meltCurve_Q16706_MAN2A1.pdf</v>
      </c>
    </row>
    <row r="3332" spans="1:28" x14ac:dyDescent="0.25">
      <c r="A3332" t="s">
        <v>3336</v>
      </c>
      <c r="B3332">
        <v>0.99996721820229495</v>
      </c>
      <c r="C3332">
        <v>0.84116593031507803</v>
      </c>
      <c r="D3332">
        <v>0.88002344457330495</v>
      </c>
      <c r="E3332">
        <v>1.2592358308425899</v>
      </c>
      <c r="F3332">
        <v>1.8892192396095899</v>
      </c>
      <c r="G3332">
        <v>1.88977931750526</v>
      </c>
      <c r="H3332">
        <v>1.45681819933057</v>
      </c>
      <c r="I3332">
        <v>1.1298150196529699</v>
      </c>
      <c r="J3332">
        <v>0.69598018117691196</v>
      </c>
      <c r="K3332">
        <v>0.40489204991730998</v>
      </c>
      <c r="L3332">
        <v>15000</v>
      </c>
      <c r="M3332">
        <v>223.92381606796201</v>
      </c>
      <c r="N3332">
        <v>67.487131326239506</v>
      </c>
      <c r="O3332">
        <v>66.981736364132502</v>
      </c>
      <c r="P3332">
        <v>-0.497405852611013</v>
      </c>
      <c r="Q3332">
        <v>0.40484933226303998</v>
      </c>
      <c r="R3332">
        <v>0.110234710016377</v>
      </c>
      <c r="S3332" t="s">
        <v>9158</v>
      </c>
      <c r="T3332" t="s">
        <v>11650</v>
      </c>
      <c r="U3332" t="s">
        <v>11650</v>
      </c>
      <c r="V3332" t="s">
        <v>11650</v>
      </c>
      <c r="W3332" t="s">
        <v>14933</v>
      </c>
      <c r="X3332">
        <v>4</v>
      </c>
      <c r="Y3332" t="s">
        <v>20618</v>
      </c>
      <c r="Z3332" t="s">
        <v>26394</v>
      </c>
      <c r="AA3332">
        <v>0.94031518215335907</v>
      </c>
      <c r="AB3332" t="str">
        <f>HYPERLINK("Melting_Curves/meltCurve_Q16718_NDUFA5.pdf", "Melting_Curves/meltCurve_Q16718_NDUFA5.pdf")</f>
        <v>Melting_Curves/meltCurve_Q16718_NDUFA5.pdf</v>
      </c>
    </row>
    <row r="3333" spans="1:28" x14ac:dyDescent="0.25">
      <c r="A3333" t="s">
        <v>3337</v>
      </c>
      <c r="B3333">
        <v>0.99996721820229495</v>
      </c>
      <c r="C3333">
        <v>0.97585881681346498</v>
      </c>
      <c r="D3333">
        <v>1.08852754283791</v>
      </c>
      <c r="E3333">
        <v>1.23483441510801</v>
      </c>
      <c r="F3333">
        <v>1.61601311264577</v>
      </c>
      <c r="G3333">
        <v>2.0442297570213599</v>
      </c>
      <c r="H3333">
        <v>1.2519733906077</v>
      </c>
      <c r="I3333">
        <v>0.80218622660155603</v>
      </c>
      <c r="J3333">
        <v>0.38376799248260801</v>
      </c>
      <c r="K3333">
        <v>0.244158439472283</v>
      </c>
      <c r="L3333">
        <v>4435.4128419304798</v>
      </c>
      <c r="M3333">
        <v>68.059043237371</v>
      </c>
      <c r="N3333">
        <v>65.866254127813306</v>
      </c>
      <c r="O3333">
        <v>65.113877579001098</v>
      </c>
      <c r="P3333">
        <v>-0.19429146156190499</v>
      </c>
      <c r="Q3333">
        <v>0.25646518099458299</v>
      </c>
      <c r="R3333">
        <v>0.370488789989944</v>
      </c>
      <c r="S3333" t="s">
        <v>9159</v>
      </c>
      <c r="T3333" t="s">
        <v>11650</v>
      </c>
      <c r="U3333" t="s">
        <v>11650</v>
      </c>
      <c r="V3333" t="s">
        <v>11650</v>
      </c>
      <c r="W3333" t="s">
        <v>14934</v>
      </c>
      <c r="X3333">
        <v>1</v>
      </c>
      <c r="Y3333" t="s">
        <v>20619</v>
      </c>
      <c r="Z3333" t="s">
        <v>26395</v>
      </c>
      <c r="AA3333">
        <v>0.88118617818355205</v>
      </c>
      <c r="AB3333" t="str">
        <f>HYPERLINK("Melting_Curves/meltCurve_Q16719_2_KYNU.pdf", "Melting_Curves/meltCurve_Q16719_2_KYNU.pdf")</f>
        <v>Melting_Curves/meltCurve_Q16719_2_KYNU.pdf</v>
      </c>
    </row>
    <row r="3334" spans="1:28" x14ac:dyDescent="0.25">
      <c r="A3334" t="s">
        <v>3338</v>
      </c>
      <c r="B3334">
        <v>0.99996721820229495</v>
      </c>
      <c r="C3334">
        <v>1.0247921003342799</v>
      </c>
      <c r="D3334">
        <v>1.1172765339963699</v>
      </c>
      <c r="E3334">
        <v>1.3015101961998601</v>
      </c>
      <c r="F3334">
        <v>1.49762669418981</v>
      </c>
      <c r="G3334">
        <v>1.46872350342125</v>
      </c>
      <c r="H3334">
        <v>0.47537031641552502</v>
      </c>
      <c r="I3334">
        <v>0.19308953543489801</v>
      </c>
      <c r="J3334">
        <v>0.12836464032181899</v>
      </c>
      <c r="K3334">
        <v>0.10326196712180399</v>
      </c>
      <c r="L3334">
        <v>9224.8314532723798</v>
      </c>
      <c r="M3334">
        <v>151.67737550292699</v>
      </c>
      <c r="N3334">
        <v>60.9523219731784</v>
      </c>
      <c r="O3334">
        <v>60.808198915773801</v>
      </c>
      <c r="P3334">
        <v>-0.53542784960721801</v>
      </c>
      <c r="Q3334">
        <v>0.14137747321695501</v>
      </c>
      <c r="R3334">
        <v>0.79227765571322495</v>
      </c>
      <c r="S3334" t="s">
        <v>9160</v>
      </c>
      <c r="T3334" t="s">
        <v>11650</v>
      </c>
      <c r="U3334" t="s">
        <v>11650</v>
      </c>
      <c r="V3334" t="s">
        <v>11650</v>
      </c>
      <c r="W3334" t="s">
        <v>14935</v>
      </c>
      <c r="X3334">
        <v>10</v>
      </c>
      <c r="Y3334" t="s">
        <v>20620</v>
      </c>
      <c r="Z3334" t="s">
        <v>26396</v>
      </c>
      <c r="AA3334">
        <v>0.73747537774826855</v>
      </c>
      <c r="AB3334" t="str">
        <f>HYPERLINK("Melting_Curves/meltCurve_Q16740_CLPP.pdf", "Melting_Curves/meltCurve_Q16740_CLPP.pdf")</f>
        <v>Melting_Curves/meltCurve_Q16740_CLPP.pdf</v>
      </c>
    </row>
    <row r="3335" spans="1:28" x14ac:dyDescent="0.25">
      <c r="A3335" t="s">
        <v>3339</v>
      </c>
      <c r="B3335">
        <v>0.99996721820229495</v>
      </c>
      <c r="C3335">
        <v>0.89655763984725501</v>
      </c>
      <c r="D3335">
        <v>0.32343477229218498</v>
      </c>
      <c r="E3335">
        <v>0.24604630975074801</v>
      </c>
      <c r="F3335">
        <v>0.27324532272134</v>
      </c>
      <c r="G3335">
        <v>0.228623136994489</v>
      </c>
      <c r="H3335">
        <v>0.123952221469131</v>
      </c>
      <c r="I3335">
        <v>6.1860767614442903E-2</v>
      </c>
      <c r="J3335">
        <v>4.0607266902624298E-2</v>
      </c>
      <c r="K3335">
        <v>3.7610126611607703E-2</v>
      </c>
      <c r="L3335">
        <v>1978.3902715261199</v>
      </c>
      <c r="M3335">
        <v>44.237583792109497</v>
      </c>
      <c r="N3335">
        <v>45.062066800255302</v>
      </c>
      <c r="O3335">
        <v>44.630843885239202</v>
      </c>
      <c r="P3335">
        <v>-0.212625546192999</v>
      </c>
      <c r="Q3335">
        <v>0.14193848753142499</v>
      </c>
      <c r="R3335">
        <v>0.94230360497416998</v>
      </c>
      <c r="S3335" t="s">
        <v>9161</v>
      </c>
      <c r="T3335" t="s">
        <v>11650</v>
      </c>
      <c r="U3335" t="s">
        <v>11650</v>
      </c>
      <c r="V3335" t="s">
        <v>11650</v>
      </c>
      <c r="W3335" t="s">
        <v>14936</v>
      </c>
      <c r="X3335">
        <v>11</v>
      </c>
      <c r="Y3335" t="s">
        <v>20621</v>
      </c>
      <c r="Z3335" t="s">
        <v>26397</v>
      </c>
      <c r="AA3335">
        <v>0.27928097303131011</v>
      </c>
      <c r="AB3335" t="str">
        <f>HYPERLINK("Melting_Curves/meltCurve_Q16762_TST.pdf", "Melting_Curves/meltCurve_Q16762_TST.pdf")</f>
        <v>Melting_Curves/meltCurve_Q16762_TST.pdf</v>
      </c>
    </row>
    <row r="3336" spans="1:28" x14ac:dyDescent="0.25">
      <c r="A3336" t="s">
        <v>3340</v>
      </c>
      <c r="B3336">
        <v>0.99996721820229495</v>
      </c>
      <c r="C3336">
        <v>1.0540199099110299</v>
      </c>
      <c r="D3336">
        <v>0.88091693135877902</v>
      </c>
      <c r="E3336">
        <v>0.60670816168150499</v>
      </c>
      <c r="F3336">
        <v>0.34353354890742899</v>
      </c>
      <c r="G3336">
        <v>0.249012403028358</v>
      </c>
      <c r="H3336">
        <v>0.13451080819268399</v>
      </c>
      <c r="I3336">
        <v>0.24398250776506</v>
      </c>
      <c r="J3336">
        <v>3.8527946025167702E-2</v>
      </c>
      <c r="K3336">
        <v>3.86633144918061E-2</v>
      </c>
      <c r="L3336">
        <v>953.42683536839399</v>
      </c>
      <c r="M3336">
        <v>18.803795728866</v>
      </c>
      <c r="N3336">
        <v>51.323237407614101</v>
      </c>
      <c r="O3336">
        <v>50.140939499301801</v>
      </c>
      <c r="P3336">
        <v>-8.4242439167407895E-2</v>
      </c>
      <c r="Q3336">
        <v>0.101496380600859</v>
      </c>
      <c r="R3336">
        <v>0.97470466429204805</v>
      </c>
      <c r="S3336" t="s">
        <v>9162</v>
      </c>
      <c r="T3336" t="s">
        <v>11650</v>
      </c>
      <c r="U3336" t="s">
        <v>11650</v>
      </c>
      <c r="V3336" t="s">
        <v>11650</v>
      </c>
      <c r="W3336" t="s">
        <v>14937</v>
      </c>
      <c r="X3336">
        <v>2</v>
      </c>
      <c r="Y3336" t="s">
        <v>20622</v>
      </c>
      <c r="Z3336" t="s">
        <v>26398</v>
      </c>
      <c r="AA3336">
        <v>0.4360955414047053</v>
      </c>
      <c r="AB3336" t="str">
        <f>HYPERLINK("Melting_Curves/meltCurve_Q16763_UBE2S.pdf", "Melting_Curves/meltCurve_Q16763_UBE2S.pdf")</f>
        <v>Melting_Curves/meltCurve_Q16763_UBE2S.pdf</v>
      </c>
    </row>
    <row r="3337" spans="1:28" x14ac:dyDescent="0.25">
      <c r="A3337" t="s">
        <v>3341</v>
      </c>
      <c r="B3337">
        <v>0.99996721820229495</v>
      </c>
      <c r="C3337">
        <v>1.15665750738595</v>
      </c>
      <c r="D3337">
        <v>1.39806402090735</v>
      </c>
      <c r="E3337">
        <v>1.4773738069848401</v>
      </c>
      <c r="F3337">
        <v>0.97539678826899801</v>
      </c>
      <c r="G3337">
        <v>1.2830831002655001</v>
      </c>
      <c r="H3337">
        <v>1.0572577819504201</v>
      </c>
      <c r="I3337">
        <v>2.7404650144557001</v>
      </c>
      <c r="J3337">
        <v>0.33197327443438401</v>
      </c>
      <c r="K3337">
        <v>0.27995489275056701</v>
      </c>
      <c r="L3337">
        <v>15000</v>
      </c>
      <c r="M3337">
        <v>226.22397660249101</v>
      </c>
      <c r="N3337">
        <v>66.540484975337307</v>
      </c>
      <c r="O3337">
        <v>66.300787396552707</v>
      </c>
      <c r="P3337">
        <v>-0.61867726537694701</v>
      </c>
      <c r="Q3337">
        <v>0.27472250609108201</v>
      </c>
      <c r="R3337">
        <v>0.16069036782248899</v>
      </c>
      <c r="S3337" t="s">
        <v>9163</v>
      </c>
      <c r="T3337" t="s">
        <v>11650</v>
      </c>
      <c r="U3337" t="s">
        <v>11650</v>
      </c>
      <c r="V3337" t="s">
        <v>11650</v>
      </c>
      <c r="W3337" t="s">
        <v>14938</v>
      </c>
      <c r="X3337">
        <v>5</v>
      </c>
      <c r="Y3337" t="s">
        <v>20623</v>
      </c>
      <c r="Z3337" t="s">
        <v>26399</v>
      </c>
      <c r="AA3337">
        <v>0.91079644038335983</v>
      </c>
      <c r="AB3337" t="str">
        <f>HYPERLINK("Melting_Curves/meltCurve_Q16778_HIST2H2BE.pdf", "Melting_Curves/meltCurve_Q16778_HIST2H2BE.pdf")</f>
        <v>Melting_Curves/meltCurve_Q16778_HIST2H2BE.pdf</v>
      </c>
    </row>
    <row r="3338" spans="1:28" x14ac:dyDescent="0.25">
      <c r="A3338" t="s">
        <v>3342</v>
      </c>
      <c r="B3338">
        <v>0.99996721820229495</v>
      </c>
      <c r="C3338">
        <v>1.2874412530808099</v>
      </c>
      <c r="D3338">
        <v>1.07031877231343</v>
      </c>
      <c r="E3338">
        <v>1.0646322289193499</v>
      </c>
      <c r="F3338">
        <v>1.71517474823458</v>
      </c>
      <c r="G3338">
        <v>1.15431768556801</v>
      </c>
      <c r="H3338">
        <v>0.95872522287651496</v>
      </c>
      <c r="I3338">
        <v>0.45588598573483602</v>
      </c>
      <c r="J3338">
        <v>0.28246527144118899</v>
      </c>
      <c r="K3338">
        <v>0.28549101573600499</v>
      </c>
      <c r="L3338">
        <v>5184.50726312802</v>
      </c>
      <c r="M3338">
        <v>82.147486603275595</v>
      </c>
      <c r="N3338">
        <v>63.752988539828301</v>
      </c>
      <c r="O3338">
        <v>63.074811409326799</v>
      </c>
      <c r="P3338">
        <v>-0.234092017431584</v>
      </c>
      <c r="Q3338">
        <v>0.28103421753067398</v>
      </c>
      <c r="R3338">
        <v>0.66951263380597204</v>
      </c>
      <c r="S3338" t="s">
        <v>9164</v>
      </c>
      <c r="T3338" t="s">
        <v>11650</v>
      </c>
      <c r="U3338" t="s">
        <v>11650</v>
      </c>
      <c r="V3338" t="s">
        <v>11650</v>
      </c>
      <c r="W3338" t="s">
        <v>14939</v>
      </c>
      <c r="X3338">
        <v>3</v>
      </c>
      <c r="Y3338" t="s">
        <v>20624</v>
      </c>
      <c r="Z3338" t="s">
        <v>26400</v>
      </c>
      <c r="AA3338">
        <v>0.83566156472617659</v>
      </c>
      <c r="AB3338" t="str">
        <f>HYPERLINK("Melting_Curves/meltCurve_Q16799_RTN1.pdf", "Melting_Curves/meltCurve_Q16799_RTN1.pdf")</f>
        <v>Melting_Curves/meltCurve_Q16799_RTN1.pdf</v>
      </c>
    </row>
    <row r="3339" spans="1:28" x14ac:dyDescent="0.25">
      <c r="A3339" t="s">
        <v>3343</v>
      </c>
      <c r="B3339">
        <v>0.99996721820229495</v>
      </c>
      <c r="C3339">
        <v>1.0398854650351801</v>
      </c>
      <c r="D3339">
        <v>0.98354558573165596</v>
      </c>
      <c r="E3339">
        <v>0.89007142818273199</v>
      </c>
      <c r="F3339">
        <v>0.54700512212469599</v>
      </c>
      <c r="G3339">
        <v>0.27799618019156502</v>
      </c>
      <c r="H3339">
        <v>0.161854406091964</v>
      </c>
      <c r="I3339">
        <v>9.8001070504899299E-2</v>
      </c>
      <c r="J3339">
        <v>7.0276309923878705E-2</v>
      </c>
      <c r="K3339">
        <v>5.7635023854852502E-2</v>
      </c>
      <c r="L3339">
        <v>1229.25747555969</v>
      </c>
      <c r="M3339">
        <v>22.964077811366099</v>
      </c>
      <c r="N3339">
        <v>53.914960541632801</v>
      </c>
      <c r="O3339">
        <v>53.128612444210603</v>
      </c>
      <c r="P3339">
        <v>-9.9881744333564296E-2</v>
      </c>
      <c r="Q3339">
        <v>7.5690538891858797E-2</v>
      </c>
      <c r="R3339">
        <v>0.99522217723283002</v>
      </c>
      <c r="S3339" t="s">
        <v>9165</v>
      </c>
      <c r="T3339" t="s">
        <v>11650</v>
      </c>
      <c r="U3339" t="s">
        <v>11650</v>
      </c>
      <c r="V3339" t="s">
        <v>11650</v>
      </c>
      <c r="W3339" t="s">
        <v>14940</v>
      </c>
      <c r="X3339">
        <v>35</v>
      </c>
      <c r="Y3339" t="s">
        <v>20625</v>
      </c>
      <c r="Z3339" t="s">
        <v>26401</v>
      </c>
      <c r="AA3339">
        <v>0.5025048995577428</v>
      </c>
      <c r="AB3339" t="str">
        <f>HYPERLINK("Melting_Curves/meltCurve_Q16822_PCK2.pdf", "Melting_Curves/meltCurve_Q16822_PCK2.pdf")</f>
        <v>Melting_Curves/meltCurve_Q16822_PCK2.pdf</v>
      </c>
    </row>
    <row r="3340" spans="1:28" x14ac:dyDescent="0.25">
      <c r="A3340" t="s">
        <v>3344</v>
      </c>
      <c r="B3340">
        <v>0.99996721820229495</v>
      </c>
      <c r="C3340">
        <v>0.75806950722379296</v>
      </c>
      <c r="D3340">
        <v>0.63335214829886799</v>
      </c>
      <c r="E3340">
        <v>0.82649944258325803</v>
      </c>
      <c r="F3340">
        <v>0.76213945538993899</v>
      </c>
      <c r="G3340">
        <v>0.54260765843390502</v>
      </c>
      <c r="H3340">
        <v>0.53998125623683602</v>
      </c>
      <c r="I3340">
        <v>0.43133603426880701</v>
      </c>
      <c r="J3340">
        <v>0.45370432373137098</v>
      </c>
      <c r="K3340">
        <v>0.36658117093429998</v>
      </c>
      <c r="L3340">
        <v>239.668295553034</v>
      </c>
      <c r="M3340">
        <v>3.8551663996656802</v>
      </c>
      <c r="N3340">
        <v>62.168086800595603</v>
      </c>
      <c r="O3340">
        <v>50.429332960604597</v>
      </c>
      <c r="P3340">
        <v>-1.9388047062416199E-2</v>
      </c>
      <c r="Q3340">
        <v>0</v>
      </c>
      <c r="R3340">
        <v>0.800400812839552</v>
      </c>
      <c r="S3340" t="s">
        <v>9166</v>
      </c>
      <c r="T3340" t="s">
        <v>11650</v>
      </c>
      <c r="U3340" t="s">
        <v>11650</v>
      </c>
      <c r="V3340" t="s">
        <v>11650</v>
      </c>
      <c r="W3340" t="s">
        <v>14941</v>
      </c>
      <c r="X3340">
        <v>1</v>
      </c>
      <c r="Y3340" t="s">
        <v>20626</v>
      </c>
      <c r="Z3340" t="s">
        <v>26402</v>
      </c>
      <c r="AA3340">
        <v>0.63181471966235081</v>
      </c>
      <c r="AB3340" t="str">
        <f>HYPERLINK("Melting_Curves/meltCurve_Q16825_PTPN21.pdf", "Melting_Curves/meltCurve_Q16825_PTPN21.pdf")</f>
        <v>Melting_Curves/meltCurve_Q16825_PTPN21.pdf</v>
      </c>
    </row>
    <row r="3341" spans="1:28" x14ac:dyDescent="0.25">
      <c r="A3341" t="s">
        <v>3345</v>
      </c>
      <c r="B3341">
        <v>0.99996721820229495</v>
      </c>
      <c r="C3341">
        <v>0.91133807063418804</v>
      </c>
      <c r="D3341">
        <v>0.92682066221554804</v>
      </c>
      <c r="E3341">
        <v>0.94269266754401604</v>
      </c>
      <c r="F3341">
        <v>1.1702975804052</v>
      </c>
      <c r="G3341">
        <v>0.96425168132797701</v>
      </c>
      <c r="H3341">
        <v>0.47676088024218599</v>
      </c>
      <c r="I3341">
        <v>0.18512402062887501</v>
      </c>
      <c r="J3341">
        <v>0.116230994180843</v>
      </c>
      <c r="K3341">
        <v>9.9286356941126003E-2</v>
      </c>
      <c r="L3341">
        <v>2923.2420921166899</v>
      </c>
      <c r="M3341">
        <v>48.247068696908201</v>
      </c>
      <c r="N3341">
        <v>60.895689552156398</v>
      </c>
      <c r="O3341">
        <v>60.485191748665599</v>
      </c>
      <c r="P3341">
        <v>-0.17790912351626501</v>
      </c>
      <c r="Q3341">
        <v>0.107854035678716</v>
      </c>
      <c r="R3341">
        <v>0.97019393955488298</v>
      </c>
      <c r="S3341" t="s">
        <v>9167</v>
      </c>
      <c r="T3341" t="s">
        <v>11650</v>
      </c>
      <c r="U3341" t="s">
        <v>11650</v>
      </c>
      <c r="V3341" t="s">
        <v>11650</v>
      </c>
      <c r="W3341" t="s">
        <v>14942</v>
      </c>
      <c r="X3341">
        <v>6</v>
      </c>
      <c r="Y3341" t="s">
        <v>20627</v>
      </c>
      <c r="Z3341" t="s">
        <v>26403</v>
      </c>
      <c r="AA3341">
        <v>0.72261608569548785</v>
      </c>
      <c r="AB3341" t="str">
        <f>HYPERLINK("Melting_Curves/meltCurve_Q16831_UPP1.pdf", "Melting_Curves/meltCurve_Q16831_UPP1.pdf")</f>
        <v>Melting_Curves/meltCurve_Q16831_UPP1.pdf</v>
      </c>
    </row>
    <row r="3342" spans="1:28" x14ac:dyDescent="0.25">
      <c r="A3342" t="s">
        <v>3346</v>
      </c>
      <c r="B3342">
        <v>0.99996721820229495</v>
      </c>
      <c r="C3342">
        <v>0.87438451299956399</v>
      </c>
      <c r="D3342">
        <v>0.84290112035501996</v>
      </c>
      <c r="E3342">
        <v>0.47842398514485102</v>
      </c>
      <c r="F3342">
        <v>0.35266684277222898</v>
      </c>
      <c r="G3342">
        <v>0.278601081260892</v>
      </c>
      <c r="H3342">
        <v>0.172046652344191</v>
      </c>
      <c r="I3342">
        <v>0.11600749787619501</v>
      </c>
      <c r="J3342">
        <v>9.3452292703385897E-2</v>
      </c>
      <c r="K3342">
        <v>8.17258837693665E-2</v>
      </c>
      <c r="L3342">
        <v>683.74575730851404</v>
      </c>
      <c r="M3342">
        <v>13.706896471501301</v>
      </c>
      <c r="N3342">
        <v>50.545944536648101</v>
      </c>
      <c r="O3342">
        <v>48.857516108559302</v>
      </c>
      <c r="P3342">
        <v>-6.4378784434239403E-2</v>
      </c>
      <c r="Q3342">
        <v>8.2232653773778502E-2</v>
      </c>
      <c r="R3342">
        <v>0.98794415745106601</v>
      </c>
      <c r="S3342" t="s">
        <v>9168</v>
      </c>
      <c r="T3342" t="s">
        <v>11650</v>
      </c>
      <c r="U3342" t="s">
        <v>11650</v>
      </c>
      <c r="V3342" t="s">
        <v>11650</v>
      </c>
      <c r="W3342" t="s">
        <v>14943</v>
      </c>
      <c r="X3342">
        <v>13</v>
      </c>
      <c r="Y3342" t="s">
        <v>20628</v>
      </c>
      <c r="Z3342" t="s">
        <v>26404</v>
      </c>
      <c r="AA3342">
        <v>0.41029955481645519</v>
      </c>
      <c r="AB3342" t="str">
        <f>HYPERLINK("Melting_Curves/meltCurve_Q16832_DDR2.pdf", "Melting_Curves/meltCurve_Q16832_DDR2.pdf")</f>
        <v>Melting_Curves/meltCurve_Q16832_DDR2.pdf</v>
      </c>
    </row>
    <row r="3343" spans="1:28" x14ac:dyDescent="0.25">
      <c r="A3343" t="s">
        <v>3347</v>
      </c>
      <c r="B3343">
        <v>0.99996721820229495</v>
      </c>
      <c r="C3343">
        <v>0.99243953824773901</v>
      </c>
      <c r="D3343">
        <v>0.76286041684024597</v>
      </c>
      <c r="E3343">
        <v>0.37381683988929498</v>
      </c>
      <c r="F3343">
        <v>0.303887446422687</v>
      </c>
      <c r="G3343">
        <v>0.24113923715289001</v>
      </c>
      <c r="H3343">
        <v>0.13731456134956499</v>
      </c>
      <c r="I3343">
        <v>8.3939239687573095E-2</v>
      </c>
      <c r="J3343">
        <v>5.9263121686663901E-2</v>
      </c>
      <c r="K3343">
        <v>4.8815811984629302E-2</v>
      </c>
      <c r="L3343">
        <v>851.97214720873603</v>
      </c>
      <c r="M3343">
        <v>17.472429970001901</v>
      </c>
      <c r="N3343">
        <v>49.299895737319702</v>
      </c>
      <c r="O3343">
        <v>48.135661994130999</v>
      </c>
      <c r="P3343">
        <v>-8.2861080097343803E-2</v>
      </c>
      <c r="Q3343">
        <v>8.6938274371629501E-2</v>
      </c>
      <c r="R3343">
        <v>0.98201833216094503</v>
      </c>
      <c r="S3343" t="s">
        <v>9169</v>
      </c>
      <c r="T3343" t="s">
        <v>11650</v>
      </c>
      <c r="U3343" t="s">
        <v>11650</v>
      </c>
      <c r="V3343" t="s">
        <v>11650</v>
      </c>
      <c r="W3343" t="s">
        <v>14944</v>
      </c>
      <c r="X3343">
        <v>16</v>
      </c>
      <c r="Y3343" t="s">
        <v>20629</v>
      </c>
      <c r="Z3343" t="s">
        <v>26405</v>
      </c>
      <c r="AA3343">
        <v>0.37045041906503362</v>
      </c>
      <c r="AB3343" t="str">
        <f>HYPERLINK("Melting_Curves/meltCurve_Q16850_CYP51A1.pdf", "Melting_Curves/meltCurve_Q16850_CYP51A1.pdf")</f>
        <v>Melting_Curves/meltCurve_Q16850_CYP51A1.pdf</v>
      </c>
    </row>
    <row r="3344" spans="1:28" x14ac:dyDescent="0.25">
      <c r="A3344" t="s">
        <v>3348</v>
      </c>
      <c r="B3344">
        <v>0.99996721820229495</v>
      </c>
      <c r="C3344">
        <v>1.0557803334551199</v>
      </c>
      <c r="D3344">
        <v>1.40745084109746</v>
      </c>
      <c r="E3344">
        <v>2.48900687684031</v>
      </c>
      <c r="F3344">
        <v>4.5378382488852402</v>
      </c>
      <c r="G3344">
        <v>2.1692970744508702</v>
      </c>
      <c r="H3344">
        <v>0.40744430169136803</v>
      </c>
      <c r="I3344">
        <v>0.25967345020890797</v>
      </c>
      <c r="J3344">
        <v>0.179803342818949</v>
      </c>
      <c r="K3344">
        <v>0.13431615259173799</v>
      </c>
      <c r="L3344">
        <v>13663.738782374699</v>
      </c>
      <c r="M3344">
        <v>225.00399553999799</v>
      </c>
      <c r="N3344">
        <v>60.857045214308201</v>
      </c>
      <c r="O3344">
        <v>60.721862198350998</v>
      </c>
      <c r="P3344">
        <v>-0.74919356756345401</v>
      </c>
      <c r="Q3344">
        <v>0.19126021062283</v>
      </c>
      <c r="R3344">
        <v>5.7217345618347099E-2</v>
      </c>
      <c r="S3344" t="s">
        <v>9170</v>
      </c>
      <c r="T3344" t="s">
        <v>11650</v>
      </c>
      <c r="U3344" t="s">
        <v>11650</v>
      </c>
      <c r="V3344" t="s">
        <v>11650</v>
      </c>
      <c r="W3344" t="s">
        <v>14945</v>
      </c>
      <c r="X3344">
        <v>20</v>
      </c>
      <c r="Y3344" t="s">
        <v>20630</v>
      </c>
      <c r="Z3344" t="s">
        <v>26406</v>
      </c>
      <c r="AA3344">
        <v>0.75011549367697294</v>
      </c>
      <c r="AB3344" t="str">
        <f>HYPERLINK("Melting_Curves/meltCurve_Q16851_UGP2.pdf", "Melting_Curves/meltCurve_Q16851_UGP2.pdf")</f>
        <v>Melting_Curves/meltCurve_Q16851_UGP2.pdf</v>
      </c>
    </row>
    <row r="3345" spans="1:28" x14ac:dyDescent="0.25">
      <c r="A3345" t="s">
        <v>3349</v>
      </c>
      <c r="B3345">
        <v>0.99996721820229495</v>
      </c>
      <c r="C3345">
        <v>1.00004855240146</v>
      </c>
      <c r="D3345">
        <v>0.99950185182637497</v>
      </c>
      <c r="E3345">
        <v>0.99663176391922204</v>
      </c>
      <c r="F3345">
        <v>1.2483587785478401</v>
      </c>
      <c r="G3345">
        <v>1.19798868773037</v>
      </c>
      <c r="H3345">
        <v>1.19087005803311</v>
      </c>
      <c r="I3345">
        <v>1.2249795656317599</v>
      </c>
      <c r="J3345">
        <v>0.66387726302307204</v>
      </c>
      <c r="K3345">
        <v>0.33323295634853201</v>
      </c>
      <c r="L3345">
        <v>15000</v>
      </c>
      <c r="M3345">
        <v>223.89672373608499</v>
      </c>
      <c r="N3345">
        <v>67.325264025772299</v>
      </c>
      <c r="O3345">
        <v>66.989829143001501</v>
      </c>
      <c r="P3345">
        <v>-0.55716814969003503</v>
      </c>
      <c r="Q3345">
        <v>0.333181862778824</v>
      </c>
      <c r="R3345">
        <v>0.74717940133336802</v>
      </c>
      <c r="S3345" t="s">
        <v>9171</v>
      </c>
      <c r="T3345" t="s">
        <v>11650</v>
      </c>
      <c r="U3345" t="s">
        <v>11650</v>
      </c>
      <c r="V3345" t="s">
        <v>11650</v>
      </c>
      <c r="W3345" t="s">
        <v>14946</v>
      </c>
      <c r="X3345">
        <v>6</v>
      </c>
      <c r="Y3345" t="s">
        <v>20631</v>
      </c>
      <c r="Z3345" t="s">
        <v>26407</v>
      </c>
      <c r="AA3345">
        <v>0.93330818352224099</v>
      </c>
      <c r="AB3345" t="str">
        <f>HYPERLINK("Melting_Curves/meltCurve_Q16854_DGUOK.pdf", "Melting_Curves/meltCurve_Q16854_DGUOK.pdf")</f>
        <v>Melting_Curves/meltCurve_Q16854_DGUOK.pdf</v>
      </c>
    </row>
    <row r="3346" spans="1:28" x14ac:dyDescent="0.25">
      <c r="A3346" t="s">
        <v>3350</v>
      </c>
      <c r="B3346">
        <v>0.99996721820229495</v>
      </c>
      <c r="C3346">
        <v>0.99473433771652697</v>
      </c>
      <c r="D3346">
        <v>0.94693568686496399</v>
      </c>
      <c r="E3346">
        <v>0.95597077672563902</v>
      </c>
      <c r="F3346">
        <v>1.31533458528804</v>
      </c>
      <c r="G3346">
        <v>1.4296519399421399</v>
      </c>
      <c r="H3346">
        <v>1.1628668744284001</v>
      </c>
      <c r="I3346">
        <v>0.64995409908130497</v>
      </c>
      <c r="J3346">
        <v>0.54976749476873699</v>
      </c>
      <c r="K3346">
        <v>0.38368594537657802</v>
      </c>
      <c r="L3346">
        <v>15000</v>
      </c>
      <c r="M3346">
        <v>235.022128985629</v>
      </c>
      <c r="N3346">
        <v>64.568186392836196</v>
      </c>
      <c r="O3346">
        <v>63.8191558498755</v>
      </c>
      <c r="P3346">
        <v>-0.49097003300188302</v>
      </c>
      <c r="Q3346">
        <v>0.46671757046437501</v>
      </c>
      <c r="R3346">
        <v>0.66519743807910903</v>
      </c>
      <c r="S3346" t="s">
        <v>9172</v>
      </c>
      <c r="T3346" t="s">
        <v>11650</v>
      </c>
      <c r="U3346" t="s">
        <v>11650</v>
      </c>
      <c r="V3346" t="s">
        <v>11650</v>
      </c>
      <c r="W3346" t="s">
        <v>14947</v>
      </c>
      <c r="X3346">
        <v>2</v>
      </c>
      <c r="Y3346" t="s">
        <v>20632</v>
      </c>
      <c r="Z3346" t="s">
        <v>26408</v>
      </c>
      <c r="AA3346">
        <v>0.89027855440995973</v>
      </c>
      <c r="AB3346" t="str">
        <f>HYPERLINK("Melting_Curves/meltCurve_Q16864_ATP6V1F.pdf", "Melting_Curves/meltCurve_Q16864_ATP6V1F.pdf")</f>
        <v>Melting_Curves/meltCurve_Q16864_ATP6V1F.pdf</v>
      </c>
    </row>
    <row r="3347" spans="1:28" x14ac:dyDescent="0.25">
      <c r="A3347" t="s">
        <v>3351</v>
      </c>
      <c r="B3347">
        <v>0.99996721820229495</v>
      </c>
      <c r="C3347">
        <v>0.92143022979729805</v>
      </c>
      <c r="D3347">
        <v>0.81857077002082601</v>
      </c>
      <c r="E3347">
        <v>0.92925347645330103</v>
      </c>
      <c r="F3347">
        <v>0.93650353738775505</v>
      </c>
      <c r="G3347">
        <v>0.73657805035428903</v>
      </c>
      <c r="H3347">
        <v>0.457819551489617</v>
      </c>
      <c r="I3347">
        <v>0.301866725417266</v>
      </c>
      <c r="J3347">
        <v>0.18902392660004599</v>
      </c>
      <c r="K3347">
        <v>0.13329095228794799</v>
      </c>
      <c r="L3347">
        <v>932.12495323793701</v>
      </c>
      <c r="M3347">
        <v>15.4333150936511</v>
      </c>
      <c r="N3347">
        <v>60.5360424136341</v>
      </c>
      <c r="O3347">
        <v>59.410165436636397</v>
      </c>
      <c r="P3347">
        <v>-6.3818273854596499E-2</v>
      </c>
      <c r="Q3347">
        <v>1.7421331870903001E-2</v>
      </c>
      <c r="R3347">
        <v>0.96188958817064896</v>
      </c>
      <c r="S3347" t="s">
        <v>9173</v>
      </c>
      <c r="T3347" t="s">
        <v>11650</v>
      </c>
      <c r="U3347" t="s">
        <v>11650</v>
      </c>
      <c r="V3347" t="s">
        <v>11650</v>
      </c>
      <c r="W3347" t="s">
        <v>14948</v>
      </c>
      <c r="X3347">
        <v>6</v>
      </c>
      <c r="Y3347" t="s">
        <v>20633</v>
      </c>
      <c r="Z3347" t="s">
        <v>26409</v>
      </c>
      <c r="AA3347">
        <v>0.69103617551505925</v>
      </c>
      <c r="AB3347" t="str">
        <f>HYPERLINK("Melting_Curves/meltCurve_Q17R31_2_TATDN3.pdf", "Melting_Curves/meltCurve_Q17R31_2_TATDN3.pdf")</f>
        <v>Melting_Curves/meltCurve_Q17R31_2_TATDN3.pdf</v>
      </c>
    </row>
    <row r="3348" spans="1:28" x14ac:dyDescent="0.25">
      <c r="A3348" t="s">
        <v>3352</v>
      </c>
      <c r="B3348">
        <v>0.99996721820229495</v>
      </c>
      <c r="C3348">
        <v>0.80186451856652496</v>
      </c>
      <c r="D3348">
        <v>0.57825717587276504</v>
      </c>
      <c r="E3348">
        <v>0.50258974051845196</v>
      </c>
      <c r="F3348">
        <v>0.21903249719039899</v>
      </c>
      <c r="G3348">
        <v>0.26688829424953497</v>
      </c>
      <c r="H3348">
        <v>0.175681435249403</v>
      </c>
      <c r="I3348">
        <v>0</v>
      </c>
      <c r="J3348">
        <v>8.0451170388253099E-2</v>
      </c>
      <c r="K3348">
        <v>8.4760247016300194E-2</v>
      </c>
      <c r="L3348">
        <v>543.07271178322401</v>
      </c>
      <c r="M3348">
        <v>11.2508832488493</v>
      </c>
      <c r="N3348">
        <v>48.645813583308097</v>
      </c>
      <c r="O3348">
        <v>46.819780956362401</v>
      </c>
      <c r="P3348">
        <v>-5.7588504714676199E-2</v>
      </c>
      <c r="Q3348">
        <v>4.16938154814867E-2</v>
      </c>
      <c r="R3348">
        <v>0.95750767660504399</v>
      </c>
      <c r="S3348" t="s">
        <v>9174</v>
      </c>
      <c r="T3348" t="s">
        <v>11650</v>
      </c>
      <c r="U3348" t="s">
        <v>11650</v>
      </c>
      <c r="V3348" t="s">
        <v>11650</v>
      </c>
      <c r="W3348" t="s">
        <v>14949</v>
      </c>
      <c r="X3348">
        <v>1</v>
      </c>
      <c r="Y3348" t="s">
        <v>20634</v>
      </c>
      <c r="Z3348" t="s">
        <v>26410</v>
      </c>
      <c r="AA3348">
        <v>0.34698109210100248</v>
      </c>
      <c r="AB3348" t="str">
        <f>HYPERLINK("Melting_Curves/meltCurve_Q1RMZ1_C7orf60.pdf", "Melting_Curves/meltCurve_Q1RMZ1_C7orf60.pdf")</f>
        <v>Melting_Curves/meltCurve_Q1RMZ1_C7orf60.pdf</v>
      </c>
    </row>
    <row r="3349" spans="1:28" x14ac:dyDescent="0.25">
      <c r="A3349" t="s">
        <v>3353</v>
      </c>
      <c r="B3349">
        <v>0.99996721820229495</v>
      </c>
      <c r="C3349">
        <v>0.97164121821178595</v>
      </c>
      <c r="D3349">
        <v>0.85238810328290604</v>
      </c>
      <c r="E3349">
        <v>0.39366071847804701</v>
      </c>
      <c r="F3349">
        <v>0.31313966565449503</v>
      </c>
      <c r="G3349">
        <v>0.261995445504209</v>
      </c>
      <c r="H3349">
        <v>0.15833482013354599</v>
      </c>
      <c r="I3349">
        <v>0.114741771778128</v>
      </c>
      <c r="J3349">
        <v>8.1943236338584399E-2</v>
      </c>
      <c r="K3349">
        <v>6.9823966088803299E-2</v>
      </c>
      <c r="L3349">
        <v>963.86235911971198</v>
      </c>
      <c r="M3349">
        <v>19.671784346970998</v>
      </c>
      <c r="N3349">
        <v>49.671684844398101</v>
      </c>
      <c r="O3349">
        <v>48.499298686960799</v>
      </c>
      <c r="P3349">
        <v>-8.9520223023861506E-2</v>
      </c>
      <c r="Q3349">
        <v>0.117209303671757</v>
      </c>
      <c r="R3349">
        <v>0.98168930402437504</v>
      </c>
      <c r="S3349" t="s">
        <v>9175</v>
      </c>
      <c r="T3349" t="s">
        <v>11650</v>
      </c>
      <c r="U3349" t="s">
        <v>11650</v>
      </c>
      <c r="V3349" t="s">
        <v>11650</v>
      </c>
      <c r="W3349" t="s">
        <v>14950</v>
      </c>
      <c r="X3349">
        <v>36</v>
      </c>
      <c r="Y3349" t="s">
        <v>20635</v>
      </c>
      <c r="Z3349" t="s">
        <v>26411</v>
      </c>
      <c r="AA3349">
        <v>0.39475292452973743</v>
      </c>
      <c r="AB3349" t="str">
        <f>HYPERLINK("Melting_Curves/meltCurve_Q27J81_INF2.pdf", "Melting_Curves/meltCurve_Q27J81_INF2.pdf")</f>
        <v>Melting_Curves/meltCurve_Q27J81_INF2.pdf</v>
      </c>
    </row>
    <row r="3350" spans="1:28" x14ac:dyDescent="0.25">
      <c r="A3350" t="s">
        <v>3354</v>
      </c>
      <c r="B3350">
        <v>0.99996721820229495</v>
      </c>
      <c r="C3350">
        <v>1.0739366642081101</v>
      </c>
      <c r="D3350">
        <v>0.78739809348388001</v>
      </c>
      <c r="E3350">
        <v>0.28859708309855697</v>
      </c>
      <c r="F3350">
        <v>0.32896515364339401</v>
      </c>
      <c r="G3350">
        <v>0.212726753479556</v>
      </c>
      <c r="H3350">
        <v>0.15704109789635901</v>
      </c>
      <c r="I3350">
        <v>0.119383532295569</v>
      </c>
      <c r="J3350">
        <v>9.2780445684007701E-2</v>
      </c>
      <c r="K3350">
        <v>6.8742070432379704E-2</v>
      </c>
      <c r="L3350">
        <v>1315.9551780730301</v>
      </c>
      <c r="M3350">
        <v>27.452578036032701</v>
      </c>
      <c r="N3350">
        <v>48.526762021053401</v>
      </c>
      <c r="O3350">
        <v>47.683397598246202</v>
      </c>
      <c r="P3350">
        <v>-0.12347517983292</v>
      </c>
      <c r="Q3350">
        <v>0.142133763916133</v>
      </c>
      <c r="R3350">
        <v>0.96747656036763496</v>
      </c>
      <c r="S3350" t="s">
        <v>9176</v>
      </c>
      <c r="T3350" t="s">
        <v>11650</v>
      </c>
      <c r="U3350" t="s">
        <v>11650</v>
      </c>
      <c r="V3350" t="s">
        <v>11650</v>
      </c>
      <c r="W3350" t="s">
        <v>14951</v>
      </c>
      <c r="X3350">
        <v>3</v>
      </c>
      <c r="Y3350" t="s">
        <v>20636</v>
      </c>
      <c r="Z3350" t="s">
        <v>26412</v>
      </c>
      <c r="AA3350">
        <v>0.37527448719370582</v>
      </c>
      <c r="AB3350" t="str">
        <f>HYPERLINK("Melting_Curves/meltCurve_Q29RF7_PDS5A.pdf", "Melting_Curves/meltCurve_Q29RF7_PDS5A.pdf")</f>
        <v>Melting_Curves/meltCurve_Q29RF7_PDS5A.pdf</v>
      </c>
    </row>
    <row r="3351" spans="1:28" x14ac:dyDescent="0.25">
      <c r="A3351" t="s">
        <v>3355</v>
      </c>
      <c r="B3351">
        <v>0.99996721820229495</v>
      </c>
      <c r="C3351">
        <v>0.93280371318649102</v>
      </c>
      <c r="D3351">
        <v>0.86481718471148195</v>
      </c>
      <c r="E3351">
        <v>0.776469390561913</v>
      </c>
      <c r="F3351">
        <v>0.96504743005328897</v>
      </c>
      <c r="G3351">
        <v>0.99596300406926697</v>
      </c>
      <c r="H3351">
        <v>0.70329628486105999</v>
      </c>
      <c r="I3351">
        <v>0.56925478152210596</v>
      </c>
      <c r="J3351">
        <v>0.465637709502839</v>
      </c>
      <c r="K3351">
        <v>0.356867163170416</v>
      </c>
      <c r="L3351">
        <v>765.505215643371</v>
      </c>
      <c r="M3351">
        <v>11.560375504866901</v>
      </c>
      <c r="N3351">
        <v>66.218016415621307</v>
      </c>
      <c r="O3351">
        <v>64.329581958799807</v>
      </c>
      <c r="P3351">
        <v>-4.4938866268256702E-2</v>
      </c>
      <c r="Q3351">
        <v>0</v>
      </c>
      <c r="R3351">
        <v>0.83542056982013602</v>
      </c>
      <c r="S3351" t="s">
        <v>9177</v>
      </c>
      <c r="T3351" t="s">
        <v>11650</v>
      </c>
      <c r="U3351" t="s">
        <v>11650</v>
      </c>
      <c r="V3351" t="s">
        <v>11650</v>
      </c>
      <c r="W3351" t="s">
        <v>14952</v>
      </c>
      <c r="X3351">
        <v>3</v>
      </c>
      <c r="Y3351" t="s">
        <v>20637</v>
      </c>
      <c r="Z3351" t="s">
        <v>26413</v>
      </c>
      <c r="AA3351">
        <v>0.81620792953618249</v>
      </c>
      <c r="AB3351" t="str">
        <f>HYPERLINK("Melting_Curves/meltCurve_Q2M1Z3_ARHGAP31.pdf", "Melting_Curves/meltCurve_Q2M1Z3_ARHGAP31.pdf")</f>
        <v>Melting_Curves/meltCurve_Q2M1Z3_ARHGAP31.pdf</v>
      </c>
    </row>
    <row r="3352" spans="1:28" x14ac:dyDescent="0.25">
      <c r="A3352" t="s">
        <v>3356</v>
      </c>
      <c r="B3352">
        <v>0.99996721820229495</v>
      </c>
      <c r="C3352">
        <v>1.05006502334135</v>
      </c>
      <c r="D3352">
        <v>0.93911531151077998</v>
      </c>
      <c r="E3352">
        <v>0.625784406760446</v>
      </c>
      <c r="F3352">
        <v>0.389799289187305</v>
      </c>
      <c r="G3352">
        <v>0.35875224772750702</v>
      </c>
      <c r="H3352">
        <v>0.25279470495898199</v>
      </c>
      <c r="I3352">
        <v>0.213053892665168</v>
      </c>
      <c r="J3352">
        <v>0.16532940540079399</v>
      </c>
      <c r="K3352">
        <v>0.11884232717892999</v>
      </c>
      <c r="L3352">
        <v>987.46347478570704</v>
      </c>
      <c r="M3352">
        <v>19.461209962140099</v>
      </c>
      <c r="N3352">
        <v>51.971294049101402</v>
      </c>
      <c r="O3352">
        <v>50.213446365468201</v>
      </c>
      <c r="P3352">
        <v>-7.9000618537967499E-2</v>
      </c>
      <c r="Q3352">
        <v>0.18468593690502699</v>
      </c>
      <c r="R3352">
        <v>0.97988630639470597</v>
      </c>
      <c r="S3352" t="s">
        <v>9178</v>
      </c>
      <c r="T3352" t="s">
        <v>11650</v>
      </c>
      <c r="U3352" t="s">
        <v>11650</v>
      </c>
      <c r="V3352" t="s">
        <v>11650</v>
      </c>
      <c r="W3352" t="s">
        <v>14953</v>
      </c>
      <c r="X3352">
        <v>14</v>
      </c>
      <c r="Y3352" t="s">
        <v>20638</v>
      </c>
      <c r="Z3352" t="s">
        <v>26414</v>
      </c>
      <c r="AA3352">
        <v>0.48849395612077318</v>
      </c>
      <c r="AB3352" t="str">
        <f>HYPERLINK("Melting_Curves/meltCurve_Q2M2I8_2_AAK1.pdf", "Melting_Curves/meltCurve_Q2M2I8_2_AAK1.pdf")</f>
        <v>Melting_Curves/meltCurve_Q2M2I8_2_AAK1.pdf</v>
      </c>
    </row>
    <row r="3353" spans="1:28" x14ac:dyDescent="0.25">
      <c r="A3353" t="s">
        <v>3357</v>
      </c>
      <c r="B3353">
        <v>0.99996721820229495</v>
      </c>
      <c r="C3353">
        <v>0.45856983810372498</v>
      </c>
      <c r="D3353">
        <v>0.34536939517276399</v>
      </c>
      <c r="E3353">
        <v>0.52203982099746904</v>
      </c>
      <c r="F3353">
        <v>0.45068817531555799</v>
      </c>
      <c r="G3353">
        <v>0.26635148431336703</v>
      </c>
      <c r="H3353">
        <v>0.31866286302337998</v>
      </c>
      <c r="I3353">
        <v>0.30796848444045499</v>
      </c>
      <c r="J3353">
        <v>0.48006484600348198</v>
      </c>
      <c r="K3353">
        <v>0.58405182083194596</v>
      </c>
      <c r="L3353">
        <v>10622.086079492599</v>
      </c>
      <c r="M3353">
        <v>250</v>
      </c>
      <c r="N3353">
        <v>42.780648176770299</v>
      </c>
      <c r="O3353">
        <v>42.485625455481198</v>
      </c>
      <c r="P3353">
        <v>-0.86882384403790103</v>
      </c>
      <c r="Q3353">
        <v>0.40939961142419301</v>
      </c>
      <c r="R3353">
        <v>0.76943070583040596</v>
      </c>
      <c r="S3353" t="s">
        <v>9179</v>
      </c>
      <c r="T3353" t="s">
        <v>11650</v>
      </c>
      <c r="U3353" t="s">
        <v>11650</v>
      </c>
      <c r="V3353" t="s">
        <v>11650</v>
      </c>
      <c r="W3353" t="s">
        <v>14954</v>
      </c>
      <c r="X3353">
        <v>3</v>
      </c>
      <c r="Y3353" t="s">
        <v>20639</v>
      </c>
      <c r="Z3353" t="s">
        <v>26415</v>
      </c>
      <c r="AA3353">
        <v>0.45843088824744821</v>
      </c>
      <c r="AB3353" t="str">
        <f>HYPERLINK("Melting_Curves/meltCurve_Q2NL98_VMAC.pdf", "Melting_Curves/meltCurve_Q2NL98_VMAC.pdf")</f>
        <v>Melting_Curves/meltCurve_Q2NL98_VMAC.pdf</v>
      </c>
    </row>
    <row r="3354" spans="1:28" x14ac:dyDescent="0.25">
      <c r="A3354" t="s">
        <v>3358</v>
      </c>
      <c r="B3354">
        <v>0.99996721820229495</v>
      </c>
      <c r="C3354">
        <v>1.0391753039181799</v>
      </c>
      <c r="D3354">
        <v>1.0668536099008299</v>
      </c>
      <c r="E3354">
        <v>1.3904431519315901</v>
      </c>
      <c r="F3354">
        <v>1.5766567997804599</v>
      </c>
      <c r="G3354">
        <v>1.51651961042086</v>
      </c>
      <c r="H3354">
        <v>0.82523960324766799</v>
      </c>
      <c r="I3354">
        <v>0.44408658667242201</v>
      </c>
      <c r="J3354">
        <v>0.365311622550826</v>
      </c>
      <c r="K3354">
        <v>0.19025478532127099</v>
      </c>
      <c r="L3354">
        <v>3342.9371721042198</v>
      </c>
      <c r="M3354">
        <v>53.371075471024199</v>
      </c>
      <c r="N3354">
        <v>63.525730534485497</v>
      </c>
      <c r="O3354">
        <v>62.547995447321597</v>
      </c>
      <c r="P3354">
        <v>-0.157158136621253</v>
      </c>
      <c r="Q3354">
        <v>0.263277358166007</v>
      </c>
      <c r="R3354">
        <v>0.634755804251943</v>
      </c>
      <c r="S3354" t="s">
        <v>9180</v>
      </c>
      <c r="T3354" t="s">
        <v>11650</v>
      </c>
      <c r="U3354" t="s">
        <v>11650</v>
      </c>
      <c r="V3354" t="s">
        <v>11650</v>
      </c>
      <c r="W3354" t="s">
        <v>14955</v>
      </c>
      <c r="X3354">
        <v>2</v>
      </c>
      <c r="Y3354" t="s">
        <v>20640</v>
      </c>
      <c r="Z3354" t="s">
        <v>26416</v>
      </c>
      <c r="AA3354">
        <v>0.82080139816290354</v>
      </c>
      <c r="AB3354" t="str">
        <f>HYPERLINK("Melting_Curves/meltCurve_Q2T9J0_2_TYSND1.pdf", "Melting_Curves/meltCurve_Q2T9J0_2_TYSND1.pdf")</f>
        <v>Melting_Curves/meltCurve_Q2T9J0_2_TYSND1.pdf</v>
      </c>
    </row>
    <row r="3355" spans="1:28" x14ac:dyDescent="0.25">
      <c r="A3355" t="s">
        <v>3359</v>
      </c>
      <c r="B3355">
        <v>0.99996721820229495</v>
      </c>
      <c r="C3355">
        <v>1.0372336505448401</v>
      </c>
      <c r="D3355">
        <v>0.98080088743840799</v>
      </c>
      <c r="E3355">
        <v>0.71181572311713004</v>
      </c>
      <c r="F3355">
        <v>0.39588608747751702</v>
      </c>
      <c r="G3355">
        <v>0.31601594353783102</v>
      </c>
      <c r="H3355">
        <v>0.19668927594161001</v>
      </c>
      <c r="I3355">
        <v>0.103885711971029</v>
      </c>
      <c r="J3355">
        <v>8.1779441773903394E-2</v>
      </c>
      <c r="K3355">
        <v>5.6091424778354999E-2</v>
      </c>
      <c r="L3355">
        <v>959.27505421672902</v>
      </c>
      <c r="M3355">
        <v>18.4271932821391</v>
      </c>
      <c r="N3355">
        <v>52.611903936677798</v>
      </c>
      <c r="O3355">
        <v>51.456118940717197</v>
      </c>
      <c r="P3355">
        <v>-8.1632979719557602E-2</v>
      </c>
      <c r="Q3355">
        <v>8.8232850575937993E-2</v>
      </c>
      <c r="R3355">
        <v>0.98519775364237605</v>
      </c>
      <c r="S3355" t="s">
        <v>9181</v>
      </c>
      <c r="T3355" t="s">
        <v>11650</v>
      </c>
      <c r="U3355" t="s">
        <v>11650</v>
      </c>
      <c r="V3355" t="s">
        <v>11650</v>
      </c>
      <c r="W3355" t="s">
        <v>14956</v>
      </c>
      <c r="X3355">
        <v>7</v>
      </c>
      <c r="Y3355" t="s">
        <v>20641</v>
      </c>
      <c r="Z3355" t="s">
        <v>26417</v>
      </c>
      <c r="AA3355">
        <v>0.46925395723020158</v>
      </c>
      <c r="AB3355" t="str">
        <f>HYPERLINK("Melting_Curves/meltCurve_Q2TAA5_ALG11.pdf", "Melting_Curves/meltCurve_Q2TAA5_ALG11.pdf")</f>
        <v>Melting_Curves/meltCurve_Q2TAA5_ALG11.pdf</v>
      </c>
    </row>
    <row r="3356" spans="1:28" x14ac:dyDescent="0.25">
      <c r="A3356" t="s">
        <v>3360</v>
      </c>
      <c r="B3356">
        <v>0.99996721820229495</v>
      </c>
      <c r="C3356">
        <v>0.75137169523819403</v>
      </c>
      <c r="D3356">
        <v>0.40727606331069699</v>
      </c>
      <c r="E3356">
        <v>0.164110592122092</v>
      </c>
      <c r="F3356">
        <v>0.192059146255845</v>
      </c>
      <c r="G3356">
        <v>0.18243030427049201</v>
      </c>
      <c r="H3356">
        <v>0.14031841462685299</v>
      </c>
      <c r="I3356">
        <v>0.11815597743016799</v>
      </c>
      <c r="J3356">
        <v>8.32477851362914E-2</v>
      </c>
      <c r="K3356">
        <v>7.8898743985905906E-2</v>
      </c>
      <c r="L3356">
        <v>1137.3986095144501</v>
      </c>
      <c r="M3356">
        <v>25.496729642901101</v>
      </c>
      <c r="N3356">
        <v>45.126974307728801</v>
      </c>
      <c r="O3356">
        <v>44.3378913749833</v>
      </c>
      <c r="P3356">
        <v>-0.125545260976034</v>
      </c>
      <c r="Q3356">
        <v>0.12673630305832401</v>
      </c>
      <c r="R3356">
        <v>0.98654208939797405</v>
      </c>
      <c r="S3356" t="s">
        <v>9182</v>
      </c>
      <c r="T3356" t="s">
        <v>11650</v>
      </c>
      <c r="U3356" t="s">
        <v>11650</v>
      </c>
      <c r="V3356" t="s">
        <v>11650</v>
      </c>
      <c r="W3356" t="s">
        <v>14957</v>
      </c>
      <c r="X3356">
        <v>3</v>
      </c>
      <c r="Y3356" t="s">
        <v>20642</v>
      </c>
      <c r="Z3356" t="s">
        <v>26418</v>
      </c>
      <c r="AA3356">
        <v>0.2695970288550058</v>
      </c>
      <c r="AB3356" t="str">
        <f>HYPERLINK("Melting_Curves/meltCurve_Q2TAL8_QRICH1.pdf", "Melting_Curves/meltCurve_Q2TAL8_QRICH1.pdf")</f>
        <v>Melting_Curves/meltCurve_Q2TAL8_QRICH1.pdf</v>
      </c>
    </row>
    <row r="3357" spans="1:28" x14ac:dyDescent="0.25">
      <c r="A3357" t="s">
        <v>3361</v>
      </c>
      <c r="B3357">
        <v>0.99996721820229495</v>
      </c>
      <c r="C3357">
        <v>0.96892741190453002</v>
      </c>
      <c r="D3357">
        <v>0.92661609543361001</v>
      </c>
      <c r="E3357">
        <v>0.89465660870772801</v>
      </c>
      <c r="F3357">
        <v>0.431117023571919</v>
      </c>
      <c r="G3357">
        <v>0.277508899013166</v>
      </c>
      <c r="H3357">
        <v>0.15703116582425999</v>
      </c>
      <c r="I3357">
        <v>0.108630074833933</v>
      </c>
      <c r="J3357">
        <v>6.8005697803058193E-2</v>
      </c>
      <c r="K3357">
        <v>6.3778777660953495E-2</v>
      </c>
      <c r="L3357">
        <v>1308.51543400642</v>
      </c>
      <c r="M3357">
        <v>24.8355183111629</v>
      </c>
      <c r="N3357">
        <v>53.132753291768303</v>
      </c>
      <c r="O3357">
        <v>52.349228338494797</v>
      </c>
      <c r="P3357">
        <v>-0.107458649851331</v>
      </c>
      <c r="Q3357">
        <v>9.3991155949375502E-2</v>
      </c>
      <c r="R3357">
        <v>0.98398487261171297</v>
      </c>
      <c r="S3357" t="s">
        <v>9183</v>
      </c>
      <c r="T3357" t="s">
        <v>11650</v>
      </c>
      <c r="U3357" t="s">
        <v>11650</v>
      </c>
      <c r="V3357" t="s">
        <v>11650</v>
      </c>
      <c r="W3357" t="s">
        <v>14958</v>
      </c>
      <c r="X3357">
        <v>18</v>
      </c>
      <c r="Y3357" t="s">
        <v>20643</v>
      </c>
      <c r="Z3357" t="s">
        <v>26419</v>
      </c>
      <c r="AA3357">
        <v>0.485576804426533</v>
      </c>
      <c r="AB3357" t="str">
        <f>HYPERLINK("Melting_Curves/meltCurve_Q2TAM5_RELA.pdf", "Melting_Curves/meltCurve_Q2TAM5_RELA.pdf")</f>
        <v>Melting_Curves/meltCurve_Q2TAM5_RELA.pdf</v>
      </c>
    </row>
    <row r="3358" spans="1:28" x14ac:dyDescent="0.25">
      <c r="A3358" t="s">
        <v>3362</v>
      </c>
      <c r="B3358">
        <v>0.99996721820229495</v>
      </c>
      <c r="C3358">
        <v>0.97087388483729997</v>
      </c>
      <c r="D3358">
        <v>1.02121048574104</v>
      </c>
      <c r="E3358">
        <v>2.16862290315433</v>
      </c>
      <c r="F3358">
        <v>1.13265755066593</v>
      </c>
      <c r="G3358">
        <v>0.54751847945503795</v>
      </c>
      <c r="H3358">
        <v>0.25026880238388999</v>
      </c>
      <c r="I3358">
        <v>0.48701337313364801</v>
      </c>
      <c r="J3358">
        <v>0.12544210836134201</v>
      </c>
      <c r="K3358">
        <v>0.103773235934024</v>
      </c>
      <c r="L3358">
        <v>14227.6840590102</v>
      </c>
      <c r="M3358">
        <v>250</v>
      </c>
      <c r="N3358">
        <v>57.061422742271802</v>
      </c>
      <c r="O3358">
        <v>56.907096192679496</v>
      </c>
      <c r="P3358">
        <v>-0.83290979653164599</v>
      </c>
      <c r="Q3358">
        <v>0.24162437917054999</v>
      </c>
      <c r="R3358">
        <v>0.57812029851096103</v>
      </c>
      <c r="S3358" t="s">
        <v>9184</v>
      </c>
      <c r="T3358" t="s">
        <v>11650</v>
      </c>
      <c r="U3358" t="s">
        <v>11650</v>
      </c>
      <c r="V3358" t="s">
        <v>11650</v>
      </c>
      <c r="W3358" t="s">
        <v>14959</v>
      </c>
      <c r="X3358">
        <v>9</v>
      </c>
      <c r="Y3358" t="s">
        <v>20644</v>
      </c>
      <c r="Z3358" t="s">
        <v>26420</v>
      </c>
      <c r="AA3358">
        <v>0.66918979352154684</v>
      </c>
      <c r="AB3358" t="str">
        <f>HYPERLINK("Melting_Curves/meltCurve_Q2TAY7_SMU1.pdf", "Melting_Curves/meltCurve_Q2TAY7_SMU1.pdf")</f>
        <v>Melting_Curves/meltCurve_Q2TAY7_SMU1.pdf</v>
      </c>
    </row>
    <row r="3359" spans="1:28" x14ac:dyDescent="0.25">
      <c r="A3359" t="s">
        <v>3363</v>
      </c>
      <c r="B3359">
        <v>0.99996721820229495</v>
      </c>
      <c r="C3359">
        <v>0.920797854335067</v>
      </c>
      <c r="D3359">
        <v>1.03476009382817</v>
      </c>
      <c r="E3359">
        <v>1.12236104823383</v>
      </c>
      <c r="F3359">
        <v>1.52859715689005</v>
      </c>
      <c r="G3359">
        <v>1.4319103127747701</v>
      </c>
      <c r="H3359">
        <v>0.89408518559129802</v>
      </c>
      <c r="I3359">
        <v>0.59844766859081</v>
      </c>
      <c r="J3359">
        <v>0.41404673245130902</v>
      </c>
      <c r="K3359">
        <v>0.375368791552669</v>
      </c>
      <c r="L3359">
        <v>3382.6058002490399</v>
      </c>
      <c r="M3359">
        <v>53.511304490438299</v>
      </c>
      <c r="N3359">
        <v>64.942187274407402</v>
      </c>
      <c r="O3359">
        <v>63.124809799110402</v>
      </c>
      <c r="P3359">
        <v>-0.13145135866569699</v>
      </c>
      <c r="Q3359">
        <v>0.37973194135602201</v>
      </c>
      <c r="R3359">
        <v>0.63585544667451299</v>
      </c>
      <c r="S3359" t="s">
        <v>9185</v>
      </c>
      <c r="T3359" t="s">
        <v>11650</v>
      </c>
      <c r="U3359" t="s">
        <v>11650</v>
      </c>
      <c r="V3359" t="s">
        <v>11650</v>
      </c>
      <c r="W3359" t="s">
        <v>14960</v>
      </c>
      <c r="X3359">
        <v>2</v>
      </c>
      <c r="Y3359" t="s">
        <v>20645</v>
      </c>
      <c r="Z3359" t="s">
        <v>26421</v>
      </c>
      <c r="AA3359">
        <v>0.86100787841240345</v>
      </c>
      <c r="AB3359" t="str">
        <f>HYPERLINK("Melting_Curves/meltCurve_Q2VPS2_STX1B.pdf", "Melting_Curves/meltCurve_Q2VPS2_STX1B.pdf")</f>
        <v>Melting_Curves/meltCurve_Q2VPS2_STX1B.pdf</v>
      </c>
    </row>
    <row r="3360" spans="1:28" x14ac:dyDescent="0.25">
      <c r="A3360" t="s">
        <v>3364</v>
      </c>
      <c r="B3360">
        <v>0.99996721820229495</v>
      </c>
      <c r="C3360">
        <v>0.86563992351375196</v>
      </c>
      <c r="D3360">
        <v>0.93967268029533702</v>
      </c>
      <c r="E3360">
        <v>0.91096465775128799</v>
      </c>
      <c r="F3360">
        <v>1.07877179184464</v>
      </c>
      <c r="G3360">
        <v>1.05887524400755</v>
      </c>
      <c r="H3360">
        <v>0.72984865079116201</v>
      </c>
      <c r="I3360">
        <v>0.49685177883793602</v>
      </c>
      <c r="J3360">
        <v>0.31059255914297501</v>
      </c>
      <c r="K3360">
        <v>0.229412671210244</v>
      </c>
      <c r="L3360">
        <v>2076.8884598019399</v>
      </c>
      <c r="M3360">
        <v>33.176358098172699</v>
      </c>
      <c r="N3360">
        <v>63.726713640744201</v>
      </c>
      <c r="O3360">
        <v>62.375326247352803</v>
      </c>
      <c r="P3360">
        <v>-0.103495138332572</v>
      </c>
      <c r="Q3360">
        <v>0.22167288377234401</v>
      </c>
      <c r="R3360">
        <v>0.94681415717745998</v>
      </c>
      <c r="S3360" t="s">
        <v>9186</v>
      </c>
      <c r="T3360" t="s">
        <v>11650</v>
      </c>
      <c r="U3360" t="s">
        <v>11650</v>
      </c>
      <c r="V3360" t="s">
        <v>11650</v>
      </c>
      <c r="W3360" t="s">
        <v>14961</v>
      </c>
      <c r="X3360">
        <v>5</v>
      </c>
      <c r="Y3360" t="s">
        <v>20646</v>
      </c>
      <c r="Z3360" t="s">
        <v>26422</v>
      </c>
      <c r="AA3360">
        <v>0.81102106903577231</v>
      </c>
      <c r="AB3360" t="str">
        <f>HYPERLINK("Melting_Curves/meltCurve_Q30201_5_HFE.pdf", "Melting_Curves/meltCurve_Q30201_5_HFE.pdf")</f>
        <v>Melting_Curves/meltCurve_Q30201_5_HFE.pdf</v>
      </c>
    </row>
    <row r="3361" spans="1:28" x14ac:dyDescent="0.25">
      <c r="A3361" t="s">
        <v>3365</v>
      </c>
      <c r="B3361">
        <v>0.99996721820229495</v>
      </c>
      <c r="C3361">
        <v>0.97260156208773996</v>
      </c>
      <c r="D3361">
        <v>1.0920071318450599</v>
      </c>
      <c r="E3361">
        <v>1.8318821601086299</v>
      </c>
      <c r="F3361">
        <v>3.1625927522341799</v>
      </c>
      <c r="G3361">
        <v>4.9482852169363802</v>
      </c>
      <c r="H3361">
        <v>3.8190758240779301</v>
      </c>
      <c r="I3361">
        <v>2.9825365308617502</v>
      </c>
      <c r="J3361">
        <v>2.2597644555071801</v>
      </c>
      <c r="K3361">
        <v>2.35136950905575</v>
      </c>
      <c r="S3361" t="s">
        <v>9187</v>
      </c>
      <c r="T3361" t="s">
        <v>11650</v>
      </c>
      <c r="U3361" t="s">
        <v>11651</v>
      </c>
      <c r="V3361" t="s">
        <v>11650</v>
      </c>
      <c r="W3361" t="s">
        <v>14962</v>
      </c>
      <c r="X3361">
        <v>39</v>
      </c>
      <c r="Y3361" t="s">
        <v>20647</v>
      </c>
      <c r="Z3361" t="s">
        <v>26423</v>
      </c>
      <c r="AB3361" t="str">
        <f>HYPERLINK("Melting_Curves/meltCurve_Q32MZ4_3_LRRFIP1.pdf", "Melting_Curves/meltCurve_Q32MZ4_3_LRRFIP1.pdf")</f>
        <v>Melting_Curves/meltCurve_Q32MZ4_3_LRRFIP1.pdf</v>
      </c>
    </row>
    <row r="3362" spans="1:28" x14ac:dyDescent="0.25">
      <c r="A3362" t="s">
        <v>3366</v>
      </c>
      <c r="B3362">
        <v>0.99996721820229495</v>
      </c>
      <c r="C3362">
        <v>0.99799420731288502</v>
      </c>
      <c r="D3362">
        <v>1.09356716160889</v>
      </c>
      <c r="E3362">
        <v>1.61515394420756</v>
      </c>
      <c r="F3362">
        <v>3.2697484904633498</v>
      </c>
      <c r="G3362">
        <v>3.3815538143845298</v>
      </c>
      <c r="H3362">
        <v>2.6671849426868199</v>
      </c>
      <c r="I3362">
        <v>2.2988608112907198</v>
      </c>
      <c r="J3362">
        <v>1.87409555035449</v>
      </c>
      <c r="K3362">
        <v>1.7584589359801699</v>
      </c>
      <c r="L3362">
        <v>11567.562000390601</v>
      </c>
      <c r="M3362">
        <v>250</v>
      </c>
      <c r="O3362">
        <v>46.267287024341996</v>
      </c>
      <c r="P3362">
        <v>0.67542322133828203</v>
      </c>
      <c r="Q3362">
        <v>1.5</v>
      </c>
      <c r="R3362">
        <v>-0.25193468476151198</v>
      </c>
      <c r="S3362" t="s">
        <v>9188</v>
      </c>
      <c r="T3362" t="s">
        <v>11650</v>
      </c>
      <c r="U3362" t="s">
        <v>11650</v>
      </c>
      <c r="V3362" t="s">
        <v>11650</v>
      </c>
      <c r="W3362" t="s">
        <v>14963</v>
      </c>
      <c r="X3362">
        <v>27</v>
      </c>
      <c r="Y3362" t="s">
        <v>20647</v>
      </c>
      <c r="Z3362" t="s">
        <v>26424</v>
      </c>
      <c r="AA3362">
        <v>1.3954552648580669</v>
      </c>
      <c r="AB3362" t="str">
        <f>HYPERLINK("Melting_Curves/meltCurve_Q32MZ4_4_LRRFIP1.pdf", "Melting_Curves/meltCurve_Q32MZ4_4_LRRFIP1.pdf")</f>
        <v>Melting_Curves/meltCurve_Q32MZ4_4_LRRFIP1.pdf</v>
      </c>
    </row>
    <row r="3363" spans="1:28" x14ac:dyDescent="0.25">
      <c r="A3363" t="s">
        <v>3367</v>
      </c>
      <c r="B3363">
        <v>0.99996721820229495</v>
      </c>
      <c r="C3363">
        <v>0.98431254164802195</v>
      </c>
      <c r="D3363">
        <v>1.0827498105248501</v>
      </c>
      <c r="E3363">
        <v>0.92300177391097005</v>
      </c>
      <c r="F3363">
        <v>0.51220330998952401</v>
      </c>
      <c r="G3363">
        <v>0.49612005696316303</v>
      </c>
      <c r="H3363">
        <v>0.32260319425398498</v>
      </c>
      <c r="I3363">
        <v>0.172240068808378</v>
      </c>
      <c r="J3363">
        <v>0.114911169403946</v>
      </c>
      <c r="K3363">
        <v>0.126017037627322</v>
      </c>
      <c r="L3363">
        <v>847.371390920772</v>
      </c>
      <c r="M3363">
        <v>15.400516834942501</v>
      </c>
      <c r="N3363">
        <v>55.8032442444593</v>
      </c>
      <c r="O3363">
        <v>54.119588392771803</v>
      </c>
      <c r="P3363">
        <v>-6.4250319549203502E-2</v>
      </c>
      <c r="Q3363">
        <v>9.6943684382830506E-2</v>
      </c>
      <c r="R3363">
        <v>0.95689340514809795</v>
      </c>
      <c r="S3363" t="s">
        <v>9189</v>
      </c>
      <c r="T3363" t="s">
        <v>11650</v>
      </c>
      <c r="U3363" t="s">
        <v>11650</v>
      </c>
      <c r="V3363" t="s">
        <v>11650</v>
      </c>
      <c r="W3363" t="s">
        <v>14964</v>
      </c>
      <c r="X3363">
        <v>19</v>
      </c>
      <c r="Y3363" t="s">
        <v>20648</v>
      </c>
      <c r="Z3363" t="s">
        <v>26425</v>
      </c>
      <c r="AA3363">
        <v>0.56603984336075075</v>
      </c>
      <c r="AB3363" t="str">
        <f>HYPERLINK("Melting_Curves/meltCurve_Q32P28_LEPRE1.pdf", "Melting_Curves/meltCurve_Q32P28_LEPRE1.pdf")</f>
        <v>Melting_Curves/meltCurve_Q32P28_LEPRE1.pdf</v>
      </c>
    </row>
    <row r="3364" spans="1:28" x14ac:dyDescent="0.25">
      <c r="A3364" t="s">
        <v>3368</v>
      </c>
      <c r="B3364">
        <v>0.99996721820229495</v>
      </c>
      <c r="C3364">
        <v>0.72329466991542202</v>
      </c>
      <c r="D3364">
        <v>0.40627866424166797</v>
      </c>
      <c r="E3364">
        <v>0.26132495900976899</v>
      </c>
      <c r="F3364">
        <v>0.23731581809216601</v>
      </c>
      <c r="G3364">
        <v>0.19472592673643899</v>
      </c>
      <c r="H3364">
        <v>0.13522843187140901</v>
      </c>
      <c r="I3364">
        <v>0.12246566654343</v>
      </c>
      <c r="J3364">
        <v>0.101714101099531</v>
      </c>
      <c r="K3364">
        <v>8.3011547558073703E-2</v>
      </c>
      <c r="L3364">
        <v>907.01097490260997</v>
      </c>
      <c r="M3364">
        <v>20.3126935143952</v>
      </c>
      <c r="N3364">
        <v>45.3747197147352</v>
      </c>
      <c r="O3364">
        <v>44.226406835008802</v>
      </c>
      <c r="P3364">
        <v>-9.8963828329049597E-2</v>
      </c>
      <c r="Q3364">
        <v>0.13813881244692999</v>
      </c>
      <c r="R3364">
        <v>0.97644408690256601</v>
      </c>
      <c r="S3364" t="s">
        <v>9190</v>
      </c>
      <c r="T3364" t="s">
        <v>11650</v>
      </c>
      <c r="U3364" t="s">
        <v>11650</v>
      </c>
      <c r="V3364" t="s">
        <v>11650</v>
      </c>
      <c r="W3364" t="s">
        <v>14965</v>
      </c>
      <c r="X3364">
        <v>5</v>
      </c>
      <c r="Y3364" t="s">
        <v>20649</v>
      </c>
      <c r="Z3364" t="s">
        <v>26426</v>
      </c>
      <c r="AA3364">
        <v>0.28647519627680013</v>
      </c>
      <c r="AB3364" t="str">
        <f>HYPERLINK("Melting_Curves/meltCurve_Q32P41_TRMT5.pdf", "Melting_Curves/meltCurve_Q32P41_TRMT5.pdf")</f>
        <v>Melting_Curves/meltCurve_Q32P41_TRMT5.pdf</v>
      </c>
    </row>
    <row r="3365" spans="1:28" x14ac:dyDescent="0.25">
      <c r="A3365" t="s">
        <v>3369</v>
      </c>
      <c r="B3365">
        <v>0.99996721820229495</v>
      </c>
      <c r="C3365">
        <v>0.77202203975948103</v>
      </c>
      <c r="D3365">
        <v>0.870157526817397</v>
      </c>
      <c r="E3365">
        <v>1.0921122377899299</v>
      </c>
      <c r="F3365">
        <v>1.1434185639560901</v>
      </c>
      <c r="G3365">
        <v>1.5248119465894101</v>
      </c>
      <c r="H3365">
        <v>1.1839733153046299</v>
      </c>
      <c r="I3365">
        <v>0.49712940386752003</v>
      </c>
      <c r="J3365">
        <v>0.224505567424856</v>
      </c>
      <c r="K3365">
        <v>0.14357900358105</v>
      </c>
      <c r="L3365">
        <v>15000</v>
      </c>
      <c r="M3365">
        <v>234.848738267171</v>
      </c>
      <c r="N3365">
        <v>63.995968223486003</v>
      </c>
      <c r="O3365">
        <v>63.866267190621997</v>
      </c>
      <c r="P3365">
        <v>-0.75011874770982501</v>
      </c>
      <c r="Q3365">
        <v>0.18403165145818101</v>
      </c>
      <c r="R3365">
        <v>0.76615285974272596</v>
      </c>
      <c r="S3365" t="s">
        <v>9191</v>
      </c>
      <c r="T3365" t="s">
        <v>11650</v>
      </c>
      <c r="U3365" t="s">
        <v>11650</v>
      </c>
      <c r="V3365" t="s">
        <v>11650</v>
      </c>
      <c r="W3365" t="s">
        <v>11959</v>
      </c>
      <c r="X3365">
        <v>23</v>
      </c>
      <c r="Y3365" t="s">
        <v>20650</v>
      </c>
      <c r="Z3365" t="s">
        <v>26427</v>
      </c>
      <c r="AA3365">
        <v>0.8333985636107285</v>
      </c>
      <c r="AB3365" t="str">
        <f>HYPERLINK("Melting_Curves/meltCurve_Q32Q12_NME1_NME2.pdf", "Melting_Curves/meltCurve_Q32Q12_NME1_NME2.pdf")</f>
        <v>Melting_Curves/meltCurve_Q32Q12_NME1_NME2.pdf</v>
      </c>
    </row>
    <row r="3366" spans="1:28" x14ac:dyDescent="0.25">
      <c r="A3366" t="s">
        <v>3370</v>
      </c>
      <c r="B3366">
        <v>0.99996721820229495</v>
      </c>
      <c r="C3366">
        <v>1.0705207136797601</v>
      </c>
      <c r="D3366">
        <v>0.83837803953451695</v>
      </c>
      <c r="E3366">
        <v>0.55888663931011795</v>
      </c>
      <c r="F3366">
        <v>0.60979978786956701</v>
      </c>
      <c r="G3366">
        <v>0.47258104722118899</v>
      </c>
      <c r="H3366">
        <v>0.31099808547247199</v>
      </c>
      <c r="I3366">
        <v>0.21136093843607101</v>
      </c>
      <c r="J3366">
        <v>0.203797192093611</v>
      </c>
      <c r="K3366">
        <v>0.14401868860873199</v>
      </c>
      <c r="L3366">
        <v>530.97120500151902</v>
      </c>
      <c r="M3366">
        <v>9.8902948385874101</v>
      </c>
      <c r="N3366">
        <v>54.669743824227602</v>
      </c>
      <c r="O3366">
        <v>51.629517256243702</v>
      </c>
      <c r="P3366">
        <v>-4.4009455680683103E-2</v>
      </c>
      <c r="Q3366">
        <v>8.15097471224384E-2</v>
      </c>
      <c r="R3366">
        <v>0.95321299051083497</v>
      </c>
      <c r="S3366" t="s">
        <v>9192</v>
      </c>
      <c r="T3366" t="s">
        <v>11650</v>
      </c>
      <c r="U3366" t="s">
        <v>11650</v>
      </c>
      <c r="V3366" t="s">
        <v>11650</v>
      </c>
      <c r="W3366" t="s">
        <v>14966</v>
      </c>
      <c r="X3366">
        <v>1</v>
      </c>
      <c r="Y3366" t="s">
        <v>20651</v>
      </c>
      <c r="Z3366" t="s">
        <v>26428</v>
      </c>
      <c r="AA3366">
        <v>0.52969763784248236</v>
      </c>
      <c r="AB3366" t="str">
        <f>HYPERLINK("Melting_Curves/meltCurve_Q3B726_TWISTNB.pdf", "Melting_Curves/meltCurve_Q3B726_TWISTNB.pdf")</f>
        <v>Melting_Curves/meltCurve_Q3B726_TWISTNB.pdf</v>
      </c>
    </row>
    <row r="3367" spans="1:28" x14ac:dyDescent="0.25">
      <c r="A3367" t="s">
        <v>3371</v>
      </c>
      <c r="B3367">
        <v>0.99996721820229495</v>
      </c>
      <c r="C3367">
        <v>0.76741407450097399</v>
      </c>
      <c r="D3367">
        <v>0.67603517456594597</v>
      </c>
      <c r="E3367">
        <v>0.74851515129702295</v>
      </c>
      <c r="F3367">
        <v>0.81870918164188899</v>
      </c>
      <c r="G3367">
        <v>0.713098672336692</v>
      </c>
      <c r="H3367">
        <v>0.53873728189667003</v>
      </c>
      <c r="I3367">
        <v>0.51039186206773801</v>
      </c>
      <c r="J3367">
        <v>0.42182166436333601</v>
      </c>
      <c r="K3367">
        <v>0.34740824642786799</v>
      </c>
      <c r="L3367">
        <v>251.92871857054499</v>
      </c>
      <c r="M3367">
        <v>3.9433134793529101</v>
      </c>
      <c r="N3367">
        <v>63.887571816858099</v>
      </c>
      <c r="O3367">
        <v>52.209645396659802</v>
      </c>
      <c r="P3367">
        <v>-1.9136168473890901E-2</v>
      </c>
      <c r="Q3367">
        <v>0</v>
      </c>
      <c r="R3367">
        <v>0.79905349507201895</v>
      </c>
      <c r="S3367" t="s">
        <v>9193</v>
      </c>
      <c r="T3367" t="s">
        <v>11650</v>
      </c>
      <c r="U3367" t="s">
        <v>11650</v>
      </c>
      <c r="V3367" t="s">
        <v>11650</v>
      </c>
      <c r="W3367" t="s">
        <v>14967</v>
      </c>
      <c r="X3367">
        <v>17</v>
      </c>
      <c r="Y3367" t="s">
        <v>20652</v>
      </c>
      <c r="Z3367" t="s">
        <v>26429</v>
      </c>
      <c r="AA3367">
        <v>0.65896263335890592</v>
      </c>
      <c r="AB3367" t="str">
        <f>HYPERLINK("Melting_Curves/meltCurve_Q3KQU3_2_MAP7D1.pdf", "Melting_Curves/meltCurve_Q3KQU3_2_MAP7D1.pdf")</f>
        <v>Melting_Curves/meltCurve_Q3KQU3_2_MAP7D1.pdf</v>
      </c>
    </row>
    <row r="3368" spans="1:28" x14ac:dyDescent="0.25">
      <c r="A3368" t="s">
        <v>3372</v>
      </c>
      <c r="B3368">
        <v>0.99996721820229495</v>
      </c>
      <c r="C3368">
        <v>1.05686734436364</v>
      </c>
      <c r="D3368">
        <v>0.97606567970209002</v>
      </c>
      <c r="E3368">
        <v>0.76746599549830197</v>
      </c>
      <c r="F3368">
        <v>0.45275858833177801</v>
      </c>
      <c r="G3368">
        <v>0.33239924301207102</v>
      </c>
      <c r="H3368">
        <v>0.188499834802385</v>
      </c>
      <c r="I3368">
        <v>0.11707881081539399</v>
      </c>
      <c r="J3368">
        <v>8.8584371044162294E-2</v>
      </c>
      <c r="K3368">
        <v>6.8867498883479497E-2</v>
      </c>
      <c r="L3368">
        <v>949.74367265739897</v>
      </c>
      <c r="M3368">
        <v>18.004651835250701</v>
      </c>
      <c r="N3368">
        <v>53.297771914927999</v>
      </c>
      <c r="O3368">
        <v>52.112068824525402</v>
      </c>
      <c r="P3368">
        <v>-7.9081656629778493E-2</v>
      </c>
      <c r="Q3368">
        <v>8.4479520895294202E-2</v>
      </c>
      <c r="R3368">
        <v>0.98865687006640901</v>
      </c>
      <c r="S3368" t="s">
        <v>9194</v>
      </c>
      <c r="T3368" t="s">
        <v>11650</v>
      </c>
      <c r="U3368" t="s">
        <v>11650</v>
      </c>
      <c r="V3368" t="s">
        <v>11650</v>
      </c>
      <c r="W3368" t="s">
        <v>14968</v>
      </c>
      <c r="X3368">
        <v>20</v>
      </c>
      <c r="Y3368" t="s">
        <v>20653</v>
      </c>
      <c r="Z3368" t="s">
        <v>26430</v>
      </c>
      <c r="AA3368">
        <v>0.48862576142360581</v>
      </c>
      <c r="AB3368" t="str">
        <f>HYPERLINK("Melting_Curves/meltCurve_Q3KQV9_UAP1L1.pdf", "Melting_Curves/meltCurve_Q3KQV9_UAP1L1.pdf")</f>
        <v>Melting_Curves/meltCurve_Q3KQV9_UAP1L1.pdf</v>
      </c>
    </row>
    <row r="3369" spans="1:28" x14ac:dyDescent="0.25">
      <c r="A3369" t="s">
        <v>3373</v>
      </c>
      <c r="B3369">
        <v>0.99996721820229495</v>
      </c>
      <c r="C3369">
        <v>1.0639418669626</v>
      </c>
      <c r="D3369">
        <v>1.06171626209507</v>
      </c>
      <c r="E3369">
        <v>1.27415952649727</v>
      </c>
      <c r="F3369">
        <v>1.8066821097766199</v>
      </c>
      <c r="G3369">
        <v>2.0619026241716898</v>
      </c>
      <c r="H3369">
        <v>0.65645903570314101</v>
      </c>
      <c r="I3369">
        <v>0.31543801106506297</v>
      </c>
      <c r="J3369">
        <v>0.29457984381077201</v>
      </c>
      <c r="K3369">
        <v>0.41566587000740601</v>
      </c>
      <c r="L3369">
        <v>15000</v>
      </c>
      <c r="M3369">
        <v>245.98975606176199</v>
      </c>
      <c r="N3369">
        <v>61.264895327378497</v>
      </c>
      <c r="O3369">
        <v>60.974118577086799</v>
      </c>
      <c r="P3369">
        <v>-0.66375548504853799</v>
      </c>
      <c r="Q3369">
        <v>0.341892829418661</v>
      </c>
      <c r="R3369">
        <v>0.431130834999086</v>
      </c>
      <c r="S3369" t="s">
        <v>9195</v>
      </c>
      <c r="T3369" t="s">
        <v>11650</v>
      </c>
      <c r="U3369" t="s">
        <v>11650</v>
      </c>
      <c r="V3369" t="s">
        <v>11650</v>
      </c>
      <c r="W3369" t="s">
        <v>14969</v>
      </c>
      <c r="X3369">
        <v>1</v>
      </c>
      <c r="Y3369" t="s">
        <v>20654</v>
      </c>
      <c r="Z3369" t="s">
        <v>26431</v>
      </c>
      <c r="AA3369">
        <v>0.80216124905679698</v>
      </c>
      <c r="AB3369" t="str">
        <f>HYPERLINK("Melting_Curves/meltCurve_Q3KQZ1_3_SLC25A35.pdf", "Melting_Curves/meltCurve_Q3KQZ1_3_SLC25A35.pdf")</f>
        <v>Melting_Curves/meltCurve_Q3KQZ1_3_SLC25A35.pdf</v>
      </c>
    </row>
    <row r="3370" spans="1:28" x14ac:dyDescent="0.25">
      <c r="A3370" t="s">
        <v>3374</v>
      </c>
      <c r="B3370">
        <v>0.99996721820229495</v>
      </c>
      <c r="C3370">
        <v>1.0162934540162101</v>
      </c>
      <c r="D3370">
        <v>0.95653331207844905</v>
      </c>
      <c r="E3370">
        <v>0.70712253084716004</v>
      </c>
      <c r="F3370">
        <v>0.48450420228476299</v>
      </c>
      <c r="G3370">
        <v>0.342392026971514</v>
      </c>
      <c r="H3370">
        <v>0.23252895617546501</v>
      </c>
      <c r="I3370">
        <v>0.15017187743140001</v>
      </c>
      <c r="J3370">
        <v>9.2274563161947099E-2</v>
      </c>
      <c r="K3370">
        <v>7.7212265366326902E-2</v>
      </c>
      <c r="L3370">
        <v>785.16891735852403</v>
      </c>
      <c r="M3370">
        <v>14.851794965731401</v>
      </c>
      <c r="N3370">
        <v>53.472525149561697</v>
      </c>
      <c r="O3370">
        <v>51.936233146946797</v>
      </c>
      <c r="P3370">
        <v>-6.5963555506596105E-2</v>
      </c>
      <c r="Q3370">
        <v>7.7407467143819297E-2</v>
      </c>
      <c r="R3370">
        <v>0.99200855980741998</v>
      </c>
      <c r="S3370" t="s">
        <v>9196</v>
      </c>
      <c r="T3370" t="s">
        <v>11650</v>
      </c>
      <c r="U3370" t="s">
        <v>11650</v>
      </c>
      <c r="V3370" t="s">
        <v>11650</v>
      </c>
      <c r="W3370" t="s">
        <v>14970</v>
      </c>
      <c r="X3370">
        <v>5</v>
      </c>
      <c r="Y3370" t="s">
        <v>20655</v>
      </c>
      <c r="Z3370" t="s">
        <v>26432</v>
      </c>
      <c r="AA3370">
        <v>0.49334904374025218</v>
      </c>
      <c r="AB3370" t="str">
        <f>HYPERLINK("Melting_Curves/meltCurve_Q3KRA6_C2orf76.pdf", "Melting_Curves/meltCurve_Q3KRA6_C2orf76.pdf")</f>
        <v>Melting_Curves/meltCurve_Q3KRA6_C2orf76.pdf</v>
      </c>
    </row>
    <row r="3371" spans="1:28" x14ac:dyDescent="0.25">
      <c r="A3371" t="s">
        <v>3375</v>
      </c>
      <c r="B3371">
        <v>0.99996721820229495</v>
      </c>
      <c r="C3371">
        <v>1.0242567393848701</v>
      </c>
      <c r="D3371">
        <v>0.92577950844600299</v>
      </c>
      <c r="E3371">
        <v>0.73491842049119804</v>
      </c>
      <c r="F3371">
        <v>0.74177891807922303</v>
      </c>
      <c r="G3371">
        <v>0.63703880037320304</v>
      </c>
      <c r="H3371">
        <v>0.407828262606101</v>
      </c>
      <c r="I3371">
        <v>0.338697194405364</v>
      </c>
      <c r="J3371">
        <v>0.26871463657620298</v>
      </c>
      <c r="K3371">
        <v>0.13224745370797999</v>
      </c>
      <c r="L3371">
        <v>533.00242967012105</v>
      </c>
      <c r="M3371">
        <v>9.0554330661323306</v>
      </c>
      <c r="N3371">
        <v>58.859959830511798</v>
      </c>
      <c r="O3371">
        <v>56.202322560023802</v>
      </c>
      <c r="P3371">
        <v>-4.0309092262836299E-2</v>
      </c>
      <c r="Q3371">
        <v>0</v>
      </c>
      <c r="R3371">
        <v>0.97658598266819496</v>
      </c>
      <c r="S3371" t="s">
        <v>9197</v>
      </c>
      <c r="T3371" t="s">
        <v>11650</v>
      </c>
      <c r="U3371" t="s">
        <v>11650</v>
      </c>
      <c r="V3371" t="s">
        <v>11650</v>
      </c>
      <c r="W3371" t="s">
        <v>14971</v>
      </c>
      <c r="X3371">
        <v>4</v>
      </c>
      <c r="Y3371" t="s">
        <v>20656</v>
      </c>
      <c r="Z3371" t="s">
        <v>26433</v>
      </c>
      <c r="AA3371">
        <v>0.62963582917042205</v>
      </c>
      <c r="AB3371" t="str">
        <f>HYPERLINK("Melting_Curves/meltCurve_Q3KRA9_ALKBH6.pdf", "Melting_Curves/meltCurve_Q3KRA9_ALKBH6.pdf")</f>
        <v>Melting_Curves/meltCurve_Q3KRA9_ALKBH6.pdf</v>
      </c>
    </row>
    <row r="3372" spans="1:28" x14ac:dyDescent="0.25">
      <c r="A3372" t="s">
        <v>3376</v>
      </c>
      <c r="B3372">
        <v>0.99996721820229495</v>
      </c>
      <c r="C3372">
        <v>0.965415330595776</v>
      </c>
      <c r="D3372">
        <v>1.01416144747921</v>
      </c>
      <c r="E3372">
        <v>1.1483762487684499</v>
      </c>
      <c r="F3372">
        <v>1.2841917320521199</v>
      </c>
      <c r="G3372">
        <v>0.87953167501884899</v>
      </c>
      <c r="H3372">
        <v>0.24335290111160399</v>
      </c>
      <c r="I3372">
        <v>0.14548342829681701</v>
      </c>
      <c r="J3372">
        <v>9.1998799372517703E-2</v>
      </c>
      <c r="K3372">
        <v>7.0129216209092599E-2</v>
      </c>
      <c r="L3372">
        <v>3123.4363018149002</v>
      </c>
      <c r="M3372">
        <v>52.828763010209798</v>
      </c>
      <c r="N3372">
        <v>59.362908531150403</v>
      </c>
      <c r="O3372">
        <v>59.039223959968098</v>
      </c>
      <c r="P3372">
        <v>-0.202261706129689</v>
      </c>
      <c r="Q3372">
        <v>9.5843265868900698E-2</v>
      </c>
      <c r="R3372">
        <v>0.94924084779204299</v>
      </c>
      <c r="S3372" t="s">
        <v>9198</v>
      </c>
      <c r="T3372" t="s">
        <v>11650</v>
      </c>
      <c r="U3372" t="s">
        <v>11650</v>
      </c>
      <c r="V3372" t="s">
        <v>11650</v>
      </c>
      <c r="W3372" t="s">
        <v>14972</v>
      </c>
      <c r="X3372">
        <v>19</v>
      </c>
      <c r="Y3372" t="s">
        <v>20657</v>
      </c>
      <c r="Z3372" t="s">
        <v>26434</v>
      </c>
      <c r="AA3372">
        <v>0.67430401344156443</v>
      </c>
      <c r="AB3372" t="str">
        <f>HYPERLINK("Melting_Curves/meltCurve_Q3LXA3_DAK.pdf", "Melting_Curves/meltCurve_Q3LXA3_DAK.pdf")</f>
        <v>Melting_Curves/meltCurve_Q3LXA3_DAK.pdf</v>
      </c>
    </row>
    <row r="3373" spans="1:28" x14ac:dyDescent="0.25">
      <c r="A3373" t="s">
        <v>3377</v>
      </c>
      <c r="B3373">
        <v>0.99996721820229495</v>
      </c>
      <c r="C3373">
        <v>1.01682419268289</v>
      </c>
      <c r="D3373">
        <v>0.99250854621421902</v>
      </c>
      <c r="E3373">
        <v>0.96293907245130395</v>
      </c>
      <c r="F3373">
        <v>0.82501146723031604</v>
      </c>
      <c r="G3373">
        <v>0.57716982548110096</v>
      </c>
      <c r="H3373">
        <v>0.34460179179307199</v>
      </c>
      <c r="I3373">
        <v>0.25554322834541698</v>
      </c>
      <c r="J3373">
        <v>0.219584040405713</v>
      </c>
      <c r="K3373">
        <v>0.15145825133847299</v>
      </c>
      <c r="L3373">
        <v>1052.6033731387499</v>
      </c>
      <c r="M3373">
        <v>18.435233853886501</v>
      </c>
      <c r="N3373">
        <v>58.189619252766697</v>
      </c>
      <c r="O3373">
        <v>56.438251179726997</v>
      </c>
      <c r="P3373">
        <v>-6.9720672045336898E-2</v>
      </c>
      <c r="Q3373">
        <v>0.14625746554438299</v>
      </c>
      <c r="R3373">
        <v>0.99841823103921601</v>
      </c>
      <c r="S3373" t="s">
        <v>9199</v>
      </c>
      <c r="T3373" t="s">
        <v>11650</v>
      </c>
      <c r="U3373" t="s">
        <v>11650</v>
      </c>
      <c r="V3373" t="s">
        <v>11650</v>
      </c>
      <c r="W3373" t="s">
        <v>14973</v>
      </c>
      <c r="X3373">
        <v>6</v>
      </c>
      <c r="Y3373" t="s">
        <v>20658</v>
      </c>
      <c r="Z3373" t="s">
        <v>26435</v>
      </c>
      <c r="AA3373">
        <v>0.64416348751359531</v>
      </c>
      <c r="AB3373" t="str">
        <f>HYPERLINK("Melting_Curves/meltCurve_Q3MHD2_LSM12.pdf", "Melting_Curves/meltCurve_Q3MHD2_LSM12.pdf")</f>
        <v>Melting_Curves/meltCurve_Q3MHD2_LSM12.pdf</v>
      </c>
    </row>
    <row r="3374" spans="1:28" x14ac:dyDescent="0.25">
      <c r="A3374" t="s">
        <v>3378</v>
      </c>
      <c r="B3374">
        <v>0.99996721820229495</v>
      </c>
      <c r="C3374">
        <v>0.90921236521900595</v>
      </c>
      <c r="D3374">
        <v>0.85909366343941795</v>
      </c>
      <c r="E3374">
        <v>0.78923417742035895</v>
      </c>
      <c r="F3374">
        <v>0.72277409896412703</v>
      </c>
      <c r="G3374">
        <v>0.51541513220104196</v>
      </c>
      <c r="H3374">
        <v>0.32516575407738602</v>
      </c>
      <c r="I3374">
        <v>0.13997174212355401</v>
      </c>
      <c r="J3374">
        <v>0.108501963515735</v>
      </c>
      <c r="K3374">
        <v>0.108355863920592</v>
      </c>
      <c r="L3374">
        <v>642.40299145194797</v>
      </c>
      <c r="M3374">
        <v>11.372413918147</v>
      </c>
      <c r="N3374">
        <v>56.487806341039402</v>
      </c>
      <c r="O3374">
        <v>54.825795597360198</v>
      </c>
      <c r="P3374">
        <v>-5.18724325486851E-2</v>
      </c>
      <c r="Q3374">
        <v>0</v>
      </c>
      <c r="R3374">
        <v>0.98214408835735201</v>
      </c>
      <c r="S3374" t="s">
        <v>9200</v>
      </c>
      <c r="T3374" t="s">
        <v>11650</v>
      </c>
      <c r="U3374" t="s">
        <v>11650</v>
      </c>
      <c r="V3374" t="s">
        <v>11650</v>
      </c>
      <c r="W3374" t="s">
        <v>14974</v>
      </c>
      <c r="X3374">
        <v>3</v>
      </c>
      <c r="Y3374" t="s">
        <v>20659</v>
      </c>
      <c r="Z3374" t="s">
        <v>26436</v>
      </c>
      <c r="AA3374">
        <v>0.56844672580490752</v>
      </c>
      <c r="AB3374" t="str">
        <f>HYPERLINK("Melting_Curves/meltCurve_Q3MIT2_PUS10.pdf", "Melting_Curves/meltCurve_Q3MIT2_PUS10.pdf")</f>
        <v>Melting_Curves/meltCurve_Q3MIT2_PUS10.pdf</v>
      </c>
    </row>
    <row r="3375" spans="1:28" x14ac:dyDescent="0.25">
      <c r="A3375" t="s">
        <v>3379</v>
      </c>
      <c r="B3375">
        <v>0.99996721820229495</v>
      </c>
      <c r="C3375">
        <v>0.92546341683617905</v>
      </c>
      <c r="D3375">
        <v>0.98378593433961603</v>
      </c>
      <c r="E3375">
        <v>1.01730665338158</v>
      </c>
      <c r="F3375">
        <v>1.0371363384430199</v>
      </c>
      <c r="G3375">
        <v>0.86945824578305397</v>
      </c>
      <c r="H3375">
        <v>0.45691258472144097</v>
      </c>
      <c r="I3375">
        <v>0.17290057703711501</v>
      </c>
      <c r="J3375">
        <v>8.4803050684654893E-2</v>
      </c>
      <c r="K3375">
        <v>6.3965586313836295E-2</v>
      </c>
      <c r="L3375">
        <v>1989.6826880523499</v>
      </c>
      <c r="M3375">
        <v>32.9383606233866</v>
      </c>
      <c r="N3375">
        <v>60.600623568366998</v>
      </c>
      <c r="O3375">
        <v>60.184901575686197</v>
      </c>
      <c r="P3375">
        <v>-0.129963176542542</v>
      </c>
      <c r="Q3375">
        <v>5.01306247048749E-2</v>
      </c>
      <c r="R3375">
        <v>0.99450205711556305</v>
      </c>
      <c r="S3375" t="s">
        <v>9201</v>
      </c>
      <c r="T3375" t="s">
        <v>11650</v>
      </c>
      <c r="U3375" t="s">
        <v>11650</v>
      </c>
      <c r="V3375" t="s">
        <v>11650</v>
      </c>
      <c r="W3375" t="s">
        <v>14975</v>
      </c>
      <c r="X3375">
        <v>9</v>
      </c>
      <c r="Y3375" t="s">
        <v>20660</v>
      </c>
      <c r="Z3375" t="s">
        <v>26437</v>
      </c>
      <c r="AA3375">
        <v>0.70119865108142632</v>
      </c>
      <c r="AB3375" t="str">
        <f>HYPERLINK("Melting_Curves/meltCurve_Q3SXM5_HSDL1.pdf", "Melting_Curves/meltCurve_Q3SXM5_HSDL1.pdf")</f>
        <v>Melting_Curves/meltCurve_Q3SXM5_HSDL1.pdf</v>
      </c>
    </row>
    <row r="3376" spans="1:28" x14ac:dyDescent="0.25">
      <c r="A3376" t="s">
        <v>3380</v>
      </c>
      <c r="B3376">
        <v>0.99996721820229495</v>
      </c>
      <c r="C3376">
        <v>1.00348990266301</v>
      </c>
      <c r="D3376">
        <v>0.95504503057724999</v>
      </c>
      <c r="E3376">
        <v>0.85864478828609903</v>
      </c>
      <c r="F3376">
        <v>0.43293712559903702</v>
      </c>
      <c r="G3376">
        <v>0.28346486805641902</v>
      </c>
      <c r="H3376">
        <v>0.167858432483667</v>
      </c>
      <c r="I3376">
        <v>0.117601254455132</v>
      </c>
      <c r="J3376">
        <v>8.6054583801550802E-2</v>
      </c>
      <c r="K3376">
        <v>6.9854009095045702E-2</v>
      </c>
      <c r="L3376">
        <v>1257.9105767609301</v>
      </c>
      <c r="M3376">
        <v>23.9342638151243</v>
      </c>
      <c r="N3376">
        <v>53.071132120746498</v>
      </c>
      <c r="O3376">
        <v>52.194124334622799</v>
      </c>
      <c r="P3376">
        <v>-0.102777938164584</v>
      </c>
      <c r="Q3376">
        <v>0.103491358455141</v>
      </c>
      <c r="R3376">
        <v>0.98924689461720805</v>
      </c>
      <c r="S3376" t="s">
        <v>9202</v>
      </c>
      <c r="T3376" t="s">
        <v>11650</v>
      </c>
      <c r="U3376" t="s">
        <v>11650</v>
      </c>
      <c r="V3376" t="s">
        <v>11650</v>
      </c>
      <c r="W3376" t="s">
        <v>14976</v>
      </c>
      <c r="X3376">
        <v>33</v>
      </c>
      <c r="Y3376" t="s">
        <v>20661</v>
      </c>
      <c r="Z3376" t="s">
        <v>26438</v>
      </c>
      <c r="AA3376">
        <v>0.48766779127539372</v>
      </c>
      <c r="AB3376" t="str">
        <f>HYPERLINK("Melting_Curves/meltCurve_Q3SY69_ALDH1L2.pdf", "Melting_Curves/meltCurve_Q3SY69_ALDH1L2.pdf")</f>
        <v>Melting_Curves/meltCurve_Q3SY69_ALDH1L2.pdf</v>
      </c>
    </row>
    <row r="3377" spans="1:28" x14ac:dyDescent="0.25">
      <c r="A3377" t="s">
        <v>3381</v>
      </c>
      <c r="B3377">
        <v>0.99996721820229495</v>
      </c>
      <c r="C3377">
        <v>1.0324926684367599</v>
      </c>
      <c r="D3377">
        <v>1.13787922291404</v>
      </c>
      <c r="E3377">
        <v>1.36300997863403</v>
      </c>
      <c r="F3377">
        <v>2.62686023837237</v>
      </c>
      <c r="G3377">
        <v>2.9006021298908999</v>
      </c>
      <c r="H3377">
        <v>2.0803607380405702</v>
      </c>
      <c r="I3377">
        <v>1.07894313116943</v>
      </c>
      <c r="J3377">
        <v>0.60060499345137497</v>
      </c>
      <c r="K3377">
        <v>0.94712884145207799</v>
      </c>
      <c r="L3377">
        <v>2504.0358274863202</v>
      </c>
      <c r="M3377">
        <v>53.399861037571597</v>
      </c>
      <c r="O3377">
        <v>46.826532003782702</v>
      </c>
      <c r="P3377">
        <v>0.14254704644400701</v>
      </c>
      <c r="Q3377">
        <v>1.5</v>
      </c>
      <c r="R3377">
        <v>0.108787373862812</v>
      </c>
      <c r="S3377" t="s">
        <v>9203</v>
      </c>
      <c r="T3377" t="s">
        <v>11650</v>
      </c>
      <c r="U3377" t="s">
        <v>11650</v>
      </c>
      <c r="V3377" t="s">
        <v>11650</v>
      </c>
      <c r="W3377" t="s">
        <v>14977</v>
      </c>
      <c r="X3377">
        <v>3</v>
      </c>
      <c r="Y3377" t="s">
        <v>20662</v>
      </c>
      <c r="Z3377" t="s">
        <v>26439</v>
      </c>
      <c r="AA3377">
        <v>1.3842232258612659</v>
      </c>
      <c r="AB3377" t="str">
        <f>HYPERLINK("Melting_Curves/meltCurve_Q3T906_GNPTAB.pdf", "Melting_Curves/meltCurve_Q3T906_GNPTAB.pdf")</f>
        <v>Melting_Curves/meltCurve_Q3T906_GNPTAB.pdf</v>
      </c>
    </row>
    <row r="3378" spans="1:28" x14ac:dyDescent="0.25">
      <c r="A3378" t="s">
        <v>3382</v>
      </c>
      <c r="B3378">
        <v>0.99996721820229495</v>
      </c>
      <c r="C3378">
        <v>0.96754547659331303</v>
      </c>
      <c r="D3378">
        <v>0.87271216543867702</v>
      </c>
      <c r="E3378">
        <v>0.630500665818578</v>
      </c>
      <c r="F3378">
        <v>0.671826561037282</v>
      </c>
      <c r="G3378">
        <v>0.65993704700232703</v>
      </c>
      <c r="H3378">
        <v>0.46293534777690099</v>
      </c>
      <c r="I3378">
        <v>0.37596844908732502</v>
      </c>
      <c r="J3378">
        <v>0.30778623869128702</v>
      </c>
      <c r="K3378">
        <v>0.252017001639539</v>
      </c>
      <c r="L3378">
        <v>378.16167223866501</v>
      </c>
      <c r="M3378">
        <v>6.3896034212610804</v>
      </c>
      <c r="N3378">
        <v>59.183911097721499</v>
      </c>
      <c r="O3378">
        <v>54.183799287312503</v>
      </c>
      <c r="P3378">
        <v>-2.95573376269944E-2</v>
      </c>
      <c r="Q3378">
        <v>0</v>
      </c>
      <c r="R3378">
        <v>0.94954650083880698</v>
      </c>
      <c r="S3378" t="s">
        <v>9204</v>
      </c>
      <c r="T3378" t="s">
        <v>11650</v>
      </c>
      <c r="U3378" t="s">
        <v>11650</v>
      </c>
      <c r="V3378" t="s">
        <v>11650</v>
      </c>
      <c r="W3378" t="s">
        <v>14978</v>
      </c>
      <c r="X3378">
        <v>11</v>
      </c>
      <c r="Y3378" t="s">
        <v>20663</v>
      </c>
      <c r="Z3378" t="s">
        <v>26440</v>
      </c>
      <c r="AA3378">
        <v>0.61999397421547153</v>
      </c>
      <c r="AB3378" t="str">
        <f>HYPERLINK("Melting_Curves/meltCurve_Q3V6T2_4_CCDC88A.pdf", "Melting_Curves/meltCurve_Q3V6T2_4_CCDC88A.pdf")</f>
        <v>Melting_Curves/meltCurve_Q3V6T2_4_CCDC88A.pdf</v>
      </c>
    </row>
    <row r="3379" spans="1:28" x14ac:dyDescent="0.25">
      <c r="A3379" t="s">
        <v>3383</v>
      </c>
      <c r="B3379">
        <v>0.99996721820229495</v>
      </c>
      <c r="C3379">
        <v>0.88812251381615004</v>
      </c>
      <c r="D3379">
        <v>0.92270647333411504</v>
      </c>
      <c r="E3379">
        <v>1.20647610069672</v>
      </c>
      <c r="F3379">
        <v>1.5969726132555899</v>
      </c>
      <c r="G3379">
        <v>0.84856939947691601</v>
      </c>
      <c r="H3379">
        <v>0.47097725174744398</v>
      </c>
      <c r="I3379">
        <v>0.29318495959025698</v>
      </c>
      <c r="J3379">
        <v>0.226567166691581</v>
      </c>
      <c r="K3379">
        <v>0.196065692851531</v>
      </c>
      <c r="L3379">
        <v>2427.8928279596898</v>
      </c>
      <c r="M3379">
        <v>40.575982254883002</v>
      </c>
      <c r="N3379">
        <v>60.686838777302697</v>
      </c>
      <c r="O3379">
        <v>59.690927421036498</v>
      </c>
      <c r="P3379">
        <v>-0.133069525758474</v>
      </c>
      <c r="Q3379">
        <v>0.21697247658006799</v>
      </c>
      <c r="R3379">
        <v>0.77651097252651502</v>
      </c>
      <c r="S3379" t="s">
        <v>9205</v>
      </c>
      <c r="T3379" t="s">
        <v>11650</v>
      </c>
      <c r="U3379" t="s">
        <v>11650</v>
      </c>
      <c r="V3379" t="s">
        <v>11650</v>
      </c>
      <c r="W3379" t="s">
        <v>14979</v>
      </c>
      <c r="X3379">
        <v>8</v>
      </c>
      <c r="Y3379" t="s">
        <v>20664</v>
      </c>
      <c r="Z3379" t="s">
        <v>26441</v>
      </c>
      <c r="AA3379">
        <v>0.73769572057708055</v>
      </c>
      <c r="AB3379" t="str">
        <f>HYPERLINK("Melting_Curves/meltCurve_Q3YEC7_RABL6.pdf", "Melting_Curves/meltCurve_Q3YEC7_RABL6.pdf")</f>
        <v>Melting_Curves/meltCurve_Q3YEC7_RABL6.pdf</v>
      </c>
    </row>
    <row r="3380" spans="1:28" x14ac:dyDescent="0.25">
      <c r="A3380" t="s">
        <v>3384</v>
      </c>
      <c r="B3380">
        <v>0.99996721820229495</v>
      </c>
      <c r="C3380">
        <v>1.04197538701487</v>
      </c>
      <c r="D3380">
        <v>1.1146263161771199</v>
      </c>
      <c r="E3380">
        <v>1.21302201560746</v>
      </c>
      <c r="F3380">
        <v>1.23427867890836</v>
      </c>
      <c r="G3380">
        <v>1.9477527308939799</v>
      </c>
      <c r="H3380">
        <v>0.54275509437933001</v>
      </c>
      <c r="I3380">
        <v>0.21355181406601301</v>
      </c>
      <c r="J3380">
        <v>0.14598624108612401</v>
      </c>
      <c r="K3380">
        <v>0.10452964378405299</v>
      </c>
      <c r="L3380">
        <v>9199.7236894170601</v>
      </c>
      <c r="M3380">
        <v>150.97716091285201</v>
      </c>
      <c r="N3380">
        <v>61.0839991659441</v>
      </c>
      <c r="O3380">
        <v>60.923849452216999</v>
      </c>
      <c r="P3380">
        <v>-0.52385836366896599</v>
      </c>
      <c r="Q3380">
        <v>0.15442925706590499</v>
      </c>
      <c r="R3380">
        <v>0.67784021061383903</v>
      </c>
      <c r="S3380" t="s">
        <v>9206</v>
      </c>
      <c r="T3380" t="s">
        <v>11650</v>
      </c>
      <c r="U3380" t="s">
        <v>11650</v>
      </c>
      <c r="V3380" t="s">
        <v>11650</v>
      </c>
      <c r="W3380" t="s">
        <v>14980</v>
      </c>
      <c r="X3380">
        <v>12</v>
      </c>
      <c r="Y3380" t="s">
        <v>20665</v>
      </c>
      <c r="Z3380" t="s">
        <v>26442</v>
      </c>
      <c r="AA3380">
        <v>0.74473174589781765</v>
      </c>
      <c r="AB3380" t="str">
        <f>HYPERLINK("Melting_Curves/meltCurve_Q3ZCM7_TUBB8.pdf", "Melting_Curves/meltCurve_Q3ZCM7_TUBB8.pdf")</f>
        <v>Melting_Curves/meltCurve_Q3ZCM7_TUBB8.pdf</v>
      </c>
    </row>
    <row r="3381" spans="1:28" x14ac:dyDescent="0.25">
      <c r="A3381" t="s">
        <v>3385</v>
      </c>
      <c r="B3381">
        <v>0.99996721820229495</v>
      </c>
      <c r="C3381">
        <v>0.78778340770289401</v>
      </c>
      <c r="D3381">
        <v>0.80915519730294805</v>
      </c>
      <c r="E3381">
        <v>0.91753394265323396</v>
      </c>
      <c r="F3381">
        <v>1.0712788269149001</v>
      </c>
      <c r="G3381">
        <v>1.08535823350225</v>
      </c>
      <c r="H3381">
        <v>0.79100135218171097</v>
      </c>
      <c r="I3381">
        <v>0.54421122172184599</v>
      </c>
      <c r="J3381">
        <v>0.33864496181126702</v>
      </c>
      <c r="K3381">
        <v>0.22135545074320501</v>
      </c>
      <c r="L3381">
        <v>2067.5790472140402</v>
      </c>
      <c r="M3381">
        <v>32.623016544851403</v>
      </c>
      <c r="N3381">
        <v>64.402365813931794</v>
      </c>
      <c r="O3381">
        <v>63.1412066797105</v>
      </c>
      <c r="P3381">
        <v>-0.10302119360242599</v>
      </c>
      <c r="Q3381">
        <v>0.202421825805567</v>
      </c>
      <c r="R3381">
        <v>0.86744634166932999</v>
      </c>
      <c r="S3381" t="s">
        <v>9207</v>
      </c>
      <c r="T3381" t="s">
        <v>11650</v>
      </c>
      <c r="U3381" t="s">
        <v>11650</v>
      </c>
      <c r="V3381" t="s">
        <v>11650</v>
      </c>
      <c r="W3381" t="s">
        <v>14981</v>
      </c>
      <c r="X3381">
        <v>12</v>
      </c>
      <c r="Y3381" t="s">
        <v>20666</v>
      </c>
      <c r="Z3381" t="s">
        <v>26443</v>
      </c>
      <c r="AA3381">
        <v>0.82619444974323331</v>
      </c>
      <c r="AB3381" t="str">
        <f>HYPERLINK("Melting_Curves/meltCurve_Q3ZCQ8_TIMM50.pdf", "Melting_Curves/meltCurve_Q3ZCQ8_TIMM50.pdf")</f>
        <v>Melting_Curves/meltCurve_Q3ZCQ8_TIMM50.pdf</v>
      </c>
    </row>
    <row r="3382" spans="1:28" x14ac:dyDescent="0.25">
      <c r="A3382" t="s">
        <v>3386</v>
      </c>
      <c r="B3382">
        <v>0.99996721820229495</v>
      </c>
      <c r="C3382">
        <v>0.94845613104608695</v>
      </c>
      <c r="D3382">
        <v>0.80226553608296702</v>
      </c>
      <c r="E3382">
        <v>0.74728986890249005</v>
      </c>
      <c r="F3382">
        <v>1.1242166436543</v>
      </c>
      <c r="G3382">
        <v>1.0950249866039501</v>
      </c>
      <c r="H3382">
        <v>0.30866918629012602</v>
      </c>
      <c r="I3382">
        <v>0.27736509383896502</v>
      </c>
      <c r="J3382">
        <v>0</v>
      </c>
      <c r="K3382">
        <v>0</v>
      </c>
      <c r="L3382">
        <v>5258.49515005173</v>
      </c>
      <c r="M3382">
        <v>87.292375018337097</v>
      </c>
      <c r="N3382">
        <v>60.374193864030602</v>
      </c>
      <c r="O3382">
        <v>60.208434035485404</v>
      </c>
      <c r="P3382">
        <v>-0.33050311334819199</v>
      </c>
      <c r="Q3382">
        <v>8.8164436260258702E-2</v>
      </c>
      <c r="R3382">
        <v>0.89749791758629305</v>
      </c>
      <c r="S3382" t="s">
        <v>9208</v>
      </c>
      <c r="T3382" t="s">
        <v>11650</v>
      </c>
      <c r="U3382" t="s">
        <v>11650</v>
      </c>
      <c r="V3382" t="s">
        <v>11650</v>
      </c>
      <c r="W3382" t="s">
        <v>14982</v>
      </c>
      <c r="X3382">
        <v>2</v>
      </c>
      <c r="Y3382" t="s">
        <v>20667</v>
      </c>
      <c r="Z3382" t="s">
        <v>26444</v>
      </c>
      <c r="AA3382">
        <v>0.70414215645237721</v>
      </c>
      <c r="AB3382" t="str">
        <f>HYPERLINK("Melting_Curves/meltCurve_Q3ZCW2_LGALSL.pdf", "Melting_Curves/meltCurve_Q3ZCW2_LGALSL.pdf")</f>
        <v>Melting_Curves/meltCurve_Q3ZCW2_LGALSL.pdf</v>
      </c>
    </row>
    <row r="3383" spans="1:28" x14ac:dyDescent="0.25">
      <c r="A3383" t="s">
        <v>3387</v>
      </c>
      <c r="B3383">
        <v>0.99996721820229495</v>
      </c>
      <c r="C3383">
        <v>1.0805958070825901</v>
      </c>
      <c r="D3383">
        <v>0.93852674328792196</v>
      </c>
      <c r="E3383">
        <v>0.94454344887232</v>
      </c>
      <c r="F3383">
        <v>0.77412408048568804</v>
      </c>
      <c r="G3383">
        <v>0.284458531395404</v>
      </c>
      <c r="H3383">
        <v>0.20304790494025801</v>
      </c>
      <c r="I3383">
        <v>5.6605552608017799E-2</v>
      </c>
      <c r="J3383">
        <v>0</v>
      </c>
      <c r="K3383">
        <v>4.1807384529538298E-2</v>
      </c>
      <c r="L3383">
        <v>1411.47368449129</v>
      </c>
      <c r="M3383">
        <v>25.574622761033201</v>
      </c>
      <c r="N3383">
        <v>55.356201105002199</v>
      </c>
      <c r="O3383">
        <v>54.856277077675102</v>
      </c>
      <c r="P3383">
        <v>-0.11225659682585799</v>
      </c>
      <c r="Q3383">
        <v>3.6872860572225198E-2</v>
      </c>
      <c r="R3383">
        <v>0.98756447191553998</v>
      </c>
      <c r="S3383" t="s">
        <v>9209</v>
      </c>
      <c r="T3383" t="s">
        <v>11650</v>
      </c>
      <c r="U3383" t="s">
        <v>11650</v>
      </c>
      <c r="V3383" t="s">
        <v>11650</v>
      </c>
      <c r="W3383" t="s">
        <v>14983</v>
      </c>
      <c r="X3383">
        <v>3</v>
      </c>
      <c r="Y3383" t="s">
        <v>20668</v>
      </c>
      <c r="Z3383" t="s">
        <v>26445</v>
      </c>
      <c r="AA3383">
        <v>0.53310601007199876</v>
      </c>
      <c r="AB3383" t="str">
        <f>HYPERLINK("Melting_Curves/meltCurve_Q495W5_2_FUT11.pdf", "Melting_Curves/meltCurve_Q495W5_2_FUT11.pdf")</f>
        <v>Melting_Curves/meltCurve_Q495W5_2_FUT11.pdf</v>
      </c>
    </row>
    <row r="3384" spans="1:28" x14ac:dyDescent="0.25">
      <c r="A3384" t="s">
        <v>3388</v>
      </c>
      <c r="B3384">
        <v>0.99996721820229495</v>
      </c>
      <c r="C3384">
        <v>1.0156434774780401</v>
      </c>
      <c r="D3384">
        <v>0.98258592618561702</v>
      </c>
      <c r="E3384">
        <v>0.93219991266087798</v>
      </c>
      <c r="F3384">
        <v>1.1721981531232699</v>
      </c>
      <c r="G3384">
        <v>1.1758121759875599</v>
      </c>
      <c r="H3384">
        <v>0.86521347673539994</v>
      </c>
      <c r="I3384">
        <v>0.89773972103758504</v>
      </c>
      <c r="J3384">
        <v>0.83643013834068702</v>
      </c>
      <c r="K3384">
        <v>0.52356096623751402</v>
      </c>
      <c r="L3384">
        <v>1747.49399331932</v>
      </c>
      <c r="M3384">
        <v>24.788051932446901</v>
      </c>
      <c r="Q3384">
        <v>0</v>
      </c>
      <c r="R3384">
        <v>0.73206106557866601</v>
      </c>
      <c r="S3384" t="s">
        <v>9210</v>
      </c>
      <c r="T3384" t="s">
        <v>11650</v>
      </c>
      <c r="U3384" t="s">
        <v>11650</v>
      </c>
      <c r="V3384" t="s">
        <v>11650</v>
      </c>
      <c r="W3384" t="s">
        <v>14984</v>
      </c>
      <c r="X3384">
        <v>4</v>
      </c>
      <c r="Y3384" t="s">
        <v>20669</v>
      </c>
      <c r="Z3384" t="s">
        <v>26446</v>
      </c>
      <c r="AA3384">
        <v>0.94779039932638198</v>
      </c>
      <c r="AB3384" t="str">
        <f>HYPERLINK("Melting_Curves/meltCurve_Q49AH0_2_CDNF.pdf", "Melting_Curves/meltCurve_Q49AH0_2_CDNF.pdf")</f>
        <v>Melting_Curves/meltCurve_Q49AH0_2_CDNF.pdf</v>
      </c>
    </row>
    <row r="3385" spans="1:28" x14ac:dyDescent="0.25">
      <c r="A3385" t="s">
        <v>3389</v>
      </c>
      <c r="B3385">
        <v>0.99996721820229495</v>
      </c>
      <c r="C3385">
        <v>1.14828038106632</v>
      </c>
      <c r="D3385">
        <v>1.0634606721868101</v>
      </c>
      <c r="E3385">
        <v>0.67682591263964098</v>
      </c>
      <c r="F3385">
        <v>0.35330552647560498</v>
      </c>
      <c r="G3385">
        <v>0.25086864310503298</v>
      </c>
      <c r="H3385">
        <v>0.101893604056652</v>
      </c>
      <c r="I3385">
        <v>5.4815397351364502E-2</v>
      </c>
      <c r="J3385">
        <v>2.54699378399336E-2</v>
      </c>
      <c r="K3385">
        <v>4.2767094795786699E-2</v>
      </c>
      <c r="L3385">
        <v>1274.73095681892</v>
      </c>
      <c r="M3385">
        <v>24.702464007832599</v>
      </c>
      <c r="N3385">
        <v>51.897570493404601</v>
      </c>
      <c r="O3385">
        <v>51.268779148899803</v>
      </c>
      <c r="P3385">
        <v>-0.112588040151244</v>
      </c>
      <c r="Q3385">
        <v>6.5328908763540305E-2</v>
      </c>
      <c r="R3385">
        <v>0.97286710674993204</v>
      </c>
      <c r="S3385" t="s">
        <v>9211</v>
      </c>
      <c r="T3385" t="s">
        <v>11650</v>
      </c>
      <c r="U3385" t="s">
        <v>11650</v>
      </c>
      <c r="V3385" t="s">
        <v>11650</v>
      </c>
      <c r="W3385" t="s">
        <v>14985</v>
      </c>
      <c r="X3385">
        <v>4</v>
      </c>
      <c r="Y3385" t="s">
        <v>20670</v>
      </c>
      <c r="Z3385" t="s">
        <v>26447</v>
      </c>
      <c r="AA3385">
        <v>0.43553896245969231</v>
      </c>
      <c r="AB3385" t="str">
        <f>HYPERLINK("Melting_Curves/meltCurve_Q49AR2_C5orf22.pdf", "Melting_Curves/meltCurve_Q49AR2_C5orf22.pdf")</f>
        <v>Melting_Curves/meltCurve_Q49AR2_C5orf22.pdf</v>
      </c>
    </row>
    <row r="3386" spans="1:28" x14ac:dyDescent="0.25">
      <c r="A3386" t="s">
        <v>3390</v>
      </c>
      <c r="B3386">
        <v>0.99996721820229495</v>
      </c>
      <c r="C3386">
        <v>0.85715860711944103</v>
      </c>
      <c r="D3386">
        <v>0.83633121018559597</v>
      </c>
      <c r="E3386">
        <v>0.92218719821794404</v>
      </c>
      <c r="F3386">
        <v>1.2268138028687201</v>
      </c>
      <c r="G3386">
        <v>1.2255742126789899</v>
      </c>
      <c r="H3386">
        <v>1.00842521633647</v>
      </c>
      <c r="I3386">
        <v>1.0789912103178201</v>
      </c>
      <c r="J3386">
        <v>0.930201576636559</v>
      </c>
      <c r="K3386">
        <v>0.60295408059280697</v>
      </c>
      <c r="L3386">
        <v>15000</v>
      </c>
      <c r="M3386">
        <v>222.335048066078</v>
      </c>
      <c r="O3386">
        <v>67.460289028173605</v>
      </c>
      <c r="P3386">
        <v>-0.327249692878815</v>
      </c>
      <c r="Q3386">
        <v>0.60282719787118799</v>
      </c>
      <c r="R3386">
        <v>0.485597676181722</v>
      </c>
      <c r="S3386" t="s">
        <v>9212</v>
      </c>
      <c r="T3386" t="s">
        <v>11650</v>
      </c>
      <c r="U3386" t="s">
        <v>11650</v>
      </c>
      <c r="V3386" t="s">
        <v>11650</v>
      </c>
      <c r="W3386" t="s">
        <v>14986</v>
      </c>
      <c r="X3386">
        <v>7</v>
      </c>
      <c r="Y3386" t="s">
        <v>20671</v>
      </c>
      <c r="Z3386" t="s">
        <v>26448</v>
      </c>
      <c r="AA3386">
        <v>0.96650684803587505</v>
      </c>
      <c r="AB3386" t="str">
        <f>HYPERLINK("Melting_Curves/meltCurve_Q49B96_COX19.pdf", "Melting_Curves/meltCurve_Q49B96_COX19.pdf")</f>
        <v>Melting_Curves/meltCurve_Q49B96_COX19.pdf</v>
      </c>
    </row>
    <row r="3387" spans="1:28" x14ac:dyDescent="0.25">
      <c r="A3387" t="s">
        <v>3391</v>
      </c>
      <c r="B3387">
        <v>0.99996721820229495</v>
      </c>
      <c r="C3387">
        <v>1.0233881734348</v>
      </c>
      <c r="D3387">
        <v>1.09941714551047</v>
      </c>
      <c r="E3387">
        <v>1.2625050988730699</v>
      </c>
      <c r="F3387">
        <v>1.1242370841567899</v>
      </c>
      <c r="G3387">
        <v>0.979350632937808</v>
      </c>
      <c r="H3387">
        <v>0.35462203297858202</v>
      </c>
      <c r="I3387">
        <v>0.19601940905423301</v>
      </c>
      <c r="J3387">
        <v>0.12693768133913</v>
      </c>
      <c r="K3387">
        <v>0.104589171047953</v>
      </c>
      <c r="L3387">
        <v>3687.8564791233998</v>
      </c>
      <c r="M3387">
        <v>61.487925000933799</v>
      </c>
      <c r="N3387">
        <v>60.283366231299503</v>
      </c>
      <c r="O3387">
        <v>59.913578969749999</v>
      </c>
      <c r="P3387">
        <v>-0.22213365737038199</v>
      </c>
      <c r="Q3387">
        <v>0.134215868489997</v>
      </c>
      <c r="R3387">
        <v>0.95046009794220898</v>
      </c>
      <c r="S3387" t="s">
        <v>9213</v>
      </c>
      <c r="T3387" t="s">
        <v>11650</v>
      </c>
      <c r="U3387" t="s">
        <v>11650</v>
      </c>
      <c r="V3387" t="s">
        <v>11650</v>
      </c>
      <c r="W3387" t="s">
        <v>14987</v>
      </c>
      <c r="X3387">
        <v>9</v>
      </c>
      <c r="Y3387" t="s">
        <v>20672</v>
      </c>
      <c r="Z3387" t="s">
        <v>26449</v>
      </c>
      <c r="AA3387">
        <v>0.71224499409295017</v>
      </c>
      <c r="AB3387" t="str">
        <f>HYPERLINK("Melting_Curves/meltCurve_Q4G0F5_VPS26B.pdf", "Melting_Curves/meltCurve_Q4G0F5_VPS26B.pdf")</f>
        <v>Melting_Curves/meltCurve_Q4G0F5_VPS26B.pdf</v>
      </c>
    </row>
    <row r="3388" spans="1:28" x14ac:dyDescent="0.25">
      <c r="A3388" t="s">
        <v>3392</v>
      </c>
      <c r="B3388">
        <v>0.99996721820229495</v>
      </c>
      <c r="C3388">
        <v>1.04428263520783</v>
      </c>
      <c r="D3388">
        <v>1.0074510198122799</v>
      </c>
      <c r="E3388">
        <v>1.17445559765582</v>
      </c>
      <c r="F3388">
        <v>1.44885064082266</v>
      </c>
      <c r="G3388">
        <v>1.5695767818950099</v>
      </c>
      <c r="H3388">
        <v>1.18202902939242</v>
      </c>
      <c r="I3388">
        <v>1.0203832638714401</v>
      </c>
      <c r="J3388">
        <v>0.89266560181911403</v>
      </c>
      <c r="K3388">
        <v>0.68681458626859104</v>
      </c>
      <c r="L3388">
        <v>15000</v>
      </c>
      <c r="M3388">
        <v>223.22917558516701</v>
      </c>
      <c r="O3388">
        <v>67.190119830313293</v>
      </c>
      <c r="P3388">
        <v>-0.260162063765076</v>
      </c>
      <c r="Q3388">
        <v>0.68677353450718803</v>
      </c>
      <c r="R3388">
        <v>7.1129513093786097E-3</v>
      </c>
      <c r="S3388" t="s">
        <v>9214</v>
      </c>
      <c r="T3388" t="s">
        <v>11650</v>
      </c>
      <c r="U3388" t="s">
        <v>11650</v>
      </c>
      <c r="V3388" t="s">
        <v>11650</v>
      </c>
      <c r="W3388" t="s">
        <v>14988</v>
      </c>
      <c r="X3388">
        <v>3</v>
      </c>
      <c r="Y3388" t="s">
        <v>20673</v>
      </c>
      <c r="Z3388" t="s">
        <v>26450</v>
      </c>
      <c r="AA3388">
        <v>0.97076461154863236</v>
      </c>
      <c r="AB3388" t="str">
        <f>HYPERLINK("Melting_Curves/meltCurve_Q4G0I0_CCSMST1.pdf", "Melting_Curves/meltCurve_Q4G0I0_CCSMST1.pdf")</f>
        <v>Melting_Curves/meltCurve_Q4G0I0_CCSMST1.pdf</v>
      </c>
    </row>
    <row r="3389" spans="1:28" x14ac:dyDescent="0.25">
      <c r="A3389" t="s">
        <v>3393</v>
      </c>
      <c r="B3389">
        <v>0.99996721820229495</v>
      </c>
      <c r="C3389">
        <v>1.0622447429323301</v>
      </c>
      <c r="D3389">
        <v>1.10792515564593</v>
      </c>
      <c r="E3389">
        <v>1.1928366462237601</v>
      </c>
      <c r="F3389">
        <v>1.4502622730581101</v>
      </c>
      <c r="G3389">
        <v>0.72606493192420196</v>
      </c>
      <c r="H3389">
        <v>0.24530760353658601</v>
      </c>
      <c r="I3389">
        <v>0.14910012120959601</v>
      </c>
      <c r="J3389">
        <v>9.9963947443631004E-2</v>
      </c>
      <c r="K3389">
        <v>8.2142329672794306E-2</v>
      </c>
      <c r="L3389">
        <v>2903.97069625105</v>
      </c>
      <c r="M3389">
        <v>49.935835919655297</v>
      </c>
      <c r="N3389">
        <v>58.472825901796497</v>
      </c>
      <c r="O3389">
        <v>58.061019536480202</v>
      </c>
      <c r="P3389">
        <v>-0.189393051891764</v>
      </c>
      <c r="Q3389">
        <v>0.11916231667498001</v>
      </c>
      <c r="R3389">
        <v>0.89047071745367001</v>
      </c>
      <c r="S3389" t="s">
        <v>9215</v>
      </c>
      <c r="T3389" t="s">
        <v>11650</v>
      </c>
      <c r="U3389" t="s">
        <v>11650</v>
      </c>
      <c r="V3389" t="s">
        <v>11650</v>
      </c>
      <c r="W3389" t="s">
        <v>14989</v>
      </c>
      <c r="X3389">
        <v>18</v>
      </c>
      <c r="Y3389" t="s">
        <v>20674</v>
      </c>
      <c r="Z3389" t="s">
        <v>26451</v>
      </c>
      <c r="AA3389">
        <v>0.65444201834852089</v>
      </c>
      <c r="AB3389" t="str">
        <f>HYPERLINK("Melting_Curves/meltCurve_Q4G0N4_NADKD1.pdf", "Melting_Curves/meltCurve_Q4G0N4_NADKD1.pdf")</f>
        <v>Melting_Curves/meltCurve_Q4G0N4_NADKD1.pdf</v>
      </c>
    </row>
    <row r="3390" spans="1:28" x14ac:dyDescent="0.25">
      <c r="A3390" t="s">
        <v>3394</v>
      </c>
      <c r="B3390">
        <v>0.99996721820229495</v>
      </c>
      <c r="C3390">
        <v>0.72452374395309305</v>
      </c>
      <c r="D3390">
        <v>0.68036699623274299</v>
      </c>
      <c r="E3390">
        <v>0.85278571021493998</v>
      </c>
      <c r="F3390">
        <v>1.4063300122507401</v>
      </c>
      <c r="G3390">
        <v>1.9089547752457601</v>
      </c>
      <c r="H3390">
        <v>1.9319749570174301</v>
      </c>
      <c r="I3390">
        <v>1.36845833193813</v>
      </c>
      <c r="J3390">
        <v>0.89149596209315396</v>
      </c>
      <c r="K3390">
        <v>1.3051051872894099</v>
      </c>
      <c r="L3390">
        <v>13160.355644405199</v>
      </c>
      <c r="M3390">
        <v>250</v>
      </c>
      <c r="O3390">
        <v>52.638054019731499</v>
      </c>
      <c r="P3390">
        <v>0.57135251875382098</v>
      </c>
      <c r="Q3390">
        <v>1.4811981540632599</v>
      </c>
      <c r="R3390">
        <v>0.47783312524753901</v>
      </c>
      <c r="S3390" t="s">
        <v>9216</v>
      </c>
      <c r="T3390" t="s">
        <v>11650</v>
      </c>
      <c r="U3390" t="s">
        <v>11650</v>
      </c>
      <c r="V3390" t="s">
        <v>11650</v>
      </c>
      <c r="W3390" t="s">
        <v>14990</v>
      </c>
      <c r="X3390">
        <v>1</v>
      </c>
      <c r="Y3390" t="s">
        <v>20675</v>
      </c>
      <c r="Z3390" t="s">
        <v>26452</v>
      </c>
      <c r="AA3390">
        <v>1.2783860583279949</v>
      </c>
      <c r="AB3390" t="str">
        <f>HYPERLINK("Melting_Curves/meltCurve_Q4G0P3_HYDIN.pdf", "Melting_Curves/meltCurve_Q4G0P3_HYDIN.pdf")</f>
        <v>Melting_Curves/meltCurve_Q4G0P3_HYDIN.pdf</v>
      </c>
    </row>
    <row r="3391" spans="1:28" x14ac:dyDescent="0.25">
      <c r="A3391" t="s">
        <v>3395</v>
      </c>
      <c r="B3391">
        <v>0.99996721820229495</v>
      </c>
      <c r="C3391">
        <v>0.90815586905207601</v>
      </c>
      <c r="D3391">
        <v>0.90990512906357701</v>
      </c>
      <c r="E3391">
        <v>0.781848543151211</v>
      </c>
      <c r="F3391">
        <v>0.54650698183981605</v>
      </c>
      <c r="G3391">
        <v>0.54430419097721106</v>
      </c>
      <c r="H3391">
        <v>0.36266314164531599</v>
      </c>
      <c r="I3391">
        <v>0.24227349823942201</v>
      </c>
      <c r="J3391">
        <v>0.14451900571699999</v>
      </c>
      <c r="K3391">
        <v>0.16740072609904799</v>
      </c>
      <c r="L3391">
        <v>504.10731422305599</v>
      </c>
      <c r="M3391">
        <v>8.9440612812282207</v>
      </c>
      <c r="N3391">
        <v>56.362236075372302</v>
      </c>
      <c r="O3391">
        <v>53.758412299381298</v>
      </c>
      <c r="P3391">
        <v>-4.1624710756331798E-2</v>
      </c>
      <c r="Q3391">
        <v>0</v>
      </c>
      <c r="R3391">
        <v>0.97887233497438997</v>
      </c>
      <c r="S3391" t="s">
        <v>9217</v>
      </c>
      <c r="T3391" t="s">
        <v>11650</v>
      </c>
      <c r="U3391" t="s">
        <v>11650</v>
      </c>
      <c r="V3391" t="s">
        <v>11650</v>
      </c>
      <c r="W3391" t="s">
        <v>14991</v>
      </c>
      <c r="X3391">
        <v>2</v>
      </c>
      <c r="Y3391" t="s">
        <v>20676</v>
      </c>
      <c r="Z3391" t="s">
        <v>26453</v>
      </c>
      <c r="AA3391">
        <v>0.5638696833344945</v>
      </c>
      <c r="AB3391" t="str">
        <f>HYPERLINK("Melting_Curves/meltCurve_Q4G0X4_KCTD21.pdf", "Melting_Curves/meltCurve_Q4G0X4_KCTD21.pdf")</f>
        <v>Melting_Curves/meltCurve_Q4G0X4_KCTD21.pdf</v>
      </c>
    </row>
    <row r="3392" spans="1:28" x14ac:dyDescent="0.25">
      <c r="A3392" t="s">
        <v>3396</v>
      </c>
      <c r="B3392">
        <v>0.99996721820229495</v>
      </c>
      <c r="C3392">
        <v>0.88930673417511896</v>
      </c>
      <c r="D3392">
        <v>0.96108984819332199</v>
      </c>
      <c r="E3392">
        <v>1.1056730359432101</v>
      </c>
      <c r="F3392">
        <v>0.99708216896129698</v>
      </c>
      <c r="G3392">
        <v>0.67021428762334501</v>
      </c>
      <c r="H3392">
        <v>0.37209924664257599</v>
      </c>
      <c r="I3392">
        <v>0.25452482825350797</v>
      </c>
      <c r="J3392">
        <v>0.176919970535003</v>
      </c>
      <c r="K3392">
        <v>0.155335837878884</v>
      </c>
      <c r="L3392">
        <v>1622.45903606154</v>
      </c>
      <c r="M3392">
        <v>27.849396658530601</v>
      </c>
      <c r="N3392">
        <v>59.117741862080898</v>
      </c>
      <c r="O3392">
        <v>57.960416608049698</v>
      </c>
      <c r="P3392">
        <v>-0.100126959055203</v>
      </c>
      <c r="Q3392">
        <v>0.16646676309109701</v>
      </c>
      <c r="R3392">
        <v>0.97568864452967596</v>
      </c>
      <c r="S3392" t="s">
        <v>9218</v>
      </c>
      <c r="T3392" t="s">
        <v>11650</v>
      </c>
      <c r="U3392" t="s">
        <v>11650</v>
      </c>
      <c r="V3392" t="s">
        <v>11650</v>
      </c>
      <c r="W3392" t="s">
        <v>14992</v>
      </c>
      <c r="X3392">
        <v>3</v>
      </c>
      <c r="Y3392" t="s">
        <v>20677</v>
      </c>
      <c r="Z3392" t="s">
        <v>26454</v>
      </c>
      <c r="AA3392">
        <v>0.67989771550399269</v>
      </c>
      <c r="AB3392" t="str">
        <f>HYPERLINK("Melting_Curves/meltCurve_Q4G148_2_GXYLT1.pdf", "Melting_Curves/meltCurve_Q4G148_2_GXYLT1.pdf")</f>
        <v>Melting_Curves/meltCurve_Q4G148_2_GXYLT1.pdf</v>
      </c>
    </row>
    <row r="3393" spans="1:28" x14ac:dyDescent="0.25">
      <c r="A3393" t="s">
        <v>3397</v>
      </c>
      <c r="B3393">
        <v>0.99996721820229495</v>
      </c>
      <c r="C3393">
        <v>0.80266412786149199</v>
      </c>
      <c r="D3393">
        <v>0.47158660477124897</v>
      </c>
      <c r="E3393">
        <v>0.23247960031106801</v>
      </c>
      <c r="F3393">
        <v>0.17678558638321001</v>
      </c>
      <c r="G3393">
        <v>0.11248911066438</v>
      </c>
      <c r="H3393">
        <v>8.2145037048586098E-2</v>
      </c>
      <c r="I3393">
        <v>6.5074122809915799E-2</v>
      </c>
      <c r="J3393">
        <v>4.4987299232990503E-2</v>
      </c>
      <c r="K3393">
        <v>3.9380143319817901E-2</v>
      </c>
      <c r="L3393">
        <v>877.04257323905802</v>
      </c>
      <c r="M3393">
        <v>19.177359054784599</v>
      </c>
      <c r="N3393">
        <v>46.090699153454501</v>
      </c>
      <c r="O3393">
        <v>45.244656077290102</v>
      </c>
      <c r="P3393">
        <v>-9.8646199729994805E-2</v>
      </c>
      <c r="Q3393">
        <v>6.9101946251509797E-2</v>
      </c>
      <c r="R3393">
        <v>0.991540325007778</v>
      </c>
      <c r="S3393" t="s">
        <v>9219</v>
      </c>
      <c r="T3393" t="s">
        <v>11650</v>
      </c>
      <c r="U3393" t="s">
        <v>11650</v>
      </c>
      <c r="V3393" t="s">
        <v>11650</v>
      </c>
      <c r="W3393" t="s">
        <v>14993</v>
      </c>
      <c r="X3393">
        <v>11</v>
      </c>
      <c r="Y3393" t="s">
        <v>20678</v>
      </c>
      <c r="Z3393" t="s">
        <v>26455</v>
      </c>
      <c r="AA3393">
        <v>0.2631752307408014</v>
      </c>
      <c r="AB3393" t="str">
        <f>HYPERLINK("Melting_Curves/meltCurve_Q4G176_ACSF3.pdf", "Melting_Curves/meltCurve_Q4G176_ACSF3.pdf")</f>
        <v>Melting_Curves/meltCurve_Q4G176_ACSF3.pdf</v>
      </c>
    </row>
    <row r="3394" spans="1:28" x14ac:dyDescent="0.25">
      <c r="A3394" t="s">
        <v>3398</v>
      </c>
      <c r="B3394">
        <v>0.99996721820229495</v>
      </c>
      <c r="C3394">
        <v>1.0039172949567401</v>
      </c>
      <c r="D3394">
        <v>0.98960008406272204</v>
      </c>
      <c r="E3394">
        <v>1.02027758266937</v>
      </c>
      <c r="F3394">
        <v>0.68968479589885701</v>
      </c>
      <c r="G3394">
        <v>0.32463394024747</v>
      </c>
      <c r="H3394">
        <v>0.187536460891923</v>
      </c>
      <c r="I3394">
        <v>0.12351041029424201</v>
      </c>
      <c r="J3394">
        <v>8.6498536252693201E-2</v>
      </c>
      <c r="K3394">
        <v>6.9308732925076402E-2</v>
      </c>
      <c r="L3394">
        <v>1495.6883932824401</v>
      </c>
      <c r="M3394">
        <v>27.358851788936899</v>
      </c>
      <c r="N3394">
        <v>55.103435499143501</v>
      </c>
      <c r="O3394">
        <v>54.379692910560102</v>
      </c>
      <c r="P3394">
        <v>-0.113583109336408</v>
      </c>
      <c r="Q3394">
        <v>9.6956768035113494E-2</v>
      </c>
      <c r="R3394">
        <v>0.99270247205732498</v>
      </c>
      <c r="S3394" t="s">
        <v>9220</v>
      </c>
      <c r="T3394" t="s">
        <v>11650</v>
      </c>
      <c r="U3394" t="s">
        <v>11650</v>
      </c>
      <c r="V3394" t="s">
        <v>11650</v>
      </c>
      <c r="W3394" t="s">
        <v>14994</v>
      </c>
      <c r="X3394">
        <v>18</v>
      </c>
      <c r="Y3394" t="s">
        <v>20679</v>
      </c>
      <c r="Z3394" t="s">
        <v>26456</v>
      </c>
      <c r="AA3394">
        <v>0.54562346808860329</v>
      </c>
      <c r="AB3394" t="str">
        <f>HYPERLINK("Melting_Curves/meltCurve_Q4J6C6_4_PREPL.pdf", "Melting_Curves/meltCurve_Q4J6C6_4_PREPL.pdf")</f>
        <v>Melting_Curves/meltCurve_Q4J6C6_4_PREPL.pdf</v>
      </c>
    </row>
    <row r="3395" spans="1:28" x14ac:dyDescent="0.25">
      <c r="A3395" t="s">
        <v>3399</v>
      </c>
      <c r="B3395">
        <v>0.99996721820229495</v>
      </c>
      <c r="C3395">
        <v>0.92018127637065605</v>
      </c>
      <c r="D3395">
        <v>0.92663010094283305</v>
      </c>
      <c r="E3395">
        <v>0.92506265216305605</v>
      </c>
      <c r="F3395">
        <v>0.778629721463165</v>
      </c>
      <c r="G3395">
        <v>0.65609392867729499</v>
      </c>
      <c r="H3395">
        <v>0.536105229074473</v>
      </c>
      <c r="I3395">
        <v>0.60361560387377899</v>
      </c>
      <c r="J3395">
        <v>1.2962164354144301</v>
      </c>
      <c r="K3395">
        <v>1.4243696931371199</v>
      </c>
      <c r="L3395">
        <v>15000</v>
      </c>
      <c r="M3395">
        <v>224.71656594916001</v>
      </c>
      <c r="O3395">
        <v>66.745466109115696</v>
      </c>
      <c r="P3395">
        <v>0.35724839632750799</v>
      </c>
      <c r="Q3395">
        <v>1.4244406396635301</v>
      </c>
      <c r="R3395">
        <v>0.24499544321713099</v>
      </c>
      <c r="S3395" t="s">
        <v>9221</v>
      </c>
      <c r="T3395" t="s">
        <v>11650</v>
      </c>
      <c r="U3395" t="s">
        <v>11650</v>
      </c>
      <c r="V3395" t="s">
        <v>11650</v>
      </c>
      <c r="W3395" t="s">
        <v>14995</v>
      </c>
      <c r="X3395">
        <v>6</v>
      </c>
      <c r="Y3395" t="s">
        <v>20680</v>
      </c>
      <c r="Z3395" t="s">
        <v>26457</v>
      </c>
      <c r="AA3395">
        <v>1.0459090097306221</v>
      </c>
      <c r="AB3395" t="str">
        <f>HYPERLINK("Melting_Curves/meltCurve_Q4KMP7_TBC1D10B.pdf", "Melting_Curves/meltCurve_Q4KMP7_TBC1D10B.pdf")</f>
        <v>Melting_Curves/meltCurve_Q4KMP7_TBC1D10B.pdf</v>
      </c>
    </row>
    <row r="3396" spans="1:28" x14ac:dyDescent="0.25">
      <c r="A3396" t="s">
        <v>3400</v>
      </c>
      <c r="B3396">
        <v>0.99996721820229495</v>
      </c>
      <c r="C3396">
        <v>0.80074066387399001</v>
      </c>
      <c r="D3396">
        <v>0.99512882329018804</v>
      </c>
      <c r="E3396">
        <v>1.38115959137759</v>
      </c>
      <c r="F3396">
        <v>2.1909868566701598</v>
      </c>
      <c r="G3396">
        <v>0.92157587503274496</v>
      </c>
      <c r="H3396">
        <v>0.42173435413345001</v>
      </c>
      <c r="I3396">
        <v>0.97457568289004703</v>
      </c>
      <c r="J3396">
        <v>0.15555982430440499</v>
      </c>
      <c r="K3396">
        <v>1.4569020182427299</v>
      </c>
      <c r="L3396">
        <v>14293.891498745301</v>
      </c>
      <c r="M3396">
        <v>250</v>
      </c>
      <c r="O3396">
        <v>57.171909997990902</v>
      </c>
      <c r="P3396">
        <v>-0.27090119847197403</v>
      </c>
      <c r="Q3396">
        <v>0.752192989679068</v>
      </c>
      <c r="R3396">
        <v>8.4996012223555906E-2</v>
      </c>
      <c r="S3396" t="s">
        <v>9222</v>
      </c>
      <c r="T3396" t="s">
        <v>11650</v>
      </c>
      <c r="U3396" t="s">
        <v>11650</v>
      </c>
      <c r="V3396" t="s">
        <v>11650</v>
      </c>
      <c r="W3396" t="s">
        <v>14996</v>
      </c>
      <c r="X3396">
        <v>10</v>
      </c>
      <c r="Y3396" t="s">
        <v>20681</v>
      </c>
      <c r="Z3396" t="s">
        <v>26458</v>
      </c>
      <c r="AA3396">
        <v>0.89409204384625363</v>
      </c>
      <c r="AB3396" t="str">
        <f>HYPERLINK("Melting_Curves/meltCurve_Q4KMQ2_3_ANO6.pdf", "Melting_Curves/meltCurve_Q4KMQ2_3_ANO6.pdf")</f>
        <v>Melting_Curves/meltCurve_Q4KMQ2_3_ANO6.pdf</v>
      </c>
    </row>
    <row r="3397" spans="1:28" x14ac:dyDescent="0.25">
      <c r="A3397" t="s">
        <v>3401</v>
      </c>
      <c r="B3397">
        <v>0.99996721820229495</v>
      </c>
      <c r="C3397">
        <v>0.91793420809436499</v>
      </c>
      <c r="D3397">
        <v>0.99519137799133806</v>
      </c>
      <c r="E3397">
        <v>0.834454906212728</v>
      </c>
      <c r="F3397">
        <v>0.44426085697595602</v>
      </c>
      <c r="G3397">
        <v>0.35622314889140499</v>
      </c>
      <c r="H3397">
        <v>0.20223495940361</v>
      </c>
      <c r="I3397">
        <v>0.12385585434332</v>
      </c>
      <c r="J3397">
        <v>7.0359404387547397E-2</v>
      </c>
      <c r="K3397">
        <v>7.7013341027642998E-2</v>
      </c>
      <c r="L3397">
        <v>922.44540182966205</v>
      </c>
      <c r="M3397">
        <v>17.3434960571422</v>
      </c>
      <c r="N3397">
        <v>53.700349081502402</v>
      </c>
      <c r="O3397">
        <v>52.494827093973399</v>
      </c>
      <c r="P3397">
        <v>-7.6288804042905306E-2</v>
      </c>
      <c r="Q3397">
        <v>7.6417159504337098E-2</v>
      </c>
      <c r="R3397">
        <v>0.97916957968807505</v>
      </c>
      <c r="S3397" t="s">
        <v>9223</v>
      </c>
      <c r="T3397" t="s">
        <v>11650</v>
      </c>
      <c r="U3397" t="s">
        <v>11650</v>
      </c>
      <c r="V3397" t="s">
        <v>11650</v>
      </c>
      <c r="W3397" t="s">
        <v>14997</v>
      </c>
      <c r="X3397">
        <v>2</v>
      </c>
      <c r="Y3397" t="s">
        <v>20682</v>
      </c>
      <c r="Z3397" t="s">
        <v>26459</v>
      </c>
      <c r="AA3397">
        <v>0.49835368990187429</v>
      </c>
      <c r="AB3397" t="str">
        <f>HYPERLINK("Melting_Curves/meltCurve_Q4KWH8_3_PLCH1.pdf", "Melting_Curves/meltCurve_Q4KWH8_3_PLCH1.pdf")</f>
        <v>Melting_Curves/meltCurve_Q4KWH8_3_PLCH1.pdf</v>
      </c>
    </row>
    <row r="3398" spans="1:28" x14ac:dyDescent="0.25">
      <c r="A3398" t="s">
        <v>3402</v>
      </c>
      <c r="B3398">
        <v>0.99996721820229495</v>
      </c>
      <c r="C3398">
        <v>1.0054524081554601</v>
      </c>
      <c r="D3398">
        <v>0.98174030580722504</v>
      </c>
      <c r="E3398">
        <v>0.97739811669944798</v>
      </c>
      <c r="F3398">
        <v>0.92121416116641097</v>
      </c>
      <c r="G3398">
        <v>0.80111829168321302</v>
      </c>
      <c r="H3398">
        <v>0.49193670554959601</v>
      </c>
      <c r="I3398">
        <v>0.38935292990916498</v>
      </c>
      <c r="J3398">
        <v>0.31881537966435503</v>
      </c>
      <c r="K3398">
        <v>0.226091284219509</v>
      </c>
      <c r="L3398">
        <v>1142.14747771406</v>
      </c>
      <c r="M3398">
        <v>19.1093038618645</v>
      </c>
      <c r="N3398">
        <v>61.427549637542697</v>
      </c>
      <c r="O3398">
        <v>59.1261807436072</v>
      </c>
      <c r="P3398">
        <v>-6.4519033685799504E-2</v>
      </c>
      <c r="Q3398">
        <v>0.20151660347643</v>
      </c>
      <c r="R3398">
        <v>0.99594536555508595</v>
      </c>
      <c r="S3398" t="s">
        <v>9224</v>
      </c>
      <c r="T3398" t="s">
        <v>11650</v>
      </c>
      <c r="U3398" t="s">
        <v>11650</v>
      </c>
      <c r="V3398" t="s">
        <v>11650</v>
      </c>
      <c r="W3398" t="s">
        <v>14998</v>
      </c>
      <c r="X3398">
        <v>35</v>
      </c>
      <c r="Y3398" t="s">
        <v>20683</v>
      </c>
      <c r="Z3398" t="s">
        <v>26460</v>
      </c>
      <c r="AA3398">
        <v>0.73478209116802107</v>
      </c>
      <c r="AB3398" t="str">
        <f>HYPERLINK("Melting_Curves/meltCurve_Q4L180_3_FILIP1L.pdf", "Melting_Curves/meltCurve_Q4L180_3_FILIP1L.pdf")</f>
        <v>Melting_Curves/meltCurve_Q4L180_3_FILIP1L.pdf</v>
      </c>
    </row>
    <row r="3399" spans="1:28" x14ac:dyDescent="0.25">
      <c r="A3399" t="s">
        <v>3403</v>
      </c>
      <c r="B3399">
        <v>0.99996721820229495</v>
      </c>
      <c r="C3399">
        <v>0.95280333204193302</v>
      </c>
      <c r="D3399">
        <v>1.0441432604248899</v>
      </c>
      <c r="E3399">
        <v>1.1343081208810399</v>
      </c>
      <c r="F3399">
        <v>1.2947546255973701</v>
      </c>
      <c r="G3399">
        <v>1.49315163398293</v>
      </c>
      <c r="H3399">
        <v>0.97628115958151396</v>
      </c>
      <c r="I3399">
        <v>0.55299669560298603</v>
      </c>
      <c r="J3399">
        <v>0.39735720911893502</v>
      </c>
      <c r="K3399">
        <v>0.43635108312464799</v>
      </c>
      <c r="L3399">
        <v>5929.0072162200504</v>
      </c>
      <c r="M3399">
        <v>93.833995477729601</v>
      </c>
      <c r="N3399">
        <v>64.409609850490298</v>
      </c>
      <c r="O3399">
        <v>63.157448396699998</v>
      </c>
      <c r="P3399">
        <v>-0.21695837727859299</v>
      </c>
      <c r="Q3399">
        <v>0.41588178135977999</v>
      </c>
      <c r="R3399">
        <v>0.701183152922079</v>
      </c>
      <c r="S3399" t="s">
        <v>9225</v>
      </c>
      <c r="T3399" t="s">
        <v>11650</v>
      </c>
      <c r="U3399" t="s">
        <v>11650</v>
      </c>
      <c r="V3399" t="s">
        <v>11650</v>
      </c>
      <c r="W3399" t="s">
        <v>14999</v>
      </c>
      <c r="X3399">
        <v>4</v>
      </c>
      <c r="Y3399" t="s">
        <v>20684</v>
      </c>
      <c r="Z3399" t="s">
        <v>26461</v>
      </c>
      <c r="AA3399">
        <v>0.86778847885759547</v>
      </c>
      <c r="AB3399" t="str">
        <f>HYPERLINK("Melting_Curves/meltCurve_Q4LDE5_SVEP1.pdf", "Melting_Curves/meltCurve_Q4LDE5_SVEP1.pdf")</f>
        <v>Melting_Curves/meltCurve_Q4LDE5_SVEP1.pdf</v>
      </c>
    </row>
    <row r="3400" spans="1:28" x14ac:dyDescent="0.25">
      <c r="A3400" t="s">
        <v>3404</v>
      </c>
      <c r="B3400">
        <v>0.99996721820229495</v>
      </c>
      <c r="C3400">
        <v>1.08238469619538</v>
      </c>
      <c r="D3400">
        <v>0.97871902728246296</v>
      </c>
      <c r="E3400">
        <v>0.87525602948930603</v>
      </c>
      <c r="F3400">
        <v>0.53454526893867305</v>
      </c>
      <c r="G3400">
        <v>0.372513384832238</v>
      </c>
      <c r="H3400">
        <v>0.24499535667128999</v>
      </c>
      <c r="I3400">
        <v>0.1505877458681</v>
      </c>
      <c r="J3400">
        <v>0.13152760150596501</v>
      </c>
      <c r="K3400">
        <v>9.4655715001686E-2</v>
      </c>
      <c r="L3400">
        <v>1007.30692421665</v>
      </c>
      <c r="M3400">
        <v>18.7592836398047</v>
      </c>
      <c r="N3400">
        <v>54.462237123469798</v>
      </c>
      <c r="O3400">
        <v>53.097404529122798</v>
      </c>
      <c r="P3400">
        <v>-7.8088978705390194E-2</v>
      </c>
      <c r="Q3400">
        <v>0.115925779819</v>
      </c>
      <c r="R3400">
        <v>0.98520993525323497</v>
      </c>
      <c r="S3400" t="s">
        <v>9226</v>
      </c>
      <c r="T3400" t="s">
        <v>11650</v>
      </c>
      <c r="U3400" t="s">
        <v>11650</v>
      </c>
      <c r="V3400" t="s">
        <v>11650</v>
      </c>
      <c r="W3400" t="s">
        <v>15000</v>
      </c>
      <c r="X3400">
        <v>5</v>
      </c>
      <c r="Y3400" t="s">
        <v>20685</v>
      </c>
      <c r="Z3400" t="s">
        <v>26462</v>
      </c>
      <c r="AA3400">
        <v>0.53292421497219555</v>
      </c>
      <c r="AB3400" t="str">
        <f>HYPERLINK("Melting_Curves/meltCurve_Q4LDG9_DNAL1.pdf", "Melting_Curves/meltCurve_Q4LDG9_DNAL1.pdf")</f>
        <v>Melting_Curves/meltCurve_Q4LDG9_DNAL1.pdf</v>
      </c>
    </row>
    <row r="3401" spans="1:28" x14ac:dyDescent="0.25">
      <c r="A3401" t="s">
        <v>3405</v>
      </c>
      <c r="B3401">
        <v>0.99996721820229495</v>
      </c>
      <c r="C3401">
        <v>0.96036608318961802</v>
      </c>
      <c r="D3401">
        <v>0.88072417560266103</v>
      </c>
      <c r="E3401">
        <v>0.81111434292130302</v>
      </c>
      <c r="F3401">
        <v>0.76806083806754</v>
      </c>
      <c r="G3401">
        <v>0.71474561509961199</v>
      </c>
      <c r="H3401">
        <v>0.49849268132447899</v>
      </c>
      <c r="I3401">
        <v>0.43571521406140101</v>
      </c>
      <c r="J3401">
        <v>0.40056041775908802</v>
      </c>
      <c r="K3401">
        <v>0.38082343069282398</v>
      </c>
      <c r="L3401">
        <v>436.03155074714499</v>
      </c>
      <c r="M3401">
        <v>7.2742485933129704</v>
      </c>
      <c r="N3401">
        <v>62.517541463292801</v>
      </c>
      <c r="O3401">
        <v>55.909684084416803</v>
      </c>
      <c r="P3401">
        <v>-2.8360784645540298E-2</v>
      </c>
      <c r="Q3401">
        <v>0.12948006978155699</v>
      </c>
      <c r="R3401">
        <v>0.98003564061979498</v>
      </c>
      <c r="S3401" t="s">
        <v>9227</v>
      </c>
      <c r="T3401" t="s">
        <v>11650</v>
      </c>
      <c r="U3401" t="s">
        <v>11650</v>
      </c>
      <c r="V3401" t="s">
        <v>11650</v>
      </c>
      <c r="W3401" t="s">
        <v>15001</v>
      </c>
      <c r="X3401">
        <v>43</v>
      </c>
      <c r="Y3401" t="s">
        <v>20686</v>
      </c>
      <c r="Z3401" t="s">
        <v>26463</v>
      </c>
      <c r="AA3401">
        <v>0.69053542722366401</v>
      </c>
      <c r="AB3401" t="str">
        <f>HYPERLINK("Melting_Curves/meltCurve_Q4V328_GRIPAP1.pdf", "Melting_Curves/meltCurve_Q4V328_GRIPAP1.pdf")</f>
        <v>Melting_Curves/meltCurve_Q4V328_GRIPAP1.pdf</v>
      </c>
    </row>
    <row r="3402" spans="1:28" x14ac:dyDescent="0.25">
      <c r="A3402" t="s">
        <v>3406</v>
      </c>
      <c r="B3402">
        <v>0.99996721820229495</v>
      </c>
      <c r="C3402">
        <v>0.82822746388693003</v>
      </c>
      <c r="D3402">
        <v>0.78512473976611996</v>
      </c>
      <c r="E3402">
        <v>0.95831727160853597</v>
      </c>
      <c r="F3402">
        <v>1.2103863913366499</v>
      </c>
      <c r="G3402">
        <v>1.0548334292388899</v>
      </c>
      <c r="H3402">
        <v>0.88713316066244097</v>
      </c>
      <c r="I3402">
        <v>0.76876362322533298</v>
      </c>
      <c r="J3402">
        <v>0.83886199770191805</v>
      </c>
      <c r="K3402">
        <v>0.73887836270827401</v>
      </c>
      <c r="L3402">
        <v>15000</v>
      </c>
      <c r="M3402">
        <v>245.97422327451301</v>
      </c>
      <c r="O3402">
        <v>60.977968464183398</v>
      </c>
      <c r="P3402">
        <v>-0.21967438736103301</v>
      </c>
      <c r="Q3402">
        <v>0.78216745371907603</v>
      </c>
      <c r="R3402">
        <v>0.34580840434911397</v>
      </c>
      <c r="S3402" t="s">
        <v>9228</v>
      </c>
      <c r="T3402" t="s">
        <v>11650</v>
      </c>
      <c r="U3402" t="s">
        <v>11650</v>
      </c>
      <c r="V3402" t="s">
        <v>11650</v>
      </c>
      <c r="W3402" t="s">
        <v>15002</v>
      </c>
      <c r="X3402">
        <v>10</v>
      </c>
      <c r="Y3402" t="s">
        <v>20687</v>
      </c>
      <c r="Z3402" t="s">
        <v>26464</v>
      </c>
      <c r="AA3402">
        <v>0.93454361662316709</v>
      </c>
      <c r="AB3402" t="str">
        <f>HYPERLINK("Melting_Curves/meltCurve_Q4V9L6_TMEM119.pdf", "Melting_Curves/meltCurve_Q4V9L6_TMEM119.pdf")</f>
        <v>Melting_Curves/meltCurve_Q4V9L6_TMEM119.pdf</v>
      </c>
    </row>
    <row r="3403" spans="1:28" x14ac:dyDescent="0.25">
      <c r="A3403" t="s">
        <v>3407</v>
      </c>
      <c r="B3403">
        <v>0.99996721820229495</v>
      </c>
      <c r="C3403">
        <v>1.08387895599997</v>
      </c>
      <c r="D3403">
        <v>0.98903031705262401</v>
      </c>
      <c r="E3403">
        <v>1.03713598610638</v>
      </c>
      <c r="F3403">
        <v>1.3282391401898801</v>
      </c>
      <c r="G3403">
        <v>1.69050180260955</v>
      </c>
      <c r="H3403">
        <v>1.30911322179983</v>
      </c>
      <c r="I3403">
        <v>2.0660941185114101</v>
      </c>
      <c r="J3403">
        <v>1.03581042254772</v>
      </c>
      <c r="K3403">
        <v>0.78935673208819801</v>
      </c>
      <c r="L3403">
        <v>3851.60552550683</v>
      </c>
      <c r="M3403">
        <v>74.702850426326805</v>
      </c>
      <c r="O3403">
        <v>51.522083485731599</v>
      </c>
      <c r="P3403">
        <v>0.136767872654975</v>
      </c>
      <c r="Q3403">
        <v>1.3773118366992001</v>
      </c>
      <c r="R3403">
        <v>0.21190559296834199</v>
      </c>
      <c r="S3403" t="s">
        <v>9229</v>
      </c>
      <c r="T3403" t="s">
        <v>11650</v>
      </c>
      <c r="U3403" t="s">
        <v>11650</v>
      </c>
      <c r="V3403" t="s">
        <v>11650</v>
      </c>
      <c r="W3403" t="s">
        <v>15003</v>
      </c>
      <c r="X3403">
        <v>3</v>
      </c>
      <c r="Y3403" t="s">
        <v>20688</v>
      </c>
      <c r="Z3403" t="s">
        <v>26465</v>
      </c>
      <c r="AA3403">
        <v>1.2315501363640231</v>
      </c>
      <c r="AB3403" t="str">
        <f>HYPERLINK("Melting_Curves/meltCurve_Q4VC05_BCL7A.pdf", "Melting_Curves/meltCurve_Q4VC05_BCL7A.pdf")</f>
        <v>Melting_Curves/meltCurve_Q4VC05_BCL7A.pdf</v>
      </c>
    </row>
    <row r="3404" spans="1:28" x14ac:dyDescent="0.25">
      <c r="A3404" t="s">
        <v>3408</v>
      </c>
      <c r="B3404">
        <v>0.99996721820229495</v>
      </c>
      <c r="C3404">
        <v>0.95849553338590199</v>
      </c>
      <c r="D3404">
        <v>1.0363119481929</v>
      </c>
      <c r="E3404">
        <v>1.1683630066536299</v>
      </c>
      <c r="F3404">
        <v>1.2956232335182101</v>
      </c>
      <c r="G3404">
        <v>0.95843050630649396</v>
      </c>
      <c r="H3404">
        <v>0.60983309138882702</v>
      </c>
      <c r="I3404">
        <v>0.59532061726033003</v>
      </c>
      <c r="J3404">
        <v>0.532923978189764</v>
      </c>
      <c r="K3404">
        <v>0.43587745900831698</v>
      </c>
      <c r="L3404">
        <v>3070.3461826677299</v>
      </c>
      <c r="M3404">
        <v>51.543224019033097</v>
      </c>
      <c r="O3404">
        <v>59.478915164000597</v>
      </c>
      <c r="P3404">
        <v>-0.105682720536692</v>
      </c>
      <c r="Q3404">
        <v>0.51218506230774197</v>
      </c>
      <c r="R3404">
        <v>0.83138583906707098</v>
      </c>
      <c r="S3404" t="s">
        <v>9230</v>
      </c>
      <c r="T3404" t="s">
        <v>11650</v>
      </c>
      <c r="U3404" t="s">
        <v>11650</v>
      </c>
      <c r="V3404" t="s">
        <v>11650</v>
      </c>
      <c r="W3404" t="s">
        <v>15004</v>
      </c>
      <c r="X3404">
        <v>8</v>
      </c>
      <c r="Y3404" t="s">
        <v>20689</v>
      </c>
      <c r="Z3404" t="s">
        <v>26466</v>
      </c>
      <c r="AA3404">
        <v>0.8315698221469312</v>
      </c>
      <c r="AB3404" t="str">
        <f>HYPERLINK("Melting_Curves/meltCurve_Q4VXL4_TACC2.pdf", "Melting_Curves/meltCurve_Q4VXL4_TACC2.pdf")</f>
        <v>Melting_Curves/meltCurve_Q4VXL4_TACC2.pdf</v>
      </c>
    </row>
    <row r="3405" spans="1:28" x14ac:dyDescent="0.25">
      <c r="A3405" t="s">
        <v>3409</v>
      </c>
      <c r="B3405">
        <v>0.99996721820229495</v>
      </c>
      <c r="C3405">
        <v>1.09060239906247</v>
      </c>
      <c r="D3405">
        <v>0.99307871882255305</v>
      </c>
      <c r="E3405">
        <v>0.88209623014923999</v>
      </c>
      <c r="F3405">
        <v>0.94644776894814397</v>
      </c>
      <c r="G3405">
        <v>0.88656711537649902</v>
      </c>
      <c r="H3405">
        <v>0.568427801336164</v>
      </c>
      <c r="I3405">
        <v>0.35977326030239298</v>
      </c>
      <c r="J3405">
        <v>0.19062754743777399</v>
      </c>
      <c r="K3405">
        <v>0.220227893064566</v>
      </c>
      <c r="L3405">
        <v>1541.49244164535</v>
      </c>
      <c r="M3405">
        <v>25.321385578888801</v>
      </c>
      <c r="N3405">
        <v>61.810381479366697</v>
      </c>
      <c r="O3405">
        <v>60.501213806474397</v>
      </c>
      <c r="P3405">
        <v>-8.8010475967897406E-2</v>
      </c>
      <c r="Q3405">
        <v>0.15886554089888499</v>
      </c>
      <c r="R3405">
        <v>0.97606151023629895</v>
      </c>
      <c r="S3405" t="s">
        <v>9231</v>
      </c>
      <c r="T3405" t="s">
        <v>11650</v>
      </c>
      <c r="U3405" t="s">
        <v>11650</v>
      </c>
      <c r="V3405" t="s">
        <v>11650</v>
      </c>
      <c r="W3405" t="s">
        <v>15005</v>
      </c>
      <c r="X3405">
        <v>10</v>
      </c>
      <c r="Y3405" t="s">
        <v>20690</v>
      </c>
      <c r="Z3405" t="s">
        <v>26467</v>
      </c>
      <c r="AA3405">
        <v>0.74959671874925127</v>
      </c>
      <c r="AB3405" t="str">
        <f>HYPERLINK("Melting_Curves/meltCurve_Q4VXZ8_DECR2.pdf", "Melting_Curves/meltCurve_Q4VXZ8_DECR2.pdf")</f>
        <v>Melting_Curves/meltCurve_Q4VXZ8_DECR2.pdf</v>
      </c>
    </row>
    <row r="3406" spans="1:28" x14ac:dyDescent="0.25">
      <c r="A3406" t="s">
        <v>3410</v>
      </c>
      <c r="B3406">
        <v>0.99996721820229495</v>
      </c>
      <c r="C3406">
        <v>0.97687957863655195</v>
      </c>
      <c r="D3406">
        <v>1.38030953489871</v>
      </c>
      <c r="E3406">
        <v>1.2706207234146301</v>
      </c>
      <c r="F3406">
        <v>2.1047606972408399</v>
      </c>
      <c r="G3406">
        <v>1.94128254999154</v>
      </c>
      <c r="H3406">
        <v>0.79077001330093899</v>
      </c>
      <c r="I3406">
        <v>0.43389468370905698</v>
      </c>
      <c r="J3406">
        <v>7.0189532318949005E-2</v>
      </c>
      <c r="K3406">
        <v>6.58385320489559E-2</v>
      </c>
      <c r="L3406">
        <v>3214.2968136446102</v>
      </c>
      <c r="M3406">
        <v>50.745700592334401</v>
      </c>
      <c r="N3406">
        <v>63.455564906947899</v>
      </c>
      <c r="O3406">
        <v>63.243139134626901</v>
      </c>
      <c r="P3406">
        <v>-0.19183698705496799</v>
      </c>
      <c r="Q3406">
        <v>4.36737410521904E-2</v>
      </c>
      <c r="R3406">
        <v>0.47094803906107802</v>
      </c>
      <c r="S3406" t="s">
        <v>9232</v>
      </c>
      <c r="T3406" t="s">
        <v>11650</v>
      </c>
      <c r="U3406" t="s">
        <v>11650</v>
      </c>
      <c r="V3406" t="s">
        <v>11650</v>
      </c>
      <c r="W3406" t="s">
        <v>15006</v>
      </c>
      <c r="X3406">
        <v>1</v>
      </c>
      <c r="Y3406" t="s">
        <v>20691</v>
      </c>
      <c r="Z3406" t="s">
        <v>26468</v>
      </c>
      <c r="AA3406">
        <v>0.78992368012992198</v>
      </c>
      <c r="AB3406" t="str">
        <f>HYPERLINK("Melting_Curves/meltCurve_Q4ZIN3_2_TMEM259.pdf", "Melting_Curves/meltCurve_Q4ZIN3_2_TMEM259.pdf")</f>
        <v>Melting_Curves/meltCurve_Q4ZIN3_2_TMEM259.pdf</v>
      </c>
    </row>
    <row r="3407" spans="1:28" x14ac:dyDescent="0.25">
      <c r="A3407" t="s">
        <v>3411</v>
      </c>
      <c r="B3407">
        <v>0.99996721820229495</v>
      </c>
      <c r="C3407">
        <v>1.06635645782469</v>
      </c>
      <c r="D3407">
        <v>1.16975305715734</v>
      </c>
      <c r="E3407">
        <v>1.27001678494931</v>
      </c>
      <c r="F3407">
        <v>1.9390254233695701</v>
      </c>
      <c r="G3407">
        <v>1.8324644948214801</v>
      </c>
      <c r="H3407">
        <v>0.77983032833530397</v>
      </c>
      <c r="I3407">
        <v>0.33403978033937498</v>
      </c>
      <c r="J3407">
        <v>0.22438953832925601</v>
      </c>
      <c r="K3407">
        <v>0.14058826140910299</v>
      </c>
      <c r="L3407">
        <v>3914.1777093363198</v>
      </c>
      <c r="M3407">
        <v>62.928848545079497</v>
      </c>
      <c r="N3407">
        <v>62.666412935336297</v>
      </c>
      <c r="O3407">
        <v>62.137330788278099</v>
      </c>
      <c r="P3407">
        <v>-0.205846821987406</v>
      </c>
      <c r="Q3407">
        <v>0.186969536331413</v>
      </c>
      <c r="R3407">
        <v>0.51797139145173099</v>
      </c>
      <c r="S3407" t="s">
        <v>9233</v>
      </c>
      <c r="T3407" t="s">
        <v>11650</v>
      </c>
      <c r="U3407" t="s">
        <v>11650</v>
      </c>
      <c r="V3407" t="s">
        <v>11650</v>
      </c>
      <c r="W3407" t="s">
        <v>15007</v>
      </c>
      <c r="X3407">
        <v>1</v>
      </c>
      <c r="Y3407" t="s">
        <v>20692</v>
      </c>
      <c r="Z3407" t="s">
        <v>26469</v>
      </c>
      <c r="AA3407">
        <v>0.78998713909283669</v>
      </c>
      <c r="AB3407" t="str">
        <f>HYPERLINK("Melting_Curves/meltCurve_Q52LD8_RFTN2.pdf", "Melting_Curves/meltCurve_Q52LD8_RFTN2.pdf")</f>
        <v>Melting_Curves/meltCurve_Q52LD8_RFTN2.pdf</v>
      </c>
    </row>
    <row r="3408" spans="1:28" x14ac:dyDescent="0.25">
      <c r="A3408" t="s">
        <v>3412</v>
      </c>
      <c r="B3408">
        <v>0.99996721820229495</v>
      </c>
      <c r="C3408">
        <v>1.1105062891238699</v>
      </c>
      <c r="D3408">
        <v>1.23536890141777</v>
      </c>
      <c r="E3408">
        <v>1.33617095525454</v>
      </c>
      <c r="F3408">
        <v>0.61901833218062496</v>
      </c>
      <c r="G3408">
        <v>0.50332951622688504</v>
      </c>
      <c r="H3408">
        <v>0.29284739990567199</v>
      </c>
      <c r="I3408">
        <v>0.354165544449136</v>
      </c>
      <c r="J3408">
        <v>0.18648265577200199</v>
      </c>
      <c r="K3408">
        <v>0.11986276310650799</v>
      </c>
      <c r="L3408">
        <v>1562.52130419029</v>
      </c>
      <c r="M3408">
        <v>28.370192714776401</v>
      </c>
      <c r="N3408">
        <v>56.266290256192498</v>
      </c>
      <c r="O3408">
        <v>54.804691520406003</v>
      </c>
      <c r="P3408">
        <v>-0.10021774117334201</v>
      </c>
      <c r="Q3408">
        <v>0.225615735132151</v>
      </c>
      <c r="R3408">
        <v>0.85166314204721805</v>
      </c>
      <c r="S3408" t="s">
        <v>9234</v>
      </c>
      <c r="T3408" t="s">
        <v>11650</v>
      </c>
      <c r="U3408" t="s">
        <v>11650</v>
      </c>
      <c r="V3408" t="s">
        <v>11650</v>
      </c>
      <c r="W3408" t="s">
        <v>15008</v>
      </c>
      <c r="X3408">
        <v>3</v>
      </c>
      <c r="Y3408" t="s">
        <v>20693</v>
      </c>
      <c r="Z3408" t="s">
        <v>26470</v>
      </c>
      <c r="AA3408">
        <v>0.62047844229071691</v>
      </c>
      <c r="AB3408" t="str">
        <f>HYPERLINK("Melting_Curves/meltCurve_Q52LJ0_2_FAM98B.pdf", "Melting_Curves/meltCurve_Q52LJ0_2_FAM98B.pdf")</f>
        <v>Melting_Curves/meltCurve_Q52LJ0_2_FAM98B.pdf</v>
      </c>
    </row>
    <row r="3409" spans="1:28" x14ac:dyDescent="0.25">
      <c r="A3409" t="s">
        <v>3413</v>
      </c>
      <c r="B3409">
        <v>0.99996721820229495</v>
      </c>
      <c r="C3409">
        <v>0.95381047678703601</v>
      </c>
      <c r="D3409">
        <v>0.89284960260047996</v>
      </c>
      <c r="E3409">
        <v>0.73001073077256695</v>
      </c>
      <c r="F3409">
        <v>0.56721792397462101</v>
      </c>
      <c r="G3409">
        <v>0.56763307736040503</v>
      </c>
      <c r="H3409">
        <v>0.39264845042113999</v>
      </c>
      <c r="I3409">
        <v>0.40480276783908098</v>
      </c>
      <c r="J3409">
        <v>0.360237107354483</v>
      </c>
      <c r="K3409">
        <v>0.24848199741607299</v>
      </c>
      <c r="L3409">
        <v>519.14762435783302</v>
      </c>
      <c r="M3409">
        <v>9.7040107670027602</v>
      </c>
      <c r="N3409">
        <v>57.256950691755101</v>
      </c>
      <c r="O3409">
        <v>51.3745975952598</v>
      </c>
      <c r="P3409">
        <v>-3.6117507421472503E-2</v>
      </c>
      <c r="Q3409">
        <v>0.23556936869229</v>
      </c>
      <c r="R3409">
        <v>0.97494140513211203</v>
      </c>
      <c r="S3409" t="s">
        <v>9235</v>
      </c>
      <c r="T3409" t="s">
        <v>11650</v>
      </c>
      <c r="U3409" t="s">
        <v>11650</v>
      </c>
      <c r="V3409" t="s">
        <v>11650</v>
      </c>
      <c r="W3409" t="s">
        <v>15009</v>
      </c>
      <c r="X3409">
        <v>13</v>
      </c>
      <c r="Y3409" t="s">
        <v>20694</v>
      </c>
      <c r="Z3409" t="s">
        <v>26471</v>
      </c>
      <c r="AA3409">
        <v>0.60475734422297911</v>
      </c>
      <c r="AB3409" t="str">
        <f>HYPERLINK("Melting_Curves/meltCurve_Q52LW3_ARHGAP29.pdf", "Melting_Curves/meltCurve_Q52LW3_ARHGAP29.pdf")</f>
        <v>Melting_Curves/meltCurve_Q52LW3_ARHGAP29.pdf</v>
      </c>
    </row>
    <row r="3410" spans="1:28" x14ac:dyDescent="0.25">
      <c r="A3410" t="s">
        <v>3414</v>
      </c>
      <c r="B3410">
        <v>0.99996721820229495</v>
      </c>
      <c r="C3410">
        <v>0.98482562742091195</v>
      </c>
      <c r="D3410">
        <v>0.95397403933712899</v>
      </c>
      <c r="E3410">
        <v>0.878468029092076</v>
      </c>
      <c r="F3410">
        <v>0.64762673979347996</v>
      </c>
      <c r="G3410">
        <v>0.45868469273215201</v>
      </c>
      <c r="H3410">
        <v>0.31194973512527702</v>
      </c>
      <c r="I3410">
        <v>0.20893597663427699</v>
      </c>
      <c r="J3410">
        <v>0.25583318080161999</v>
      </c>
      <c r="K3410">
        <v>0.13709555111971</v>
      </c>
      <c r="L3410">
        <v>842.93280246418203</v>
      </c>
      <c r="M3410">
        <v>15.3830700326134</v>
      </c>
      <c r="N3410">
        <v>56.098818845986798</v>
      </c>
      <c r="O3410">
        <v>53.895171525334803</v>
      </c>
      <c r="P3410">
        <v>-6.06450758513832E-2</v>
      </c>
      <c r="Q3410">
        <v>0.15018844858473501</v>
      </c>
      <c r="R3410">
        <v>0.99220566748612105</v>
      </c>
      <c r="S3410" t="s">
        <v>9236</v>
      </c>
      <c r="T3410" t="s">
        <v>11650</v>
      </c>
      <c r="U3410" t="s">
        <v>11650</v>
      </c>
      <c r="V3410" t="s">
        <v>11650</v>
      </c>
      <c r="W3410" t="s">
        <v>15010</v>
      </c>
      <c r="X3410">
        <v>9</v>
      </c>
      <c r="Y3410" t="s">
        <v>20695</v>
      </c>
      <c r="Z3410" t="s">
        <v>26472</v>
      </c>
      <c r="AA3410">
        <v>0.5854755259540817</v>
      </c>
      <c r="AB3410" t="str">
        <f>HYPERLINK("Melting_Curves/meltCurve_Q53EL6_2_PDCD4.pdf", "Melting_Curves/meltCurve_Q53EL6_2_PDCD4.pdf")</f>
        <v>Melting_Curves/meltCurve_Q53EL6_2_PDCD4.pdf</v>
      </c>
    </row>
    <row r="3411" spans="1:28" x14ac:dyDescent="0.25">
      <c r="A3411" t="s">
        <v>3415</v>
      </c>
      <c r="B3411">
        <v>0.99996721820229495</v>
      </c>
      <c r="C3411">
        <v>0.672312859268137</v>
      </c>
      <c r="D3411">
        <v>0.21852046775214701</v>
      </c>
      <c r="E3411">
        <v>0.16440261270613701</v>
      </c>
      <c r="F3411">
        <v>0.14756354644651901</v>
      </c>
      <c r="G3411">
        <v>0.12618462525617399</v>
      </c>
      <c r="H3411">
        <v>8.6754604745195404E-2</v>
      </c>
      <c r="I3411">
        <v>5.1854752524856301E-2</v>
      </c>
      <c r="J3411">
        <v>4.0081787234408202E-2</v>
      </c>
      <c r="K3411">
        <v>4.12213409131146E-2</v>
      </c>
      <c r="L3411">
        <v>1526.6104109354801</v>
      </c>
      <c r="M3411">
        <v>34.974882464655799</v>
      </c>
      <c r="N3411">
        <v>43.902400578390797</v>
      </c>
      <c r="O3411">
        <v>43.506811334188697</v>
      </c>
      <c r="P3411">
        <v>-0.18258994425462899</v>
      </c>
      <c r="Q3411">
        <v>9.1476319658645805E-2</v>
      </c>
      <c r="R3411">
        <v>0.98261823587936803</v>
      </c>
      <c r="S3411" t="s">
        <v>9237</v>
      </c>
      <c r="T3411" t="s">
        <v>11650</v>
      </c>
      <c r="U3411" t="s">
        <v>11650</v>
      </c>
      <c r="V3411" t="s">
        <v>11650</v>
      </c>
      <c r="W3411" t="s">
        <v>15011</v>
      </c>
      <c r="X3411">
        <v>7</v>
      </c>
      <c r="Y3411" t="s">
        <v>20696</v>
      </c>
      <c r="Z3411" t="s">
        <v>26473</v>
      </c>
      <c r="AA3411">
        <v>0.20678931777670359</v>
      </c>
      <c r="AB3411" t="str">
        <f>HYPERLINK("Melting_Curves/meltCurve_Q53EP0_FNDC3B.pdf", "Melting_Curves/meltCurve_Q53EP0_FNDC3B.pdf")</f>
        <v>Melting_Curves/meltCurve_Q53EP0_FNDC3B.pdf</v>
      </c>
    </row>
    <row r="3412" spans="1:28" x14ac:dyDescent="0.25">
      <c r="A3412" t="s">
        <v>3416</v>
      </c>
      <c r="B3412">
        <v>0.99996721820229495</v>
      </c>
      <c r="C3412">
        <v>0.84460566381328905</v>
      </c>
      <c r="D3412">
        <v>0.90025169971510099</v>
      </c>
      <c r="E3412">
        <v>1.0100794689647701</v>
      </c>
      <c r="F3412">
        <v>1.2577611196482801</v>
      </c>
      <c r="G3412">
        <v>1.3150463554755101</v>
      </c>
      <c r="H3412">
        <v>0.98452714449677303</v>
      </c>
      <c r="I3412">
        <v>0.72422270951047596</v>
      </c>
      <c r="J3412">
        <v>0.43980593359685</v>
      </c>
      <c r="K3412">
        <v>0.47005621731758801</v>
      </c>
      <c r="L3412">
        <v>15000</v>
      </c>
      <c r="M3412">
        <v>234.39879050760999</v>
      </c>
      <c r="N3412">
        <v>64.657254868879306</v>
      </c>
      <c r="O3412">
        <v>63.988821668750603</v>
      </c>
      <c r="P3412">
        <v>-0.49916926555369401</v>
      </c>
      <c r="Q3412">
        <v>0.45492440205102702</v>
      </c>
      <c r="R3412">
        <v>0.73600224150760796</v>
      </c>
      <c r="S3412" t="s">
        <v>9238</v>
      </c>
      <c r="T3412" t="s">
        <v>11650</v>
      </c>
      <c r="U3412" t="s">
        <v>11650</v>
      </c>
      <c r="V3412" t="s">
        <v>11650</v>
      </c>
      <c r="W3412" t="s">
        <v>15012</v>
      </c>
      <c r="X3412">
        <v>1</v>
      </c>
      <c r="Y3412" t="s">
        <v>20697</v>
      </c>
      <c r="Z3412" t="s">
        <v>26474</v>
      </c>
      <c r="AA3412">
        <v>0.89093649651224893</v>
      </c>
      <c r="AB3412" t="str">
        <f>HYPERLINK("Melting_Curves/meltCurve_Q53F39_MPPE1.pdf", "Melting_Curves/meltCurve_Q53F39_MPPE1.pdf")</f>
        <v>Melting_Curves/meltCurve_Q53F39_MPPE1.pdf</v>
      </c>
    </row>
    <row r="3413" spans="1:28" x14ac:dyDescent="0.25">
      <c r="A3413" t="s">
        <v>3417</v>
      </c>
      <c r="B3413">
        <v>0.99996721820229495</v>
      </c>
      <c r="C3413">
        <v>0.98460202724879098</v>
      </c>
      <c r="D3413">
        <v>1.0125910244048999</v>
      </c>
      <c r="E3413">
        <v>1.0315884975807199</v>
      </c>
      <c r="F3413">
        <v>1.21534590963741</v>
      </c>
      <c r="G3413">
        <v>1.3926769243486901</v>
      </c>
      <c r="H3413">
        <v>1.0889124101107499</v>
      </c>
      <c r="I3413">
        <v>0.78063599351760404</v>
      </c>
      <c r="J3413">
        <v>0.42133164118548699</v>
      </c>
      <c r="K3413">
        <v>0.28604077903144498</v>
      </c>
      <c r="L3413">
        <v>3816.3659662272398</v>
      </c>
      <c r="M3413">
        <v>58.661654188391402</v>
      </c>
      <c r="N3413">
        <v>66.030944967316898</v>
      </c>
      <c r="O3413">
        <v>64.981775486164594</v>
      </c>
      <c r="P3413">
        <v>-0.16035385682289699</v>
      </c>
      <c r="Q3413">
        <v>0.28947972693440099</v>
      </c>
      <c r="R3413">
        <v>0.79439424167092998</v>
      </c>
      <c r="S3413" t="s">
        <v>9239</v>
      </c>
      <c r="T3413" t="s">
        <v>11650</v>
      </c>
      <c r="U3413" t="s">
        <v>11650</v>
      </c>
      <c r="V3413" t="s">
        <v>11650</v>
      </c>
      <c r="W3413" t="s">
        <v>15013</v>
      </c>
      <c r="X3413">
        <v>14</v>
      </c>
      <c r="Y3413" t="s">
        <v>20698</v>
      </c>
      <c r="Z3413" t="s">
        <v>26475</v>
      </c>
      <c r="AA3413">
        <v>0.88391685036038059</v>
      </c>
      <c r="AB3413" t="str">
        <f>HYPERLINK("Melting_Curves/meltCurve_Q53FA7_TP53I3.pdf", "Melting_Curves/meltCurve_Q53FA7_TP53I3.pdf")</f>
        <v>Melting_Curves/meltCurve_Q53FA7_TP53I3.pdf</v>
      </c>
    </row>
    <row r="3414" spans="1:28" x14ac:dyDescent="0.25">
      <c r="A3414" t="s">
        <v>3418</v>
      </c>
      <c r="B3414">
        <v>0.99996721820229495</v>
      </c>
      <c r="C3414">
        <v>0.83886853885041901</v>
      </c>
      <c r="D3414">
        <v>0.85091644462022198</v>
      </c>
      <c r="E3414">
        <v>0.88546969030249301</v>
      </c>
      <c r="F3414">
        <v>0.82599742607634696</v>
      </c>
      <c r="G3414">
        <v>0.70416492633369598</v>
      </c>
      <c r="H3414">
        <v>0.51311580353144903</v>
      </c>
      <c r="I3414">
        <v>0.82920840721754296</v>
      </c>
      <c r="J3414">
        <v>0.57087097490167704</v>
      </c>
      <c r="K3414">
        <v>0.48548062706568101</v>
      </c>
      <c r="L3414">
        <v>249.16189582270101</v>
      </c>
      <c r="M3414">
        <v>3.3884077601993101</v>
      </c>
      <c r="O3414">
        <v>56.943115196950899</v>
      </c>
      <c r="P3414">
        <v>-1.5197070996352299E-2</v>
      </c>
      <c r="Q3414">
        <v>0</v>
      </c>
      <c r="R3414">
        <v>0.68727548455994503</v>
      </c>
      <c r="S3414" t="s">
        <v>9240</v>
      </c>
      <c r="T3414" t="s">
        <v>11650</v>
      </c>
      <c r="U3414" t="s">
        <v>11650</v>
      </c>
      <c r="V3414" t="s">
        <v>11650</v>
      </c>
      <c r="W3414" t="s">
        <v>15014</v>
      </c>
      <c r="X3414">
        <v>7</v>
      </c>
      <c r="Y3414" t="s">
        <v>20699</v>
      </c>
      <c r="Z3414" t="s">
        <v>26476</v>
      </c>
      <c r="AA3414">
        <v>0.75369297849956707</v>
      </c>
      <c r="AB3414" t="str">
        <f>HYPERLINK("Melting_Curves/meltCurve_Q53FP2_TMEM35.pdf", "Melting_Curves/meltCurve_Q53FP2_TMEM35.pdf")</f>
        <v>Melting_Curves/meltCurve_Q53FP2_TMEM35.pdf</v>
      </c>
    </row>
    <row r="3415" spans="1:28" x14ac:dyDescent="0.25">
      <c r="A3415" t="s">
        <v>3419</v>
      </c>
      <c r="B3415">
        <v>0.99996721820229495</v>
      </c>
      <c r="C3415">
        <v>0.94973523323482301</v>
      </c>
      <c r="D3415">
        <v>0.84691311918995804</v>
      </c>
      <c r="E3415">
        <v>0.69287548059103998</v>
      </c>
      <c r="F3415">
        <v>0.82207915270417797</v>
      </c>
      <c r="G3415">
        <v>0.37827818561854298</v>
      </c>
      <c r="H3415">
        <v>0.13008198861713799</v>
      </c>
      <c r="I3415">
        <v>6.35464338171398E-2</v>
      </c>
      <c r="J3415">
        <v>4.8374565809101801E-2</v>
      </c>
      <c r="K3415">
        <v>3.6759252150551001E-2</v>
      </c>
      <c r="L3415">
        <v>854.78173733868402</v>
      </c>
      <c r="M3415">
        <v>15.489096866238</v>
      </c>
      <c r="N3415">
        <v>55.186026021844</v>
      </c>
      <c r="O3415">
        <v>54.290700036476501</v>
      </c>
      <c r="P3415">
        <v>-7.1331169879561798E-2</v>
      </c>
      <c r="Q3415">
        <v>0</v>
      </c>
      <c r="R3415">
        <v>0.95501566589892695</v>
      </c>
      <c r="S3415" t="s">
        <v>9241</v>
      </c>
      <c r="T3415" t="s">
        <v>11650</v>
      </c>
      <c r="U3415" t="s">
        <v>11650</v>
      </c>
      <c r="V3415" t="s">
        <v>11650</v>
      </c>
      <c r="W3415" t="s">
        <v>15015</v>
      </c>
      <c r="X3415">
        <v>2</v>
      </c>
      <c r="Y3415" t="s">
        <v>20700</v>
      </c>
      <c r="Z3415" t="s">
        <v>26477</v>
      </c>
      <c r="AA3415">
        <v>0.52459014470116627</v>
      </c>
      <c r="AB3415" t="str">
        <f>HYPERLINK("Melting_Curves/meltCurve_Q53FT3_C11orf73.pdf", "Melting_Curves/meltCurve_Q53FT3_C11orf73.pdf")</f>
        <v>Melting_Curves/meltCurve_Q53FT3_C11orf73.pdf</v>
      </c>
    </row>
    <row r="3416" spans="1:28" x14ac:dyDescent="0.25">
      <c r="A3416" t="s">
        <v>3420</v>
      </c>
      <c r="B3416">
        <v>0.99996721820229495</v>
      </c>
      <c r="C3416">
        <v>0.92536329694603603</v>
      </c>
      <c r="D3416">
        <v>0.56923992230690001</v>
      </c>
      <c r="E3416">
        <v>0.44582888095918899</v>
      </c>
      <c r="F3416">
        <v>0.40897873729407402</v>
      </c>
      <c r="G3416">
        <v>0.32655793001411998</v>
      </c>
      <c r="H3416">
        <v>0.22482324644172</v>
      </c>
      <c r="I3416">
        <v>0.40694791982838902</v>
      </c>
      <c r="J3416">
        <v>0.114789183001085</v>
      </c>
      <c r="K3416">
        <v>0.13782068349330201</v>
      </c>
      <c r="L3416">
        <v>662.47062248907696</v>
      </c>
      <c r="M3416">
        <v>14.050812092506</v>
      </c>
      <c r="N3416">
        <v>49.140222915586797</v>
      </c>
      <c r="O3416">
        <v>46.224000650091597</v>
      </c>
      <c r="P3416">
        <v>-5.9501273368129798E-2</v>
      </c>
      <c r="Q3416">
        <v>0.217119118166717</v>
      </c>
      <c r="R3416">
        <v>0.905886476568314</v>
      </c>
      <c r="S3416" t="s">
        <v>9242</v>
      </c>
      <c r="T3416" t="s">
        <v>11650</v>
      </c>
      <c r="U3416" t="s">
        <v>11650</v>
      </c>
      <c r="V3416" t="s">
        <v>11650</v>
      </c>
      <c r="W3416" t="s">
        <v>15016</v>
      </c>
      <c r="X3416">
        <v>2</v>
      </c>
      <c r="Y3416" t="s">
        <v>20701</v>
      </c>
      <c r="Z3416" t="s">
        <v>26478</v>
      </c>
      <c r="AA3416">
        <v>0.42771244759625782</v>
      </c>
      <c r="AB3416" t="str">
        <f>HYPERLINK("Melting_Curves/meltCurve_Q53GA4_PHLDA2.pdf", "Melting_Curves/meltCurve_Q53GA4_PHLDA2.pdf")</f>
        <v>Melting_Curves/meltCurve_Q53GA4_PHLDA2.pdf</v>
      </c>
    </row>
    <row r="3417" spans="1:28" x14ac:dyDescent="0.25">
      <c r="A3417" t="s">
        <v>3421</v>
      </c>
      <c r="B3417">
        <v>0.99996721820229495</v>
      </c>
      <c r="C3417">
        <v>1.0581913598297199</v>
      </c>
      <c r="D3417">
        <v>1.05696878662654</v>
      </c>
      <c r="E3417">
        <v>0.94398362473090303</v>
      </c>
      <c r="F3417">
        <v>1.3226195649064101</v>
      </c>
      <c r="G3417">
        <v>1.0623581824655901</v>
      </c>
      <c r="H3417">
        <v>0.64324097486258003</v>
      </c>
      <c r="I3417">
        <v>0.418269556268274</v>
      </c>
      <c r="J3417">
        <v>0.32356156015488302</v>
      </c>
      <c r="K3417">
        <v>0.21793293031886399</v>
      </c>
      <c r="L3417">
        <v>2604.9651516464901</v>
      </c>
      <c r="M3417">
        <v>42.447927445210397</v>
      </c>
      <c r="N3417">
        <v>62.507128516361703</v>
      </c>
      <c r="O3417">
        <v>61.232762555564101</v>
      </c>
      <c r="P3417">
        <v>-0.126644690642956</v>
      </c>
      <c r="Q3417">
        <v>0.26924200752158001</v>
      </c>
      <c r="R3417">
        <v>0.89794201364596005</v>
      </c>
      <c r="S3417" t="s">
        <v>9243</v>
      </c>
      <c r="T3417" t="s">
        <v>11650</v>
      </c>
      <c r="U3417" t="s">
        <v>11650</v>
      </c>
      <c r="V3417" t="s">
        <v>11650</v>
      </c>
      <c r="W3417" t="s">
        <v>15017</v>
      </c>
      <c r="X3417">
        <v>3</v>
      </c>
      <c r="Y3417" t="s">
        <v>20702</v>
      </c>
      <c r="Z3417" t="s">
        <v>26479</v>
      </c>
      <c r="AA3417">
        <v>0.79224121681731829</v>
      </c>
      <c r="AB3417" t="str">
        <f>HYPERLINK("Melting_Curves/meltCurve_Q53GG5_2_PDLIM3.pdf", "Melting_Curves/meltCurve_Q53GG5_2_PDLIM3.pdf")</f>
        <v>Melting_Curves/meltCurve_Q53GG5_2_PDLIM3.pdf</v>
      </c>
    </row>
    <row r="3418" spans="1:28" x14ac:dyDescent="0.25">
      <c r="A3418" t="s">
        <v>3422</v>
      </c>
      <c r="B3418">
        <v>0.99996721820229495</v>
      </c>
      <c r="C3418">
        <v>1.1417065596785201</v>
      </c>
      <c r="D3418">
        <v>1.0632713655356101</v>
      </c>
      <c r="E3418">
        <v>0.84159753445872498</v>
      </c>
      <c r="F3418">
        <v>0.57610266745169603</v>
      </c>
      <c r="G3418">
        <v>0.33654856092511898</v>
      </c>
      <c r="H3418">
        <v>0.157910005417537</v>
      </c>
      <c r="I3418">
        <v>9.72318972485295E-2</v>
      </c>
      <c r="J3418">
        <v>7.1417664018209703E-2</v>
      </c>
      <c r="K3418">
        <v>5.5063511176639303E-2</v>
      </c>
      <c r="L3418">
        <v>1093.9349459498901</v>
      </c>
      <c r="M3418">
        <v>20.259489770601402</v>
      </c>
      <c r="N3418">
        <v>54.345099341526698</v>
      </c>
      <c r="O3418">
        <v>53.478346511701297</v>
      </c>
      <c r="P3418">
        <v>-8.8935783002382598E-2</v>
      </c>
      <c r="Q3418">
        <v>6.0984940184245003E-2</v>
      </c>
      <c r="R3418">
        <v>0.98132507734960195</v>
      </c>
      <c r="S3418" t="s">
        <v>9244</v>
      </c>
      <c r="T3418" t="s">
        <v>11650</v>
      </c>
      <c r="U3418" t="s">
        <v>11650</v>
      </c>
      <c r="V3418" t="s">
        <v>11650</v>
      </c>
      <c r="W3418" t="s">
        <v>15018</v>
      </c>
      <c r="X3418">
        <v>9</v>
      </c>
      <c r="Y3418" t="s">
        <v>20703</v>
      </c>
      <c r="Z3418" t="s">
        <v>26480</v>
      </c>
      <c r="AA3418">
        <v>0.51157206713200065</v>
      </c>
      <c r="AB3418" t="str">
        <f>HYPERLINK("Melting_Curves/meltCurve_Q53GQ0_HSD17B12.pdf", "Melting_Curves/meltCurve_Q53GQ0_HSD17B12.pdf")</f>
        <v>Melting_Curves/meltCurve_Q53GQ0_HSD17B12.pdf</v>
      </c>
    </row>
    <row r="3419" spans="1:28" x14ac:dyDescent="0.25">
      <c r="A3419" t="s">
        <v>3423</v>
      </c>
      <c r="B3419">
        <v>0.99996721820229495</v>
      </c>
      <c r="C3419">
        <v>1.1275116784068699</v>
      </c>
      <c r="D3419">
        <v>0.98135874867791295</v>
      </c>
      <c r="E3419">
        <v>0.89015249989499101</v>
      </c>
      <c r="F3419">
        <v>0.90906213224713805</v>
      </c>
      <c r="G3419">
        <v>0.91789067812878999</v>
      </c>
      <c r="H3419">
        <v>0.65601451648403697</v>
      </c>
      <c r="I3419">
        <v>0.417933797261554</v>
      </c>
      <c r="J3419">
        <v>0.22753567745258499</v>
      </c>
      <c r="K3419">
        <v>0.116943380536925</v>
      </c>
      <c r="L3419">
        <v>1241.4774015604901</v>
      </c>
      <c r="M3419">
        <v>19.722251897831701</v>
      </c>
      <c r="N3419">
        <v>62.948062596290598</v>
      </c>
      <c r="O3419">
        <v>62.311576147283503</v>
      </c>
      <c r="P3419">
        <v>-7.9130251288534403E-2</v>
      </c>
      <c r="Q3419">
        <v>0</v>
      </c>
      <c r="R3419">
        <v>0.97058679697854</v>
      </c>
      <c r="S3419" t="s">
        <v>9245</v>
      </c>
      <c r="T3419" t="s">
        <v>11650</v>
      </c>
      <c r="U3419" t="s">
        <v>11650</v>
      </c>
      <c r="V3419" t="s">
        <v>11650</v>
      </c>
      <c r="W3419" t="s">
        <v>15019</v>
      </c>
      <c r="X3419">
        <v>12</v>
      </c>
      <c r="Y3419" t="s">
        <v>20704</v>
      </c>
      <c r="Z3419" t="s">
        <v>26481</v>
      </c>
      <c r="AA3419">
        <v>0.76404831804857265</v>
      </c>
      <c r="AB3419" t="str">
        <f>HYPERLINK("Melting_Curves/meltCurve_Q53H82_LACTB2.pdf", "Melting_Curves/meltCurve_Q53H82_LACTB2.pdf")</f>
        <v>Melting_Curves/meltCurve_Q53H82_LACTB2.pdf</v>
      </c>
    </row>
    <row r="3420" spans="1:28" x14ac:dyDescent="0.25">
      <c r="A3420" t="s">
        <v>3424</v>
      </c>
      <c r="B3420">
        <v>0.99996721820229495</v>
      </c>
      <c r="C3420">
        <v>0.993604123317823</v>
      </c>
      <c r="D3420">
        <v>0.90920148236126397</v>
      </c>
      <c r="E3420">
        <v>0.80371206158291097</v>
      </c>
      <c r="F3420">
        <v>0.91662631239450498</v>
      </c>
      <c r="G3420">
        <v>0.90681825515727998</v>
      </c>
      <c r="H3420">
        <v>0.54816427358575004</v>
      </c>
      <c r="I3420">
        <v>0.22129765469451301</v>
      </c>
      <c r="J3420">
        <v>8.1676264687782996E-2</v>
      </c>
      <c r="K3420">
        <v>0.142403894081267</v>
      </c>
      <c r="L3420">
        <v>2081.1345974003698</v>
      </c>
      <c r="M3420">
        <v>34.174402904619498</v>
      </c>
      <c r="N3420">
        <v>61.238991228311697</v>
      </c>
      <c r="O3420">
        <v>60.6900791265465</v>
      </c>
      <c r="P3420">
        <v>-0.12856013633789701</v>
      </c>
      <c r="Q3420">
        <v>8.6767432408793699E-2</v>
      </c>
      <c r="R3420">
        <v>0.95395710688786395</v>
      </c>
      <c r="S3420" t="s">
        <v>9246</v>
      </c>
      <c r="T3420" t="s">
        <v>11650</v>
      </c>
      <c r="U3420" t="s">
        <v>11650</v>
      </c>
      <c r="V3420" t="s">
        <v>11650</v>
      </c>
      <c r="W3420" t="s">
        <v>15020</v>
      </c>
      <c r="X3420">
        <v>1</v>
      </c>
      <c r="Y3420" t="s">
        <v>20705</v>
      </c>
      <c r="Z3420" t="s">
        <v>26482</v>
      </c>
      <c r="AA3420">
        <v>0.72729417441440292</v>
      </c>
      <c r="AB3420" t="str">
        <f>HYPERLINK("Melting_Curves/meltCurve_Q53HV7_SMUG1.pdf", "Melting_Curves/meltCurve_Q53HV7_SMUG1.pdf")</f>
        <v>Melting_Curves/meltCurve_Q53HV7_SMUG1.pdf</v>
      </c>
    </row>
    <row r="3421" spans="1:28" x14ac:dyDescent="0.25">
      <c r="A3421" t="s">
        <v>3425</v>
      </c>
      <c r="B3421">
        <v>0.99996721820229495</v>
      </c>
      <c r="C3421">
        <v>1.04311659843462</v>
      </c>
      <c r="D3421">
        <v>1.0390444430669801</v>
      </c>
      <c r="E3421">
        <v>1.0211286095332901</v>
      </c>
      <c r="F3421">
        <v>1.2855460819903599</v>
      </c>
      <c r="G3421">
        <v>1.4109660123521199</v>
      </c>
      <c r="H3421">
        <v>0.965145998944406</v>
      </c>
      <c r="I3421">
        <v>0.88362090379307001</v>
      </c>
      <c r="J3421">
        <v>0.83900820526272601</v>
      </c>
      <c r="K3421">
        <v>0.52607499935386304</v>
      </c>
      <c r="L3421">
        <v>2026.8352156404001</v>
      </c>
      <c r="M3421">
        <v>28.818508870670399</v>
      </c>
      <c r="O3421">
        <v>69.994980044204397</v>
      </c>
      <c r="P3421">
        <v>-0.10293141521237301</v>
      </c>
      <c r="Q3421">
        <v>0</v>
      </c>
      <c r="R3421">
        <v>0.49823703915210399</v>
      </c>
      <c r="S3421" t="s">
        <v>9247</v>
      </c>
      <c r="T3421" t="s">
        <v>11650</v>
      </c>
      <c r="U3421" t="s">
        <v>11650</v>
      </c>
      <c r="V3421" t="s">
        <v>11650</v>
      </c>
      <c r="W3421" t="s">
        <v>15021</v>
      </c>
      <c r="X3421">
        <v>7</v>
      </c>
      <c r="Y3421" t="s">
        <v>20706</v>
      </c>
      <c r="Z3421" t="s">
        <v>26483</v>
      </c>
      <c r="AA3421">
        <v>0.95312178610213039</v>
      </c>
      <c r="AB3421" t="str">
        <f>HYPERLINK("Melting_Curves/meltCurve_Q53QV2_LBH.pdf", "Melting_Curves/meltCurve_Q53QV2_LBH.pdf")</f>
        <v>Melting_Curves/meltCurve_Q53QV2_LBH.pdf</v>
      </c>
    </row>
    <row r="3422" spans="1:28" x14ac:dyDescent="0.25">
      <c r="A3422" t="s">
        <v>3426</v>
      </c>
      <c r="B3422">
        <v>0.99996721820229495</v>
      </c>
      <c r="C3422">
        <v>0.97897374878330801</v>
      </c>
      <c r="D3422">
        <v>0.89245594716883303</v>
      </c>
      <c r="E3422">
        <v>0.84128637335464795</v>
      </c>
      <c r="F3422">
        <v>0.88049942090113498</v>
      </c>
      <c r="G3422">
        <v>0.70697045778992895</v>
      </c>
      <c r="H3422">
        <v>0.41996101086458498</v>
      </c>
      <c r="I3422">
        <v>0.36161206918848898</v>
      </c>
      <c r="J3422">
        <v>0.26442261084121998</v>
      </c>
      <c r="K3422">
        <v>0.21303256508804799</v>
      </c>
      <c r="L3422">
        <v>631.96991745816604</v>
      </c>
      <c r="M3422">
        <v>10.4386430956959</v>
      </c>
      <c r="N3422">
        <v>60.541393228969099</v>
      </c>
      <c r="O3422">
        <v>58.446034663680003</v>
      </c>
      <c r="P3422">
        <v>-4.4669202199289902E-2</v>
      </c>
      <c r="Q3422">
        <v>0</v>
      </c>
      <c r="R3422">
        <v>0.97731315509783401</v>
      </c>
      <c r="S3422" t="s">
        <v>9248</v>
      </c>
      <c r="T3422" t="s">
        <v>11650</v>
      </c>
      <c r="U3422" t="s">
        <v>11650</v>
      </c>
      <c r="V3422" t="s">
        <v>11650</v>
      </c>
      <c r="W3422" t="s">
        <v>15022</v>
      </c>
      <c r="X3422">
        <v>5</v>
      </c>
      <c r="Y3422" t="s">
        <v>20707</v>
      </c>
      <c r="Z3422" t="s">
        <v>26484</v>
      </c>
      <c r="AA3422">
        <v>0.67836679878038997</v>
      </c>
      <c r="AB3422" t="str">
        <f>HYPERLINK("Melting_Curves/meltCurve_Q53S33_BOLA3.pdf", "Melting_Curves/meltCurve_Q53S33_BOLA3.pdf")</f>
        <v>Melting_Curves/meltCurve_Q53S33_BOLA3.pdf</v>
      </c>
    </row>
    <row r="3423" spans="1:28" x14ac:dyDescent="0.25">
      <c r="A3423" t="s">
        <v>3427</v>
      </c>
      <c r="B3423">
        <v>0.99996721820229495</v>
      </c>
      <c r="C3423">
        <v>1.00701311592665</v>
      </c>
      <c r="D3423">
        <v>0.90751251766765595</v>
      </c>
      <c r="E3423">
        <v>0.596404200970161</v>
      </c>
      <c r="F3423">
        <v>0.35051418565602099</v>
      </c>
      <c r="G3423">
        <v>0.28487717160063097</v>
      </c>
      <c r="H3423">
        <v>0.159795115742422</v>
      </c>
      <c r="I3423">
        <v>9.5918127652515603E-2</v>
      </c>
      <c r="J3423">
        <v>6.3878571564322001E-2</v>
      </c>
      <c r="K3423">
        <v>5.5066652578786103E-2</v>
      </c>
      <c r="L3423">
        <v>861.57223092305401</v>
      </c>
      <c r="M3423">
        <v>16.878166702253299</v>
      </c>
      <c r="N3423">
        <v>51.533071133839002</v>
      </c>
      <c r="O3423">
        <v>50.346127480576399</v>
      </c>
      <c r="P3423">
        <v>-7.7643029058256693E-2</v>
      </c>
      <c r="Q3423">
        <v>7.3648902379359102E-2</v>
      </c>
      <c r="R3423">
        <v>0.99007116194072997</v>
      </c>
      <c r="S3423" t="s">
        <v>9249</v>
      </c>
      <c r="T3423" t="s">
        <v>11650</v>
      </c>
      <c r="U3423" t="s">
        <v>11650</v>
      </c>
      <c r="V3423" t="s">
        <v>11650</v>
      </c>
      <c r="W3423" t="s">
        <v>15023</v>
      </c>
      <c r="X3423">
        <v>16</v>
      </c>
      <c r="Y3423" t="s">
        <v>20708</v>
      </c>
      <c r="Z3423" t="s">
        <v>26485</v>
      </c>
      <c r="AA3423">
        <v>0.43223604166523422</v>
      </c>
      <c r="AB3423" t="str">
        <f>HYPERLINK("Melting_Curves/meltCurve_Q53T59_HS1BP3.pdf", "Melting_Curves/meltCurve_Q53T59_HS1BP3.pdf")</f>
        <v>Melting_Curves/meltCurve_Q53T59_HS1BP3.pdf</v>
      </c>
    </row>
    <row r="3424" spans="1:28" x14ac:dyDescent="0.25">
      <c r="A3424" t="s">
        <v>3428</v>
      </c>
      <c r="B3424">
        <v>0.99996721820229495</v>
      </c>
      <c r="C3424">
        <v>0.90567125410259897</v>
      </c>
      <c r="D3424">
        <v>1.0341173667085499</v>
      </c>
      <c r="E3424">
        <v>1.3731247618597</v>
      </c>
      <c r="F3424">
        <v>2.6898236163103002</v>
      </c>
      <c r="G3424">
        <v>2.7797317258400001</v>
      </c>
      <c r="H3424">
        <v>2.3513086617218502</v>
      </c>
      <c r="I3424">
        <v>1.1814403214762601</v>
      </c>
      <c r="J3424">
        <v>0.85804669666814803</v>
      </c>
      <c r="K3424">
        <v>0.90145282548353201</v>
      </c>
      <c r="L3424">
        <v>12446.063760434099</v>
      </c>
      <c r="M3424">
        <v>250</v>
      </c>
      <c r="O3424">
        <v>49.781069136356301</v>
      </c>
      <c r="P3424">
        <v>0.62774867136479195</v>
      </c>
      <c r="Q3424">
        <v>1.5</v>
      </c>
      <c r="R3424">
        <v>0.150530844332119</v>
      </c>
      <c r="S3424" t="s">
        <v>9250</v>
      </c>
      <c r="T3424" t="s">
        <v>11650</v>
      </c>
      <c r="U3424" t="s">
        <v>11650</v>
      </c>
      <c r="V3424" t="s">
        <v>11650</v>
      </c>
      <c r="W3424" t="s">
        <v>15024</v>
      </c>
      <c r="X3424">
        <v>3</v>
      </c>
      <c r="Y3424" t="s">
        <v>20709</v>
      </c>
      <c r="Z3424" t="s">
        <v>26486</v>
      </c>
      <c r="AA3424">
        <v>1.3368853973413339</v>
      </c>
      <c r="AB3424" t="str">
        <f>HYPERLINK("Melting_Curves/meltCurve_Q53TN4_3_CYBRD1.pdf", "Melting_Curves/meltCurve_Q53TN4_3_CYBRD1.pdf")</f>
        <v>Melting_Curves/meltCurve_Q53TN4_3_CYBRD1.pdf</v>
      </c>
    </row>
    <row r="3425" spans="1:28" x14ac:dyDescent="0.25">
      <c r="A3425" t="s">
        <v>3429</v>
      </c>
      <c r="B3425">
        <v>0.99996721820229495</v>
      </c>
      <c r="C3425">
        <v>1.17130780347055</v>
      </c>
      <c r="D3425">
        <v>0.89873820666922599</v>
      </c>
      <c r="E3425">
        <v>0.63970722818933601</v>
      </c>
      <c r="F3425">
        <v>0.56826987226152503</v>
      </c>
      <c r="G3425">
        <v>0.58740231722439695</v>
      </c>
      <c r="H3425">
        <v>0.469103639514793</v>
      </c>
      <c r="I3425">
        <v>0.36133724489101499</v>
      </c>
      <c r="J3425">
        <v>0.20505062658843301</v>
      </c>
      <c r="K3425">
        <v>0.26599524524431001</v>
      </c>
      <c r="L3425">
        <v>564.43791820736499</v>
      </c>
      <c r="M3425">
        <v>10.450408288530801</v>
      </c>
      <c r="N3425">
        <v>56.8822947173025</v>
      </c>
      <c r="O3425">
        <v>52.145718380013697</v>
      </c>
      <c r="P3425">
        <v>-3.9849417890798502E-2</v>
      </c>
      <c r="Q3425">
        <v>0.204960016921615</v>
      </c>
      <c r="R3425">
        <v>0.89836810652105603</v>
      </c>
      <c r="S3425" t="s">
        <v>9251</v>
      </c>
      <c r="T3425" t="s">
        <v>11650</v>
      </c>
      <c r="U3425" t="s">
        <v>11650</v>
      </c>
      <c r="V3425" t="s">
        <v>11650</v>
      </c>
      <c r="W3425" t="s">
        <v>15025</v>
      </c>
      <c r="X3425">
        <v>1</v>
      </c>
      <c r="Y3425" t="s">
        <v>20710</v>
      </c>
      <c r="Z3425" t="s">
        <v>26487</v>
      </c>
      <c r="AA3425">
        <v>0.59952318780849656</v>
      </c>
      <c r="AB3425" t="str">
        <f>HYPERLINK("Melting_Curves/meltCurve_Q53TS8_4_ALS2CR11.pdf", "Melting_Curves/meltCurve_Q53TS8_4_ALS2CR11.pdf")</f>
        <v>Melting_Curves/meltCurve_Q53TS8_4_ALS2CR11.pdf</v>
      </c>
    </row>
    <row r="3426" spans="1:28" x14ac:dyDescent="0.25">
      <c r="A3426" t="s">
        <v>3430</v>
      </c>
      <c r="B3426">
        <v>0.99996721820229495</v>
      </c>
      <c r="C3426">
        <v>0.95096469306804399</v>
      </c>
      <c r="D3426">
        <v>1.0392394916057299</v>
      </c>
      <c r="E3426">
        <v>1.07638526370327</v>
      </c>
      <c r="F3426">
        <v>2.2531085033759699</v>
      </c>
      <c r="G3426">
        <v>3.4254067255375502</v>
      </c>
      <c r="H3426">
        <v>3.5999413206095201</v>
      </c>
      <c r="I3426">
        <v>1.4926934599094599</v>
      </c>
      <c r="J3426">
        <v>0.39796100670985302</v>
      </c>
      <c r="K3426">
        <v>0.434947210235405</v>
      </c>
      <c r="L3426">
        <v>15000</v>
      </c>
      <c r="M3426">
        <v>227.631037846194</v>
      </c>
      <c r="N3426">
        <v>66.397167382453404</v>
      </c>
      <c r="O3426">
        <v>65.891023876604294</v>
      </c>
      <c r="P3426">
        <v>-0.50933036960187195</v>
      </c>
      <c r="Q3426">
        <v>0.41026847806900901</v>
      </c>
      <c r="R3426">
        <v>-0.21253546793004299</v>
      </c>
      <c r="S3426" t="s">
        <v>9252</v>
      </c>
      <c r="T3426" t="s">
        <v>11650</v>
      </c>
      <c r="U3426" t="s">
        <v>11650</v>
      </c>
      <c r="V3426" t="s">
        <v>11650</v>
      </c>
      <c r="W3426" t="s">
        <v>13603</v>
      </c>
      <c r="X3426">
        <v>15</v>
      </c>
      <c r="Y3426" t="s">
        <v>20711</v>
      </c>
      <c r="Z3426" t="s">
        <v>26488</v>
      </c>
      <c r="AA3426">
        <v>0.91940915434150894</v>
      </c>
      <c r="AB3426" t="str">
        <f>HYPERLINK("Melting_Curves/meltCurve_Q53XA7_DKFZp686F13224.pdf", "Melting_Curves/meltCurve_Q53XA7_DKFZp686F13224.pdf")</f>
        <v>Melting_Curves/meltCurve_Q53XA7_DKFZp686F13224.pdf</v>
      </c>
    </row>
    <row r="3427" spans="1:28" x14ac:dyDescent="0.25">
      <c r="A3427" t="s">
        <v>3431</v>
      </c>
      <c r="B3427">
        <v>0.99996721820229495</v>
      </c>
      <c r="C3427">
        <v>0.99374972857640198</v>
      </c>
      <c r="D3427">
        <v>0.88809838894219695</v>
      </c>
      <c r="E3427">
        <v>0.92030113352909004</v>
      </c>
      <c r="F3427">
        <v>1.1409232306624699</v>
      </c>
      <c r="G3427">
        <v>0.98622517142228106</v>
      </c>
      <c r="H3427">
        <v>0.56425331955877001</v>
      </c>
      <c r="I3427">
        <v>0.47708565171536799</v>
      </c>
      <c r="J3427">
        <v>0.40825868581084701</v>
      </c>
      <c r="K3427">
        <v>0.2283257851537</v>
      </c>
      <c r="L3427">
        <v>2112.3478593561299</v>
      </c>
      <c r="M3427">
        <v>34.832397434273503</v>
      </c>
      <c r="N3427">
        <v>62.445358158434303</v>
      </c>
      <c r="O3427">
        <v>60.444361814588497</v>
      </c>
      <c r="P3427">
        <v>-9.8395235844856196E-2</v>
      </c>
      <c r="Q3427">
        <v>0.31702485314452</v>
      </c>
      <c r="R3427">
        <v>0.92672702115588901</v>
      </c>
      <c r="S3427" t="s">
        <v>9253</v>
      </c>
      <c r="T3427" t="s">
        <v>11650</v>
      </c>
      <c r="U3427" t="s">
        <v>11650</v>
      </c>
      <c r="V3427" t="s">
        <v>11650</v>
      </c>
      <c r="W3427" t="s">
        <v>15026</v>
      </c>
      <c r="X3427">
        <v>13</v>
      </c>
      <c r="Y3427" t="s">
        <v>20712</v>
      </c>
      <c r="Z3427" t="s">
        <v>26489</v>
      </c>
      <c r="AA3427">
        <v>0.79023519011212806</v>
      </c>
      <c r="AB3427" t="str">
        <f>HYPERLINK("Melting_Curves/meltCurve_Q562R1_ACTBL2.pdf", "Melting_Curves/meltCurve_Q562R1_ACTBL2.pdf")</f>
        <v>Melting_Curves/meltCurve_Q562R1_ACTBL2.pdf</v>
      </c>
    </row>
    <row r="3428" spans="1:28" x14ac:dyDescent="0.25">
      <c r="A3428" t="s">
        <v>3432</v>
      </c>
      <c r="B3428">
        <v>0.99996721820229495</v>
      </c>
      <c r="C3428">
        <v>0.70100996863373199</v>
      </c>
      <c r="D3428">
        <v>0.60213887533439003</v>
      </c>
      <c r="E3428">
        <v>1.18728870080493</v>
      </c>
      <c r="F3428">
        <v>0.49824510069573502</v>
      </c>
      <c r="G3428">
        <v>0.310200374294197</v>
      </c>
      <c r="H3428">
        <v>0.248092420081203</v>
      </c>
      <c r="I3428">
        <v>0.18819740854002801</v>
      </c>
      <c r="J3428">
        <v>0.154879996288734</v>
      </c>
      <c r="K3428">
        <v>0.26751099148542601</v>
      </c>
      <c r="L3428">
        <v>501.72540575936898</v>
      </c>
      <c r="M3428">
        <v>9.2196879837294308</v>
      </c>
      <c r="N3428">
        <v>54.904693589330599</v>
      </c>
      <c r="O3428">
        <v>52.042382496889097</v>
      </c>
      <c r="P3428">
        <v>-4.2582829248743299E-2</v>
      </c>
      <c r="Q3428">
        <v>3.9167286611237702E-2</v>
      </c>
      <c r="R3428">
        <v>0.66374328731226395</v>
      </c>
      <c r="S3428" t="s">
        <v>9254</v>
      </c>
      <c r="T3428" t="s">
        <v>11650</v>
      </c>
      <c r="U3428" t="s">
        <v>11650</v>
      </c>
      <c r="V3428" t="s">
        <v>11650</v>
      </c>
      <c r="W3428" t="s">
        <v>14390</v>
      </c>
      <c r="X3428">
        <v>10</v>
      </c>
      <c r="Y3428" t="s">
        <v>20097</v>
      </c>
      <c r="Z3428" t="s">
        <v>26490</v>
      </c>
      <c r="AA3428">
        <v>0.52945883379446801</v>
      </c>
      <c r="AB3428" t="str">
        <f>HYPERLINK("Melting_Curves/meltCurve_Q567Q0_PPIA.pdf", "Melting_Curves/meltCurve_Q567Q0_PPIA.pdf")</f>
        <v>Melting_Curves/meltCurve_Q567Q0_PPIA.pdf</v>
      </c>
    </row>
    <row r="3429" spans="1:28" x14ac:dyDescent="0.25">
      <c r="A3429" t="s">
        <v>3433</v>
      </c>
      <c r="B3429">
        <v>0.99996721820229495</v>
      </c>
      <c r="C3429">
        <v>1.00511310659591</v>
      </c>
      <c r="D3429">
        <v>0.98198010072985797</v>
      </c>
      <c r="E3429">
        <v>1.01759897552878</v>
      </c>
      <c r="F3429">
        <v>1.9325039231316901</v>
      </c>
      <c r="G3429">
        <v>2.2162610766962598</v>
      </c>
      <c r="H3429">
        <v>1.4744716652465999</v>
      </c>
      <c r="I3429">
        <v>0.98013999719981504</v>
      </c>
      <c r="J3429">
        <v>0.76501683093307504</v>
      </c>
      <c r="K3429">
        <v>0.82169099345874896</v>
      </c>
      <c r="L3429">
        <v>15000</v>
      </c>
      <c r="M3429">
        <v>232.13800934595801</v>
      </c>
      <c r="O3429">
        <v>64.611935895411307</v>
      </c>
      <c r="P3429">
        <v>-0.18562684073900801</v>
      </c>
      <c r="Q3429">
        <v>0.79333483598255095</v>
      </c>
      <c r="R3429">
        <v>-0.18157312184016</v>
      </c>
      <c r="S3429" t="s">
        <v>9255</v>
      </c>
      <c r="T3429" t="s">
        <v>11650</v>
      </c>
      <c r="U3429" t="s">
        <v>11650</v>
      </c>
      <c r="V3429" t="s">
        <v>11650</v>
      </c>
      <c r="W3429" t="s">
        <v>15027</v>
      </c>
      <c r="X3429">
        <v>2</v>
      </c>
      <c r="Y3429" t="s">
        <v>20713</v>
      </c>
      <c r="Z3429" t="s">
        <v>26491</v>
      </c>
      <c r="AA3429">
        <v>0.96294273066809055</v>
      </c>
      <c r="AB3429" t="str">
        <f>HYPERLINK("Melting_Curves/meltCurve_Q569H4_PRR16.pdf", "Melting_Curves/meltCurve_Q569H4_PRR16.pdf")</f>
        <v>Melting_Curves/meltCurve_Q569H4_PRR16.pdf</v>
      </c>
    </row>
    <row r="3430" spans="1:28" x14ac:dyDescent="0.25">
      <c r="A3430" t="s">
        <v>3434</v>
      </c>
      <c r="B3430">
        <v>0.99996721820229495</v>
      </c>
      <c r="C3430">
        <v>0.80969798233549595</v>
      </c>
      <c r="D3430">
        <v>0.89778219974996498</v>
      </c>
      <c r="E3430">
        <v>1.0658956677417499</v>
      </c>
      <c r="F3430">
        <v>1.4961561228534399</v>
      </c>
      <c r="G3430">
        <v>1.1816988387179499</v>
      </c>
      <c r="H3430">
        <v>0.89144090646430096</v>
      </c>
      <c r="I3430">
        <v>0.61878214088071604</v>
      </c>
      <c r="J3430">
        <v>0.41848812817426101</v>
      </c>
      <c r="K3430">
        <v>0.40288614330806199</v>
      </c>
      <c r="L3430">
        <v>3110.6089396642301</v>
      </c>
      <c r="M3430">
        <v>49.197447074138601</v>
      </c>
      <c r="N3430">
        <v>65.267654691766197</v>
      </c>
      <c r="O3430">
        <v>63.122840820242402</v>
      </c>
      <c r="P3430">
        <v>-0.118347984532548</v>
      </c>
      <c r="Q3430">
        <v>0.39261452977806199</v>
      </c>
      <c r="R3430">
        <v>0.67888942022428</v>
      </c>
      <c r="S3430" t="s">
        <v>9256</v>
      </c>
      <c r="T3430" t="s">
        <v>11650</v>
      </c>
      <c r="U3430" t="s">
        <v>11650</v>
      </c>
      <c r="V3430" t="s">
        <v>11650</v>
      </c>
      <c r="W3430" t="s">
        <v>15028</v>
      </c>
      <c r="X3430">
        <v>9</v>
      </c>
      <c r="Y3430" t="s">
        <v>20714</v>
      </c>
      <c r="Z3430" t="s">
        <v>26492</v>
      </c>
      <c r="AA3430">
        <v>0.86433828446820327</v>
      </c>
      <c r="AB3430" t="str">
        <f>HYPERLINK("Melting_Curves/meltCurve_Q56VL3_OCIAD2.pdf", "Melting_Curves/meltCurve_Q56VL3_OCIAD2.pdf")</f>
        <v>Melting_Curves/meltCurve_Q56VL3_OCIAD2.pdf</v>
      </c>
    </row>
    <row r="3431" spans="1:28" x14ac:dyDescent="0.25">
      <c r="A3431" t="s">
        <v>3435</v>
      </c>
      <c r="B3431">
        <v>0.99996721820229495</v>
      </c>
      <c r="C3431">
        <v>0.99735442655124296</v>
      </c>
      <c r="D3431">
        <v>1.02379946259834</v>
      </c>
      <c r="E3431">
        <v>1.1373738941246001</v>
      </c>
      <c r="F3431">
        <v>1.42946823181728</v>
      </c>
      <c r="G3431">
        <v>1.4667427838592599</v>
      </c>
      <c r="H3431">
        <v>1.0592447301738499</v>
      </c>
      <c r="I3431">
        <v>0.97872445038521705</v>
      </c>
      <c r="J3431">
        <v>0.82028388910482697</v>
      </c>
      <c r="K3431">
        <v>0.66668489813395704</v>
      </c>
      <c r="L3431">
        <v>4412.0510615228304</v>
      </c>
      <c r="M3431">
        <v>65.899425243069203</v>
      </c>
      <c r="O3431">
        <v>66.889709996295196</v>
      </c>
      <c r="P3431">
        <v>-8.6711976481648204E-2</v>
      </c>
      <c r="Q3431">
        <v>0.64794003582188997</v>
      </c>
      <c r="R3431">
        <v>0.20570166068137499</v>
      </c>
      <c r="S3431" t="s">
        <v>9257</v>
      </c>
      <c r="T3431" t="s">
        <v>11650</v>
      </c>
      <c r="U3431" t="s">
        <v>11650</v>
      </c>
      <c r="V3431" t="s">
        <v>11650</v>
      </c>
      <c r="W3431" t="s">
        <v>15029</v>
      </c>
      <c r="X3431">
        <v>3</v>
      </c>
      <c r="Y3431" t="s">
        <v>20715</v>
      </c>
      <c r="Z3431" t="s">
        <v>26493</v>
      </c>
      <c r="AA3431">
        <v>0.96407641089928409</v>
      </c>
      <c r="AB3431" t="str">
        <f>HYPERLINK("Melting_Curves/meltCurve_Q587I9_SFT2D3.pdf", "Melting_Curves/meltCurve_Q587I9_SFT2D3.pdf")</f>
        <v>Melting_Curves/meltCurve_Q587I9_SFT2D3.pdf</v>
      </c>
    </row>
    <row r="3432" spans="1:28" x14ac:dyDescent="0.25">
      <c r="A3432" t="s">
        <v>3436</v>
      </c>
      <c r="B3432">
        <v>0.99996721820229495</v>
      </c>
      <c r="C3432">
        <v>1.00327119015864</v>
      </c>
      <c r="D3432">
        <v>1.12696419871339</v>
      </c>
      <c r="E3432">
        <v>1.2958038661587701</v>
      </c>
      <c r="F3432">
        <v>1.6420695535737</v>
      </c>
      <c r="G3432">
        <v>1.8775339009133001</v>
      </c>
      <c r="H3432">
        <v>1.2596093185638</v>
      </c>
      <c r="I3432">
        <v>0.54994070893342795</v>
      </c>
      <c r="J3432">
        <v>0.33527950225650799</v>
      </c>
      <c r="K3432">
        <v>0.25471425598473701</v>
      </c>
      <c r="L3432">
        <v>15000</v>
      </c>
      <c r="M3432">
        <v>234.94315698614801</v>
      </c>
      <c r="N3432">
        <v>64.088419977590505</v>
      </c>
      <c r="O3432">
        <v>63.840604412946199</v>
      </c>
      <c r="P3432">
        <v>-0.64863959327091003</v>
      </c>
      <c r="Q3432">
        <v>0.29498617232901397</v>
      </c>
      <c r="R3432">
        <v>0.466177844536591</v>
      </c>
      <c r="S3432" t="s">
        <v>9258</v>
      </c>
      <c r="T3432" t="s">
        <v>11650</v>
      </c>
      <c r="U3432" t="s">
        <v>11650</v>
      </c>
      <c r="V3432" t="s">
        <v>11650</v>
      </c>
      <c r="W3432" t="s">
        <v>15030</v>
      </c>
      <c r="X3432">
        <v>4</v>
      </c>
      <c r="Y3432" t="s">
        <v>20716</v>
      </c>
      <c r="Z3432" t="s">
        <v>26494</v>
      </c>
      <c r="AA3432">
        <v>0.85544952579940836</v>
      </c>
      <c r="AB3432" t="str">
        <f>HYPERLINK("Melting_Curves/meltCurve_Q58DX5_NAALADL2.pdf", "Melting_Curves/meltCurve_Q58DX5_NAALADL2.pdf")</f>
        <v>Melting_Curves/meltCurve_Q58DX5_NAALADL2.pdf</v>
      </c>
    </row>
    <row r="3433" spans="1:28" x14ac:dyDescent="0.25">
      <c r="A3433" t="s">
        <v>3437</v>
      </c>
      <c r="B3433">
        <v>0.99996721820229495</v>
      </c>
      <c r="C3433">
        <v>1.0701413761766301</v>
      </c>
      <c r="D3433">
        <v>1.1537192913316701</v>
      </c>
      <c r="E3433">
        <v>1.09937607668391</v>
      </c>
      <c r="F3433">
        <v>0.51366288808935401</v>
      </c>
      <c r="G3433">
        <v>0.39624165385483101</v>
      </c>
      <c r="H3433">
        <v>0.18715617416960101</v>
      </c>
      <c r="I3433">
        <v>0.115529845166445</v>
      </c>
      <c r="J3433">
        <v>8.3015263937461697E-2</v>
      </c>
      <c r="K3433">
        <v>6.1764730043618599E-2</v>
      </c>
      <c r="L3433">
        <v>1402.2520284797599</v>
      </c>
      <c r="M3433">
        <v>25.883971016530399</v>
      </c>
      <c r="N3433">
        <v>54.663408206656399</v>
      </c>
      <c r="O3433">
        <v>53.8542755248451</v>
      </c>
      <c r="P3433">
        <v>-0.107743473214105</v>
      </c>
      <c r="Q3433">
        <v>0.103324812977676</v>
      </c>
      <c r="R3433">
        <v>0.94390549254752498</v>
      </c>
      <c r="S3433" t="s">
        <v>9259</v>
      </c>
      <c r="T3433" t="s">
        <v>11650</v>
      </c>
      <c r="U3433" t="s">
        <v>11650</v>
      </c>
      <c r="V3433" t="s">
        <v>11650</v>
      </c>
      <c r="W3433" t="s">
        <v>15031</v>
      </c>
      <c r="X3433">
        <v>18</v>
      </c>
      <c r="Y3433" t="s">
        <v>20717</v>
      </c>
      <c r="Z3433" t="s">
        <v>26495</v>
      </c>
      <c r="AA3433">
        <v>0.53478118416367815</v>
      </c>
      <c r="AB3433" t="str">
        <f>HYPERLINK("Melting_Curves/meltCurve_Q58FF8_HSP90AB2P.pdf", "Melting_Curves/meltCurve_Q58FF8_HSP90AB2P.pdf")</f>
        <v>Melting_Curves/meltCurve_Q58FF8_HSP90AB2P.pdf</v>
      </c>
    </row>
    <row r="3434" spans="1:28" x14ac:dyDescent="0.25">
      <c r="A3434" t="s">
        <v>3438</v>
      </c>
      <c r="B3434">
        <v>0.99996721820229495</v>
      </c>
      <c r="C3434">
        <v>0.95530067517658102</v>
      </c>
      <c r="D3434">
        <v>1.10030153642914</v>
      </c>
      <c r="E3434">
        <v>1.1140326407054999</v>
      </c>
      <c r="F3434">
        <v>0.37411469149496501</v>
      </c>
      <c r="G3434">
        <v>0.38862637435116099</v>
      </c>
      <c r="H3434">
        <v>0.203801345220157</v>
      </c>
      <c r="I3434">
        <v>0.167351748344996</v>
      </c>
      <c r="J3434">
        <v>9.3192400202324305E-2</v>
      </c>
      <c r="K3434">
        <v>9.7064378743236895E-2</v>
      </c>
      <c r="L3434">
        <v>13185.146992989399</v>
      </c>
      <c r="M3434">
        <v>250</v>
      </c>
      <c r="N3434">
        <v>52.841637656604902</v>
      </c>
      <c r="O3434">
        <v>52.737212943928803</v>
      </c>
      <c r="P3434">
        <v>-0.95993986238060303</v>
      </c>
      <c r="Q3434">
        <v>0.190007154281532</v>
      </c>
      <c r="R3434">
        <v>0.95174633002948805</v>
      </c>
      <c r="S3434" t="s">
        <v>9260</v>
      </c>
      <c r="T3434" t="s">
        <v>11650</v>
      </c>
      <c r="U3434" t="s">
        <v>11650</v>
      </c>
      <c r="V3434" t="s">
        <v>11650</v>
      </c>
      <c r="W3434" t="s">
        <v>15032</v>
      </c>
      <c r="X3434">
        <v>3</v>
      </c>
      <c r="Y3434" t="s">
        <v>20718</v>
      </c>
      <c r="Z3434" t="s">
        <v>26496</v>
      </c>
      <c r="AA3434">
        <v>0.53407496325505011</v>
      </c>
      <c r="AB3434" t="str">
        <f>HYPERLINK("Melting_Curves/meltCurve_Q58FG1_HSP90AA4P.pdf", "Melting_Curves/meltCurve_Q58FG1_HSP90AA4P.pdf")</f>
        <v>Melting_Curves/meltCurve_Q58FG1_HSP90AA4P.pdf</v>
      </c>
    </row>
    <row r="3435" spans="1:28" x14ac:dyDescent="0.25">
      <c r="A3435" t="s">
        <v>3439</v>
      </c>
      <c r="B3435">
        <v>0.99996721820229495</v>
      </c>
      <c r="C3435">
        <v>0.94247662275051702</v>
      </c>
      <c r="D3435">
        <v>0.98333736806002203</v>
      </c>
      <c r="E3435">
        <v>1.1523388964555901</v>
      </c>
      <c r="F3435">
        <v>1.6067471339709301</v>
      </c>
      <c r="G3435">
        <v>1.7928206420060999</v>
      </c>
      <c r="H3435">
        <v>0.61179707299802799</v>
      </c>
      <c r="I3435">
        <v>0.231542286668589</v>
      </c>
      <c r="J3435">
        <v>0.183973858503682</v>
      </c>
      <c r="K3435">
        <v>0.125389168187795</v>
      </c>
      <c r="L3435">
        <v>7724.2001182884796</v>
      </c>
      <c r="M3435">
        <v>126.513438123443</v>
      </c>
      <c r="N3435">
        <v>61.269514821506498</v>
      </c>
      <c r="O3435">
        <v>61.039133067437703</v>
      </c>
      <c r="P3435">
        <v>-0.42524767898492999</v>
      </c>
      <c r="Q3435">
        <v>0.179320413533953</v>
      </c>
      <c r="R3435">
        <v>0.65788691653938103</v>
      </c>
      <c r="S3435" t="s">
        <v>9261</v>
      </c>
      <c r="T3435" t="s">
        <v>11650</v>
      </c>
      <c r="U3435" t="s">
        <v>11650</v>
      </c>
      <c r="V3435" t="s">
        <v>11650</v>
      </c>
      <c r="W3435" t="s">
        <v>15033</v>
      </c>
      <c r="X3435">
        <v>8</v>
      </c>
      <c r="Y3435" t="s">
        <v>20719</v>
      </c>
      <c r="Z3435" t="s">
        <v>26497</v>
      </c>
      <c r="AA3435">
        <v>0.7556274663402931</v>
      </c>
      <c r="AB3435" t="str">
        <f>HYPERLINK("Melting_Curves/meltCurve_Q58WW2_3_DCAF6.pdf", "Melting_Curves/meltCurve_Q58WW2_3_DCAF6.pdf")</f>
        <v>Melting_Curves/meltCurve_Q58WW2_3_DCAF6.pdf</v>
      </c>
    </row>
    <row r="3436" spans="1:28" x14ac:dyDescent="0.25">
      <c r="A3436" t="s">
        <v>3440</v>
      </c>
      <c r="B3436">
        <v>0.99996721820229495</v>
      </c>
      <c r="C3436">
        <v>0.92262735679083396</v>
      </c>
      <c r="D3436">
        <v>0.97668456590363695</v>
      </c>
      <c r="E3436">
        <v>0.82785090028789299</v>
      </c>
      <c r="F3436">
        <v>0.73552663372289395</v>
      </c>
      <c r="G3436">
        <v>0.48912139508068903</v>
      </c>
      <c r="H3436">
        <v>0.34293635261712002</v>
      </c>
      <c r="I3436">
        <v>0.37066295179740599</v>
      </c>
      <c r="J3436">
        <v>0.26427070216151499</v>
      </c>
      <c r="K3436">
        <v>0.30216705309741598</v>
      </c>
      <c r="L3436">
        <v>859.53225946294003</v>
      </c>
      <c r="M3436">
        <v>15.826146226548399</v>
      </c>
      <c r="N3436">
        <v>57.0132342563967</v>
      </c>
      <c r="O3436">
        <v>53.465947061977502</v>
      </c>
      <c r="P3436">
        <v>-5.44804710163986E-2</v>
      </c>
      <c r="Q3436">
        <v>0.26384819359297601</v>
      </c>
      <c r="R3436">
        <v>0.98637505240302503</v>
      </c>
      <c r="S3436" t="s">
        <v>9262</v>
      </c>
      <c r="T3436" t="s">
        <v>11650</v>
      </c>
      <c r="U3436" t="s">
        <v>11650</v>
      </c>
      <c r="V3436" t="s">
        <v>11650</v>
      </c>
      <c r="W3436" t="s">
        <v>15034</v>
      </c>
      <c r="X3436">
        <v>1</v>
      </c>
      <c r="Y3436" t="s">
        <v>20720</v>
      </c>
      <c r="Z3436" t="s">
        <v>26498</v>
      </c>
      <c r="AA3436">
        <v>0.62891204875505413</v>
      </c>
      <c r="AB3436" t="str">
        <f>HYPERLINK("Melting_Curves/meltCurve_Q59GN2_RPL39P5.pdf", "Melting_Curves/meltCurve_Q59GN2_RPL39P5.pdf")</f>
        <v>Melting_Curves/meltCurve_Q59GN2_RPL39P5.pdf</v>
      </c>
    </row>
    <row r="3437" spans="1:28" x14ac:dyDescent="0.25">
      <c r="A3437" t="s">
        <v>3441</v>
      </c>
      <c r="B3437">
        <v>0.99996721820229495</v>
      </c>
      <c r="C3437">
        <v>0.97437192968587505</v>
      </c>
      <c r="D3437">
        <v>1.07519601145099</v>
      </c>
      <c r="E3437">
        <v>1.0510719817242</v>
      </c>
      <c r="F3437">
        <v>1.2961129628541299</v>
      </c>
      <c r="G3437">
        <v>1.1347082778986399</v>
      </c>
      <c r="H3437">
        <v>0.65729763721266399</v>
      </c>
      <c r="I3437">
        <v>0.315195421614125</v>
      </c>
      <c r="J3437">
        <v>0.19307585963582699</v>
      </c>
      <c r="K3437">
        <v>0.16240783038072201</v>
      </c>
      <c r="L3437">
        <v>3218.6116060426202</v>
      </c>
      <c r="M3437">
        <v>52.312779091150503</v>
      </c>
      <c r="N3437">
        <v>62.069468899306202</v>
      </c>
      <c r="O3437">
        <v>61.4366078559081</v>
      </c>
      <c r="P3437">
        <v>-0.17377603244227199</v>
      </c>
      <c r="Q3437">
        <v>0.183664203415115</v>
      </c>
      <c r="R3437">
        <v>0.92425090014137401</v>
      </c>
      <c r="S3437" t="s">
        <v>9263</v>
      </c>
      <c r="T3437" t="s">
        <v>11650</v>
      </c>
      <c r="U3437" t="s">
        <v>11650</v>
      </c>
      <c r="V3437" t="s">
        <v>11650</v>
      </c>
      <c r="W3437" t="s">
        <v>15035</v>
      </c>
      <c r="X3437">
        <v>3</v>
      </c>
      <c r="Y3437" t="s">
        <v>20721</v>
      </c>
      <c r="Z3437" t="s">
        <v>26499</v>
      </c>
      <c r="AA3437">
        <v>0.77136639121377659</v>
      </c>
      <c r="AB3437" t="str">
        <f>HYPERLINK("Melting_Curves/meltCurve_Q5BJH7_6_YIF1B.pdf", "Melting_Curves/meltCurve_Q5BJH7_6_YIF1B.pdf")</f>
        <v>Melting_Curves/meltCurve_Q5BJH7_6_YIF1B.pdf</v>
      </c>
    </row>
    <row r="3438" spans="1:28" x14ac:dyDescent="0.25">
      <c r="A3438" t="s">
        <v>3442</v>
      </c>
      <c r="B3438">
        <v>0.99996721820229495</v>
      </c>
      <c r="C3438">
        <v>0.86289148682343197</v>
      </c>
      <c r="D3438">
        <v>0.90889324307385</v>
      </c>
      <c r="E3438">
        <v>0.93758844829661803</v>
      </c>
      <c r="F3438">
        <v>1.1944713012261701</v>
      </c>
      <c r="G3438">
        <v>1.22440326194787</v>
      </c>
      <c r="H3438">
        <v>0.87910688021453198</v>
      </c>
      <c r="I3438">
        <v>0.70545752143255702</v>
      </c>
      <c r="J3438">
        <v>0.55827055747860799</v>
      </c>
      <c r="K3438">
        <v>0.34265601330053702</v>
      </c>
      <c r="L3438">
        <v>1899.6967623872999</v>
      </c>
      <c r="M3438">
        <v>29.1049011683556</v>
      </c>
      <c r="N3438">
        <v>67.134542951987598</v>
      </c>
      <c r="O3438">
        <v>64.964876557515197</v>
      </c>
      <c r="P3438">
        <v>-8.0963262773233499E-2</v>
      </c>
      <c r="Q3438">
        <v>0.27713484207102601</v>
      </c>
      <c r="R3438">
        <v>0.80188422675002302</v>
      </c>
      <c r="S3438" t="s">
        <v>9264</v>
      </c>
      <c r="T3438" t="s">
        <v>11650</v>
      </c>
      <c r="U3438" t="s">
        <v>11650</v>
      </c>
      <c r="V3438" t="s">
        <v>11650</v>
      </c>
      <c r="W3438" t="s">
        <v>15036</v>
      </c>
      <c r="X3438">
        <v>3</v>
      </c>
      <c r="Y3438" t="s">
        <v>20722</v>
      </c>
      <c r="Z3438" t="s">
        <v>26500</v>
      </c>
      <c r="AA3438">
        <v>0.88341231596358338</v>
      </c>
      <c r="AB3438" t="str">
        <f>HYPERLINK("Melting_Curves/meltCurve_Q5BKU9_OXLD1.pdf", "Melting_Curves/meltCurve_Q5BKU9_OXLD1.pdf")</f>
        <v>Melting_Curves/meltCurve_Q5BKU9_OXLD1.pdf</v>
      </c>
    </row>
    <row r="3439" spans="1:28" x14ac:dyDescent="0.25">
      <c r="A3439" t="s">
        <v>3443</v>
      </c>
      <c r="B3439">
        <v>0.99996721820229495</v>
      </c>
      <c r="C3439">
        <v>0.99786044484687197</v>
      </c>
      <c r="D3439">
        <v>0.72154920435708902</v>
      </c>
      <c r="E3439">
        <v>0.34325885647440402</v>
      </c>
      <c r="F3439">
        <v>0.397460863491161</v>
      </c>
      <c r="G3439">
        <v>0.28813457284980198</v>
      </c>
      <c r="H3439">
        <v>0.18390033272405501</v>
      </c>
      <c r="I3439">
        <v>0.16136699799065601</v>
      </c>
      <c r="J3439">
        <v>0.11384119809490401</v>
      </c>
      <c r="K3439">
        <v>0.13559829590427</v>
      </c>
      <c r="L3439">
        <v>860.37588805490498</v>
      </c>
      <c r="M3439">
        <v>17.9088701939183</v>
      </c>
      <c r="N3439">
        <v>49.132086848373497</v>
      </c>
      <c r="O3439">
        <v>47.454908495336397</v>
      </c>
      <c r="P3439">
        <v>-7.8881440778590398E-2</v>
      </c>
      <c r="Q3439">
        <v>0.16396256331223399</v>
      </c>
      <c r="R3439">
        <v>0.96469529664279696</v>
      </c>
      <c r="S3439" t="s">
        <v>9265</v>
      </c>
      <c r="T3439" t="s">
        <v>11650</v>
      </c>
      <c r="U3439" t="s">
        <v>11650</v>
      </c>
      <c r="V3439" t="s">
        <v>11650</v>
      </c>
      <c r="W3439" t="s">
        <v>15037</v>
      </c>
      <c r="X3439">
        <v>1</v>
      </c>
      <c r="Y3439" t="s">
        <v>20723</v>
      </c>
      <c r="Z3439" t="s">
        <v>26501</v>
      </c>
      <c r="AA3439">
        <v>0.40304542116128039</v>
      </c>
      <c r="AB3439" t="str">
        <f>HYPERLINK("Melting_Curves/meltCurve_Q5D1E8_ZC3H12A.pdf", "Melting_Curves/meltCurve_Q5D1E8_ZC3H12A.pdf")</f>
        <v>Melting_Curves/meltCurve_Q5D1E8_ZC3H12A.pdf</v>
      </c>
    </row>
    <row r="3440" spans="1:28" x14ac:dyDescent="0.25">
      <c r="A3440" t="s">
        <v>3444</v>
      </c>
      <c r="B3440">
        <v>0.99996721820229495</v>
      </c>
      <c r="C3440">
        <v>0.962219949871293</v>
      </c>
      <c r="D3440">
        <v>0.80562957683125203</v>
      </c>
      <c r="E3440">
        <v>0.483278659484912</v>
      </c>
      <c r="F3440">
        <v>0.42625362107006998</v>
      </c>
      <c r="G3440">
        <v>0.35298490241737801</v>
      </c>
      <c r="H3440">
        <v>0.25986432491640699</v>
      </c>
      <c r="I3440">
        <v>0.20699795273273999</v>
      </c>
      <c r="J3440">
        <v>0.16328501026171299</v>
      </c>
      <c r="K3440">
        <v>0.132573111229567</v>
      </c>
      <c r="L3440">
        <v>679.86835871596497</v>
      </c>
      <c r="M3440">
        <v>13.682291069625</v>
      </c>
      <c r="N3440">
        <v>51.176478354206999</v>
      </c>
      <c r="O3440">
        <v>48.664264097917098</v>
      </c>
      <c r="P3440">
        <v>-5.8770022066078703E-2</v>
      </c>
      <c r="Q3440">
        <v>0.16400374116910199</v>
      </c>
      <c r="R3440">
        <v>0.98100076192756103</v>
      </c>
      <c r="S3440" t="s">
        <v>9266</v>
      </c>
      <c r="T3440" t="s">
        <v>11650</v>
      </c>
      <c r="U3440" t="s">
        <v>11650</v>
      </c>
      <c r="V3440" t="s">
        <v>11650</v>
      </c>
      <c r="W3440" t="s">
        <v>15038</v>
      </c>
      <c r="X3440">
        <v>21</v>
      </c>
      <c r="Y3440" t="s">
        <v>20724</v>
      </c>
      <c r="Z3440" t="s">
        <v>26502</v>
      </c>
      <c r="AA3440">
        <v>0.45771404418598388</v>
      </c>
      <c r="AB3440" t="str">
        <f>HYPERLINK("Melting_Curves/meltCurve_Q5EBL4_RILPL1.pdf", "Melting_Curves/meltCurve_Q5EBL4_RILPL1.pdf")</f>
        <v>Melting_Curves/meltCurve_Q5EBL4_RILPL1.pdf</v>
      </c>
    </row>
    <row r="3441" spans="1:28" x14ac:dyDescent="0.25">
      <c r="A3441" t="s">
        <v>3445</v>
      </c>
      <c r="B3441">
        <v>0.99996721820229495</v>
      </c>
      <c r="C3441">
        <v>1.1536261101654499</v>
      </c>
      <c r="D3441">
        <v>1.14808647589892</v>
      </c>
      <c r="E3441">
        <v>0.96712976438276599</v>
      </c>
      <c r="F3441">
        <v>0.65913507447604303</v>
      </c>
      <c r="G3441">
        <v>0.49421320489810699</v>
      </c>
      <c r="H3441">
        <v>0.24157204950070399</v>
      </c>
      <c r="I3441">
        <v>0.23808475452650699</v>
      </c>
      <c r="J3441">
        <v>0.20495279019572599</v>
      </c>
      <c r="K3441">
        <v>0.15813382940178999</v>
      </c>
      <c r="L3441">
        <v>1197.6639874253999</v>
      </c>
      <c r="M3441">
        <v>21.799302919268101</v>
      </c>
      <c r="N3441">
        <v>56.091952295976697</v>
      </c>
      <c r="O3441">
        <v>54.484404473654102</v>
      </c>
      <c r="P3441">
        <v>-8.1983764640978798E-2</v>
      </c>
      <c r="Q3441">
        <v>0.18038972857950999</v>
      </c>
      <c r="R3441">
        <v>0.95712225100690396</v>
      </c>
      <c r="S3441" t="s">
        <v>9267</v>
      </c>
      <c r="T3441" t="s">
        <v>11650</v>
      </c>
      <c r="U3441" t="s">
        <v>11650</v>
      </c>
      <c r="V3441" t="s">
        <v>11650</v>
      </c>
      <c r="W3441" t="s">
        <v>15039</v>
      </c>
      <c r="X3441">
        <v>4</v>
      </c>
      <c r="Y3441" t="s">
        <v>20725</v>
      </c>
      <c r="Z3441" t="s">
        <v>26503</v>
      </c>
      <c r="AA3441">
        <v>0.59812442470484239</v>
      </c>
      <c r="AB3441" t="str">
        <f>HYPERLINK("Melting_Curves/meltCurve_Q5EBL8_PDZD11.pdf", "Melting_Curves/meltCurve_Q5EBL8_PDZD11.pdf")</f>
        <v>Melting_Curves/meltCurve_Q5EBL8_PDZD11.pdf</v>
      </c>
    </row>
    <row r="3442" spans="1:28" x14ac:dyDescent="0.25">
      <c r="A3442" t="s">
        <v>3446</v>
      </c>
      <c r="B3442">
        <v>0.99996721820229495</v>
      </c>
      <c r="C3442">
        <v>0.99403263562784006</v>
      </c>
      <c r="D3442">
        <v>0.95150798247685897</v>
      </c>
      <c r="E3442">
        <v>0.97688453665892105</v>
      </c>
      <c r="F3442">
        <v>0.97199173767616298</v>
      </c>
      <c r="G3442">
        <v>0.51835310465835005</v>
      </c>
      <c r="H3442">
        <v>0.25101400569365501</v>
      </c>
      <c r="I3442">
        <v>0.115598013604216</v>
      </c>
      <c r="J3442">
        <v>9.1610637999542097E-2</v>
      </c>
      <c r="K3442">
        <v>6.4001586253153095E-2</v>
      </c>
      <c r="L3442">
        <v>1685.86199621271</v>
      </c>
      <c r="M3442">
        <v>29.507707534483899</v>
      </c>
      <c r="N3442">
        <v>57.480860408593301</v>
      </c>
      <c r="O3442">
        <v>56.872485118343299</v>
      </c>
      <c r="P3442">
        <v>-0.11910260828798</v>
      </c>
      <c r="Q3442">
        <v>8.1784124401110894E-2</v>
      </c>
      <c r="R3442">
        <v>0.994078245877002</v>
      </c>
      <c r="S3442" t="s">
        <v>9268</v>
      </c>
      <c r="T3442" t="s">
        <v>11650</v>
      </c>
      <c r="U3442" t="s">
        <v>11650</v>
      </c>
      <c r="V3442" t="s">
        <v>11650</v>
      </c>
      <c r="W3442" t="s">
        <v>15040</v>
      </c>
      <c r="X3442">
        <v>8</v>
      </c>
      <c r="Y3442" t="s">
        <v>20726</v>
      </c>
      <c r="Z3442" t="s">
        <v>26504</v>
      </c>
      <c r="AA3442">
        <v>0.61246258054430569</v>
      </c>
      <c r="AB3442" t="str">
        <f>HYPERLINK("Melting_Curves/meltCurve_Q5GJ75_TNFAIP8L3.pdf", "Melting_Curves/meltCurve_Q5GJ75_TNFAIP8L3.pdf")</f>
        <v>Melting_Curves/meltCurve_Q5GJ75_TNFAIP8L3.pdf</v>
      </c>
    </row>
    <row r="3443" spans="1:28" x14ac:dyDescent="0.25">
      <c r="A3443" t="s">
        <v>3447</v>
      </c>
      <c r="B3443">
        <v>0.99996721820229495</v>
      </c>
      <c r="C3443">
        <v>1.0150869184233</v>
      </c>
      <c r="D3443">
        <v>1.0179497199134699</v>
      </c>
      <c r="E3443">
        <v>1.02903001217359</v>
      </c>
      <c r="F3443">
        <v>0.36533163440698202</v>
      </c>
      <c r="G3443">
        <v>0.25624428583922099</v>
      </c>
      <c r="H3443">
        <v>0.14371614251198001</v>
      </c>
      <c r="I3443">
        <v>9.3080269890792905E-2</v>
      </c>
      <c r="J3443">
        <v>6.8808927320406305E-2</v>
      </c>
      <c r="K3443">
        <v>5.8150561646715102E-2</v>
      </c>
      <c r="L3443">
        <v>13198.7527184927</v>
      </c>
      <c r="M3443">
        <v>250</v>
      </c>
      <c r="N3443">
        <v>52.855262232595102</v>
      </c>
      <c r="O3443">
        <v>52.791632502896803</v>
      </c>
      <c r="P3443">
        <v>-1.0370961520049999</v>
      </c>
      <c r="Q3443">
        <v>0.124000020843298</v>
      </c>
      <c r="R3443">
        <v>0.98478417147787001</v>
      </c>
      <c r="S3443" t="s">
        <v>9269</v>
      </c>
      <c r="T3443" t="s">
        <v>11650</v>
      </c>
      <c r="U3443" t="s">
        <v>11650</v>
      </c>
      <c r="V3443" t="s">
        <v>11650</v>
      </c>
      <c r="W3443" t="s">
        <v>15041</v>
      </c>
      <c r="X3443">
        <v>29</v>
      </c>
      <c r="Y3443" t="s">
        <v>20727</v>
      </c>
      <c r="Z3443" t="s">
        <v>26505</v>
      </c>
      <c r="AA3443">
        <v>0.49769549474567287</v>
      </c>
      <c r="AB3443" t="str">
        <f>HYPERLINK("Melting_Curves/meltCurve_Q5GLZ8_2_HERC4.pdf", "Melting_Curves/meltCurve_Q5GLZ8_2_HERC4.pdf")</f>
        <v>Melting_Curves/meltCurve_Q5GLZ8_2_HERC4.pdf</v>
      </c>
    </row>
    <row r="3444" spans="1:28" x14ac:dyDescent="0.25">
      <c r="A3444" t="s">
        <v>3448</v>
      </c>
      <c r="B3444">
        <v>0.99996721820229495</v>
      </c>
      <c r="C3444">
        <v>1.11870308787079</v>
      </c>
      <c r="D3444">
        <v>1.0611434197452201</v>
      </c>
      <c r="E3444">
        <v>1.0247437219311699</v>
      </c>
      <c r="F3444">
        <v>1.48484085361471</v>
      </c>
      <c r="G3444">
        <v>1.71160653754641</v>
      </c>
      <c r="H3444">
        <v>1.1553265836644599</v>
      </c>
      <c r="I3444">
        <v>1.2493928838689601</v>
      </c>
      <c r="J3444">
        <v>1.307957173615</v>
      </c>
      <c r="K3444">
        <v>0.77209651208406005</v>
      </c>
      <c r="L3444">
        <v>12616.6902872459</v>
      </c>
      <c r="M3444">
        <v>250</v>
      </c>
      <c r="O3444">
        <v>50.463532129548902</v>
      </c>
      <c r="P3444">
        <v>0.34703684577547</v>
      </c>
      <c r="Q3444">
        <v>1.28020327706361</v>
      </c>
      <c r="R3444">
        <v>0.182119435380282</v>
      </c>
      <c r="S3444" t="s">
        <v>9270</v>
      </c>
      <c r="T3444" t="s">
        <v>11650</v>
      </c>
      <c r="U3444" t="s">
        <v>11650</v>
      </c>
      <c r="V3444" t="s">
        <v>11650</v>
      </c>
      <c r="W3444" t="s">
        <v>15042</v>
      </c>
      <c r="X3444">
        <v>2</v>
      </c>
      <c r="Y3444" t="s">
        <v>20728</v>
      </c>
      <c r="Z3444" t="s">
        <v>26506</v>
      </c>
      <c r="AA3444">
        <v>1.182417767440274</v>
      </c>
      <c r="AB3444" t="str">
        <f>HYPERLINK("Melting_Curves/meltCurve_Q5H937_PKIG.pdf", "Melting_Curves/meltCurve_Q5H937_PKIG.pdf")</f>
        <v>Melting_Curves/meltCurve_Q5H937_PKIG.pdf</v>
      </c>
    </row>
    <row r="3445" spans="1:28" x14ac:dyDescent="0.25">
      <c r="A3445" t="s">
        <v>3449</v>
      </c>
      <c r="B3445">
        <v>0.99996721820229495</v>
      </c>
      <c r="C3445">
        <v>0.945315031596765</v>
      </c>
      <c r="D3445">
        <v>1.0557932340717699</v>
      </c>
      <c r="E3445">
        <v>1.1734611778820501</v>
      </c>
      <c r="F3445">
        <v>1.39132120494934</v>
      </c>
      <c r="G3445">
        <v>1.60966505691385</v>
      </c>
      <c r="H3445">
        <v>1.1897257644875701</v>
      </c>
      <c r="I3445">
        <v>0.94224290067439698</v>
      </c>
      <c r="J3445">
        <v>0.86433704249269805</v>
      </c>
      <c r="K3445">
        <v>0.62978942854476305</v>
      </c>
      <c r="L3445">
        <v>3346.8442121298799</v>
      </c>
      <c r="M3445">
        <v>49.088667506951502</v>
      </c>
      <c r="O3445">
        <v>68.066706713495293</v>
      </c>
      <c r="P3445">
        <v>-8.5241736524565806E-2</v>
      </c>
      <c r="Q3445">
        <v>0.52721316587899802</v>
      </c>
      <c r="R3445">
        <v>0.13357635468934301</v>
      </c>
      <c r="S3445" t="s">
        <v>9271</v>
      </c>
      <c r="T3445" t="s">
        <v>11650</v>
      </c>
      <c r="U3445" t="s">
        <v>11650</v>
      </c>
      <c r="V3445" t="s">
        <v>11650</v>
      </c>
      <c r="W3445" t="s">
        <v>15043</v>
      </c>
      <c r="X3445">
        <v>1</v>
      </c>
      <c r="Y3445" t="s">
        <v>20729</v>
      </c>
      <c r="Z3445" t="s">
        <v>26507</v>
      </c>
      <c r="AA3445">
        <v>0.96683841859250175</v>
      </c>
      <c r="AB3445" t="str">
        <f>HYPERLINK("Melting_Curves/meltCurve_Q5H993_DCBLD1.pdf", "Melting_Curves/meltCurve_Q5H993_DCBLD1.pdf")</f>
        <v>Melting_Curves/meltCurve_Q5H993_DCBLD1.pdf</v>
      </c>
    </row>
    <row r="3446" spans="1:28" x14ac:dyDescent="0.25">
      <c r="A3446" t="s">
        <v>3450</v>
      </c>
      <c r="B3446">
        <v>0.99996721820229495</v>
      </c>
      <c r="C3446">
        <v>1.03813808078257</v>
      </c>
      <c r="D3446">
        <v>1.0199138203745199</v>
      </c>
      <c r="E3446">
        <v>0.98200927208099598</v>
      </c>
      <c r="F3446">
        <v>1.2859045850598101</v>
      </c>
      <c r="G3446">
        <v>1.30995628456456</v>
      </c>
      <c r="H3446">
        <v>0.82928933203750099</v>
      </c>
      <c r="I3446">
        <v>0.51411330080636397</v>
      </c>
      <c r="J3446">
        <v>0.22256381252810201</v>
      </c>
      <c r="K3446">
        <v>0.143611524504931</v>
      </c>
      <c r="L3446">
        <v>2732.7280250364702</v>
      </c>
      <c r="M3446">
        <v>43.0078411661217</v>
      </c>
      <c r="N3446">
        <v>64.005414978167295</v>
      </c>
      <c r="O3446">
        <v>63.403312871198104</v>
      </c>
      <c r="P3446">
        <v>-0.14681971638178301</v>
      </c>
      <c r="Q3446">
        <v>0.13421909331433099</v>
      </c>
      <c r="R3446">
        <v>0.87650085527202803</v>
      </c>
      <c r="S3446" t="s">
        <v>9272</v>
      </c>
      <c r="T3446" t="s">
        <v>11650</v>
      </c>
      <c r="U3446" t="s">
        <v>11650</v>
      </c>
      <c r="V3446" t="s">
        <v>11650</v>
      </c>
      <c r="W3446" t="s">
        <v>15044</v>
      </c>
      <c r="X3446">
        <v>9</v>
      </c>
      <c r="Y3446" t="s">
        <v>20730</v>
      </c>
      <c r="Z3446" t="s">
        <v>26508</v>
      </c>
      <c r="AA3446">
        <v>0.81583860505850514</v>
      </c>
      <c r="AB3446" t="str">
        <f>HYPERLINK("Melting_Curves/meltCurve_Q5H9A7_TIMP1.pdf", "Melting_Curves/meltCurve_Q5H9A7_TIMP1.pdf")</f>
        <v>Melting_Curves/meltCurve_Q5H9A7_TIMP1.pdf</v>
      </c>
    </row>
    <row r="3447" spans="1:28" x14ac:dyDescent="0.25">
      <c r="A3447" t="s">
        <v>3451</v>
      </c>
      <c r="B3447">
        <v>0.99996721820229495</v>
      </c>
      <c r="C3447">
        <v>1.06156262215282</v>
      </c>
      <c r="D3447">
        <v>1.0155111983218399</v>
      </c>
      <c r="E3447">
        <v>1.0562901849125901</v>
      </c>
      <c r="F3447">
        <v>0.89075456978543899</v>
      </c>
      <c r="G3447">
        <v>0.74922303660352996</v>
      </c>
      <c r="H3447">
        <v>0.35453844794282402</v>
      </c>
      <c r="I3447">
        <v>0.18233395311064499</v>
      </c>
      <c r="J3447">
        <v>0.145675005947182</v>
      </c>
      <c r="K3447">
        <v>9.1175956797465998E-2</v>
      </c>
      <c r="L3447">
        <v>1475.62655553078</v>
      </c>
      <c r="M3447">
        <v>25.017458144864101</v>
      </c>
      <c r="N3447">
        <v>59.4057847423826</v>
      </c>
      <c r="O3447">
        <v>58.610867991748897</v>
      </c>
      <c r="P3447">
        <v>-9.8025682498085798E-2</v>
      </c>
      <c r="Q3447">
        <v>8.13945438693119E-2</v>
      </c>
      <c r="R3447">
        <v>0.99157047115916697</v>
      </c>
      <c r="S3447" t="s">
        <v>9273</v>
      </c>
      <c r="T3447" t="s">
        <v>11650</v>
      </c>
      <c r="U3447" t="s">
        <v>11650</v>
      </c>
      <c r="V3447" t="s">
        <v>11650</v>
      </c>
      <c r="W3447" t="s">
        <v>15045</v>
      </c>
      <c r="X3447">
        <v>4</v>
      </c>
      <c r="Y3447" t="s">
        <v>20731</v>
      </c>
      <c r="Z3447" t="s">
        <v>26509</v>
      </c>
      <c r="AA3447">
        <v>0.67021427626581309</v>
      </c>
      <c r="AB3447" t="str">
        <f>HYPERLINK("Melting_Curves/meltCurve_Q5HYI7_MTX3.pdf", "Melting_Curves/meltCurve_Q5HYI7_MTX3.pdf")</f>
        <v>Melting_Curves/meltCurve_Q5HYI7_MTX3.pdf</v>
      </c>
    </row>
    <row r="3448" spans="1:28" x14ac:dyDescent="0.25">
      <c r="A3448" t="s">
        <v>3452</v>
      </c>
      <c r="B3448">
        <v>0.99996721820229495</v>
      </c>
      <c r="C3448">
        <v>0.90114591180086601</v>
      </c>
      <c r="D3448">
        <v>0.73699371813981795</v>
      </c>
      <c r="E3448">
        <v>0.78170909290879698</v>
      </c>
      <c r="F3448">
        <v>0.65729041617540596</v>
      </c>
      <c r="G3448">
        <v>0.57634507513833899</v>
      </c>
      <c r="H3448">
        <v>0.35014542227013001</v>
      </c>
      <c r="I3448">
        <v>0.29443589044577601</v>
      </c>
      <c r="J3448">
        <v>0.180752353657327</v>
      </c>
      <c r="K3448">
        <v>0.197664500188522</v>
      </c>
      <c r="L3448">
        <v>434.19431314945001</v>
      </c>
      <c r="M3448">
        <v>7.6299245519691201</v>
      </c>
      <c r="N3448">
        <v>56.906763650101098</v>
      </c>
      <c r="O3448">
        <v>53.392668502823099</v>
      </c>
      <c r="P3448">
        <v>-3.5773722530167598E-2</v>
      </c>
      <c r="Q3448">
        <v>0</v>
      </c>
      <c r="R3448">
        <v>0.96264289541950898</v>
      </c>
      <c r="S3448" t="s">
        <v>9274</v>
      </c>
      <c r="T3448" t="s">
        <v>11650</v>
      </c>
      <c r="U3448" t="s">
        <v>11650</v>
      </c>
      <c r="V3448" t="s">
        <v>11650</v>
      </c>
      <c r="W3448" t="s">
        <v>15046</v>
      </c>
      <c r="X3448">
        <v>3</v>
      </c>
      <c r="Y3448" t="s">
        <v>20732</v>
      </c>
      <c r="Z3448" t="s">
        <v>26510</v>
      </c>
      <c r="AA3448">
        <v>0.57518651107673557</v>
      </c>
      <c r="AB3448" t="str">
        <f>HYPERLINK("Melting_Curves/meltCurve_Q5HYI8_RABL3.pdf", "Melting_Curves/meltCurve_Q5HYI8_RABL3.pdf")</f>
        <v>Melting_Curves/meltCurve_Q5HYI8_RABL3.pdf</v>
      </c>
    </row>
    <row r="3449" spans="1:28" x14ac:dyDescent="0.25">
      <c r="A3449" t="s">
        <v>3453</v>
      </c>
      <c r="B3449">
        <v>0.99996721820229495</v>
      </c>
      <c r="C3449">
        <v>1.0238057758900101</v>
      </c>
      <c r="D3449">
        <v>1.01703546716187</v>
      </c>
      <c r="E3449">
        <v>0.97282631774077399</v>
      </c>
      <c r="F3449">
        <v>1.1072438375710401</v>
      </c>
      <c r="G3449">
        <v>1.0482930159446</v>
      </c>
      <c r="H3449">
        <v>0.58638123680794396</v>
      </c>
      <c r="I3449">
        <v>0.40509386642191098</v>
      </c>
      <c r="J3449">
        <v>0.26183785582873398</v>
      </c>
      <c r="K3449">
        <v>0.154921322979925</v>
      </c>
      <c r="L3449">
        <v>2184.8367700304998</v>
      </c>
      <c r="M3449">
        <v>35.569495169901401</v>
      </c>
      <c r="N3449">
        <v>62.289984137048997</v>
      </c>
      <c r="O3449">
        <v>61.231271079168302</v>
      </c>
      <c r="P3449">
        <v>-0.116909444907852</v>
      </c>
      <c r="Q3449">
        <v>0.194985453365869</v>
      </c>
      <c r="R3449">
        <v>0.97287162591534404</v>
      </c>
      <c r="S3449" t="s">
        <v>9275</v>
      </c>
      <c r="T3449" t="s">
        <v>11650</v>
      </c>
      <c r="U3449" t="s">
        <v>11650</v>
      </c>
      <c r="V3449" t="s">
        <v>11650</v>
      </c>
      <c r="W3449" t="s">
        <v>15047</v>
      </c>
      <c r="X3449">
        <v>5</v>
      </c>
      <c r="Y3449" t="s">
        <v>20733</v>
      </c>
      <c r="Z3449" t="s">
        <v>26511</v>
      </c>
      <c r="AA3449">
        <v>0.77339856126538886</v>
      </c>
      <c r="AB3449" t="str">
        <f>HYPERLINK("Melting_Curves/meltCurve_Q5HYK3_COQ5.pdf", "Melting_Curves/meltCurve_Q5HYK3_COQ5.pdf")</f>
        <v>Melting_Curves/meltCurve_Q5HYK3_COQ5.pdf</v>
      </c>
    </row>
    <row r="3450" spans="1:28" x14ac:dyDescent="0.25">
      <c r="A3450" t="s">
        <v>3454</v>
      </c>
      <c r="B3450">
        <v>0.99996721820229495</v>
      </c>
      <c r="C3450">
        <v>0.97293011171426602</v>
      </c>
      <c r="D3450">
        <v>0.79747008110411</v>
      </c>
      <c r="E3450">
        <v>0.50735823798563495</v>
      </c>
      <c r="F3450">
        <v>0.37045568989758099</v>
      </c>
      <c r="G3450">
        <v>0.33449904707342898</v>
      </c>
      <c r="H3450">
        <v>0.21606527631452199</v>
      </c>
      <c r="I3450">
        <v>0.17335193084568601</v>
      </c>
      <c r="J3450">
        <v>0.146233798779283</v>
      </c>
      <c r="K3450">
        <v>9.8077829160523405E-2</v>
      </c>
      <c r="L3450">
        <v>714.78129150777295</v>
      </c>
      <c r="M3450">
        <v>14.3668970860464</v>
      </c>
      <c r="N3450">
        <v>50.878057827366703</v>
      </c>
      <c r="O3450">
        <v>48.817837924028403</v>
      </c>
      <c r="P3450">
        <v>-6.3561318082814997E-2</v>
      </c>
      <c r="Q3450">
        <v>0.13619343794623601</v>
      </c>
      <c r="R3450">
        <v>0.98570840820259698</v>
      </c>
      <c r="S3450" t="s">
        <v>9276</v>
      </c>
      <c r="T3450" t="s">
        <v>11650</v>
      </c>
      <c r="U3450" t="s">
        <v>11650</v>
      </c>
      <c r="V3450" t="s">
        <v>11650</v>
      </c>
      <c r="W3450" t="s">
        <v>15048</v>
      </c>
      <c r="X3450">
        <v>22</v>
      </c>
      <c r="Y3450" t="s">
        <v>20734</v>
      </c>
      <c r="Z3450" t="s">
        <v>26512</v>
      </c>
      <c r="AA3450">
        <v>0.43941127135710017</v>
      </c>
      <c r="AB3450" t="str">
        <f>HYPERLINK("Melting_Curves/meltCurve_Q5HYK7_SH3D19.pdf", "Melting_Curves/meltCurve_Q5HYK7_SH3D19.pdf")</f>
        <v>Melting_Curves/meltCurve_Q5HYK7_SH3D19.pdf</v>
      </c>
    </row>
    <row r="3451" spans="1:28" x14ac:dyDescent="0.25">
      <c r="A3451" t="s">
        <v>3455</v>
      </c>
      <c r="B3451">
        <v>0.99996721820229495</v>
      </c>
      <c r="C3451">
        <v>1.0172446619595299</v>
      </c>
      <c r="D3451">
        <v>0.98035382276954897</v>
      </c>
      <c r="E3451">
        <v>0.95729079641352199</v>
      </c>
      <c r="F3451">
        <v>1.0422541712079001</v>
      </c>
      <c r="G3451">
        <v>1.1505835632025401</v>
      </c>
      <c r="H3451">
        <v>0.32838642666516199</v>
      </c>
      <c r="I3451">
        <v>0.10733492387722</v>
      </c>
      <c r="J3451">
        <v>7.5964456828538501E-2</v>
      </c>
      <c r="K3451">
        <v>5.7607988466637901E-2</v>
      </c>
      <c r="L3451">
        <v>10772.265644576401</v>
      </c>
      <c r="M3451">
        <v>177.59017805014599</v>
      </c>
      <c r="N3451">
        <v>60.717836060226503</v>
      </c>
      <c r="O3451">
        <v>60.650311490279798</v>
      </c>
      <c r="P3451">
        <v>-0.67326670086745899</v>
      </c>
      <c r="Q3451">
        <v>8.0268163047437599E-2</v>
      </c>
      <c r="R3451">
        <v>0.98544035915097705</v>
      </c>
      <c r="S3451" t="s">
        <v>9277</v>
      </c>
      <c r="T3451" t="s">
        <v>11650</v>
      </c>
      <c r="U3451" t="s">
        <v>11650</v>
      </c>
      <c r="V3451" t="s">
        <v>11650</v>
      </c>
      <c r="W3451" t="s">
        <v>15049</v>
      </c>
      <c r="X3451">
        <v>31</v>
      </c>
      <c r="Y3451" t="s">
        <v>20735</v>
      </c>
      <c r="Z3451" t="s">
        <v>26513</v>
      </c>
      <c r="AA3451">
        <v>0.71378968407619658</v>
      </c>
      <c r="AB3451" t="str">
        <f>HYPERLINK("Melting_Curves/meltCurve_Q5JP53_TUBB.pdf", "Melting_Curves/meltCurve_Q5JP53_TUBB.pdf")</f>
        <v>Melting_Curves/meltCurve_Q5JP53_TUBB.pdf</v>
      </c>
    </row>
    <row r="3452" spans="1:28" x14ac:dyDescent="0.25">
      <c r="A3452" t="s">
        <v>3456</v>
      </c>
      <c r="B3452">
        <v>0.99996721820229495</v>
      </c>
      <c r="C3452">
        <v>0.78768826371746903</v>
      </c>
      <c r="D3452">
        <v>0.90452545577588805</v>
      </c>
      <c r="E3452">
        <v>0.92269977864268005</v>
      </c>
      <c r="F3452">
        <v>0.47043927607741598</v>
      </c>
      <c r="G3452">
        <v>0.222417623492315</v>
      </c>
      <c r="H3452">
        <v>0.122358503761219</v>
      </c>
      <c r="I3452">
        <v>4.8149687132333502E-2</v>
      </c>
      <c r="J3452">
        <v>1.1160713418056901E-2</v>
      </c>
      <c r="K3452">
        <v>1.55846929047582E-2</v>
      </c>
      <c r="L3452">
        <v>1242.08413362839</v>
      </c>
      <c r="M3452">
        <v>23.334478720703402</v>
      </c>
      <c r="N3452">
        <v>53.369309382290801</v>
      </c>
      <c r="O3452">
        <v>52.843249551061803</v>
      </c>
      <c r="P3452">
        <v>-0.107125076303874</v>
      </c>
      <c r="Q3452">
        <v>2.9635564842702002E-2</v>
      </c>
      <c r="R3452">
        <v>0.95691966219688795</v>
      </c>
      <c r="S3452" t="s">
        <v>9278</v>
      </c>
      <c r="T3452" t="s">
        <v>11650</v>
      </c>
      <c r="U3452" t="s">
        <v>11650</v>
      </c>
      <c r="V3452" t="s">
        <v>11650</v>
      </c>
      <c r="W3452" t="s">
        <v>15050</v>
      </c>
      <c r="X3452">
        <v>34</v>
      </c>
      <c r="Y3452" t="s">
        <v>20736</v>
      </c>
      <c r="Z3452" t="s">
        <v>26514</v>
      </c>
      <c r="AA3452">
        <v>0.46771224532757999</v>
      </c>
      <c r="AB3452" t="str">
        <f>HYPERLINK("Melting_Curves/meltCurve_Q5JPE7_2_NOMO2.pdf", "Melting_Curves/meltCurve_Q5JPE7_2_NOMO2.pdf")</f>
        <v>Melting_Curves/meltCurve_Q5JPE7_2_NOMO2.pdf</v>
      </c>
    </row>
    <row r="3453" spans="1:28" x14ac:dyDescent="0.25">
      <c r="A3453" t="s">
        <v>3457</v>
      </c>
      <c r="B3453">
        <v>0.99996721820229495</v>
      </c>
      <c r="C3453">
        <v>0.91285585102922195</v>
      </c>
      <c r="D3453">
        <v>0.35843529266188501</v>
      </c>
      <c r="E3453">
        <v>0.17336185548809099</v>
      </c>
      <c r="F3453">
        <v>0.16972943829842399</v>
      </c>
      <c r="G3453">
        <v>0.12100471285869201</v>
      </c>
      <c r="H3453">
        <v>8.3310353803827605E-2</v>
      </c>
      <c r="I3453">
        <v>6.1641470941692603E-2</v>
      </c>
      <c r="J3453">
        <v>3.8319979149654002E-2</v>
      </c>
      <c r="K3453">
        <v>3.3516443831777203E-2</v>
      </c>
      <c r="L3453">
        <v>1830.9481049198901</v>
      </c>
      <c r="M3453">
        <v>40.616800361860399</v>
      </c>
      <c r="N3453">
        <v>45.309094878949999</v>
      </c>
      <c r="O3453">
        <v>44.969730362069001</v>
      </c>
      <c r="P3453">
        <v>-0.20472473505182101</v>
      </c>
      <c r="Q3453">
        <v>9.3340873272294095E-2</v>
      </c>
      <c r="R3453">
        <v>0.98430230892846804</v>
      </c>
      <c r="S3453" t="s">
        <v>9279</v>
      </c>
      <c r="T3453" t="s">
        <v>11650</v>
      </c>
      <c r="U3453" t="s">
        <v>11650</v>
      </c>
      <c r="V3453" t="s">
        <v>11650</v>
      </c>
      <c r="W3453" t="s">
        <v>15051</v>
      </c>
      <c r="X3453">
        <v>7</v>
      </c>
      <c r="Y3453" t="s">
        <v>20737</v>
      </c>
      <c r="Z3453" t="s">
        <v>26515</v>
      </c>
      <c r="AA3453">
        <v>0.24971129009334481</v>
      </c>
      <c r="AB3453" t="str">
        <f>HYPERLINK("Melting_Curves/meltCurve_Q5JPH6_EARS2.pdf", "Melting_Curves/meltCurve_Q5JPH6_EARS2.pdf")</f>
        <v>Melting_Curves/meltCurve_Q5JPH6_EARS2.pdf</v>
      </c>
    </row>
    <row r="3454" spans="1:28" x14ac:dyDescent="0.25">
      <c r="A3454" t="s">
        <v>3458</v>
      </c>
      <c r="B3454">
        <v>0.99996721820229495</v>
      </c>
      <c r="C3454">
        <v>0.97815600611236397</v>
      </c>
      <c r="D3454">
        <v>0.81458784564683295</v>
      </c>
      <c r="E3454">
        <v>0.54637865232758498</v>
      </c>
      <c r="F3454">
        <v>0.54150989233255598</v>
      </c>
      <c r="G3454">
        <v>0.35818533309412298</v>
      </c>
      <c r="H3454">
        <v>0.24691713776081001</v>
      </c>
      <c r="I3454">
        <v>0.18547567993037001</v>
      </c>
      <c r="J3454">
        <v>0.12648072045457001</v>
      </c>
      <c r="K3454">
        <v>8.6967222296852206E-2</v>
      </c>
      <c r="L3454">
        <v>533.74863729407798</v>
      </c>
      <c r="M3454">
        <v>10.1490008802572</v>
      </c>
      <c r="N3454">
        <v>53.009747208195797</v>
      </c>
      <c r="O3454">
        <v>50.671988912199097</v>
      </c>
      <c r="P3454">
        <v>-4.8166429383675102E-2</v>
      </c>
      <c r="Q3454">
        <v>3.8499779846574302E-2</v>
      </c>
      <c r="R3454">
        <v>0.98299388692365597</v>
      </c>
      <c r="S3454" t="s">
        <v>9280</v>
      </c>
      <c r="T3454" t="s">
        <v>11650</v>
      </c>
      <c r="U3454" t="s">
        <v>11650</v>
      </c>
      <c r="V3454" t="s">
        <v>11650</v>
      </c>
      <c r="W3454" t="s">
        <v>15052</v>
      </c>
      <c r="X3454">
        <v>2</v>
      </c>
      <c r="Y3454" t="s">
        <v>20738</v>
      </c>
      <c r="Z3454" t="s">
        <v>26516</v>
      </c>
      <c r="AA3454">
        <v>0.47594229309527791</v>
      </c>
      <c r="AB3454" t="str">
        <f>HYPERLINK("Melting_Curves/meltCurve_Q5JPI9_METTL10.pdf", "Melting_Curves/meltCurve_Q5JPI9_METTL10.pdf")</f>
        <v>Melting_Curves/meltCurve_Q5JPI9_METTL10.pdf</v>
      </c>
    </row>
    <row r="3455" spans="1:28" x14ac:dyDescent="0.25">
      <c r="A3455" t="s">
        <v>3459</v>
      </c>
      <c r="B3455">
        <v>0.99996721820229495</v>
      </c>
      <c r="C3455">
        <v>0.95498524698132403</v>
      </c>
      <c r="D3455">
        <v>1.01529227801026</v>
      </c>
      <c r="E3455">
        <v>1.31188912959319</v>
      </c>
      <c r="F3455">
        <v>1.7253010335255401</v>
      </c>
      <c r="G3455">
        <v>1.9776341759509599</v>
      </c>
      <c r="H3455">
        <v>1.2770724202657899</v>
      </c>
      <c r="I3455">
        <v>0.52889571572899396</v>
      </c>
      <c r="J3455">
        <v>0.38475662771031799</v>
      </c>
      <c r="K3455">
        <v>0.25176994072757902</v>
      </c>
      <c r="L3455">
        <v>15000</v>
      </c>
      <c r="M3455">
        <v>235.17968105661501</v>
      </c>
      <c r="N3455">
        <v>64.056677214572701</v>
      </c>
      <c r="O3455">
        <v>63.776408060144703</v>
      </c>
      <c r="P3455">
        <v>-0.62849899126331599</v>
      </c>
      <c r="Q3455">
        <v>0.31825048943439799</v>
      </c>
      <c r="R3455">
        <v>0.4046835858908</v>
      </c>
      <c r="S3455" t="s">
        <v>9281</v>
      </c>
      <c r="T3455" t="s">
        <v>11650</v>
      </c>
      <c r="U3455" t="s">
        <v>11650</v>
      </c>
      <c r="V3455" t="s">
        <v>11650</v>
      </c>
      <c r="W3455" t="s">
        <v>15053</v>
      </c>
      <c r="X3455">
        <v>80</v>
      </c>
      <c r="Y3455" t="s">
        <v>20739</v>
      </c>
      <c r="Z3455" t="s">
        <v>26517</v>
      </c>
      <c r="AA3455">
        <v>0.8587600214322717</v>
      </c>
      <c r="AB3455" t="str">
        <f>HYPERLINK("Melting_Curves/meltCurve_Q5JQ13_VCL.pdf", "Melting_Curves/meltCurve_Q5JQ13_VCL.pdf")</f>
        <v>Melting_Curves/meltCurve_Q5JQ13_VCL.pdf</v>
      </c>
    </row>
    <row r="3456" spans="1:28" x14ac:dyDescent="0.25">
      <c r="A3456" t="s">
        <v>3460</v>
      </c>
      <c r="B3456">
        <v>0.99996721820229495</v>
      </c>
      <c r="C3456">
        <v>0.87098753224185699</v>
      </c>
      <c r="D3456">
        <v>0.68620593871097102</v>
      </c>
      <c r="E3456">
        <v>0.471349817470196</v>
      </c>
      <c r="F3456">
        <v>0.31682072071311301</v>
      </c>
      <c r="G3456">
        <v>0.19516450816269501</v>
      </c>
      <c r="H3456">
        <v>0.13812904171575099</v>
      </c>
      <c r="I3456">
        <v>0.123939051674663</v>
      </c>
      <c r="J3456">
        <v>0.111800378953303</v>
      </c>
      <c r="K3456">
        <v>0.109989013575192</v>
      </c>
      <c r="L3456">
        <v>670.299398104744</v>
      </c>
      <c r="M3456">
        <v>13.8041554612334</v>
      </c>
      <c r="N3456">
        <v>49.296279795916902</v>
      </c>
      <c r="O3456">
        <v>47.572787357911203</v>
      </c>
      <c r="P3456">
        <v>-6.5775605870548801E-2</v>
      </c>
      <c r="Q3456">
        <v>9.3405898715372193E-2</v>
      </c>
      <c r="R3456">
        <v>0.99707210768141596</v>
      </c>
      <c r="S3456" t="s">
        <v>9282</v>
      </c>
      <c r="T3456" t="s">
        <v>11650</v>
      </c>
      <c r="U3456" t="s">
        <v>11650</v>
      </c>
      <c r="V3456" t="s">
        <v>11650</v>
      </c>
      <c r="W3456" t="s">
        <v>15054</v>
      </c>
      <c r="X3456">
        <v>2</v>
      </c>
      <c r="Y3456" t="s">
        <v>20740</v>
      </c>
      <c r="Z3456" t="s">
        <v>26518</v>
      </c>
      <c r="AA3456">
        <v>0.37866141259251018</v>
      </c>
      <c r="AB3456" t="str">
        <f>HYPERLINK("Melting_Curves/meltCurve_Q5JQQ4_DPCD.pdf", "Melting_Curves/meltCurve_Q5JQQ4_DPCD.pdf")</f>
        <v>Melting_Curves/meltCurve_Q5JQQ4_DPCD.pdf</v>
      </c>
    </row>
    <row r="3457" spans="1:28" x14ac:dyDescent="0.25">
      <c r="A3457" t="s">
        <v>3461</v>
      </c>
      <c r="B3457">
        <v>0.99996721820229495</v>
      </c>
      <c r="C3457">
        <v>1.00076437875666</v>
      </c>
      <c r="D3457">
        <v>1.11706722546731</v>
      </c>
      <c r="E3457">
        <v>0.92800601814359496</v>
      </c>
      <c r="F3457">
        <v>1.77573674768936</v>
      </c>
      <c r="G3457">
        <v>0.90761930844100402</v>
      </c>
      <c r="H3457">
        <v>0.57056482745319304</v>
      </c>
      <c r="I3457">
        <v>0.37793140153042298</v>
      </c>
      <c r="J3457">
        <v>0.41297469069889298</v>
      </c>
      <c r="K3457">
        <v>0.15619176261533199</v>
      </c>
      <c r="L3457">
        <v>2374.5553010398398</v>
      </c>
      <c r="M3457">
        <v>39.210013802963402</v>
      </c>
      <c r="N3457">
        <v>61.841730732741503</v>
      </c>
      <c r="O3457">
        <v>60.403015114191597</v>
      </c>
      <c r="P3457">
        <v>-0.11714171753235</v>
      </c>
      <c r="Q3457">
        <v>0.27817421543953003</v>
      </c>
      <c r="R3457">
        <v>0.66323994989145796</v>
      </c>
      <c r="S3457" t="s">
        <v>9283</v>
      </c>
      <c r="T3457" t="s">
        <v>11650</v>
      </c>
      <c r="U3457" t="s">
        <v>11650</v>
      </c>
      <c r="V3457" t="s">
        <v>11650</v>
      </c>
      <c r="W3457" t="s">
        <v>15055</v>
      </c>
      <c r="X3457">
        <v>9</v>
      </c>
      <c r="Y3457" t="s">
        <v>20116</v>
      </c>
      <c r="Z3457" t="s">
        <v>26519</v>
      </c>
      <c r="AA3457">
        <v>0.77574370213962174</v>
      </c>
      <c r="AB3457" t="str">
        <f>HYPERLINK("Melting_Curves/meltCurve_Q5JR01_EEF1A1.pdf", "Melting_Curves/meltCurve_Q5JR01_EEF1A1.pdf")</f>
        <v>Melting_Curves/meltCurve_Q5JR01_EEF1A1.pdf</v>
      </c>
    </row>
    <row r="3458" spans="1:28" x14ac:dyDescent="0.25">
      <c r="A3458" t="s">
        <v>3462</v>
      </c>
      <c r="B3458">
        <v>0.99996721820229495</v>
      </c>
      <c r="C3458">
        <v>0.95214703329552397</v>
      </c>
      <c r="D3458">
        <v>0.89341644406550802</v>
      </c>
      <c r="E3458">
        <v>0.79028847951888104</v>
      </c>
      <c r="F3458">
        <v>0.68467046943510201</v>
      </c>
      <c r="G3458">
        <v>0.46009485076062001</v>
      </c>
      <c r="H3458">
        <v>0.24889580439178299</v>
      </c>
      <c r="I3458">
        <v>0.150911466239496</v>
      </c>
      <c r="J3458">
        <v>0.106261320089511</v>
      </c>
      <c r="K3458">
        <v>7.1718971371058704E-2</v>
      </c>
      <c r="L3458">
        <v>686.05898721890196</v>
      </c>
      <c r="M3458">
        <v>12.291258320976899</v>
      </c>
      <c r="N3458">
        <v>55.8168287367874</v>
      </c>
      <c r="O3458">
        <v>54.401035956654901</v>
      </c>
      <c r="P3458">
        <v>-5.64968939379204E-2</v>
      </c>
      <c r="Q3458">
        <v>0</v>
      </c>
      <c r="R3458">
        <v>0.99649320029321398</v>
      </c>
      <c r="S3458" t="s">
        <v>9284</v>
      </c>
      <c r="T3458" t="s">
        <v>11650</v>
      </c>
      <c r="U3458" t="s">
        <v>11650</v>
      </c>
      <c r="V3458" t="s">
        <v>11650</v>
      </c>
      <c r="W3458" t="s">
        <v>15056</v>
      </c>
      <c r="X3458">
        <v>16</v>
      </c>
      <c r="Y3458" t="s">
        <v>20741</v>
      </c>
      <c r="Z3458" t="s">
        <v>26520</v>
      </c>
      <c r="AA3458">
        <v>0.54796962826886131</v>
      </c>
      <c r="AB3458" t="str">
        <f>HYPERLINK("Melting_Curves/meltCurve_Q5JR08_RHOC.pdf", "Melting_Curves/meltCurve_Q5JR08_RHOC.pdf")</f>
        <v>Melting_Curves/meltCurve_Q5JR08_RHOC.pdf</v>
      </c>
    </row>
    <row r="3459" spans="1:28" x14ac:dyDescent="0.25">
      <c r="A3459" t="s">
        <v>3463</v>
      </c>
      <c r="B3459">
        <v>0.99996721820229495</v>
      </c>
      <c r="C3459">
        <v>0.97625495220606096</v>
      </c>
      <c r="D3459">
        <v>1.00587975653711</v>
      </c>
      <c r="E3459">
        <v>1.06791435793377</v>
      </c>
      <c r="F3459">
        <v>0.98806331894728205</v>
      </c>
      <c r="G3459">
        <v>0.86158749969923598</v>
      </c>
      <c r="H3459">
        <v>0.54489392706938999</v>
      </c>
      <c r="I3459">
        <v>0.36914541013410301</v>
      </c>
      <c r="J3459">
        <v>0.28018682219713698</v>
      </c>
      <c r="K3459">
        <v>0.30862089161689998</v>
      </c>
      <c r="L3459">
        <v>1817.96071592916</v>
      </c>
      <c r="M3459">
        <v>30.380281336538498</v>
      </c>
      <c r="N3459">
        <v>61.495295333844901</v>
      </c>
      <c r="O3459">
        <v>59.582673107889697</v>
      </c>
      <c r="P3459">
        <v>-9.1872397416598806E-2</v>
      </c>
      <c r="Q3459">
        <v>0.27927342722647502</v>
      </c>
      <c r="R3459">
        <v>0.99296375428503902</v>
      </c>
      <c r="S3459" t="s">
        <v>9285</v>
      </c>
      <c r="T3459" t="s">
        <v>11650</v>
      </c>
      <c r="U3459" t="s">
        <v>11650</v>
      </c>
      <c r="V3459" t="s">
        <v>11650</v>
      </c>
      <c r="W3459" t="s">
        <v>15057</v>
      </c>
      <c r="X3459">
        <v>56</v>
      </c>
      <c r="Y3459" t="s">
        <v>20742</v>
      </c>
      <c r="Z3459" t="s">
        <v>26521</v>
      </c>
      <c r="AA3459">
        <v>0.76026984651667884</v>
      </c>
      <c r="AB3459" t="str">
        <f>HYPERLINK("Melting_Curves/meltCurve_Q5JRA6_MIA3.pdf", "Melting_Curves/meltCurve_Q5JRA6_MIA3.pdf")</f>
        <v>Melting_Curves/meltCurve_Q5JRA6_MIA3.pdf</v>
      </c>
    </row>
    <row r="3460" spans="1:28" x14ac:dyDescent="0.25">
      <c r="A3460" t="s">
        <v>3464</v>
      </c>
      <c r="B3460">
        <v>0.99996721820229495</v>
      </c>
      <c r="C3460">
        <v>0.82058329079702097</v>
      </c>
      <c r="D3460">
        <v>0.94554106372305202</v>
      </c>
      <c r="E3460">
        <v>1.4810079032324801</v>
      </c>
      <c r="F3460">
        <v>1.8615257109579399</v>
      </c>
      <c r="G3460">
        <v>1.58531213878328</v>
      </c>
      <c r="H3460">
        <v>0.95924976268648299</v>
      </c>
      <c r="I3460">
        <v>0.656645775268073</v>
      </c>
      <c r="J3460">
        <v>0.58220861613089203</v>
      </c>
      <c r="K3460">
        <v>0.48983401365831503</v>
      </c>
      <c r="L3460">
        <v>4402.1369335843701</v>
      </c>
      <c r="M3460">
        <v>69.735188037741096</v>
      </c>
      <c r="O3460">
        <v>63.0746270022441</v>
      </c>
      <c r="P3460">
        <v>-0.129946068447892</v>
      </c>
      <c r="Q3460">
        <v>0.529861571206801</v>
      </c>
      <c r="R3460">
        <v>0.28335713867109902</v>
      </c>
      <c r="S3460" t="s">
        <v>9286</v>
      </c>
      <c r="T3460" t="s">
        <v>11650</v>
      </c>
      <c r="U3460" t="s">
        <v>11650</v>
      </c>
      <c r="V3460" t="s">
        <v>11650</v>
      </c>
      <c r="W3460" t="s">
        <v>15058</v>
      </c>
      <c r="X3460">
        <v>3</v>
      </c>
      <c r="Y3460" t="s">
        <v>20743</v>
      </c>
      <c r="Z3460" t="s">
        <v>26522</v>
      </c>
      <c r="AA3460">
        <v>0.89293516395139483</v>
      </c>
      <c r="AB3460" t="str">
        <f>HYPERLINK("Melting_Curves/meltCurve_Q5JRG1_NUPL1.pdf", "Melting_Curves/meltCurve_Q5JRG1_NUPL1.pdf")</f>
        <v>Melting_Curves/meltCurve_Q5JRG1_NUPL1.pdf</v>
      </c>
    </row>
    <row r="3461" spans="1:28" x14ac:dyDescent="0.25">
      <c r="A3461" t="s">
        <v>3465</v>
      </c>
      <c r="B3461">
        <v>0.99996721820229495</v>
      </c>
      <c r="C3461">
        <v>1.2020521648693501</v>
      </c>
      <c r="D3461">
        <v>0.96976169601548301</v>
      </c>
      <c r="E3461">
        <v>1.1151067546751701</v>
      </c>
      <c r="F3461">
        <v>1.3869609582101501</v>
      </c>
      <c r="G3461">
        <v>1.1893790309613701</v>
      </c>
      <c r="H3461">
        <v>0.97568279789271695</v>
      </c>
      <c r="I3461">
        <v>1.0146106910882999</v>
      </c>
      <c r="J3461">
        <v>0.68009771807206998</v>
      </c>
      <c r="K3461">
        <v>0.74948183754074305</v>
      </c>
      <c r="L3461">
        <v>15000</v>
      </c>
      <c r="M3461">
        <v>229.504001621529</v>
      </c>
      <c r="O3461">
        <v>65.353375384582705</v>
      </c>
      <c r="P3461">
        <v>-0.25073537446564698</v>
      </c>
      <c r="Q3461">
        <v>0.71440318706032402</v>
      </c>
      <c r="R3461">
        <v>0.3878120668101</v>
      </c>
      <c r="S3461" t="s">
        <v>9287</v>
      </c>
      <c r="T3461" t="s">
        <v>11650</v>
      </c>
      <c r="U3461" t="s">
        <v>11650</v>
      </c>
      <c r="V3461" t="s">
        <v>11650</v>
      </c>
      <c r="W3461" t="s">
        <v>15059</v>
      </c>
      <c r="X3461">
        <v>5</v>
      </c>
      <c r="Y3461" t="s">
        <v>20744</v>
      </c>
      <c r="Z3461" t="s">
        <v>26523</v>
      </c>
      <c r="AA3461">
        <v>0.9558507382503042</v>
      </c>
      <c r="AB3461" t="str">
        <f>HYPERLINK("Melting_Curves/meltCurve_Q5JRI1_SRSF10.pdf", "Melting_Curves/meltCurve_Q5JRI1_SRSF10.pdf")</f>
        <v>Melting_Curves/meltCurve_Q5JRI1_SRSF10.pdf</v>
      </c>
    </row>
    <row r="3462" spans="1:28" x14ac:dyDescent="0.25">
      <c r="A3462" t="s">
        <v>3466</v>
      </c>
      <c r="B3462">
        <v>0.99996721820229495</v>
      </c>
      <c r="C3462">
        <v>0.96801464044693397</v>
      </c>
      <c r="D3462">
        <v>0.83397780489697404</v>
      </c>
      <c r="E3462">
        <v>0.58831139536610699</v>
      </c>
      <c r="F3462">
        <v>0.44143648368670402</v>
      </c>
      <c r="G3462">
        <v>0.34922869224800901</v>
      </c>
      <c r="H3462">
        <v>0.17634342426125599</v>
      </c>
      <c r="I3462">
        <v>0.121854407445668</v>
      </c>
      <c r="J3462">
        <v>8.9344096155498307E-2</v>
      </c>
      <c r="K3462">
        <v>7.4935852687020396E-2</v>
      </c>
      <c r="L3462">
        <v>613.92916307583198</v>
      </c>
      <c r="M3462">
        <v>11.815102520992401</v>
      </c>
      <c r="N3462">
        <v>52.2929535714281</v>
      </c>
      <c r="O3462">
        <v>50.539900129359197</v>
      </c>
      <c r="P3462">
        <v>-5.6349703898089097E-2</v>
      </c>
      <c r="Q3462">
        <v>3.6088091084217698E-2</v>
      </c>
      <c r="R3462">
        <v>0.99284893607487101</v>
      </c>
      <c r="S3462" t="s">
        <v>9288</v>
      </c>
      <c r="T3462" t="s">
        <v>11650</v>
      </c>
      <c r="U3462" t="s">
        <v>11650</v>
      </c>
      <c r="V3462" t="s">
        <v>11650</v>
      </c>
      <c r="W3462" t="s">
        <v>15060</v>
      </c>
      <c r="X3462">
        <v>36</v>
      </c>
      <c r="Y3462" t="s">
        <v>20745</v>
      </c>
      <c r="Z3462" t="s">
        <v>26524</v>
      </c>
      <c r="AA3462">
        <v>0.45058188041690023</v>
      </c>
      <c r="AB3462" t="str">
        <f>HYPERLINK("Melting_Curves/meltCurve_Q5JRX3_PITRM1.pdf", "Melting_Curves/meltCurve_Q5JRX3_PITRM1.pdf")</f>
        <v>Melting_Curves/meltCurve_Q5JRX3_PITRM1.pdf</v>
      </c>
    </row>
    <row r="3463" spans="1:28" x14ac:dyDescent="0.25">
      <c r="A3463" t="s">
        <v>3467</v>
      </c>
      <c r="B3463">
        <v>0.99996721820229495</v>
      </c>
      <c r="C3463">
        <v>0.91257825200510001</v>
      </c>
      <c r="D3463">
        <v>0.92073240574631199</v>
      </c>
      <c r="E3463">
        <v>0.92020821563837696</v>
      </c>
      <c r="F3463">
        <v>1.3027823564243399</v>
      </c>
      <c r="G3463">
        <v>1.5039664323772299</v>
      </c>
      <c r="H3463">
        <v>1.0892595436936701</v>
      </c>
      <c r="I3463">
        <v>0.843193325373642</v>
      </c>
      <c r="J3463">
        <v>0.58003646733853298</v>
      </c>
      <c r="K3463">
        <v>0.51948593383419395</v>
      </c>
      <c r="L3463">
        <v>5143.7255954703496</v>
      </c>
      <c r="M3463">
        <v>79.613704182067707</v>
      </c>
      <c r="O3463">
        <v>64.567814883300201</v>
      </c>
      <c r="P3463">
        <v>-0.143333213502258</v>
      </c>
      <c r="Q3463">
        <v>0.53501919065127401</v>
      </c>
      <c r="R3463">
        <v>0.52428293921239799</v>
      </c>
      <c r="S3463" t="s">
        <v>9289</v>
      </c>
      <c r="T3463" t="s">
        <v>11650</v>
      </c>
      <c r="U3463" t="s">
        <v>11650</v>
      </c>
      <c r="V3463" t="s">
        <v>11650</v>
      </c>
      <c r="W3463" t="s">
        <v>15061</v>
      </c>
      <c r="X3463">
        <v>4</v>
      </c>
      <c r="Y3463" t="s">
        <v>20746</v>
      </c>
      <c r="Z3463" t="s">
        <v>26525</v>
      </c>
      <c r="AA3463">
        <v>0.91692384943509053</v>
      </c>
      <c r="AB3463" t="str">
        <f>HYPERLINK("Melting_Curves/meltCurve_Q5JS37_NHLRC3.pdf", "Melting_Curves/meltCurve_Q5JS37_NHLRC3.pdf")</f>
        <v>Melting_Curves/meltCurve_Q5JS37_NHLRC3.pdf</v>
      </c>
    </row>
    <row r="3464" spans="1:28" x14ac:dyDescent="0.25">
      <c r="A3464" t="s">
        <v>3468</v>
      </c>
      <c r="B3464">
        <v>0.99996721820229495</v>
      </c>
      <c r="C3464">
        <v>1.0802482422539099</v>
      </c>
      <c r="D3464">
        <v>1.0373771263913201</v>
      </c>
      <c r="E3464">
        <v>1.0710610656399999</v>
      </c>
      <c r="F3464">
        <v>1.3858401845909101</v>
      </c>
      <c r="G3464">
        <v>1.3788265659419301</v>
      </c>
      <c r="H3464">
        <v>0.91416276832140797</v>
      </c>
      <c r="I3464">
        <v>0.97080791206705797</v>
      </c>
      <c r="J3464">
        <v>0.67830191380047999</v>
      </c>
      <c r="K3464">
        <v>0.33694928843389199</v>
      </c>
      <c r="L3464">
        <v>3720.17570425755</v>
      </c>
      <c r="M3464">
        <v>55.245149970308901</v>
      </c>
      <c r="N3464">
        <v>68.222680296366306</v>
      </c>
      <c r="O3464">
        <v>67.251360784258907</v>
      </c>
      <c r="P3464">
        <v>-0.15290371014725901</v>
      </c>
      <c r="Q3464">
        <v>0.25546591349361802</v>
      </c>
      <c r="R3464">
        <v>0.63443313456472195</v>
      </c>
      <c r="S3464" t="s">
        <v>9290</v>
      </c>
      <c r="T3464" t="s">
        <v>11650</v>
      </c>
      <c r="U3464" t="s">
        <v>11650</v>
      </c>
      <c r="V3464" t="s">
        <v>11650</v>
      </c>
      <c r="W3464" t="s">
        <v>15062</v>
      </c>
      <c r="X3464">
        <v>3</v>
      </c>
      <c r="Y3464" t="s">
        <v>20747</v>
      </c>
      <c r="Z3464" t="s">
        <v>26526</v>
      </c>
      <c r="AA3464">
        <v>0.93184732935804093</v>
      </c>
      <c r="AB3464" t="str">
        <f>HYPERLINK("Melting_Curves/meltCurve_Q5JS54_PSMG4.pdf", "Melting_Curves/meltCurve_Q5JS54_PSMG4.pdf")</f>
        <v>Melting_Curves/meltCurve_Q5JS54_PSMG4.pdf</v>
      </c>
    </row>
    <row r="3465" spans="1:28" x14ac:dyDescent="0.25">
      <c r="A3465" t="s">
        <v>3469</v>
      </c>
      <c r="B3465">
        <v>0.99996721820229495</v>
      </c>
      <c r="C3465">
        <v>1.2311270097813301</v>
      </c>
      <c r="D3465">
        <v>1.0443400336091999</v>
      </c>
      <c r="E3465">
        <v>0.90711895412271004</v>
      </c>
      <c r="F3465">
        <v>0.893688599800742</v>
      </c>
      <c r="G3465">
        <v>0.71355272972189998</v>
      </c>
      <c r="H3465">
        <v>0.40726161124693999</v>
      </c>
      <c r="I3465">
        <v>0.29911422963040901</v>
      </c>
      <c r="J3465">
        <v>0.246752260554054</v>
      </c>
      <c r="K3465">
        <v>0.155924842413149</v>
      </c>
      <c r="L3465">
        <v>1046.2321380829401</v>
      </c>
      <c r="M3465">
        <v>17.7592127076163</v>
      </c>
      <c r="N3465">
        <v>59.886514755639197</v>
      </c>
      <c r="O3465">
        <v>58.180332016558097</v>
      </c>
      <c r="P3465">
        <v>-6.6738948442863502E-2</v>
      </c>
      <c r="Q3465">
        <v>0.125481020868492</v>
      </c>
      <c r="R3465">
        <v>0.95271851591377099</v>
      </c>
      <c r="S3465" t="s">
        <v>9291</v>
      </c>
      <c r="T3465" t="s">
        <v>11650</v>
      </c>
      <c r="U3465" t="s">
        <v>11650</v>
      </c>
      <c r="V3465" t="s">
        <v>11650</v>
      </c>
      <c r="W3465" t="s">
        <v>15063</v>
      </c>
      <c r="X3465">
        <v>1</v>
      </c>
      <c r="Y3465" t="s">
        <v>20748</v>
      </c>
      <c r="Z3465" t="s">
        <v>26527</v>
      </c>
      <c r="AA3465">
        <v>0.6862340964674617</v>
      </c>
      <c r="AB3465" t="str">
        <f>HYPERLINK("Melting_Curves/meltCurve_Q5JSB6_TFDP1.pdf", "Melting_Curves/meltCurve_Q5JSB6_TFDP1.pdf")</f>
        <v>Melting_Curves/meltCurve_Q5JSB6_TFDP1.pdf</v>
      </c>
    </row>
    <row r="3466" spans="1:28" x14ac:dyDescent="0.25">
      <c r="A3466" t="s">
        <v>3470</v>
      </c>
      <c r="B3466">
        <v>0.99996721820229495</v>
      </c>
      <c r="C3466">
        <v>1.1187094091749401</v>
      </c>
      <c r="D3466">
        <v>1.0911131730291701</v>
      </c>
      <c r="E3466">
        <v>1.1228155758601699</v>
      </c>
      <c r="F3466">
        <v>1.31503968090727</v>
      </c>
      <c r="G3466">
        <v>1.09560125282285</v>
      </c>
      <c r="H3466">
        <v>0.41508205353639899</v>
      </c>
      <c r="I3466">
        <v>0.248394077908724</v>
      </c>
      <c r="J3466">
        <v>0.20638894337027</v>
      </c>
      <c r="K3466">
        <v>0.18341947601061401</v>
      </c>
      <c r="L3466">
        <v>9204.0109110138601</v>
      </c>
      <c r="M3466">
        <v>151.94579894428199</v>
      </c>
      <c r="N3466">
        <v>60.7959106954033</v>
      </c>
      <c r="O3466">
        <v>60.563811613749998</v>
      </c>
      <c r="P3466">
        <v>-0.49384726470608797</v>
      </c>
      <c r="Q3466">
        <v>0.21263312017588501</v>
      </c>
      <c r="R3466">
        <v>0.92058346735521102</v>
      </c>
      <c r="S3466" t="s">
        <v>9292</v>
      </c>
      <c r="T3466" t="s">
        <v>11650</v>
      </c>
      <c r="U3466" t="s">
        <v>11650</v>
      </c>
      <c r="V3466" t="s">
        <v>11650</v>
      </c>
      <c r="W3466" t="s">
        <v>15064</v>
      </c>
      <c r="X3466">
        <v>48</v>
      </c>
      <c r="Y3466" t="s">
        <v>20749</v>
      </c>
      <c r="Z3466" t="s">
        <v>26528</v>
      </c>
      <c r="AA3466">
        <v>0.75284396275693333</v>
      </c>
      <c r="AB3466" t="str">
        <f>HYPERLINK("Melting_Curves/meltCurve_Q5JSH3_2_WDR44.pdf", "Melting_Curves/meltCurve_Q5JSH3_2_WDR44.pdf")</f>
        <v>Melting_Curves/meltCurve_Q5JSH3_2_WDR44.pdf</v>
      </c>
    </row>
    <row r="3467" spans="1:28" x14ac:dyDescent="0.25">
      <c r="A3467" t="s">
        <v>3471</v>
      </c>
      <c r="B3467">
        <v>0.99996721820229495</v>
      </c>
      <c r="C3467">
        <v>0.90615526440511396</v>
      </c>
      <c r="D3467">
        <v>0.72570363992046105</v>
      </c>
      <c r="E3467">
        <v>1.1081375284499499</v>
      </c>
      <c r="F3467">
        <v>1.35819368757315</v>
      </c>
      <c r="G3467">
        <v>1.1869681748185801</v>
      </c>
      <c r="H3467">
        <v>1.32562734104852</v>
      </c>
      <c r="I3467">
        <v>1.80256863047599</v>
      </c>
      <c r="J3467">
        <v>1.1528663854343799</v>
      </c>
      <c r="K3467">
        <v>1.22593514446745</v>
      </c>
      <c r="L3467">
        <v>12538.5720931908</v>
      </c>
      <c r="M3467">
        <v>250</v>
      </c>
      <c r="O3467">
        <v>50.151064281916703</v>
      </c>
      <c r="P3467">
        <v>0.42624536136646102</v>
      </c>
      <c r="Q3467">
        <v>1.34202663555714</v>
      </c>
      <c r="R3467">
        <v>0.51471661537119096</v>
      </c>
      <c r="S3467" t="s">
        <v>9293</v>
      </c>
      <c r="T3467" t="s">
        <v>11650</v>
      </c>
      <c r="U3467" t="s">
        <v>11650</v>
      </c>
      <c r="V3467" t="s">
        <v>11650</v>
      </c>
      <c r="W3467" t="s">
        <v>15065</v>
      </c>
      <c r="X3467">
        <v>3</v>
      </c>
      <c r="Y3467" t="s">
        <v>20750</v>
      </c>
      <c r="Z3467" t="s">
        <v>26529</v>
      </c>
      <c r="AA3467">
        <v>1.2262286274203771</v>
      </c>
      <c r="AB3467" t="str">
        <f>HYPERLINK("Melting_Curves/meltCurve_Q5JSK7_HMGN5.pdf", "Melting_Curves/meltCurve_Q5JSK7_HMGN5.pdf")</f>
        <v>Melting_Curves/meltCurve_Q5JSK7_HMGN5.pdf</v>
      </c>
    </row>
    <row r="3468" spans="1:28" x14ac:dyDescent="0.25">
      <c r="A3468" t="s">
        <v>3472</v>
      </c>
      <c r="B3468">
        <v>0.99996721820229495</v>
      </c>
      <c r="C3468">
        <v>0.93705580913356501</v>
      </c>
      <c r="D3468">
        <v>0.97991950534660999</v>
      </c>
      <c r="E3468">
        <v>1.0999759732966301</v>
      </c>
      <c r="F3468">
        <v>1.3569748957521499</v>
      </c>
      <c r="G3468">
        <v>1.32084268829778</v>
      </c>
      <c r="H3468">
        <v>0.92610501532739198</v>
      </c>
      <c r="I3468">
        <v>0.85076192325398103</v>
      </c>
      <c r="J3468">
        <v>0.83609158495534097</v>
      </c>
      <c r="K3468">
        <v>0.76925378254328303</v>
      </c>
      <c r="L3468">
        <v>3839.0527423242102</v>
      </c>
      <c r="M3468">
        <v>62.037335083187102</v>
      </c>
      <c r="O3468">
        <v>61.8187363300976</v>
      </c>
      <c r="P3468">
        <v>-4.7980985369204997E-2</v>
      </c>
      <c r="Q3468">
        <v>0.80875240602914999</v>
      </c>
      <c r="R3468">
        <v>0.29450464424045297</v>
      </c>
      <c r="S3468" t="s">
        <v>9294</v>
      </c>
      <c r="T3468" t="s">
        <v>11650</v>
      </c>
      <c r="U3468" t="s">
        <v>11650</v>
      </c>
      <c r="V3468" t="s">
        <v>11650</v>
      </c>
      <c r="W3468" t="s">
        <v>15066</v>
      </c>
      <c r="X3468">
        <v>18</v>
      </c>
      <c r="Y3468" t="s">
        <v>20751</v>
      </c>
      <c r="Z3468" t="s">
        <v>26530</v>
      </c>
      <c r="AA3468">
        <v>0.9485864969169413</v>
      </c>
      <c r="AB3468" t="str">
        <f>HYPERLINK("Melting_Curves/meltCurve_Q5JSZ5_PRRC2B.pdf", "Melting_Curves/meltCurve_Q5JSZ5_PRRC2B.pdf")</f>
        <v>Melting_Curves/meltCurve_Q5JSZ5_PRRC2B.pdf</v>
      </c>
    </row>
    <row r="3469" spans="1:28" x14ac:dyDescent="0.25">
      <c r="A3469" t="s">
        <v>3473</v>
      </c>
      <c r="B3469">
        <v>0.99996721820229495</v>
      </c>
      <c r="C3469">
        <v>0.92692245662335404</v>
      </c>
      <c r="D3469">
        <v>1.22207394843012</v>
      </c>
      <c r="E3469">
        <v>1.17494635179235</v>
      </c>
      <c r="F3469">
        <v>1.7195771138368099</v>
      </c>
      <c r="G3469">
        <v>1.7262198350559199</v>
      </c>
      <c r="H3469">
        <v>1.4455377840564501</v>
      </c>
      <c r="I3469">
        <v>0.891584817058926</v>
      </c>
      <c r="J3469">
        <v>0.64549124539434</v>
      </c>
      <c r="K3469">
        <v>0.43073720928706599</v>
      </c>
      <c r="L3469">
        <v>4002.9267946723498</v>
      </c>
      <c r="M3469">
        <v>60.225331060894803</v>
      </c>
      <c r="N3469">
        <v>68.387600855685406</v>
      </c>
      <c r="O3469">
        <v>66.392664749414095</v>
      </c>
      <c r="P3469">
        <v>-0.13426085417738901</v>
      </c>
      <c r="Q3469">
        <v>0.40796123059400302</v>
      </c>
      <c r="R3469">
        <v>0.19138716419545199</v>
      </c>
      <c r="S3469" t="s">
        <v>9295</v>
      </c>
      <c r="T3469" t="s">
        <v>11650</v>
      </c>
      <c r="U3469" t="s">
        <v>11650</v>
      </c>
      <c r="V3469" t="s">
        <v>11650</v>
      </c>
      <c r="W3469" t="s">
        <v>15067</v>
      </c>
      <c r="X3469">
        <v>1</v>
      </c>
      <c r="Y3469" t="s">
        <v>20752</v>
      </c>
      <c r="Z3469" t="s">
        <v>26531</v>
      </c>
      <c r="AA3469">
        <v>0.93027861035723858</v>
      </c>
      <c r="AB3469" t="str">
        <f>HYPERLINK("Melting_Curves/meltCurve_Q5JT25_2_RAB41.pdf", "Melting_Curves/meltCurve_Q5JT25_2_RAB41.pdf")</f>
        <v>Melting_Curves/meltCurve_Q5JT25_2_RAB41.pdf</v>
      </c>
    </row>
    <row r="3470" spans="1:28" x14ac:dyDescent="0.25">
      <c r="A3470" t="s">
        <v>3474</v>
      </c>
      <c r="B3470">
        <v>0.99996721820229495</v>
      </c>
      <c r="C3470">
        <v>1.04446037309855</v>
      </c>
      <c r="D3470">
        <v>0.98801771175265996</v>
      </c>
      <c r="E3470">
        <v>0.928531932629023</v>
      </c>
      <c r="F3470">
        <v>0.98289696589563302</v>
      </c>
      <c r="G3470">
        <v>0.86370551366827997</v>
      </c>
      <c r="H3470">
        <v>0.59315404869491595</v>
      </c>
      <c r="I3470">
        <v>0.56605981575347797</v>
      </c>
      <c r="J3470">
        <v>0.55347855660418799</v>
      </c>
      <c r="K3470">
        <v>0.42955013524063002</v>
      </c>
      <c r="L3470">
        <v>1485.2089277648299</v>
      </c>
      <c r="M3470">
        <v>25.192846876189499</v>
      </c>
      <c r="N3470">
        <v>66.909217175159498</v>
      </c>
      <c r="O3470">
        <v>58.585903408582602</v>
      </c>
      <c r="P3470">
        <v>-5.6440976315280403E-2</v>
      </c>
      <c r="Q3470">
        <v>0.47499343781551301</v>
      </c>
      <c r="R3470">
        <v>0.96846933409216196</v>
      </c>
      <c r="S3470" t="s">
        <v>9296</v>
      </c>
      <c r="T3470" t="s">
        <v>11650</v>
      </c>
      <c r="U3470" t="s">
        <v>11650</v>
      </c>
      <c r="V3470" t="s">
        <v>11650</v>
      </c>
      <c r="W3470" t="s">
        <v>15068</v>
      </c>
      <c r="X3470">
        <v>23</v>
      </c>
      <c r="Y3470" t="s">
        <v>20753</v>
      </c>
      <c r="Z3470" t="s">
        <v>26532</v>
      </c>
      <c r="AA3470">
        <v>0.81096291870139059</v>
      </c>
      <c r="AB3470" t="str">
        <f>HYPERLINK("Melting_Curves/meltCurve_Q5JTD0_2_TJAP1.pdf", "Melting_Curves/meltCurve_Q5JTD0_2_TJAP1.pdf")</f>
        <v>Melting_Curves/meltCurve_Q5JTD0_2_TJAP1.pdf</v>
      </c>
    </row>
    <row r="3471" spans="1:28" x14ac:dyDescent="0.25">
      <c r="A3471" t="s">
        <v>3475</v>
      </c>
      <c r="B3471">
        <v>0.99996721820229495</v>
      </c>
      <c r="C3471">
        <v>1.14607400333701</v>
      </c>
      <c r="D3471">
        <v>1.11861132439254</v>
      </c>
      <c r="E3471">
        <v>1.10760163404547</v>
      </c>
      <c r="F3471">
        <v>1.4906680936641901</v>
      </c>
      <c r="G3471">
        <v>1.6949214460509401</v>
      </c>
      <c r="H3471">
        <v>1.1736773443722299</v>
      </c>
      <c r="I3471">
        <v>1.24847210551155</v>
      </c>
      <c r="J3471">
        <v>1.1937973435284699</v>
      </c>
      <c r="K3471">
        <v>0.74034227334134195</v>
      </c>
      <c r="L3471">
        <v>15000</v>
      </c>
      <c r="M3471">
        <v>213.23784078158101</v>
      </c>
      <c r="Q3471">
        <v>0</v>
      </c>
      <c r="R3471">
        <v>-0.49734541965331702</v>
      </c>
      <c r="S3471" t="s">
        <v>9297</v>
      </c>
      <c r="T3471" t="s">
        <v>11650</v>
      </c>
      <c r="U3471" t="s">
        <v>11650</v>
      </c>
      <c r="V3471" t="s">
        <v>11650</v>
      </c>
      <c r="W3471" t="s">
        <v>15069</v>
      </c>
      <c r="X3471">
        <v>7</v>
      </c>
      <c r="Y3471" t="s">
        <v>20754</v>
      </c>
      <c r="Z3471" t="s">
        <v>26533</v>
      </c>
      <c r="AA3471">
        <v>0.99675914276022115</v>
      </c>
      <c r="AB3471" t="str">
        <f>HYPERLINK("Melting_Curves/meltCurve_Q5JTJ3_3_COA6.pdf", "Melting_Curves/meltCurve_Q5JTJ3_3_COA6.pdf")</f>
        <v>Melting_Curves/meltCurve_Q5JTJ3_3_COA6.pdf</v>
      </c>
    </row>
    <row r="3472" spans="1:28" x14ac:dyDescent="0.25">
      <c r="A3472" t="s">
        <v>3476</v>
      </c>
      <c r="B3472">
        <v>0.99996721820229495</v>
      </c>
      <c r="C3472">
        <v>0.91803629592860703</v>
      </c>
      <c r="D3472">
        <v>0.78443847278662404</v>
      </c>
      <c r="E3472">
        <v>0.58822749170937105</v>
      </c>
      <c r="F3472">
        <v>0.334507024660533</v>
      </c>
      <c r="G3472">
        <v>0.26419261818574702</v>
      </c>
      <c r="H3472">
        <v>0.13291041715580801</v>
      </c>
      <c r="I3472">
        <v>8.2218331835658506E-2</v>
      </c>
      <c r="J3472">
        <v>6.4187027574124506E-2</v>
      </c>
      <c r="K3472">
        <v>5.5811447036093302E-2</v>
      </c>
      <c r="L3472">
        <v>655.59494803445</v>
      </c>
      <c r="M3472">
        <v>12.9186974747401</v>
      </c>
      <c r="N3472">
        <v>50.993228271000397</v>
      </c>
      <c r="O3472">
        <v>49.577917006434397</v>
      </c>
      <c r="P3472">
        <v>-6.3190986568345098E-2</v>
      </c>
      <c r="Q3472">
        <v>3.0146659575805701E-2</v>
      </c>
      <c r="R3472">
        <v>0.994749472911444</v>
      </c>
      <c r="S3472" t="s">
        <v>9298</v>
      </c>
      <c r="T3472" t="s">
        <v>11650</v>
      </c>
      <c r="U3472" t="s">
        <v>11650</v>
      </c>
      <c r="V3472" t="s">
        <v>11650</v>
      </c>
      <c r="W3472" t="s">
        <v>15070</v>
      </c>
      <c r="X3472">
        <v>1</v>
      </c>
      <c r="Y3472" t="s">
        <v>20755</v>
      </c>
      <c r="Z3472" t="s">
        <v>26534</v>
      </c>
      <c r="AA3472">
        <v>0.40635047229286608</v>
      </c>
      <c r="AB3472" t="str">
        <f>HYPERLINK("Melting_Curves/meltCurve_Q5JTV1_GMEB2.pdf", "Melting_Curves/meltCurve_Q5JTV1_GMEB2.pdf")</f>
        <v>Melting_Curves/meltCurve_Q5JTV1_GMEB2.pdf</v>
      </c>
    </row>
    <row r="3473" spans="1:28" x14ac:dyDescent="0.25">
      <c r="A3473" t="s">
        <v>3477</v>
      </c>
      <c r="B3473">
        <v>0.99996721820229495</v>
      </c>
      <c r="C3473">
        <v>0.85395194121714502</v>
      </c>
      <c r="D3473">
        <v>0.87733909718957004</v>
      </c>
      <c r="E3473">
        <v>1.09135350464834</v>
      </c>
      <c r="F3473">
        <v>1.8666052361419101</v>
      </c>
      <c r="G3473">
        <v>1.4761897997756499</v>
      </c>
      <c r="H3473">
        <v>0.69709867283213101</v>
      </c>
      <c r="I3473">
        <v>0.49824832085246301</v>
      </c>
      <c r="J3473">
        <v>0.46621992902569698</v>
      </c>
      <c r="K3473">
        <v>0.21388392138151499</v>
      </c>
      <c r="L3473">
        <v>4109.7909737729096</v>
      </c>
      <c r="M3473">
        <v>67.106394919450096</v>
      </c>
      <c r="N3473">
        <v>62.541734030359201</v>
      </c>
      <c r="O3473">
        <v>61.188593033705203</v>
      </c>
      <c r="P3473">
        <v>-0.17111168044654701</v>
      </c>
      <c r="Q3473">
        <v>0.37591162798577699</v>
      </c>
      <c r="R3473">
        <v>0.50861560181339005</v>
      </c>
      <c r="S3473" t="s">
        <v>9299</v>
      </c>
      <c r="T3473" t="s">
        <v>11650</v>
      </c>
      <c r="U3473" t="s">
        <v>11650</v>
      </c>
      <c r="V3473" t="s">
        <v>11650</v>
      </c>
      <c r="W3473" t="s">
        <v>15071</v>
      </c>
      <c r="X3473">
        <v>20</v>
      </c>
      <c r="Y3473" t="s">
        <v>20756</v>
      </c>
      <c r="Z3473" t="s">
        <v>26535</v>
      </c>
      <c r="AA3473">
        <v>0.81875457010539843</v>
      </c>
      <c r="AB3473" t="str">
        <f>HYPERLINK("Melting_Curves/meltCurve_Q5JTV8_TOR1AIP1.pdf", "Melting_Curves/meltCurve_Q5JTV8_TOR1AIP1.pdf")</f>
        <v>Melting_Curves/meltCurve_Q5JTV8_TOR1AIP1.pdf</v>
      </c>
    </row>
    <row r="3474" spans="1:28" x14ac:dyDescent="0.25">
      <c r="A3474" t="s">
        <v>3478</v>
      </c>
      <c r="B3474">
        <v>0.99996721820229495</v>
      </c>
      <c r="C3474">
        <v>0.81766625944461702</v>
      </c>
      <c r="D3474">
        <v>0.57050102776104405</v>
      </c>
      <c r="E3474">
        <v>0.25128688841635199</v>
      </c>
      <c r="F3474">
        <v>0.25844650192882401</v>
      </c>
      <c r="G3474">
        <v>0.20662059183725301</v>
      </c>
      <c r="H3474">
        <v>0.14223254322965501</v>
      </c>
      <c r="I3474">
        <v>8.3253065180729696E-2</v>
      </c>
      <c r="J3474">
        <v>4.7076622362514899E-2</v>
      </c>
      <c r="K3474">
        <v>3.6880346147394598E-2</v>
      </c>
      <c r="L3474">
        <v>753.75652598097304</v>
      </c>
      <c r="M3474">
        <v>16.205941288581698</v>
      </c>
      <c r="N3474">
        <v>47.067524316361599</v>
      </c>
      <c r="O3474">
        <v>45.820188513220302</v>
      </c>
      <c r="P3474">
        <v>-8.0719549304914207E-2</v>
      </c>
      <c r="Q3474">
        <v>8.71715793172637E-2</v>
      </c>
      <c r="R3474">
        <v>0.97735150849007602</v>
      </c>
      <c r="S3474" t="s">
        <v>9300</v>
      </c>
      <c r="T3474" t="s">
        <v>11650</v>
      </c>
      <c r="U3474" t="s">
        <v>11650</v>
      </c>
      <c r="V3474" t="s">
        <v>11650</v>
      </c>
      <c r="W3474" t="s">
        <v>15072</v>
      </c>
      <c r="X3474">
        <v>8</v>
      </c>
      <c r="Y3474" t="s">
        <v>20757</v>
      </c>
      <c r="Z3474" t="s">
        <v>26536</v>
      </c>
      <c r="AA3474">
        <v>0.30704577336665179</v>
      </c>
      <c r="AB3474" t="str">
        <f>HYPERLINK("Melting_Curves/meltCurve_Q5JTZ9_AARS2.pdf", "Melting_Curves/meltCurve_Q5JTZ9_AARS2.pdf")</f>
        <v>Melting_Curves/meltCurve_Q5JTZ9_AARS2.pdf</v>
      </c>
    </row>
    <row r="3475" spans="1:28" x14ac:dyDescent="0.25">
      <c r="A3475" t="s">
        <v>3479</v>
      </c>
      <c r="B3475">
        <v>0.99996721820229495</v>
      </c>
      <c r="C3475">
        <v>1.0462149810571</v>
      </c>
      <c r="D3475">
        <v>0.95135251738011695</v>
      </c>
      <c r="E3475">
        <v>0.929752918771663</v>
      </c>
      <c r="F3475">
        <v>1.1972899715146801</v>
      </c>
      <c r="G3475">
        <v>1.5514233958774399</v>
      </c>
      <c r="H3475">
        <v>1.05715411087028</v>
      </c>
      <c r="I3475">
        <v>0.551532164113962</v>
      </c>
      <c r="J3475">
        <v>0.41337801709355498</v>
      </c>
      <c r="K3475">
        <v>0.260296944135956</v>
      </c>
      <c r="L3475">
        <v>15000</v>
      </c>
      <c r="M3475">
        <v>235.11151519195701</v>
      </c>
      <c r="N3475">
        <v>64.104828779301599</v>
      </c>
      <c r="O3475">
        <v>63.794878304852404</v>
      </c>
      <c r="P3475">
        <v>-0.61101657255657305</v>
      </c>
      <c r="Q3475">
        <v>0.33682978073868203</v>
      </c>
      <c r="R3475">
        <v>0.72573082004300404</v>
      </c>
      <c r="S3475" t="s">
        <v>9301</v>
      </c>
      <c r="T3475" t="s">
        <v>11650</v>
      </c>
      <c r="U3475" t="s">
        <v>11650</v>
      </c>
      <c r="V3475" t="s">
        <v>11650</v>
      </c>
      <c r="W3475" t="s">
        <v>15073</v>
      </c>
      <c r="X3475">
        <v>2</v>
      </c>
      <c r="Y3475" t="s">
        <v>20758</v>
      </c>
      <c r="Z3475" t="s">
        <v>26537</v>
      </c>
      <c r="AA3475">
        <v>0.8630179975822222</v>
      </c>
      <c r="AB3475" t="str">
        <f>HYPERLINK("Melting_Curves/meltCurve_Q5JU21_FPGS.pdf", "Melting_Curves/meltCurve_Q5JU21_FPGS.pdf")</f>
        <v>Melting_Curves/meltCurve_Q5JU21_FPGS.pdf</v>
      </c>
    </row>
    <row r="3476" spans="1:28" x14ac:dyDescent="0.25">
      <c r="A3476" t="s">
        <v>3480</v>
      </c>
      <c r="B3476">
        <v>0.99996721820229495</v>
      </c>
      <c r="C3476">
        <v>1.2107971672267701</v>
      </c>
      <c r="D3476">
        <v>1.1275667982124</v>
      </c>
      <c r="E3476">
        <v>0.98021910406031298</v>
      </c>
      <c r="F3476">
        <v>1.40414519454449</v>
      </c>
      <c r="G3476">
        <v>1.34136146010734</v>
      </c>
      <c r="H3476">
        <v>0.78093465686095997</v>
      </c>
      <c r="I3476">
        <v>0.554180387838623</v>
      </c>
      <c r="J3476">
        <v>0.33542962442215501</v>
      </c>
      <c r="K3476">
        <v>0.23762285971620101</v>
      </c>
      <c r="L3476">
        <v>2512.6278995590001</v>
      </c>
      <c r="M3476">
        <v>39.757139467421197</v>
      </c>
      <c r="N3476">
        <v>64.287823757980306</v>
      </c>
      <c r="O3476">
        <v>63.040170906301903</v>
      </c>
      <c r="P3476">
        <v>-0.11904792896067801</v>
      </c>
      <c r="Q3476">
        <v>0.24493728747254401</v>
      </c>
      <c r="R3476">
        <v>0.76414188602372002</v>
      </c>
      <c r="S3476" t="s">
        <v>9302</v>
      </c>
      <c r="T3476" t="s">
        <v>11650</v>
      </c>
      <c r="U3476" t="s">
        <v>11650</v>
      </c>
      <c r="V3476" t="s">
        <v>11650</v>
      </c>
      <c r="W3476" t="s">
        <v>15074</v>
      </c>
      <c r="X3476">
        <v>2</v>
      </c>
      <c r="Y3476" t="s">
        <v>20759</v>
      </c>
      <c r="Z3476" t="s">
        <v>26538</v>
      </c>
      <c r="AA3476">
        <v>0.83109450740519819</v>
      </c>
      <c r="AB3476" t="str">
        <f>HYPERLINK("Melting_Curves/meltCurve_Q5JU69_TOR2A.pdf", "Melting_Curves/meltCurve_Q5JU69_TOR2A.pdf")</f>
        <v>Melting_Curves/meltCurve_Q5JU69_TOR2A.pdf</v>
      </c>
    </row>
    <row r="3477" spans="1:28" x14ac:dyDescent="0.25">
      <c r="A3477" t="s">
        <v>3481</v>
      </c>
      <c r="B3477">
        <v>0.99996721820229495</v>
      </c>
      <c r="C3477">
        <v>0.84188248069845595</v>
      </c>
      <c r="D3477">
        <v>0.66082385219089201</v>
      </c>
      <c r="E3477">
        <v>0.64779133919229903</v>
      </c>
      <c r="F3477">
        <v>0.64560383505007102</v>
      </c>
      <c r="G3477">
        <v>0.76866759401778195</v>
      </c>
      <c r="H3477">
        <v>0.60994228081042401</v>
      </c>
      <c r="I3477">
        <v>0.47466799671760301</v>
      </c>
      <c r="J3477">
        <v>0.50463356566222395</v>
      </c>
      <c r="K3477">
        <v>0.29987325483430599</v>
      </c>
      <c r="L3477">
        <v>223.403364663525</v>
      </c>
      <c r="M3477">
        <v>3.5008834278519401</v>
      </c>
      <c r="N3477">
        <v>63.8134275988211</v>
      </c>
      <c r="O3477">
        <v>50.033516869217102</v>
      </c>
      <c r="P3477">
        <v>-1.7834221685830601E-2</v>
      </c>
      <c r="Q3477">
        <v>0</v>
      </c>
      <c r="R3477">
        <v>0.75108457960768904</v>
      </c>
      <c r="S3477" t="s">
        <v>9303</v>
      </c>
      <c r="T3477" t="s">
        <v>11650</v>
      </c>
      <c r="U3477" t="s">
        <v>11650</v>
      </c>
      <c r="V3477" t="s">
        <v>11650</v>
      </c>
      <c r="W3477" t="s">
        <v>15075</v>
      </c>
      <c r="X3477">
        <v>3</v>
      </c>
      <c r="Y3477" t="s">
        <v>20760</v>
      </c>
      <c r="Z3477" t="s">
        <v>26539</v>
      </c>
      <c r="AA3477">
        <v>0.64466065946072992</v>
      </c>
      <c r="AB3477" t="str">
        <f>HYPERLINK("Melting_Curves/meltCurve_Q5JU85_IQSEC2.pdf", "Melting_Curves/meltCurve_Q5JU85_IQSEC2.pdf")</f>
        <v>Melting_Curves/meltCurve_Q5JU85_IQSEC2.pdf</v>
      </c>
    </row>
    <row r="3478" spans="1:28" x14ac:dyDescent="0.25">
      <c r="A3478" t="s">
        <v>3482</v>
      </c>
      <c r="B3478">
        <v>0.99996721820229495</v>
      </c>
      <c r="C3478">
        <v>1.06964383571771</v>
      </c>
      <c r="D3478">
        <v>0.92250054640605295</v>
      </c>
      <c r="E3478">
        <v>0.75707836850891497</v>
      </c>
      <c r="F3478">
        <v>0.86817191192018806</v>
      </c>
      <c r="G3478">
        <v>0.76737027065327801</v>
      </c>
      <c r="H3478">
        <v>0.50971396903223898</v>
      </c>
      <c r="I3478">
        <v>0.352523698246613</v>
      </c>
      <c r="J3478">
        <v>0.227458709050813</v>
      </c>
      <c r="K3478">
        <v>0.143680072668743</v>
      </c>
      <c r="L3478">
        <v>714.492931152648</v>
      </c>
      <c r="M3478">
        <v>11.7427583922249</v>
      </c>
      <c r="N3478">
        <v>60.845408532427697</v>
      </c>
      <c r="O3478">
        <v>59.161243703147399</v>
      </c>
      <c r="P3478">
        <v>-4.9634846328767301E-2</v>
      </c>
      <c r="Q3478">
        <v>0</v>
      </c>
      <c r="R3478">
        <v>0.95268904049853498</v>
      </c>
      <c r="S3478" t="s">
        <v>9304</v>
      </c>
      <c r="T3478" t="s">
        <v>11650</v>
      </c>
      <c r="U3478" t="s">
        <v>11650</v>
      </c>
      <c r="V3478" t="s">
        <v>11650</v>
      </c>
      <c r="W3478" t="s">
        <v>15076</v>
      </c>
      <c r="X3478">
        <v>1</v>
      </c>
      <c r="Y3478" t="s">
        <v>20761</v>
      </c>
      <c r="Z3478" t="s">
        <v>26540</v>
      </c>
      <c r="AA3478">
        <v>0.69107672596666503</v>
      </c>
      <c r="AB3478" t="str">
        <f>HYPERLINK("Melting_Curves/meltCurve_Q5JV73_FRMPD3.pdf", "Melting_Curves/meltCurve_Q5JV73_FRMPD3.pdf")</f>
        <v>Melting_Curves/meltCurve_Q5JV73_FRMPD3.pdf</v>
      </c>
    </row>
    <row r="3479" spans="1:28" x14ac:dyDescent="0.25">
      <c r="A3479" t="s">
        <v>3483</v>
      </c>
      <c r="B3479">
        <v>0.99996721820229495</v>
      </c>
      <c r="C3479">
        <v>1.24592405541329</v>
      </c>
      <c r="D3479">
        <v>1.0921802173389901</v>
      </c>
      <c r="E3479">
        <v>0.48739133877429303</v>
      </c>
      <c r="F3479">
        <v>0.30192656304340199</v>
      </c>
      <c r="G3479">
        <v>0.19936128328601499</v>
      </c>
      <c r="H3479">
        <v>0.12718231817718201</v>
      </c>
      <c r="I3479">
        <v>7.9416830013801495E-2</v>
      </c>
      <c r="J3479">
        <v>5.7669873518155099E-2</v>
      </c>
      <c r="K3479">
        <v>5.3715825613219297E-2</v>
      </c>
      <c r="L3479">
        <v>1748.5190061835999</v>
      </c>
      <c r="M3479">
        <v>34.9762925029017</v>
      </c>
      <c r="N3479">
        <v>50.3492663470061</v>
      </c>
      <c r="O3479">
        <v>49.828969504676699</v>
      </c>
      <c r="P3479">
        <v>-0.156176812053827</v>
      </c>
      <c r="Q3479">
        <v>0.110013982640795</v>
      </c>
      <c r="R3479">
        <v>0.94751554904961399</v>
      </c>
      <c r="S3479" t="s">
        <v>9305</v>
      </c>
      <c r="T3479" t="s">
        <v>11650</v>
      </c>
      <c r="U3479" t="s">
        <v>11650</v>
      </c>
      <c r="V3479" t="s">
        <v>11650</v>
      </c>
      <c r="W3479" t="s">
        <v>15077</v>
      </c>
      <c r="X3479">
        <v>3</v>
      </c>
      <c r="Y3479" t="s">
        <v>20762</v>
      </c>
      <c r="Z3479" t="s">
        <v>26541</v>
      </c>
      <c r="AA3479">
        <v>0.41045986141062057</v>
      </c>
      <c r="AB3479" t="str">
        <f>HYPERLINK("Melting_Curves/meltCurve_Q5JVF3_3_PCID2.pdf", "Melting_Curves/meltCurve_Q5JVF3_3_PCID2.pdf")</f>
        <v>Melting_Curves/meltCurve_Q5JVF3_3_PCID2.pdf</v>
      </c>
    </row>
    <row r="3480" spans="1:28" x14ac:dyDescent="0.25">
      <c r="A3480" t="s">
        <v>3484</v>
      </c>
      <c r="B3480">
        <v>0.99996721820229495</v>
      </c>
      <c r="C3480">
        <v>0.93019556322053099</v>
      </c>
      <c r="D3480">
        <v>0.88738777758446497</v>
      </c>
      <c r="E3480">
        <v>0.95142386595427897</v>
      </c>
      <c r="F3480">
        <v>1.11538240576408</v>
      </c>
      <c r="G3480">
        <v>1.0650708020097599</v>
      </c>
      <c r="H3480">
        <v>0.75062081914115197</v>
      </c>
      <c r="I3480">
        <v>0.55973443260273303</v>
      </c>
      <c r="J3480">
        <v>0.52054615307895602</v>
      </c>
      <c r="K3480">
        <v>0.45365616616625298</v>
      </c>
      <c r="L3480">
        <v>3327.22484529029</v>
      </c>
      <c r="M3480">
        <v>54.405918924977598</v>
      </c>
      <c r="N3480">
        <v>66.459409373196394</v>
      </c>
      <c r="O3480">
        <v>61.073110588189301</v>
      </c>
      <c r="P3480">
        <v>-0.112803054420082</v>
      </c>
      <c r="Q3480">
        <v>0.49349413658605601</v>
      </c>
      <c r="R3480">
        <v>0.91813712461130303</v>
      </c>
      <c r="S3480" t="s">
        <v>9306</v>
      </c>
      <c r="T3480" t="s">
        <v>11650</v>
      </c>
      <c r="U3480" t="s">
        <v>11650</v>
      </c>
      <c r="V3480" t="s">
        <v>11650</v>
      </c>
      <c r="W3480" t="s">
        <v>15078</v>
      </c>
      <c r="X3480">
        <v>10</v>
      </c>
      <c r="Y3480" t="s">
        <v>20763</v>
      </c>
      <c r="Z3480" t="s">
        <v>26542</v>
      </c>
      <c r="AA3480">
        <v>0.8518009121578406</v>
      </c>
      <c r="AB3480" t="str">
        <f>HYPERLINK("Melting_Curves/meltCurve_Q5JVS0_HABP4.pdf", "Melting_Curves/meltCurve_Q5JVS0_HABP4.pdf")</f>
        <v>Melting_Curves/meltCurve_Q5JVS0_HABP4.pdf</v>
      </c>
    </row>
    <row r="3481" spans="1:28" x14ac:dyDescent="0.25">
      <c r="A3481" t="s">
        <v>3485</v>
      </c>
      <c r="B3481">
        <v>0.99996721820229495</v>
      </c>
      <c r="C3481">
        <v>0.90367625128505702</v>
      </c>
      <c r="D3481">
        <v>0.878266835020859</v>
      </c>
      <c r="E3481">
        <v>0.89451743253750604</v>
      </c>
      <c r="F3481">
        <v>0.495996931724695</v>
      </c>
      <c r="G3481">
        <v>0.43356837506242601</v>
      </c>
      <c r="H3481">
        <v>0.27847227021212501</v>
      </c>
      <c r="I3481">
        <v>0.196769121981067</v>
      </c>
      <c r="J3481">
        <v>0.135788254224391</v>
      </c>
      <c r="K3481">
        <v>0.11194406323669499</v>
      </c>
      <c r="L3481">
        <v>649.45513985075695</v>
      </c>
      <c r="M3481">
        <v>11.8880546556955</v>
      </c>
      <c r="N3481">
        <v>55.120150364076999</v>
      </c>
      <c r="O3481">
        <v>53.153855251499898</v>
      </c>
      <c r="P3481">
        <v>-5.3127035579121698E-2</v>
      </c>
      <c r="Q3481">
        <v>5.0071327494759697E-2</v>
      </c>
      <c r="R3481">
        <v>0.96797923683241904</v>
      </c>
      <c r="S3481" t="s">
        <v>9307</v>
      </c>
      <c r="T3481" t="s">
        <v>11650</v>
      </c>
      <c r="U3481" t="s">
        <v>11650</v>
      </c>
      <c r="V3481" t="s">
        <v>11650</v>
      </c>
      <c r="W3481" t="s">
        <v>15079</v>
      </c>
      <c r="X3481">
        <v>9</v>
      </c>
      <c r="Y3481" t="s">
        <v>20764</v>
      </c>
      <c r="Z3481" t="s">
        <v>26543</v>
      </c>
      <c r="AA3481">
        <v>0.53676968196243624</v>
      </c>
      <c r="AB3481" t="str">
        <f>HYPERLINK("Melting_Curves/meltCurve_Q5JVZ5_ELMO2.pdf", "Melting_Curves/meltCurve_Q5JVZ5_ELMO2.pdf")</f>
        <v>Melting_Curves/meltCurve_Q5JVZ5_ELMO2.pdf</v>
      </c>
    </row>
    <row r="3482" spans="1:28" x14ac:dyDescent="0.25">
      <c r="A3482" t="s">
        <v>3486</v>
      </c>
      <c r="B3482">
        <v>0.99996721820229495</v>
      </c>
      <c r="C3482">
        <v>1.0737679990873299</v>
      </c>
      <c r="D3482">
        <v>1.04967709869709</v>
      </c>
      <c r="E3482">
        <v>0.985526604870121</v>
      </c>
      <c r="F3482">
        <v>0.99249728500437195</v>
      </c>
      <c r="G3482">
        <v>0.94828724183044799</v>
      </c>
      <c r="H3482">
        <v>0.57487157903212704</v>
      </c>
      <c r="I3482">
        <v>0.40977589977163698</v>
      </c>
      <c r="J3482">
        <v>0.37016283260161598</v>
      </c>
      <c r="K3482">
        <v>0.215354078424321</v>
      </c>
      <c r="L3482">
        <v>1832.8003512938601</v>
      </c>
      <c r="M3482">
        <v>30.167710515584801</v>
      </c>
      <c r="N3482">
        <v>62.298128745871601</v>
      </c>
      <c r="O3482">
        <v>60.488613113513999</v>
      </c>
      <c r="P3482">
        <v>-9.1852926304746604E-2</v>
      </c>
      <c r="Q3482">
        <v>0.26331538612766497</v>
      </c>
      <c r="R3482">
        <v>0.98082565105586395</v>
      </c>
      <c r="S3482" t="s">
        <v>9308</v>
      </c>
      <c r="T3482" t="s">
        <v>11650</v>
      </c>
      <c r="U3482" t="s">
        <v>11650</v>
      </c>
      <c r="V3482" t="s">
        <v>11650</v>
      </c>
      <c r="W3482" t="s">
        <v>15080</v>
      </c>
      <c r="X3482">
        <v>3</v>
      </c>
      <c r="Y3482" t="s">
        <v>20765</v>
      </c>
      <c r="Z3482" t="s">
        <v>26544</v>
      </c>
      <c r="AA3482">
        <v>0.77710942672340189</v>
      </c>
      <c r="AB3482" t="str">
        <f>HYPERLINK("Melting_Curves/meltCurve_Q5JW30_STAU1.pdf", "Melting_Curves/meltCurve_Q5JW30_STAU1.pdf")</f>
        <v>Melting_Curves/meltCurve_Q5JW30_STAU1.pdf</v>
      </c>
    </row>
    <row r="3483" spans="1:28" x14ac:dyDescent="0.25">
      <c r="A3483" t="s">
        <v>3487</v>
      </c>
      <c r="B3483">
        <v>0.99996721820229495</v>
      </c>
      <c r="C3483">
        <v>0.94436779459478704</v>
      </c>
      <c r="D3483">
        <v>1.0932982743736701</v>
      </c>
      <c r="E3483">
        <v>1.1173554174539599</v>
      </c>
      <c r="F3483">
        <v>1.3058116409826801</v>
      </c>
      <c r="G3483">
        <v>1.39214437517304</v>
      </c>
      <c r="H3483">
        <v>1.09093047457467</v>
      </c>
      <c r="I3483">
        <v>0.84802850375591798</v>
      </c>
      <c r="J3483">
        <v>0.67467709663640896</v>
      </c>
      <c r="K3483">
        <v>0.54815514749901295</v>
      </c>
      <c r="L3483">
        <v>3292.9366996854701</v>
      </c>
      <c r="M3483">
        <v>50.379162398272499</v>
      </c>
      <c r="O3483">
        <v>65.260347476302897</v>
      </c>
      <c r="P3483">
        <v>-8.7506055459439597E-2</v>
      </c>
      <c r="Q3483">
        <v>0.54658483468774599</v>
      </c>
      <c r="R3483">
        <v>0.534576678491688</v>
      </c>
      <c r="S3483" t="s">
        <v>9309</v>
      </c>
      <c r="T3483" t="s">
        <v>11650</v>
      </c>
      <c r="U3483" t="s">
        <v>11650</v>
      </c>
      <c r="V3483" t="s">
        <v>11650</v>
      </c>
      <c r="W3483" t="s">
        <v>15081</v>
      </c>
      <c r="X3483">
        <v>3</v>
      </c>
      <c r="Y3483" t="s">
        <v>20766</v>
      </c>
      <c r="Z3483" t="s">
        <v>26545</v>
      </c>
      <c r="AA3483">
        <v>0.9303843803161459</v>
      </c>
      <c r="AB3483" t="str">
        <f>HYPERLINK("Melting_Curves/meltCurve_Q5JWB9_TMEM230.pdf", "Melting_Curves/meltCurve_Q5JWB9_TMEM230.pdf")</f>
        <v>Melting_Curves/meltCurve_Q5JWB9_TMEM230.pdf</v>
      </c>
    </row>
    <row r="3484" spans="1:28" x14ac:dyDescent="0.25">
      <c r="A3484" t="s">
        <v>3488</v>
      </c>
      <c r="B3484">
        <v>0.99996721820229495</v>
      </c>
      <c r="C3484">
        <v>1.1407921590858701</v>
      </c>
      <c r="D3484">
        <v>0.94548675189220799</v>
      </c>
      <c r="E3484">
        <v>1.0902067127264601</v>
      </c>
      <c r="F3484">
        <v>0.89541027849353905</v>
      </c>
      <c r="G3484">
        <v>1.05015657681042</v>
      </c>
      <c r="H3484">
        <v>0.64866947447074297</v>
      </c>
      <c r="I3484">
        <v>0.59192433437981595</v>
      </c>
      <c r="J3484">
        <v>0.43179475270096501</v>
      </c>
      <c r="K3484">
        <v>0.410611198598893</v>
      </c>
      <c r="L3484">
        <v>2293.2625923580099</v>
      </c>
      <c r="M3484">
        <v>37.667183016864499</v>
      </c>
      <c r="N3484">
        <v>64.327354695652303</v>
      </c>
      <c r="O3484">
        <v>60.711410733218898</v>
      </c>
      <c r="P3484">
        <v>-8.7869793705683402E-2</v>
      </c>
      <c r="Q3484">
        <v>0.43349260709304199</v>
      </c>
      <c r="R3484">
        <v>0.91120714219468302</v>
      </c>
      <c r="S3484" t="s">
        <v>9310</v>
      </c>
      <c r="T3484" t="s">
        <v>11650</v>
      </c>
      <c r="U3484" t="s">
        <v>11650</v>
      </c>
      <c r="V3484" t="s">
        <v>11650</v>
      </c>
      <c r="W3484" t="s">
        <v>15082</v>
      </c>
      <c r="X3484">
        <v>3</v>
      </c>
      <c r="Y3484" t="s">
        <v>20767</v>
      </c>
      <c r="Z3484" t="s">
        <v>26546</v>
      </c>
      <c r="AA3484">
        <v>0.83019888596796754</v>
      </c>
      <c r="AB3484" t="str">
        <f>HYPERLINK("Melting_Curves/meltCurve_Q5JXX2_MORF4L2.pdf", "Melting_Curves/meltCurve_Q5JXX2_MORF4L2.pdf")</f>
        <v>Melting_Curves/meltCurve_Q5JXX2_MORF4L2.pdf</v>
      </c>
    </row>
    <row r="3485" spans="1:28" x14ac:dyDescent="0.25">
      <c r="A3485" t="s">
        <v>3489</v>
      </c>
      <c r="B3485">
        <v>0.99996721820229495</v>
      </c>
      <c r="C3485">
        <v>0.90340361365963695</v>
      </c>
      <c r="D3485">
        <v>0.86141005965374795</v>
      </c>
      <c r="E3485">
        <v>0.76689323606572302</v>
      </c>
      <c r="F3485">
        <v>0.93378081961625103</v>
      </c>
      <c r="G3485">
        <v>0.65631649656521496</v>
      </c>
      <c r="H3485">
        <v>0.401632567311349</v>
      </c>
      <c r="I3485">
        <v>0.221615317529924</v>
      </c>
      <c r="J3485">
        <v>0.12641576800266399</v>
      </c>
      <c r="K3485">
        <v>7.85186838811818E-2</v>
      </c>
      <c r="L3485">
        <v>852.59822376356999</v>
      </c>
      <c r="M3485">
        <v>14.4334208417133</v>
      </c>
      <c r="N3485">
        <v>59.071112567365901</v>
      </c>
      <c r="O3485">
        <v>57.971907385148199</v>
      </c>
      <c r="P3485">
        <v>-6.2250484290840999E-2</v>
      </c>
      <c r="Q3485">
        <v>0</v>
      </c>
      <c r="R3485">
        <v>0.94538876421950702</v>
      </c>
      <c r="S3485" t="s">
        <v>9311</v>
      </c>
      <c r="T3485" t="s">
        <v>11650</v>
      </c>
      <c r="U3485" t="s">
        <v>11650</v>
      </c>
      <c r="V3485" t="s">
        <v>11650</v>
      </c>
      <c r="W3485" t="s">
        <v>15083</v>
      </c>
      <c r="X3485">
        <v>4</v>
      </c>
      <c r="Y3485" t="s">
        <v>20768</v>
      </c>
      <c r="Z3485" t="s">
        <v>26547</v>
      </c>
      <c r="AA3485">
        <v>0.64570315861741412</v>
      </c>
      <c r="AB3485" t="str">
        <f>HYPERLINK("Melting_Curves/meltCurve_Q5JYT7_KIAA1755.pdf", "Melting_Curves/meltCurve_Q5JYT7_KIAA1755.pdf")</f>
        <v>Melting_Curves/meltCurve_Q5JYT7_KIAA1755.pdf</v>
      </c>
    </row>
    <row r="3486" spans="1:28" x14ac:dyDescent="0.25">
      <c r="A3486" t="s">
        <v>3490</v>
      </c>
      <c r="B3486">
        <v>0.99996721820229495</v>
      </c>
      <c r="C3486">
        <v>0.97716482249039704</v>
      </c>
      <c r="D3486">
        <v>0.75429906322112195</v>
      </c>
      <c r="E3486">
        <v>0.30962161764986601</v>
      </c>
      <c r="F3486">
        <v>0.28184549859674501</v>
      </c>
      <c r="G3486">
        <v>0.21831179015345201</v>
      </c>
      <c r="H3486">
        <v>0.13434202048555799</v>
      </c>
      <c r="I3486">
        <v>8.0942857484466196E-2</v>
      </c>
      <c r="J3486">
        <v>5.5415351801524598E-2</v>
      </c>
      <c r="K3486">
        <v>5.9068016004607503E-2</v>
      </c>
      <c r="L3486">
        <v>986.066708396134</v>
      </c>
      <c r="M3486">
        <v>20.505218774781099</v>
      </c>
      <c r="N3486">
        <v>48.619037884847003</v>
      </c>
      <c r="O3486">
        <v>47.638190818866001</v>
      </c>
      <c r="P3486">
        <v>-9.6825767960546996E-2</v>
      </c>
      <c r="Q3486">
        <v>0.100234760914726</v>
      </c>
      <c r="R3486">
        <v>0.98124481909357397</v>
      </c>
      <c r="S3486" t="s">
        <v>9312</v>
      </c>
      <c r="T3486" t="s">
        <v>11650</v>
      </c>
      <c r="U3486" t="s">
        <v>11650</v>
      </c>
      <c r="V3486" t="s">
        <v>11650</v>
      </c>
      <c r="W3486" t="s">
        <v>15084</v>
      </c>
      <c r="X3486">
        <v>4</v>
      </c>
      <c r="Y3486" t="s">
        <v>20769</v>
      </c>
      <c r="Z3486" t="s">
        <v>26548</v>
      </c>
      <c r="AA3486">
        <v>0.3549368962130719</v>
      </c>
      <c r="AB3486" t="str">
        <f>HYPERLINK("Melting_Curves/meltCurve_Q5JZH3_SNX21.pdf", "Melting_Curves/meltCurve_Q5JZH3_SNX21.pdf")</f>
        <v>Melting_Curves/meltCurve_Q5JZH3_SNX21.pdf</v>
      </c>
    </row>
    <row r="3487" spans="1:28" x14ac:dyDescent="0.25">
      <c r="A3487" t="s">
        <v>3491</v>
      </c>
      <c r="B3487">
        <v>0.99996721820229495</v>
      </c>
      <c r="C3487">
        <v>0.67150798176674997</v>
      </c>
      <c r="D3487">
        <v>0.34758285934632499</v>
      </c>
      <c r="E3487">
        <v>0.260090899316893</v>
      </c>
      <c r="F3487">
        <v>0.36968938330867102</v>
      </c>
      <c r="G3487">
        <v>0.17828068505248901</v>
      </c>
      <c r="H3487">
        <v>0.11711437338124001</v>
      </c>
      <c r="I3487">
        <v>6.8812158634510803E-2</v>
      </c>
      <c r="J3487">
        <v>5.3411716557803003E-2</v>
      </c>
      <c r="K3487">
        <v>4.1560937017639903E-2</v>
      </c>
      <c r="L3487">
        <v>673.33850332042095</v>
      </c>
      <c r="M3487">
        <v>15.042227261189099</v>
      </c>
      <c r="N3487">
        <v>45.4492848223721</v>
      </c>
      <c r="O3487">
        <v>43.9944366278974</v>
      </c>
      <c r="P3487">
        <v>-7.6803952283362301E-2</v>
      </c>
      <c r="Q3487">
        <v>0.10156672934963799</v>
      </c>
      <c r="R3487">
        <v>0.91188407091989099</v>
      </c>
      <c r="S3487" t="s">
        <v>9313</v>
      </c>
      <c r="T3487" t="s">
        <v>11650</v>
      </c>
      <c r="U3487" t="s">
        <v>11650</v>
      </c>
      <c r="V3487" t="s">
        <v>11650</v>
      </c>
      <c r="W3487" t="s">
        <v>15085</v>
      </c>
      <c r="X3487">
        <v>3</v>
      </c>
      <c r="Y3487" t="s">
        <v>20770</v>
      </c>
      <c r="Z3487" t="s">
        <v>26549</v>
      </c>
      <c r="AA3487">
        <v>0.2736700977238623</v>
      </c>
      <c r="AB3487" t="str">
        <f>HYPERLINK("Melting_Curves/meltCurve_Q5K4L6_SLC27A3.pdf", "Melting_Curves/meltCurve_Q5K4L6_SLC27A3.pdf")</f>
        <v>Melting_Curves/meltCurve_Q5K4L6_SLC27A3.pdf</v>
      </c>
    </row>
    <row r="3488" spans="1:28" x14ac:dyDescent="0.25">
      <c r="A3488" t="s">
        <v>3492</v>
      </c>
      <c r="B3488">
        <v>0.99996721820229495</v>
      </c>
      <c r="C3488">
        <v>0.96632217530390396</v>
      </c>
      <c r="D3488">
        <v>0.71592823483232904</v>
      </c>
      <c r="E3488">
        <v>0.59558963366521001</v>
      </c>
      <c r="F3488">
        <v>0.85470495593906803</v>
      </c>
      <c r="G3488">
        <v>0.67179882053465101</v>
      </c>
      <c r="H3488">
        <v>0.47688369204445202</v>
      </c>
      <c r="I3488">
        <v>0.40275557576037602</v>
      </c>
      <c r="J3488">
        <v>0.36634583031119899</v>
      </c>
      <c r="K3488">
        <v>0.317091449829982</v>
      </c>
      <c r="L3488">
        <v>323.17027721271597</v>
      </c>
      <c r="M3488">
        <v>5.3152154243920702</v>
      </c>
      <c r="N3488">
        <v>60.800979458369</v>
      </c>
      <c r="O3488">
        <v>53.795062778797501</v>
      </c>
      <c r="P3488">
        <v>-2.48238099644097E-2</v>
      </c>
      <c r="Q3488">
        <v>0</v>
      </c>
      <c r="R3488">
        <v>0.83942283007234697</v>
      </c>
      <c r="S3488" t="s">
        <v>9314</v>
      </c>
      <c r="T3488" t="s">
        <v>11650</v>
      </c>
      <c r="U3488" t="s">
        <v>11650</v>
      </c>
      <c r="V3488" t="s">
        <v>11650</v>
      </c>
      <c r="W3488" t="s">
        <v>15086</v>
      </c>
      <c r="X3488">
        <v>2</v>
      </c>
      <c r="Y3488" t="s">
        <v>20771</v>
      </c>
      <c r="Z3488" t="s">
        <v>26550</v>
      </c>
      <c r="AA3488">
        <v>0.63872684683596104</v>
      </c>
      <c r="AB3488" t="str">
        <f>HYPERLINK("Melting_Curves/meltCurve_Q5K651_SAMD9.pdf", "Melting_Curves/meltCurve_Q5K651_SAMD9.pdf")</f>
        <v>Melting_Curves/meltCurve_Q5K651_SAMD9.pdf</v>
      </c>
    </row>
    <row r="3489" spans="1:28" x14ac:dyDescent="0.25">
      <c r="A3489" t="s">
        <v>3493</v>
      </c>
      <c r="B3489">
        <v>0.99996721820229495</v>
      </c>
      <c r="C3489">
        <v>0.93509750967699001</v>
      </c>
      <c r="D3489">
        <v>1.0179401225354801</v>
      </c>
      <c r="E3489">
        <v>1.19438217863184</v>
      </c>
      <c r="F3489">
        <v>1.66809497607127</v>
      </c>
      <c r="G3489">
        <v>1.8373511115633301</v>
      </c>
      <c r="H3489">
        <v>1.55716429430373</v>
      </c>
      <c r="I3489">
        <v>1.32779468229298</v>
      </c>
      <c r="J3489">
        <v>1.0032979003297</v>
      </c>
      <c r="K3489">
        <v>1.01436721081989</v>
      </c>
      <c r="L3489">
        <v>12503.135262825501</v>
      </c>
      <c r="M3489">
        <v>250</v>
      </c>
      <c r="O3489">
        <v>50.009343537418701</v>
      </c>
      <c r="P3489">
        <v>0.50158752907123905</v>
      </c>
      <c r="Q3489">
        <v>1.4013449847066399</v>
      </c>
      <c r="R3489">
        <v>0.36780728818960101</v>
      </c>
      <c r="S3489" t="s">
        <v>9315</v>
      </c>
      <c r="T3489" t="s">
        <v>11650</v>
      </c>
      <c r="U3489" t="s">
        <v>11650</v>
      </c>
      <c r="V3489" t="s">
        <v>11650</v>
      </c>
      <c r="W3489" t="s">
        <v>15087</v>
      </c>
      <c r="X3489">
        <v>4</v>
      </c>
      <c r="Y3489" t="s">
        <v>20772</v>
      </c>
      <c r="Z3489" t="s">
        <v>26551</v>
      </c>
      <c r="AA3489">
        <v>1.2673603203262249</v>
      </c>
      <c r="AB3489" t="str">
        <f>HYPERLINK("Melting_Curves/meltCurve_Q5KU26_COLEC12.pdf", "Melting_Curves/meltCurve_Q5KU26_COLEC12.pdf")</f>
        <v>Melting_Curves/meltCurve_Q5KU26_COLEC12.pdf</v>
      </c>
    </row>
    <row r="3490" spans="1:28" x14ac:dyDescent="0.25">
      <c r="A3490" t="s">
        <v>3494</v>
      </c>
      <c r="B3490">
        <v>0.99996721820229495</v>
      </c>
      <c r="C3490">
        <v>0.91060924890251305</v>
      </c>
      <c r="D3490">
        <v>0.85894243216337895</v>
      </c>
      <c r="E3490">
        <v>0.86598011088728699</v>
      </c>
      <c r="F3490">
        <v>0.92770621702233003</v>
      </c>
      <c r="G3490">
        <v>0.87547212581741796</v>
      </c>
      <c r="H3490">
        <v>0.81789586783351198</v>
      </c>
      <c r="I3490">
        <v>0.75195145182824896</v>
      </c>
      <c r="J3490">
        <v>0.72439494840822105</v>
      </c>
      <c r="K3490">
        <v>0.64866316451603401</v>
      </c>
      <c r="L3490">
        <v>244.84247404583601</v>
      </c>
      <c r="M3490">
        <v>2.70051018087926</v>
      </c>
      <c r="O3490">
        <v>63.574169754984901</v>
      </c>
      <c r="P3490">
        <v>-1.1060614243595101E-2</v>
      </c>
      <c r="Q3490">
        <v>0</v>
      </c>
      <c r="R3490">
        <v>0.82856406357745904</v>
      </c>
      <c r="S3490" t="s">
        <v>9316</v>
      </c>
      <c r="T3490" t="s">
        <v>11650</v>
      </c>
      <c r="U3490" t="s">
        <v>11650</v>
      </c>
      <c r="V3490" t="s">
        <v>11650</v>
      </c>
      <c r="W3490" t="s">
        <v>15088</v>
      </c>
      <c r="X3490">
        <v>11</v>
      </c>
      <c r="Y3490" t="s">
        <v>20773</v>
      </c>
      <c r="Z3490" t="s">
        <v>26552</v>
      </c>
      <c r="AA3490">
        <v>0.844279212661182</v>
      </c>
      <c r="AB3490" t="str">
        <f>HYPERLINK("Melting_Curves/meltCurve_Q5M775_4_SPECC1.pdf", "Melting_Curves/meltCurve_Q5M775_4_SPECC1.pdf")</f>
        <v>Melting_Curves/meltCurve_Q5M775_4_SPECC1.pdf</v>
      </c>
    </row>
    <row r="3491" spans="1:28" x14ac:dyDescent="0.25">
      <c r="A3491" t="s">
        <v>3495</v>
      </c>
      <c r="B3491">
        <v>0.99996721820229495</v>
      </c>
      <c r="C3491">
        <v>1.2051024800703301</v>
      </c>
      <c r="D3491">
        <v>0.93687340046047995</v>
      </c>
      <c r="E3491">
        <v>0.93214439909352598</v>
      </c>
      <c r="F3491">
        <v>1.36770265416319</v>
      </c>
      <c r="G3491">
        <v>0.92885215001897004</v>
      </c>
      <c r="H3491">
        <v>0.29515661724884901</v>
      </c>
      <c r="I3491">
        <v>0.14790956589309601</v>
      </c>
      <c r="J3491">
        <v>0.15874225962713001</v>
      </c>
      <c r="K3491">
        <v>6.3415011088901102E-2</v>
      </c>
      <c r="L3491">
        <v>3394.50585443011</v>
      </c>
      <c r="M3491">
        <v>57.013238342648599</v>
      </c>
      <c r="N3491">
        <v>59.818192541795497</v>
      </c>
      <c r="O3491">
        <v>59.465813737960701</v>
      </c>
      <c r="P3491">
        <v>-0.21168108707740299</v>
      </c>
      <c r="Q3491">
        <v>0.116852373464915</v>
      </c>
      <c r="R3491">
        <v>0.90981633422947195</v>
      </c>
      <c r="S3491" t="s">
        <v>9317</v>
      </c>
      <c r="T3491" t="s">
        <v>11650</v>
      </c>
      <c r="U3491" t="s">
        <v>11650</v>
      </c>
      <c r="V3491" t="s">
        <v>11650</v>
      </c>
      <c r="W3491" t="s">
        <v>15089</v>
      </c>
      <c r="X3491">
        <v>4</v>
      </c>
      <c r="Y3491" t="s">
        <v>20774</v>
      </c>
      <c r="Z3491" t="s">
        <v>26553</v>
      </c>
      <c r="AA3491">
        <v>0.69381637776119576</v>
      </c>
      <c r="AB3491" t="str">
        <f>HYPERLINK("Melting_Curves/meltCurve_Q5MIZ7_3_SMEK2.pdf", "Melting_Curves/meltCurve_Q5MIZ7_3_SMEK2.pdf")</f>
        <v>Melting_Curves/meltCurve_Q5MIZ7_3_SMEK2.pdf</v>
      </c>
    </row>
    <row r="3492" spans="1:28" x14ac:dyDescent="0.25">
      <c r="A3492" t="s">
        <v>3496</v>
      </c>
      <c r="B3492">
        <v>0.99996721820229495</v>
      </c>
      <c r="C3492">
        <v>1.0731436144903099</v>
      </c>
      <c r="D3492">
        <v>1.0783391536196301</v>
      </c>
      <c r="E3492">
        <v>1.01379766382744</v>
      </c>
      <c r="F3492">
        <v>1.19289770790504</v>
      </c>
      <c r="G3492">
        <v>1.2833956160142099</v>
      </c>
      <c r="H3492">
        <v>0.87346865108071203</v>
      </c>
      <c r="I3492">
        <v>0.591070226259783</v>
      </c>
      <c r="J3492">
        <v>0.30907092445474899</v>
      </c>
      <c r="K3492">
        <v>0.10017660160193199</v>
      </c>
      <c r="L3492">
        <v>2309.17560226863</v>
      </c>
      <c r="M3492">
        <v>35.735084093797298</v>
      </c>
      <c r="N3492">
        <v>64.875502282217795</v>
      </c>
      <c r="O3492">
        <v>64.417925899282494</v>
      </c>
      <c r="P3492">
        <v>-0.12955724535212801</v>
      </c>
      <c r="Q3492">
        <v>6.5816452559935207E-2</v>
      </c>
      <c r="R3492">
        <v>0.90068937025260598</v>
      </c>
      <c r="S3492" t="s">
        <v>9318</v>
      </c>
      <c r="T3492" t="s">
        <v>11650</v>
      </c>
      <c r="U3492" t="s">
        <v>11650</v>
      </c>
      <c r="V3492" t="s">
        <v>11650</v>
      </c>
      <c r="W3492" t="s">
        <v>15090</v>
      </c>
      <c r="X3492">
        <v>8</v>
      </c>
      <c r="Y3492" t="s">
        <v>20775</v>
      </c>
      <c r="Z3492" t="s">
        <v>26554</v>
      </c>
      <c r="AA3492">
        <v>0.83330245361997279</v>
      </c>
      <c r="AB3492" t="str">
        <f>HYPERLINK("Melting_Curves/meltCurve_Q5MNZ6_WDR45B.pdf", "Melting_Curves/meltCurve_Q5MNZ6_WDR45B.pdf")</f>
        <v>Melting_Curves/meltCurve_Q5MNZ6_WDR45B.pdf</v>
      </c>
    </row>
    <row r="3493" spans="1:28" x14ac:dyDescent="0.25">
      <c r="A3493" t="s">
        <v>3497</v>
      </c>
      <c r="B3493">
        <v>0.99996721820229495</v>
      </c>
      <c r="C3493">
        <v>0.94347290959997099</v>
      </c>
      <c r="D3493">
        <v>0.943168971364723</v>
      </c>
      <c r="E3493">
        <v>0.92484841445621802</v>
      </c>
      <c r="F3493">
        <v>0.98611336213558098</v>
      </c>
      <c r="G3493">
        <v>1.0431042898515901</v>
      </c>
      <c r="H3493">
        <v>0.81079881196372905</v>
      </c>
      <c r="I3493">
        <v>0.54496513895521304</v>
      </c>
      <c r="J3493">
        <v>0.16760870621058499</v>
      </c>
      <c r="K3493">
        <v>0.103059214843379</v>
      </c>
      <c r="L3493">
        <v>2223.5619961217499</v>
      </c>
      <c r="M3493">
        <v>34.777894853048799</v>
      </c>
      <c r="N3493">
        <v>64.089732277005197</v>
      </c>
      <c r="O3493">
        <v>63.725767805911197</v>
      </c>
      <c r="P3493">
        <v>-0.130978562540467</v>
      </c>
      <c r="Q3493">
        <v>4.0001532142960997E-2</v>
      </c>
      <c r="R3493">
        <v>0.98244018651155696</v>
      </c>
      <c r="S3493" t="s">
        <v>9319</v>
      </c>
      <c r="T3493" t="s">
        <v>11650</v>
      </c>
      <c r="U3493" t="s">
        <v>11650</v>
      </c>
      <c r="V3493" t="s">
        <v>11650</v>
      </c>
      <c r="W3493" t="s">
        <v>15091</v>
      </c>
      <c r="X3493">
        <v>15</v>
      </c>
      <c r="Y3493" t="s">
        <v>20776</v>
      </c>
      <c r="Z3493" t="s">
        <v>26555</v>
      </c>
      <c r="AA3493">
        <v>0.80796177306732331</v>
      </c>
      <c r="AB3493" t="str">
        <f>HYPERLINK("Melting_Curves/meltCurve_Q5MNZ9_2_WIPI1.pdf", "Melting_Curves/meltCurve_Q5MNZ9_2_WIPI1.pdf")</f>
        <v>Melting_Curves/meltCurve_Q5MNZ9_2_WIPI1.pdf</v>
      </c>
    </row>
    <row r="3494" spans="1:28" x14ac:dyDescent="0.25">
      <c r="A3494" t="s">
        <v>3498</v>
      </c>
      <c r="B3494">
        <v>0.99996721820229495</v>
      </c>
      <c r="C3494">
        <v>0.97650840483420498</v>
      </c>
      <c r="D3494">
        <v>0.91549564422804897</v>
      </c>
      <c r="E3494">
        <v>0.94747778688666395</v>
      </c>
      <c r="F3494">
        <v>0.34264292468206797</v>
      </c>
      <c r="G3494">
        <v>0.257356446824481</v>
      </c>
      <c r="H3494">
        <v>0.147171040064762</v>
      </c>
      <c r="I3494">
        <v>8.5400690139024293E-2</v>
      </c>
      <c r="J3494">
        <v>6.0690507278443002E-2</v>
      </c>
      <c r="K3494">
        <v>6.2828348988815605E-2</v>
      </c>
      <c r="L3494">
        <v>3131.0632127958202</v>
      </c>
      <c r="M3494">
        <v>60.110703060871501</v>
      </c>
      <c r="N3494">
        <v>52.328255930361799</v>
      </c>
      <c r="O3494">
        <v>52.0307338156288</v>
      </c>
      <c r="P3494">
        <v>-0.254029799714861</v>
      </c>
      <c r="Q3494">
        <v>0.120466173499393</v>
      </c>
      <c r="R3494">
        <v>0.97879050815180302</v>
      </c>
      <c r="S3494" t="s">
        <v>9320</v>
      </c>
      <c r="T3494" t="s">
        <v>11650</v>
      </c>
      <c r="U3494" t="s">
        <v>11650</v>
      </c>
      <c r="V3494" t="s">
        <v>11650</v>
      </c>
      <c r="W3494" t="s">
        <v>15092</v>
      </c>
      <c r="X3494">
        <v>13</v>
      </c>
      <c r="Y3494" t="s">
        <v>20777</v>
      </c>
      <c r="Z3494" t="s">
        <v>26556</v>
      </c>
      <c r="AA3494">
        <v>0.47626369283849918</v>
      </c>
      <c r="AB3494" t="str">
        <f>HYPERLINK("Melting_Curves/meltCurve_Q5NDL2_EOGT.pdf", "Melting_Curves/meltCurve_Q5NDL2_EOGT.pdf")</f>
        <v>Melting_Curves/meltCurve_Q5NDL2_EOGT.pdf</v>
      </c>
    </row>
    <row r="3495" spans="1:28" x14ac:dyDescent="0.25">
      <c r="A3495" t="s">
        <v>3499</v>
      </c>
      <c r="B3495">
        <v>0.99996721820229495</v>
      </c>
      <c r="C3495">
        <v>1.0275073952865199</v>
      </c>
      <c r="D3495">
        <v>0.83995600822720495</v>
      </c>
      <c r="E3495">
        <v>0.411912112961418</v>
      </c>
      <c r="F3495">
        <v>0.30722923273650099</v>
      </c>
      <c r="G3495">
        <v>0.27027281313136797</v>
      </c>
      <c r="H3495">
        <v>0.17096955926510099</v>
      </c>
      <c r="I3495">
        <v>0.112165292778774</v>
      </c>
      <c r="J3495">
        <v>8.8655089156720199E-2</v>
      </c>
      <c r="K3495">
        <v>6.6798075272313198E-2</v>
      </c>
      <c r="L3495">
        <v>1009.37808361896</v>
      </c>
      <c r="M3495">
        <v>20.580638101876598</v>
      </c>
      <c r="N3495">
        <v>49.734283214870999</v>
      </c>
      <c r="O3495">
        <v>48.5890344896386</v>
      </c>
      <c r="P3495">
        <v>-9.2755593381205495E-2</v>
      </c>
      <c r="Q3495">
        <v>0.124075160512875</v>
      </c>
      <c r="R3495">
        <v>0.97955182370625904</v>
      </c>
      <c r="S3495" t="s">
        <v>9321</v>
      </c>
      <c r="T3495" t="s">
        <v>11650</v>
      </c>
      <c r="U3495" t="s">
        <v>11650</v>
      </c>
      <c r="V3495" t="s">
        <v>11650</v>
      </c>
      <c r="W3495" t="s">
        <v>15093</v>
      </c>
      <c r="X3495">
        <v>9</v>
      </c>
      <c r="Y3495" t="s">
        <v>20778</v>
      </c>
      <c r="Z3495" t="s">
        <v>26557</v>
      </c>
      <c r="AA3495">
        <v>0.39973892956083851</v>
      </c>
      <c r="AB3495" t="str">
        <f>HYPERLINK("Melting_Curves/meltCurve_Q5QJ74_TBCEL.pdf", "Melting_Curves/meltCurve_Q5QJ74_TBCEL.pdf")</f>
        <v>Melting_Curves/meltCurve_Q5QJ74_TBCEL.pdf</v>
      </c>
    </row>
    <row r="3496" spans="1:28" x14ac:dyDescent="0.25">
      <c r="A3496" t="s">
        <v>3500</v>
      </c>
      <c r="B3496">
        <v>0.99996721820229495</v>
      </c>
      <c r="C3496">
        <v>1.0839740665923301</v>
      </c>
      <c r="D3496">
        <v>1.0907151804302799</v>
      </c>
      <c r="E3496">
        <v>1.10630150603092</v>
      </c>
      <c r="F3496">
        <v>1.4521857226128001</v>
      </c>
      <c r="G3496">
        <v>1.77928612652416</v>
      </c>
      <c r="H3496">
        <v>1.35759781645747</v>
      </c>
      <c r="I3496">
        <v>1.2059828139002</v>
      </c>
      <c r="J3496">
        <v>1.05088010041102</v>
      </c>
      <c r="K3496">
        <v>0.79697761760185204</v>
      </c>
      <c r="L3496">
        <v>15000</v>
      </c>
      <c r="M3496">
        <v>212.918170205238</v>
      </c>
      <c r="Q3496">
        <v>0</v>
      </c>
      <c r="R3496">
        <v>-0.48204395491936602</v>
      </c>
      <c r="S3496" t="s">
        <v>9322</v>
      </c>
      <c r="T3496" t="s">
        <v>11650</v>
      </c>
      <c r="U3496" t="s">
        <v>11650</v>
      </c>
      <c r="V3496" t="s">
        <v>11650</v>
      </c>
      <c r="W3496" t="s">
        <v>15094</v>
      </c>
      <c r="X3496">
        <v>16</v>
      </c>
      <c r="Y3496" t="s">
        <v>20779</v>
      </c>
      <c r="Z3496" t="s">
        <v>26558</v>
      </c>
      <c r="AA3496">
        <v>0.99755313140723723</v>
      </c>
      <c r="AB3496" t="str">
        <f>HYPERLINK("Melting_Curves/meltCurve_Q5QNY5_PEX19.pdf", "Melting_Curves/meltCurve_Q5QNY5_PEX19.pdf")</f>
        <v>Melting_Curves/meltCurve_Q5QNY5_PEX19.pdf</v>
      </c>
    </row>
    <row r="3497" spans="1:28" x14ac:dyDescent="0.25">
      <c r="A3497" t="s">
        <v>3501</v>
      </c>
      <c r="B3497">
        <v>0.99996721820229495</v>
      </c>
      <c r="C3497">
        <v>0.95398353566434302</v>
      </c>
      <c r="D3497">
        <v>0.99487414706702204</v>
      </c>
      <c r="E3497">
        <v>1.50052479106078</v>
      </c>
      <c r="F3497">
        <v>1.75520559560344</v>
      </c>
      <c r="G3497">
        <v>2.3703035986477001</v>
      </c>
      <c r="H3497">
        <v>1.76718257314989</v>
      </c>
      <c r="I3497">
        <v>0.62276813246558804</v>
      </c>
      <c r="J3497">
        <v>0.25034099968088103</v>
      </c>
      <c r="K3497">
        <v>0.213438960671962</v>
      </c>
      <c r="L3497">
        <v>15000</v>
      </c>
      <c r="M3497">
        <v>234.33926179452601</v>
      </c>
      <c r="N3497">
        <v>64.180432024004304</v>
      </c>
      <c r="O3497">
        <v>64.005098512692101</v>
      </c>
      <c r="P3497">
        <v>-0.70307649091959201</v>
      </c>
      <c r="Q3497">
        <v>0.23187468241103601</v>
      </c>
      <c r="R3497">
        <v>0.25366257670180098</v>
      </c>
      <c r="S3497" t="s">
        <v>9323</v>
      </c>
      <c r="T3497" t="s">
        <v>11650</v>
      </c>
      <c r="U3497" t="s">
        <v>11650</v>
      </c>
      <c r="V3497" t="s">
        <v>11650</v>
      </c>
      <c r="W3497" t="s">
        <v>15095</v>
      </c>
      <c r="X3497">
        <v>8</v>
      </c>
      <c r="Y3497" t="s">
        <v>20780</v>
      </c>
      <c r="Z3497" t="s">
        <v>26559</v>
      </c>
      <c r="AA3497">
        <v>0.84672305327861141</v>
      </c>
      <c r="AB3497" t="str">
        <f>HYPERLINK("Melting_Curves/meltCurve_Q5QNZ2_ATP5F1.pdf", "Melting_Curves/meltCurve_Q5QNZ2_ATP5F1.pdf")</f>
        <v>Melting_Curves/meltCurve_Q5QNZ2_ATP5F1.pdf</v>
      </c>
    </row>
    <row r="3498" spans="1:28" x14ac:dyDescent="0.25">
      <c r="A3498" t="s">
        <v>3502</v>
      </c>
      <c r="B3498">
        <v>0.99996721820229495</v>
      </c>
      <c r="C3498">
        <v>0.88664595528779999</v>
      </c>
      <c r="D3498">
        <v>0.93727852179606597</v>
      </c>
      <c r="E3498">
        <v>0.850825043167173</v>
      </c>
      <c r="F3498">
        <v>1.0353998665198201</v>
      </c>
      <c r="G3498">
        <v>1.0312592068030599</v>
      </c>
      <c r="H3498">
        <v>0.76842372473103904</v>
      </c>
      <c r="I3498">
        <v>0.55177572817683196</v>
      </c>
      <c r="J3498">
        <v>0.33773536971986601</v>
      </c>
      <c r="K3498">
        <v>0.21411588565031001</v>
      </c>
      <c r="L3498">
        <v>1753.22044889069</v>
      </c>
      <c r="M3498">
        <v>27.575748066960799</v>
      </c>
      <c r="N3498">
        <v>64.492558500039905</v>
      </c>
      <c r="O3498">
        <v>63.246811411391398</v>
      </c>
      <c r="P3498">
        <v>-9.1367713956016006E-2</v>
      </c>
      <c r="Q3498">
        <v>0.16177593074746599</v>
      </c>
      <c r="R3498">
        <v>0.94131009397591703</v>
      </c>
      <c r="S3498" t="s">
        <v>9324</v>
      </c>
      <c r="T3498" t="s">
        <v>11650</v>
      </c>
      <c r="U3498" t="s">
        <v>11650</v>
      </c>
      <c r="V3498" t="s">
        <v>11650</v>
      </c>
      <c r="W3498" t="s">
        <v>15096</v>
      </c>
      <c r="X3498">
        <v>3</v>
      </c>
      <c r="Y3498" t="s">
        <v>20781</v>
      </c>
      <c r="Z3498" t="s">
        <v>26560</v>
      </c>
      <c r="AA3498">
        <v>0.82186021234093554</v>
      </c>
      <c r="AB3498" t="str">
        <f>HYPERLINK("Melting_Curves/meltCurve_Q5QP56_BCL2L1.pdf", "Melting_Curves/meltCurve_Q5QP56_BCL2L1.pdf")</f>
        <v>Melting_Curves/meltCurve_Q5QP56_BCL2L1.pdf</v>
      </c>
    </row>
    <row r="3499" spans="1:28" x14ac:dyDescent="0.25">
      <c r="A3499" t="s">
        <v>3503</v>
      </c>
      <c r="B3499">
        <v>0.99996721820229495</v>
      </c>
      <c r="C3499">
        <v>1.23821420403764</v>
      </c>
      <c r="D3499">
        <v>1.10103131572025</v>
      </c>
      <c r="E3499">
        <v>0.976697792499442</v>
      </c>
      <c r="F3499">
        <v>0.95850847771010605</v>
      </c>
      <c r="G3499">
        <v>0.75927221905320597</v>
      </c>
      <c r="H3499">
        <v>0.198134945288091</v>
      </c>
      <c r="I3499">
        <v>0.12008040473053599</v>
      </c>
      <c r="J3499">
        <v>0.10622262048733901</v>
      </c>
      <c r="K3499">
        <v>9.0857376695949302E-2</v>
      </c>
      <c r="L3499">
        <v>2603.2278958270999</v>
      </c>
      <c r="M3499">
        <v>44.685368993698098</v>
      </c>
      <c r="N3499">
        <v>58.541736884261702</v>
      </c>
      <c r="O3499">
        <v>58.140525484352302</v>
      </c>
      <c r="P3499">
        <v>-0.173366793660615</v>
      </c>
      <c r="Q3499">
        <v>9.7725131617938693E-2</v>
      </c>
      <c r="R3499">
        <v>0.965326338952325</v>
      </c>
      <c r="S3499" t="s">
        <v>9325</v>
      </c>
      <c r="T3499" t="s">
        <v>11650</v>
      </c>
      <c r="U3499" t="s">
        <v>11650</v>
      </c>
      <c r="V3499" t="s">
        <v>11650</v>
      </c>
      <c r="W3499" t="s">
        <v>15097</v>
      </c>
      <c r="X3499">
        <v>10</v>
      </c>
      <c r="Y3499" t="s">
        <v>20782</v>
      </c>
      <c r="Z3499" t="s">
        <v>26561</v>
      </c>
      <c r="AA3499">
        <v>0.64968820478992806</v>
      </c>
      <c r="AB3499" t="str">
        <f>HYPERLINK("Melting_Curves/meltCurve_Q5QPK2_DPM1.pdf", "Melting_Curves/meltCurve_Q5QPK2_DPM1.pdf")</f>
        <v>Melting_Curves/meltCurve_Q5QPK2_DPM1.pdf</v>
      </c>
    </row>
    <row r="3500" spans="1:28" x14ac:dyDescent="0.25">
      <c r="A3500" t="s">
        <v>3504</v>
      </c>
      <c r="B3500">
        <v>0.99996721820229495</v>
      </c>
      <c r="C3500">
        <v>0.90902965634004995</v>
      </c>
      <c r="D3500">
        <v>0.84556124012365397</v>
      </c>
      <c r="E3500">
        <v>0.88068954517328801</v>
      </c>
      <c r="F3500">
        <v>0.78387027549363397</v>
      </c>
      <c r="G3500">
        <v>0.38658541366375299</v>
      </c>
      <c r="H3500">
        <v>0.18973538407367899</v>
      </c>
      <c r="I3500">
        <v>0.107865743764403</v>
      </c>
      <c r="J3500">
        <v>7.5210033108367796E-2</v>
      </c>
      <c r="K3500">
        <v>5.0802132696937202E-2</v>
      </c>
      <c r="L3500">
        <v>986.03008299424698</v>
      </c>
      <c r="M3500">
        <v>17.6728596082012</v>
      </c>
      <c r="N3500">
        <v>55.912129941727301</v>
      </c>
      <c r="O3500">
        <v>55.093791564319098</v>
      </c>
      <c r="P3500">
        <v>-7.8722549121037003E-2</v>
      </c>
      <c r="Q3500">
        <v>1.84056265109897E-2</v>
      </c>
      <c r="R3500">
        <v>0.97869830739644903</v>
      </c>
      <c r="S3500" t="s">
        <v>9326</v>
      </c>
      <c r="T3500" t="s">
        <v>11650</v>
      </c>
      <c r="U3500" t="s">
        <v>11650</v>
      </c>
      <c r="V3500" t="s">
        <v>11650</v>
      </c>
      <c r="W3500" t="s">
        <v>15098</v>
      </c>
      <c r="X3500">
        <v>8</v>
      </c>
      <c r="Y3500" t="s">
        <v>20783</v>
      </c>
      <c r="Z3500" t="s">
        <v>26562</v>
      </c>
      <c r="AA3500">
        <v>0.55012170755834111</v>
      </c>
      <c r="AB3500" t="str">
        <f>HYPERLINK("Melting_Curves/meltCurve_Q5QPM7_PSMF1.pdf", "Melting_Curves/meltCurve_Q5QPM7_PSMF1.pdf")</f>
        <v>Melting_Curves/meltCurve_Q5QPM7_PSMF1.pdf</v>
      </c>
    </row>
    <row r="3501" spans="1:28" x14ac:dyDescent="0.25">
      <c r="A3501" t="s">
        <v>3505</v>
      </c>
      <c r="B3501">
        <v>0.99996721820229495</v>
      </c>
      <c r="C3501">
        <v>0.98898097591370304</v>
      </c>
      <c r="D3501">
        <v>0.96593353594866505</v>
      </c>
      <c r="E3501">
        <v>0.91879838964082405</v>
      </c>
      <c r="F3501">
        <v>0.45425620294594599</v>
      </c>
      <c r="G3501">
        <v>0.308505703347353</v>
      </c>
      <c r="H3501">
        <v>0.196251649080874</v>
      </c>
      <c r="I3501">
        <v>0.12941930075213201</v>
      </c>
      <c r="J3501">
        <v>9.6830180380824096E-2</v>
      </c>
      <c r="K3501">
        <v>6.97482285296145E-2</v>
      </c>
      <c r="L3501">
        <v>1357.8278405420399</v>
      </c>
      <c r="M3501">
        <v>25.697083007266201</v>
      </c>
      <c r="N3501">
        <v>53.410022522613502</v>
      </c>
      <c r="O3501">
        <v>52.522883351649597</v>
      </c>
      <c r="P3501">
        <v>-0.107640919538612</v>
      </c>
      <c r="Q3501">
        <v>0.119971189853396</v>
      </c>
      <c r="R3501">
        <v>0.98243809666554405</v>
      </c>
      <c r="S3501" t="s">
        <v>9327</v>
      </c>
      <c r="T3501" t="s">
        <v>11650</v>
      </c>
      <c r="U3501" t="s">
        <v>11650</v>
      </c>
      <c r="V3501" t="s">
        <v>11650</v>
      </c>
      <c r="W3501" t="s">
        <v>15099</v>
      </c>
      <c r="X3501">
        <v>24</v>
      </c>
      <c r="Y3501" t="s">
        <v>20784</v>
      </c>
      <c r="Z3501" t="s">
        <v>26563</v>
      </c>
      <c r="AA3501">
        <v>0.50429917144200509</v>
      </c>
      <c r="AB3501" t="str">
        <f>HYPERLINK("Melting_Curves/meltCurve_Q5R372_4_RABGAP1L.pdf", "Melting_Curves/meltCurve_Q5R372_4_RABGAP1L.pdf")</f>
        <v>Melting_Curves/meltCurve_Q5R372_4_RABGAP1L.pdf</v>
      </c>
    </row>
    <row r="3502" spans="1:28" x14ac:dyDescent="0.25">
      <c r="A3502" t="s">
        <v>3506</v>
      </c>
      <c r="B3502">
        <v>0.99996721820229495</v>
      </c>
      <c r="C3502">
        <v>1.07258122387184</v>
      </c>
      <c r="D3502">
        <v>1.15880490944098</v>
      </c>
      <c r="E3502">
        <v>1.3210011492737599</v>
      </c>
      <c r="F3502">
        <v>1.2532933487397699</v>
      </c>
      <c r="G3502">
        <v>1.15741524093253</v>
      </c>
      <c r="H3502">
        <v>0.79919552749864597</v>
      </c>
      <c r="I3502">
        <v>0.77034383201601098</v>
      </c>
      <c r="J3502">
        <v>0.57792847664184599</v>
      </c>
      <c r="K3502">
        <v>0.471542641011926</v>
      </c>
      <c r="L3502">
        <v>1809.19457727995</v>
      </c>
      <c r="M3502">
        <v>28.129514370029</v>
      </c>
      <c r="N3502">
        <v>69.157557826530095</v>
      </c>
      <c r="O3502">
        <v>63.9941774332354</v>
      </c>
      <c r="P3502">
        <v>-6.2615870785635602E-2</v>
      </c>
      <c r="Q3502">
        <v>0.43020454311929501</v>
      </c>
      <c r="R3502">
        <v>0.68289706412824103</v>
      </c>
      <c r="S3502" t="s">
        <v>9328</v>
      </c>
      <c r="T3502" t="s">
        <v>11650</v>
      </c>
      <c r="U3502" t="s">
        <v>11650</v>
      </c>
      <c r="V3502" t="s">
        <v>11650</v>
      </c>
      <c r="W3502" t="s">
        <v>15100</v>
      </c>
      <c r="X3502">
        <v>8</v>
      </c>
      <c r="Y3502" t="s">
        <v>20784</v>
      </c>
      <c r="Z3502" t="s">
        <v>26564</v>
      </c>
      <c r="AA3502">
        <v>0.89178312279899852</v>
      </c>
      <c r="AB3502" t="str">
        <f>HYPERLINK("Melting_Curves/meltCurve_Q5R372_7_RABGAP1L.pdf", "Melting_Curves/meltCurve_Q5R372_7_RABGAP1L.pdf")</f>
        <v>Melting_Curves/meltCurve_Q5R372_7_RABGAP1L.pdf</v>
      </c>
    </row>
    <row r="3503" spans="1:28" x14ac:dyDescent="0.25">
      <c r="A3503" t="s">
        <v>3507</v>
      </c>
      <c r="B3503">
        <v>0.99996721820229495</v>
      </c>
      <c r="C3503">
        <v>1.08388195349824</v>
      </c>
      <c r="D3503">
        <v>1.06776161261478</v>
      </c>
      <c r="E3503">
        <v>0.94732280416621995</v>
      </c>
      <c r="F3503">
        <v>0.804379711194395</v>
      </c>
      <c r="G3503">
        <v>0.45121162667014503</v>
      </c>
      <c r="H3503">
        <v>0.325642934106115</v>
      </c>
      <c r="I3503">
        <v>0.225293455414319</v>
      </c>
      <c r="J3503">
        <v>0.13209501678777</v>
      </c>
      <c r="K3503">
        <v>0.12485817603952599</v>
      </c>
      <c r="L3503">
        <v>1143.16512066306</v>
      </c>
      <c r="M3503">
        <v>20.374465540689901</v>
      </c>
      <c r="N3503">
        <v>56.955248546935401</v>
      </c>
      <c r="O3503">
        <v>55.575617647786501</v>
      </c>
      <c r="P3503">
        <v>-7.9669398270977104E-2</v>
      </c>
      <c r="Q3503">
        <v>0.13076648078030101</v>
      </c>
      <c r="R3503">
        <v>0.985856713537968</v>
      </c>
      <c r="S3503" t="s">
        <v>9329</v>
      </c>
      <c r="T3503" t="s">
        <v>11650</v>
      </c>
      <c r="U3503" t="s">
        <v>11650</v>
      </c>
      <c r="V3503" t="s">
        <v>11650</v>
      </c>
      <c r="W3503" t="s">
        <v>15101</v>
      </c>
      <c r="X3503">
        <v>4</v>
      </c>
      <c r="Y3503" t="s">
        <v>20785</v>
      </c>
      <c r="Z3503" t="s">
        <v>26565</v>
      </c>
      <c r="AA3503">
        <v>0.60834878930704661</v>
      </c>
      <c r="AB3503" t="str">
        <f>HYPERLINK("Melting_Curves/meltCurve_Q5R3E4_MAPK13.pdf", "Melting_Curves/meltCurve_Q5R3E4_MAPK13.pdf")</f>
        <v>Melting_Curves/meltCurve_Q5R3E4_MAPK13.pdf</v>
      </c>
    </row>
    <row r="3504" spans="1:28" x14ac:dyDescent="0.25">
      <c r="A3504" t="s">
        <v>3508</v>
      </c>
      <c r="B3504">
        <v>0.99996721820229495</v>
      </c>
      <c r="C3504">
        <v>0.78350179179151702</v>
      </c>
      <c r="D3504">
        <v>0.91178305818389205</v>
      </c>
      <c r="E3504">
        <v>1.05234544196114</v>
      </c>
      <c r="F3504">
        <v>1.4601276003018</v>
      </c>
      <c r="G3504">
        <v>1.37927637280346</v>
      </c>
      <c r="H3504">
        <v>1.1091911996780299</v>
      </c>
      <c r="I3504">
        <v>0.86416498816347198</v>
      </c>
      <c r="J3504">
        <v>0.65289129870598905</v>
      </c>
      <c r="K3504">
        <v>0.56629066083217605</v>
      </c>
      <c r="L3504">
        <v>4116.7887757498802</v>
      </c>
      <c r="M3504">
        <v>63.342016221019797</v>
      </c>
      <c r="O3504">
        <v>64.928334328141901</v>
      </c>
      <c r="P3504">
        <v>-0.103273109575998</v>
      </c>
      <c r="Q3504">
        <v>0.57656236997099497</v>
      </c>
      <c r="R3504">
        <v>0.42776169695282401</v>
      </c>
      <c r="S3504" t="s">
        <v>9330</v>
      </c>
      <c r="T3504" t="s">
        <v>11650</v>
      </c>
      <c r="U3504" t="s">
        <v>11650</v>
      </c>
      <c r="V3504" t="s">
        <v>11650</v>
      </c>
      <c r="W3504" t="s">
        <v>15102</v>
      </c>
      <c r="X3504">
        <v>7</v>
      </c>
      <c r="Y3504" t="s">
        <v>20786</v>
      </c>
      <c r="Z3504" t="s">
        <v>26566</v>
      </c>
      <c r="AA3504">
        <v>0.92989682706145893</v>
      </c>
      <c r="AB3504" t="str">
        <f>HYPERLINK("Melting_Curves/meltCurve_Q5RI15_COX20.pdf", "Melting_Curves/meltCurve_Q5RI15_COX20.pdf")</f>
        <v>Melting_Curves/meltCurve_Q5RI15_COX20.pdf</v>
      </c>
    </row>
    <row r="3505" spans="1:28" x14ac:dyDescent="0.25">
      <c r="A3505" t="s">
        <v>3509</v>
      </c>
      <c r="B3505">
        <v>0.99996721820229495</v>
      </c>
      <c r="C3505">
        <v>1.04978750844288</v>
      </c>
      <c r="D3505">
        <v>1.38836080196556</v>
      </c>
      <c r="E3505">
        <v>2.81396716339404</v>
      </c>
      <c r="F3505">
        <v>5.0667412849443201</v>
      </c>
      <c r="G3505">
        <v>5.9500860587279298</v>
      </c>
      <c r="H3505">
        <v>2.33229014648008</v>
      </c>
      <c r="I3505">
        <v>1.0510751904284099</v>
      </c>
      <c r="J3505">
        <v>0.67376078548909502</v>
      </c>
      <c r="K3505">
        <v>0.372785677447381</v>
      </c>
      <c r="L3505">
        <v>15000</v>
      </c>
      <c r="M3505">
        <v>223.961024768062</v>
      </c>
      <c r="N3505">
        <v>67.387686526680696</v>
      </c>
      <c r="O3505">
        <v>66.970577191643699</v>
      </c>
      <c r="P3505">
        <v>-0.52441203763467203</v>
      </c>
      <c r="Q3505">
        <v>0.37274464211241998</v>
      </c>
      <c r="R3505">
        <v>-0.39866165114001201</v>
      </c>
      <c r="S3505" t="s">
        <v>9331</v>
      </c>
      <c r="T3505" t="s">
        <v>11650</v>
      </c>
      <c r="U3505" t="s">
        <v>11650</v>
      </c>
      <c r="V3505" t="s">
        <v>11650</v>
      </c>
      <c r="W3505" t="s">
        <v>15103</v>
      </c>
      <c r="X3505">
        <v>4</v>
      </c>
      <c r="Y3505" t="s">
        <v>20787</v>
      </c>
      <c r="Z3505" t="s">
        <v>26567</v>
      </c>
      <c r="AA3505">
        <v>0.93686283220531308</v>
      </c>
      <c r="AB3505" t="str">
        <f>HYPERLINK("Melting_Curves/meltCurve_Q5RKV6_EXOSC6.pdf", "Melting_Curves/meltCurve_Q5RKV6_EXOSC6.pdf")</f>
        <v>Melting_Curves/meltCurve_Q5RKV6_EXOSC6.pdf</v>
      </c>
    </row>
    <row r="3506" spans="1:28" x14ac:dyDescent="0.25">
      <c r="A3506" t="s">
        <v>3510</v>
      </c>
      <c r="B3506">
        <v>0.99996721820229495</v>
      </c>
      <c r="C3506">
        <v>1.0866901982355499</v>
      </c>
      <c r="D3506">
        <v>0.97063905933981298</v>
      </c>
      <c r="E3506">
        <v>0.91386910032817303</v>
      </c>
      <c r="F3506">
        <v>0.62346847007341</v>
      </c>
      <c r="G3506">
        <v>0.57289611283377995</v>
      </c>
      <c r="H3506">
        <v>0.35693040426140799</v>
      </c>
      <c r="I3506">
        <v>0.27570386746012399</v>
      </c>
      <c r="J3506">
        <v>0.19831214763529501</v>
      </c>
      <c r="K3506">
        <v>0.16724785632689901</v>
      </c>
      <c r="L3506">
        <v>741.29037192344197</v>
      </c>
      <c r="M3506">
        <v>13.1515457727927</v>
      </c>
      <c r="N3506">
        <v>57.472585531790003</v>
      </c>
      <c r="O3506">
        <v>55.109848446720903</v>
      </c>
      <c r="P3506">
        <v>-5.2992478414813797E-2</v>
      </c>
      <c r="Q3506">
        <v>0.111917366582429</v>
      </c>
      <c r="R3506">
        <v>0.97577568189240804</v>
      </c>
      <c r="S3506" t="s">
        <v>9332</v>
      </c>
      <c r="T3506" t="s">
        <v>11650</v>
      </c>
      <c r="U3506" t="s">
        <v>11650</v>
      </c>
      <c r="V3506" t="s">
        <v>11650</v>
      </c>
      <c r="W3506" t="s">
        <v>15104</v>
      </c>
      <c r="X3506">
        <v>2</v>
      </c>
      <c r="Y3506" t="s">
        <v>20788</v>
      </c>
      <c r="Z3506" t="s">
        <v>26568</v>
      </c>
      <c r="AA3506">
        <v>0.61282545825558177</v>
      </c>
      <c r="AB3506" t="str">
        <f>HYPERLINK("Melting_Curves/meltCurve_Q5SNW6_MTHFR.pdf", "Melting_Curves/meltCurve_Q5SNW6_MTHFR.pdf")</f>
        <v>Melting_Curves/meltCurve_Q5SNW6_MTHFR.pdf</v>
      </c>
    </row>
    <row r="3507" spans="1:28" x14ac:dyDescent="0.25">
      <c r="A3507" t="s">
        <v>3511</v>
      </c>
      <c r="B3507">
        <v>0.99996721820229495</v>
      </c>
      <c r="C3507">
        <v>0.78083675501497296</v>
      </c>
      <c r="D3507">
        <v>0.93232390595256298</v>
      </c>
      <c r="E3507">
        <v>0.82567883617984505</v>
      </c>
      <c r="F3507">
        <v>1.2338183966998899</v>
      </c>
      <c r="G3507">
        <v>0.961742474473533</v>
      </c>
      <c r="H3507">
        <v>0.40257696703875001</v>
      </c>
      <c r="I3507">
        <v>0.28124231358323198</v>
      </c>
      <c r="J3507">
        <v>0.23911400392253199</v>
      </c>
      <c r="K3507">
        <v>0</v>
      </c>
      <c r="L3507">
        <v>2562.91403719963</v>
      </c>
      <c r="M3507">
        <v>42.607964492377597</v>
      </c>
      <c r="N3507">
        <v>60.612431460062403</v>
      </c>
      <c r="O3507">
        <v>60.019007967433502</v>
      </c>
      <c r="P3507">
        <v>-0.15289794955418401</v>
      </c>
      <c r="Q3507">
        <v>0.13849266689877501</v>
      </c>
      <c r="R3507">
        <v>0.88031969505137098</v>
      </c>
      <c r="S3507" t="s">
        <v>9333</v>
      </c>
      <c r="T3507" t="s">
        <v>11650</v>
      </c>
      <c r="U3507" t="s">
        <v>11650</v>
      </c>
      <c r="V3507" t="s">
        <v>11650</v>
      </c>
      <c r="W3507" t="s">
        <v>15105</v>
      </c>
      <c r="X3507">
        <v>2</v>
      </c>
      <c r="Y3507" t="s">
        <v>20789</v>
      </c>
      <c r="Z3507" t="s">
        <v>26569</v>
      </c>
      <c r="AA3507">
        <v>0.72017845186148577</v>
      </c>
      <c r="AB3507" t="str">
        <f>HYPERLINK("Melting_Curves/meltCurve_Q5SPY9_NPDC1.pdf", "Melting_Curves/meltCurve_Q5SPY9_NPDC1.pdf")</f>
        <v>Melting_Curves/meltCurve_Q5SPY9_NPDC1.pdf</v>
      </c>
    </row>
    <row r="3508" spans="1:28" x14ac:dyDescent="0.25">
      <c r="A3508" t="s">
        <v>3512</v>
      </c>
      <c r="B3508">
        <v>0.99996721820229495</v>
      </c>
      <c r="C3508">
        <v>0.88374690579762105</v>
      </c>
      <c r="D3508">
        <v>0.92258835792603899</v>
      </c>
      <c r="E3508">
        <v>0.78293189319348799</v>
      </c>
      <c r="F3508">
        <v>0.35372996175709998</v>
      </c>
      <c r="G3508">
        <v>0.26585251007105098</v>
      </c>
      <c r="H3508">
        <v>0.159331535718965</v>
      </c>
      <c r="I3508">
        <v>0.117089373039653</v>
      </c>
      <c r="J3508">
        <v>8.6421351861291698E-2</v>
      </c>
      <c r="K3508">
        <v>6.4084569730266702E-2</v>
      </c>
      <c r="L3508">
        <v>1052.4399135125</v>
      </c>
      <c r="M3508">
        <v>20.309860626576999</v>
      </c>
      <c r="N3508">
        <v>52.336432358174903</v>
      </c>
      <c r="O3508">
        <v>51.324632472604399</v>
      </c>
      <c r="P3508">
        <v>-8.9935281828305305E-2</v>
      </c>
      <c r="Q3508">
        <v>9.0933416916998105E-2</v>
      </c>
      <c r="R3508">
        <v>0.97803105509194199</v>
      </c>
      <c r="S3508" t="s">
        <v>9334</v>
      </c>
      <c r="T3508" t="s">
        <v>11650</v>
      </c>
      <c r="U3508" t="s">
        <v>11650</v>
      </c>
      <c r="V3508" t="s">
        <v>11650</v>
      </c>
      <c r="W3508" t="s">
        <v>15106</v>
      </c>
      <c r="X3508">
        <v>13</v>
      </c>
      <c r="Y3508" t="s">
        <v>20422</v>
      </c>
      <c r="Z3508" t="s">
        <v>26570</v>
      </c>
      <c r="AA3508">
        <v>0.46132352316112052</v>
      </c>
      <c r="AB3508" t="str">
        <f>HYPERLINK("Melting_Curves/meltCurve_Q5SQU3_PRKG1.pdf", "Melting_Curves/meltCurve_Q5SQU3_PRKG1.pdf")</f>
        <v>Melting_Curves/meltCurve_Q5SQU3_PRKG1.pdf</v>
      </c>
    </row>
    <row r="3509" spans="1:28" x14ac:dyDescent="0.25">
      <c r="A3509" t="s">
        <v>3513</v>
      </c>
      <c r="B3509">
        <v>0.99996721820229495</v>
      </c>
      <c r="C3509">
        <v>0.91588906840269302</v>
      </c>
      <c r="D3509">
        <v>0.85775176297954303</v>
      </c>
      <c r="E3509">
        <v>0.77917524673181404</v>
      </c>
      <c r="F3509">
        <v>0.56532782539030102</v>
      </c>
      <c r="G3509">
        <v>0.41222437877267498</v>
      </c>
      <c r="H3509">
        <v>0.26589630272791698</v>
      </c>
      <c r="I3509">
        <v>0.118149344765311</v>
      </c>
      <c r="J3509">
        <v>0.157352937229854</v>
      </c>
      <c r="K3509">
        <v>0.115907019893491</v>
      </c>
      <c r="L3509">
        <v>591.48731284131395</v>
      </c>
      <c r="M3509">
        <v>10.8368262769292</v>
      </c>
      <c r="N3509">
        <v>54.749464457075803</v>
      </c>
      <c r="O3509">
        <v>52.8212297487336</v>
      </c>
      <c r="P3509">
        <v>-5.0468232947399799E-2</v>
      </c>
      <c r="Q3509">
        <v>1.63755309553421E-2</v>
      </c>
      <c r="R3509">
        <v>0.99076282111731595</v>
      </c>
      <c r="S3509" t="s">
        <v>9335</v>
      </c>
      <c r="T3509" t="s">
        <v>11650</v>
      </c>
      <c r="U3509" t="s">
        <v>11650</v>
      </c>
      <c r="V3509" t="s">
        <v>11650</v>
      </c>
      <c r="W3509" t="s">
        <v>15107</v>
      </c>
      <c r="X3509">
        <v>1</v>
      </c>
      <c r="Y3509" t="s">
        <v>20790</v>
      </c>
      <c r="Z3509" t="s">
        <v>26571</v>
      </c>
      <c r="AA3509">
        <v>0.5204986645956754</v>
      </c>
      <c r="AB3509" t="str">
        <f>HYPERLINK("Melting_Curves/meltCurve_Q5SR50_PIK3CD.pdf", "Melting_Curves/meltCurve_Q5SR50_PIK3CD.pdf")</f>
        <v>Melting_Curves/meltCurve_Q5SR50_PIK3CD.pdf</v>
      </c>
    </row>
    <row r="3510" spans="1:28" x14ac:dyDescent="0.25">
      <c r="A3510" t="s">
        <v>3514</v>
      </c>
      <c r="B3510">
        <v>0.99996721820229495</v>
      </c>
      <c r="C3510">
        <v>1.01922029447777</v>
      </c>
      <c r="D3510">
        <v>1.0443379456883199</v>
      </c>
      <c r="E3510">
        <v>1.1839550897325199</v>
      </c>
      <c r="F3510">
        <v>1.6127916753601199</v>
      </c>
      <c r="G3510">
        <v>1.8147856086257399</v>
      </c>
      <c r="H3510">
        <v>1.24126390272566</v>
      </c>
      <c r="I3510">
        <v>0.75598079583883104</v>
      </c>
      <c r="J3510">
        <v>0.44063094107158202</v>
      </c>
      <c r="K3510">
        <v>0.32599715829070303</v>
      </c>
      <c r="L3510">
        <v>9944.2667161338195</v>
      </c>
      <c r="M3510">
        <v>154.94965659544999</v>
      </c>
      <c r="N3510">
        <v>64.783687418458101</v>
      </c>
      <c r="O3510">
        <v>64.166692304629194</v>
      </c>
      <c r="P3510">
        <v>-0.37264655163007698</v>
      </c>
      <c r="Q3510">
        <v>0.38272841956995901</v>
      </c>
      <c r="R3510">
        <v>0.41257020565811803</v>
      </c>
      <c r="S3510" t="s">
        <v>9336</v>
      </c>
      <c r="T3510" t="s">
        <v>11650</v>
      </c>
      <c r="U3510" t="s">
        <v>11650</v>
      </c>
      <c r="V3510" t="s">
        <v>11650</v>
      </c>
      <c r="W3510" t="s">
        <v>15108</v>
      </c>
      <c r="X3510">
        <v>2</v>
      </c>
      <c r="Y3510" t="s">
        <v>20791</v>
      </c>
      <c r="Z3510" t="s">
        <v>26572</v>
      </c>
      <c r="AA3510">
        <v>0.88037691773076032</v>
      </c>
      <c r="AB3510" t="str">
        <f>HYPERLINK("Melting_Curves/meltCurve_Q5SR56_HIATL1.pdf", "Melting_Curves/meltCurve_Q5SR56_HIATL1.pdf")</f>
        <v>Melting_Curves/meltCurve_Q5SR56_HIATL1.pdf</v>
      </c>
    </row>
    <row r="3511" spans="1:28" x14ac:dyDescent="0.25">
      <c r="A3511" t="s">
        <v>3515</v>
      </c>
      <c r="B3511">
        <v>0.99996721820229495</v>
      </c>
      <c r="C3511">
        <v>1.0612331033621101</v>
      </c>
      <c r="D3511">
        <v>0.84212493733376703</v>
      </c>
      <c r="E3511">
        <v>0.51507287573160698</v>
      </c>
      <c r="F3511">
        <v>0.65431853413012397</v>
      </c>
      <c r="G3511">
        <v>0.50807647798709898</v>
      </c>
      <c r="H3511">
        <v>0.34402860283366798</v>
      </c>
      <c r="I3511">
        <v>0.26768810042147201</v>
      </c>
      <c r="J3511">
        <v>0.209156642279169</v>
      </c>
      <c r="K3511">
        <v>0.133246199852213</v>
      </c>
      <c r="L3511">
        <v>453.05800298372901</v>
      </c>
      <c r="M3511">
        <v>8.1760021279828301</v>
      </c>
      <c r="N3511">
        <v>55.603240521351999</v>
      </c>
      <c r="O3511">
        <v>52.394180393721498</v>
      </c>
      <c r="P3511">
        <v>-3.8514424488453103E-2</v>
      </c>
      <c r="Q3511">
        <v>1.37823753962979E-2</v>
      </c>
      <c r="R3511">
        <v>0.92921880590983996</v>
      </c>
      <c r="S3511" t="s">
        <v>9337</v>
      </c>
      <c r="T3511" t="s">
        <v>11650</v>
      </c>
      <c r="U3511" t="s">
        <v>11650</v>
      </c>
      <c r="V3511" t="s">
        <v>11650</v>
      </c>
      <c r="W3511" t="s">
        <v>15109</v>
      </c>
      <c r="X3511">
        <v>10</v>
      </c>
      <c r="Y3511" t="s">
        <v>20792</v>
      </c>
      <c r="Z3511" t="s">
        <v>26573</v>
      </c>
      <c r="AA3511">
        <v>0.54439097238051126</v>
      </c>
      <c r="AB3511" t="str">
        <f>HYPERLINK("Melting_Curves/meltCurve_Q5SRE7_2_PHYHD1.pdf", "Melting_Curves/meltCurve_Q5SRE7_2_PHYHD1.pdf")</f>
        <v>Melting_Curves/meltCurve_Q5SRE7_2_PHYHD1.pdf</v>
      </c>
    </row>
    <row r="3512" spans="1:28" x14ac:dyDescent="0.25">
      <c r="A3512" t="s">
        <v>3516</v>
      </c>
      <c r="B3512">
        <v>0.99996721820229495</v>
      </c>
      <c r="C3512">
        <v>0.870934346166651</v>
      </c>
      <c r="D3512">
        <v>0.94031733098533699</v>
      </c>
      <c r="E3512">
        <v>0.96123760522881496</v>
      </c>
      <c r="F3512">
        <v>1.1682522567036699</v>
      </c>
      <c r="G3512">
        <v>1.06779172131843</v>
      </c>
      <c r="H3512">
        <v>0.66349859896045704</v>
      </c>
      <c r="I3512">
        <v>0.33987868260875498</v>
      </c>
      <c r="J3512">
        <v>0.194491531363232</v>
      </c>
      <c r="K3512">
        <v>0.20734324191833101</v>
      </c>
      <c r="L3512">
        <v>2986.0475447157801</v>
      </c>
      <c r="M3512">
        <v>48.5305274938165</v>
      </c>
      <c r="N3512">
        <v>62.195981181689199</v>
      </c>
      <c r="O3512">
        <v>61.425058643224901</v>
      </c>
      <c r="P3512">
        <v>-0.157460889430903</v>
      </c>
      <c r="Q3512">
        <v>0.20280816990293599</v>
      </c>
      <c r="R3512">
        <v>0.95117444720088196</v>
      </c>
      <c r="S3512" t="s">
        <v>9338</v>
      </c>
      <c r="T3512" t="s">
        <v>11650</v>
      </c>
      <c r="U3512" t="s">
        <v>11650</v>
      </c>
      <c r="V3512" t="s">
        <v>11650</v>
      </c>
      <c r="W3512" t="s">
        <v>15110</v>
      </c>
      <c r="X3512">
        <v>27</v>
      </c>
      <c r="Y3512" t="s">
        <v>19277</v>
      </c>
      <c r="Z3512" t="s">
        <v>26574</v>
      </c>
      <c r="AA3512">
        <v>0.77707523030788717</v>
      </c>
      <c r="AB3512" t="str">
        <f>HYPERLINK("Melting_Curves/meltCurve_Q5SRN5_HLA_A.pdf", "Melting_Curves/meltCurve_Q5SRN5_HLA_A.pdf")</f>
        <v>Melting_Curves/meltCurve_Q5SRN5_HLA_A.pdf</v>
      </c>
    </row>
    <row r="3513" spans="1:28" x14ac:dyDescent="0.25">
      <c r="A3513" t="s">
        <v>3517</v>
      </c>
      <c r="B3513">
        <v>0.99996721820229495</v>
      </c>
      <c r="C3513">
        <v>1.05337348515676</v>
      </c>
      <c r="D3513">
        <v>1.1790025562188999</v>
      </c>
      <c r="E3513">
        <v>1.5658796108958399</v>
      </c>
      <c r="F3513">
        <v>1.59093411503223</v>
      </c>
      <c r="G3513">
        <v>1.3528188564336301</v>
      </c>
      <c r="H3513">
        <v>0.39090086452702999</v>
      </c>
      <c r="I3513">
        <v>0.36071628869144401</v>
      </c>
      <c r="J3513">
        <v>0.23602147059721201</v>
      </c>
      <c r="K3513">
        <v>0.15000709304582899</v>
      </c>
      <c r="L3513">
        <v>11689.8926482308</v>
      </c>
      <c r="M3513">
        <v>193.09340154028999</v>
      </c>
      <c r="N3513">
        <v>60.756807866663301</v>
      </c>
      <c r="O3513">
        <v>60.533600188888897</v>
      </c>
      <c r="P3513">
        <v>-0.59897701091852595</v>
      </c>
      <c r="Q3513">
        <v>0.24889748783385901</v>
      </c>
      <c r="R3513">
        <v>0.69479774665947402</v>
      </c>
      <c r="S3513" t="s">
        <v>9339</v>
      </c>
      <c r="T3513" t="s">
        <v>11650</v>
      </c>
      <c r="U3513" t="s">
        <v>11650</v>
      </c>
      <c r="V3513" t="s">
        <v>11650</v>
      </c>
      <c r="W3513" t="s">
        <v>15111</v>
      </c>
      <c r="X3513">
        <v>4</v>
      </c>
      <c r="Y3513" t="s">
        <v>20793</v>
      </c>
      <c r="Z3513" t="s">
        <v>26575</v>
      </c>
      <c r="AA3513">
        <v>0.76328848113286907</v>
      </c>
      <c r="AB3513" t="str">
        <f>HYPERLINK("Melting_Curves/meltCurve_Q5SRQ6_CSNK2B.pdf", "Melting_Curves/meltCurve_Q5SRQ6_CSNK2B.pdf")</f>
        <v>Melting_Curves/meltCurve_Q5SRQ6_CSNK2B.pdf</v>
      </c>
    </row>
    <row r="3514" spans="1:28" x14ac:dyDescent="0.25">
      <c r="A3514" t="s">
        <v>3518</v>
      </c>
      <c r="B3514">
        <v>0.99996721820229495</v>
      </c>
      <c r="C3514">
        <v>0.86386258825798901</v>
      </c>
      <c r="D3514">
        <v>0.78495743508780103</v>
      </c>
      <c r="E3514">
        <v>0.56090878577896697</v>
      </c>
      <c r="F3514">
        <v>0.56333592364520801</v>
      </c>
      <c r="G3514">
        <v>0.57023815073217199</v>
      </c>
      <c r="H3514">
        <v>0.45018509545943802</v>
      </c>
      <c r="I3514">
        <v>0.27539091159708301</v>
      </c>
      <c r="J3514">
        <v>0.21244924739971399</v>
      </c>
      <c r="K3514">
        <v>0.18616122818854999</v>
      </c>
      <c r="L3514">
        <v>350.38139993989603</v>
      </c>
      <c r="M3514">
        <v>6.2869418135664104</v>
      </c>
      <c r="N3514">
        <v>55.731611694181503</v>
      </c>
      <c r="O3514">
        <v>50.8896237014565</v>
      </c>
      <c r="P3514">
        <v>-3.0969789063643401E-2</v>
      </c>
      <c r="Q3514">
        <v>0</v>
      </c>
      <c r="R3514">
        <v>0.94067510042187896</v>
      </c>
      <c r="S3514" t="s">
        <v>9340</v>
      </c>
      <c r="T3514" t="s">
        <v>11650</v>
      </c>
      <c r="U3514" t="s">
        <v>11650</v>
      </c>
      <c r="V3514" t="s">
        <v>11650</v>
      </c>
      <c r="W3514" t="s">
        <v>15112</v>
      </c>
      <c r="X3514">
        <v>10</v>
      </c>
      <c r="Y3514" t="s">
        <v>20794</v>
      </c>
      <c r="Z3514" t="s">
        <v>26576</v>
      </c>
      <c r="AA3514">
        <v>0.54319765870295644</v>
      </c>
      <c r="AB3514" t="str">
        <f>HYPERLINK("Melting_Curves/meltCurve_Q5SVK8_DNMBP.pdf", "Melting_Curves/meltCurve_Q5SVK8_DNMBP.pdf")</f>
        <v>Melting_Curves/meltCurve_Q5SVK8_DNMBP.pdf</v>
      </c>
    </row>
    <row r="3515" spans="1:28" x14ac:dyDescent="0.25">
      <c r="A3515" t="s">
        <v>3519</v>
      </c>
      <c r="B3515">
        <v>0.99996721820229495</v>
      </c>
      <c r="C3515">
        <v>1.00080609550054</v>
      </c>
      <c r="D3515">
        <v>0.81184192200301597</v>
      </c>
      <c r="E3515">
        <v>0.45023204592642202</v>
      </c>
      <c r="F3515">
        <v>0.35753204612700201</v>
      </c>
      <c r="G3515">
        <v>0.32742295027642698</v>
      </c>
      <c r="H3515">
        <v>0.163448437953884</v>
      </c>
      <c r="I3515">
        <v>9.1004993517325702E-2</v>
      </c>
      <c r="J3515">
        <v>6.1539836098958502E-2</v>
      </c>
      <c r="K3515">
        <v>6.8443241581002595E-2</v>
      </c>
      <c r="L3515">
        <v>716.11241227561095</v>
      </c>
      <c r="M3515">
        <v>14.3129758735835</v>
      </c>
      <c r="N3515">
        <v>50.612691984492102</v>
      </c>
      <c r="O3515">
        <v>49.086114658589501</v>
      </c>
      <c r="P3515">
        <v>-6.7389015151105E-2</v>
      </c>
      <c r="Q3515">
        <v>7.5673775620602304E-2</v>
      </c>
      <c r="R3515">
        <v>0.97514076703300301</v>
      </c>
      <c r="S3515" t="s">
        <v>9341</v>
      </c>
      <c r="T3515" t="s">
        <v>11650</v>
      </c>
      <c r="U3515" t="s">
        <v>11650</v>
      </c>
      <c r="V3515" t="s">
        <v>11650</v>
      </c>
      <c r="W3515" t="s">
        <v>15113</v>
      </c>
      <c r="X3515">
        <v>2</v>
      </c>
      <c r="Y3515" t="s">
        <v>20795</v>
      </c>
      <c r="Z3515" t="s">
        <v>26577</v>
      </c>
      <c r="AA3515">
        <v>0.40867949586676589</v>
      </c>
      <c r="AB3515" t="str">
        <f>HYPERLINK("Melting_Curves/meltCurve_Q5SW96_LDLRAP1.pdf", "Melting_Curves/meltCurve_Q5SW96_LDLRAP1.pdf")</f>
        <v>Melting_Curves/meltCurve_Q5SW96_LDLRAP1.pdf</v>
      </c>
    </row>
    <row r="3516" spans="1:28" x14ac:dyDescent="0.25">
      <c r="A3516" t="s">
        <v>3520</v>
      </c>
      <c r="B3516">
        <v>0.99996721820229495</v>
      </c>
      <c r="C3516">
        <v>0.98522442548003897</v>
      </c>
      <c r="D3516">
        <v>1.04258376502175</v>
      </c>
      <c r="E3516">
        <v>0.79842805581857901</v>
      </c>
      <c r="F3516">
        <v>0.63296753484615098</v>
      </c>
      <c r="G3516">
        <v>0.47535816947807802</v>
      </c>
      <c r="H3516">
        <v>0.28164449601432401</v>
      </c>
      <c r="I3516">
        <v>0.15145242508426601</v>
      </c>
      <c r="J3516">
        <v>7.4546516313026903E-2</v>
      </c>
      <c r="K3516">
        <v>6.8683928447519402E-2</v>
      </c>
      <c r="L3516">
        <v>738.43566486052703</v>
      </c>
      <c r="M3516">
        <v>13.1847635734172</v>
      </c>
      <c r="N3516">
        <v>56.0067440230236</v>
      </c>
      <c r="O3516">
        <v>54.765383657014603</v>
      </c>
      <c r="P3516">
        <v>-6.0197569632234202E-2</v>
      </c>
      <c r="Q3516">
        <v>0</v>
      </c>
      <c r="R3516">
        <v>0.98915518100422795</v>
      </c>
      <c r="S3516" t="s">
        <v>9342</v>
      </c>
      <c r="T3516" t="s">
        <v>11650</v>
      </c>
      <c r="U3516" t="s">
        <v>11650</v>
      </c>
      <c r="V3516" t="s">
        <v>11650</v>
      </c>
      <c r="W3516" t="s">
        <v>15114</v>
      </c>
      <c r="X3516">
        <v>7</v>
      </c>
      <c r="Y3516" t="s">
        <v>20796</v>
      </c>
      <c r="Z3516" t="s">
        <v>26578</v>
      </c>
      <c r="AA3516">
        <v>0.55300787846157917</v>
      </c>
      <c r="AB3516" t="str">
        <f>HYPERLINK("Melting_Curves/meltCurve_Q5SWX3_CAMK2G.pdf", "Melting_Curves/meltCurve_Q5SWX3_CAMK2G.pdf")</f>
        <v>Melting_Curves/meltCurve_Q5SWX3_CAMK2G.pdf</v>
      </c>
    </row>
    <row r="3517" spans="1:28" x14ac:dyDescent="0.25">
      <c r="A3517" t="s">
        <v>3521</v>
      </c>
      <c r="B3517">
        <v>0.99996721820229495</v>
      </c>
      <c r="C3517">
        <v>0.84074629976040705</v>
      </c>
      <c r="D3517">
        <v>0.97361280207350098</v>
      </c>
      <c r="E3517">
        <v>0.89563823456135905</v>
      </c>
      <c r="F3517">
        <v>0.437555469879434</v>
      </c>
      <c r="G3517">
        <v>0.43126748532603798</v>
      </c>
      <c r="H3517">
        <v>0.32501256120956701</v>
      </c>
      <c r="I3517">
        <v>0.20569432495482601</v>
      </c>
      <c r="J3517">
        <v>0.12704846150649099</v>
      </c>
      <c r="K3517">
        <v>0.12997891342465201</v>
      </c>
      <c r="L3517">
        <v>718.47881187262794</v>
      </c>
      <c r="M3517">
        <v>13.3243408605169</v>
      </c>
      <c r="N3517">
        <v>54.856046158441302</v>
      </c>
      <c r="O3517">
        <v>52.751107281715598</v>
      </c>
      <c r="P3517">
        <v>-5.6749128302585501E-2</v>
      </c>
      <c r="Q3517">
        <v>0.101464055203251</v>
      </c>
      <c r="R3517">
        <v>0.93712347897886605</v>
      </c>
      <c r="S3517" t="s">
        <v>9343</v>
      </c>
      <c r="T3517" t="s">
        <v>11650</v>
      </c>
      <c r="U3517" t="s">
        <v>11650</v>
      </c>
      <c r="V3517" t="s">
        <v>11650</v>
      </c>
      <c r="W3517" t="s">
        <v>15115</v>
      </c>
      <c r="X3517">
        <v>3</v>
      </c>
      <c r="Y3517" t="s">
        <v>20797</v>
      </c>
      <c r="Z3517" t="s">
        <v>26579</v>
      </c>
      <c r="AA3517">
        <v>0.53971586299643426</v>
      </c>
      <c r="AB3517" t="str">
        <f>HYPERLINK("Melting_Curves/meltCurve_Q5SWX8_ODR4.pdf", "Melting_Curves/meltCurve_Q5SWX8_ODR4.pdf")</f>
        <v>Melting_Curves/meltCurve_Q5SWX8_ODR4.pdf</v>
      </c>
    </row>
    <row r="3518" spans="1:28" x14ac:dyDescent="0.25">
      <c r="A3518" t="s">
        <v>3522</v>
      </c>
      <c r="B3518">
        <v>0.99996721820229495</v>
      </c>
      <c r="C3518">
        <v>1.05949780066586</v>
      </c>
      <c r="D3518">
        <v>0.94883434034977898</v>
      </c>
      <c r="E3518">
        <v>0.87195899834232704</v>
      </c>
      <c r="F3518">
        <v>0.92020256254057597</v>
      </c>
      <c r="G3518">
        <v>0.94923078009569195</v>
      </c>
      <c r="H3518">
        <v>0.73870156233744499</v>
      </c>
      <c r="I3518">
        <v>0.71745921740054497</v>
      </c>
      <c r="J3518">
        <v>0.68923410543017105</v>
      </c>
      <c r="K3518">
        <v>0.45753979862403399</v>
      </c>
      <c r="L3518">
        <v>580.12478926031599</v>
      </c>
      <c r="M3518">
        <v>8.1992448619639706</v>
      </c>
      <c r="O3518">
        <v>66.918625834215405</v>
      </c>
      <c r="P3518">
        <v>-3.06630088378659E-2</v>
      </c>
      <c r="Q3518">
        <v>0</v>
      </c>
      <c r="R3518">
        <v>0.89022108992145199</v>
      </c>
      <c r="S3518" t="s">
        <v>9344</v>
      </c>
      <c r="T3518" t="s">
        <v>11650</v>
      </c>
      <c r="U3518" t="s">
        <v>11650</v>
      </c>
      <c r="V3518" t="s">
        <v>11650</v>
      </c>
      <c r="W3518" t="s">
        <v>15116</v>
      </c>
      <c r="X3518">
        <v>5</v>
      </c>
      <c r="Y3518" t="s">
        <v>20798</v>
      </c>
      <c r="Z3518" t="s">
        <v>26580</v>
      </c>
      <c r="AA3518">
        <v>0.85509625965340041</v>
      </c>
      <c r="AB3518" t="str">
        <f>HYPERLINK("Melting_Curves/meltCurve_Q5SXM8_DNLZ.pdf", "Melting_Curves/meltCurve_Q5SXM8_DNLZ.pdf")</f>
        <v>Melting_Curves/meltCurve_Q5SXM8_DNLZ.pdf</v>
      </c>
    </row>
    <row r="3519" spans="1:28" x14ac:dyDescent="0.25">
      <c r="A3519" t="s">
        <v>3523</v>
      </c>
      <c r="B3519">
        <v>0.99996721820229495</v>
      </c>
      <c r="C3519">
        <v>0.77903544444023998</v>
      </c>
      <c r="D3519">
        <v>1.02410830961704</v>
      </c>
      <c r="E3519">
        <v>1.2806570584535499</v>
      </c>
      <c r="F3519">
        <v>0.73602303859599405</v>
      </c>
      <c r="G3519">
        <v>0.53169929259534598</v>
      </c>
      <c r="H3519">
        <v>0.346348852022134</v>
      </c>
      <c r="I3519">
        <v>0.27644219122607899</v>
      </c>
      <c r="J3519">
        <v>0.18191631284340301</v>
      </c>
      <c r="K3519">
        <v>0.15396835419833099</v>
      </c>
      <c r="L3519">
        <v>1388.58545964929</v>
      </c>
      <c r="M3519">
        <v>24.650095805935099</v>
      </c>
      <c r="N3519">
        <v>57.466461656486501</v>
      </c>
      <c r="O3519">
        <v>55.965034484446299</v>
      </c>
      <c r="P3519">
        <v>-8.8899338670482206E-2</v>
      </c>
      <c r="Q3519">
        <v>0.19267107776376499</v>
      </c>
      <c r="R3519">
        <v>0.87750881044140405</v>
      </c>
      <c r="S3519" t="s">
        <v>9345</v>
      </c>
      <c r="T3519" t="s">
        <v>11650</v>
      </c>
      <c r="U3519" t="s">
        <v>11650</v>
      </c>
      <c r="V3519" t="s">
        <v>11650</v>
      </c>
      <c r="W3519" t="s">
        <v>15117</v>
      </c>
      <c r="X3519">
        <v>3</v>
      </c>
      <c r="Y3519" t="s">
        <v>20799</v>
      </c>
      <c r="Z3519" t="s">
        <v>26581</v>
      </c>
      <c r="AA3519">
        <v>0.63972236967324791</v>
      </c>
      <c r="AB3519" t="str">
        <f>HYPERLINK("Melting_Curves/meltCurve_Q5SYE7_2_NHSL1.pdf", "Melting_Curves/meltCurve_Q5SYE7_2_NHSL1.pdf")</f>
        <v>Melting_Curves/meltCurve_Q5SYE7_2_NHSL1.pdf</v>
      </c>
    </row>
    <row r="3520" spans="1:28" x14ac:dyDescent="0.25">
      <c r="A3520" t="s">
        <v>3524</v>
      </c>
      <c r="B3520">
        <v>0.99996721820229495</v>
      </c>
      <c r="C3520">
        <v>1.08639358317581</v>
      </c>
      <c r="D3520">
        <v>1.3002222368735901</v>
      </c>
      <c r="E3520">
        <v>1.34030041820609</v>
      </c>
      <c r="F3520">
        <v>0.937222509454396</v>
      </c>
      <c r="G3520">
        <v>0.59954931477594398</v>
      </c>
      <c r="H3520">
        <v>0.26124170389704998</v>
      </c>
      <c r="I3520">
        <v>0.122171330522655</v>
      </c>
      <c r="J3520">
        <v>6.9594440637768804E-2</v>
      </c>
      <c r="K3520">
        <v>5.6112629053765802E-2</v>
      </c>
      <c r="L3520">
        <v>1800.4718793789</v>
      </c>
      <c r="M3520">
        <v>31.162406712254398</v>
      </c>
      <c r="N3520">
        <v>58.060254071808401</v>
      </c>
      <c r="O3520">
        <v>57.540685137545204</v>
      </c>
      <c r="P3520">
        <v>-0.125847500100045</v>
      </c>
      <c r="Q3520">
        <v>7.0506904967244696E-2</v>
      </c>
      <c r="R3520">
        <v>0.90784877999192803</v>
      </c>
      <c r="S3520" t="s">
        <v>9346</v>
      </c>
      <c r="T3520" t="s">
        <v>11650</v>
      </c>
      <c r="U3520" t="s">
        <v>11650</v>
      </c>
      <c r="V3520" t="s">
        <v>11650</v>
      </c>
      <c r="W3520" t="s">
        <v>15118</v>
      </c>
      <c r="X3520">
        <v>1</v>
      </c>
      <c r="Y3520" t="s">
        <v>20800</v>
      </c>
      <c r="Z3520" t="s">
        <v>26582</v>
      </c>
      <c r="AA3520">
        <v>0.62705186499333065</v>
      </c>
      <c r="AB3520" t="str">
        <f>HYPERLINK("Melting_Curves/meltCurve_Q5SZE2_CERS2.pdf", "Melting_Curves/meltCurve_Q5SZE2_CERS2.pdf")</f>
        <v>Melting_Curves/meltCurve_Q5SZE2_CERS2.pdf</v>
      </c>
    </row>
    <row r="3521" spans="1:28" x14ac:dyDescent="0.25">
      <c r="A3521" t="s">
        <v>3525</v>
      </c>
      <c r="B3521">
        <v>0.99996721820229495</v>
      </c>
      <c r="C3521">
        <v>1.0038040430239099</v>
      </c>
      <c r="D3521">
        <v>0.887038948280227</v>
      </c>
      <c r="E3521">
        <v>0.50444258655488705</v>
      </c>
      <c r="F3521">
        <v>0.397013013577941</v>
      </c>
      <c r="G3521">
        <v>0.30765718620406901</v>
      </c>
      <c r="H3521">
        <v>0.16786571079795501</v>
      </c>
      <c r="I3521">
        <v>9.6822578186128702E-2</v>
      </c>
      <c r="J3521">
        <v>6.2035015093145497E-2</v>
      </c>
      <c r="K3521">
        <v>4.0570092891809101E-2</v>
      </c>
      <c r="L3521">
        <v>727.65683468943996</v>
      </c>
      <c r="M3521">
        <v>14.261179818395499</v>
      </c>
      <c r="N3521">
        <v>51.440146995917502</v>
      </c>
      <c r="O3521">
        <v>50.051800521196903</v>
      </c>
      <c r="P3521">
        <v>-6.7356022839939106E-2</v>
      </c>
      <c r="Q3521">
        <v>5.453117544306E-2</v>
      </c>
      <c r="R3521">
        <v>0.98192749186074402</v>
      </c>
      <c r="S3521" t="s">
        <v>9347</v>
      </c>
      <c r="T3521" t="s">
        <v>11650</v>
      </c>
      <c r="U3521" t="s">
        <v>11650</v>
      </c>
      <c r="V3521" t="s">
        <v>11650</v>
      </c>
      <c r="W3521" t="s">
        <v>15119</v>
      </c>
      <c r="X3521">
        <v>8</v>
      </c>
      <c r="Y3521" t="s">
        <v>20801</v>
      </c>
      <c r="Z3521" t="s">
        <v>26583</v>
      </c>
      <c r="AA3521">
        <v>0.42564544985801323</v>
      </c>
      <c r="AB3521" t="str">
        <f>HYPERLINK("Melting_Curves/meltCurve_Q5T0D9_TPRG1L.pdf", "Melting_Curves/meltCurve_Q5T0D9_TPRG1L.pdf")</f>
        <v>Melting_Curves/meltCurve_Q5T0D9_TPRG1L.pdf</v>
      </c>
    </row>
    <row r="3522" spans="1:28" x14ac:dyDescent="0.25">
      <c r="A3522" t="s">
        <v>3526</v>
      </c>
      <c r="B3522">
        <v>0.99996721820229495</v>
      </c>
      <c r="C3522">
        <v>0.928387664785431</v>
      </c>
      <c r="D3522">
        <v>0.95529193833637405</v>
      </c>
      <c r="E3522">
        <v>0.82192232557432199</v>
      </c>
      <c r="F3522">
        <v>0.44001410966646698</v>
      </c>
      <c r="G3522">
        <v>0.31374857077495399</v>
      </c>
      <c r="H3522">
        <v>0.19857048867386201</v>
      </c>
      <c r="I3522">
        <v>0.18723168519057901</v>
      </c>
      <c r="J3522">
        <v>0.111217972332266</v>
      </c>
      <c r="K3522">
        <v>0.12847760484984999</v>
      </c>
      <c r="L3522">
        <v>1135.43201048131</v>
      </c>
      <c r="M3522">
        <v>21.723224193173699</v>
      </c>
      <c r="N3522">
        <v>53.101904430253398</v>
      </c>
      <c r="O3522">
        <v>51.831229888080898</v>
      </c>
      <c r="P3522">
        <v>-8.9639943300231006E-2</v>
      </c>
      <c r="Q3522">
        <v>0.14450278369414599</v>
      </c>
      <c r="R3522">
        <v>0.98636231231146199</v>
      </c>
      <c r="S3522" t="s">
        <v>9348</v>
      </c>
      <c r="T3522" t="s">
        <v>11650</v>
      </c>
      <c r="U3522" t="s">
        <v>11650</v>
      </c>
      <c r="V3522" t="s">
        <v>11650</v>
      </c>
      <c r="W3522" t="s">
        <v>15120</v>
      </c>
      <c r="X3522">
        <v>3</v>
      </c>
      <c r="Y3522" t="s">
        <v>20802</v>
      </c>
      <c r="Z3522" t="s">
        <v>26584</v>
      </c>
      <c r="AA3522">
        <v>0.50453605916963384</v>
      </c>
      <c r="AB3522" t="str">
        <f>HYPERLINK("Melting_Curves/meltCurve_Q5T0N5_3_FNBP1L.pdf", "Melting_Curves/meltCurve_Q5T0N5_3_FNBP1L.pdf")</f>
        <v>Melting_Curves/meltCurve_Q5T0N5_3_FNBP1L.pdf</v>
      </c>
    </row>
    <row r="3523" spans="1:28" x14ac:dyDescent="0.25">
      <c r="A3523" t="s">
        <v>3527</v>
      </c>
      <c r="B3523">
        <v>0.99996721820229495</v>
      </c>
      <c r="C3523">
        <v>0.89047023501436595</v>
      </c>
      <c r="D3523">
        <v>1.27024003388491</v>
      </c>
      <c r="E3523">
        <v>2.0930875801997701</v>
      </c>
      <c r="F3523">
        <v>2.4117194021109301</v>
      </c>
      <c r="G3523">
        <v>3.2690386999957202</v>
      </c>
      <c r="H3523">
        <v>1.20939196216946</v>
      </c>
      <c r="I3523">
        <v>0.461470365013325</v>
      </c>
      <c r="J3523">
        <v>0.292692627001365</v>
      </c>
      <c r="K3523">
        <v>0.21465435791644599</v>
      </c>
      <c r="L3523">
        <v>15000</v>
      </c>
      <c r="M3523">
        <v>235.327033034979</v>
      </c>
      <c r="N3523">
        <v>63.933404639633999</v>
      </c>
      <c r="O3523">
        <v>63.736482526703099</v>
      </c>
      <c r="P3523">
        <v>-0.688905283092482</v>
      </c>
      <c r="Q3523">
        <v>0.25366164682208497</v>
      </c>
      <c r="R3523">
        <v>4.8869548389603203E-2</v>
      </c>
      <c r="S3523" t="s">
        <v>9349</v>
      </c>
      <c r="T3523" t="s">
        <v>11650</v>
      </c>
      <c r="U3523" t="s">
        <v>11650</v>
      </c>
      <c r="V3523" t="s">
        <v>11650</v>
      </c>
      <c r="W3523" t="s">
        <v>15121</v>
      </c>
      <c r="X3523">
        <v>8</v>
      </c>
      <c r="Y3523" t="s">
        <v>19832</v>
      </c>
      <c r="Z3523" t="s">
        <v>26585</v>
      </c>
      <c r="AA3523">
        <v>0.8443852396774717</v>
      </c>
      <c r="AB3523" t="str">
        <f>HYPERLINK("Melting_Curves/meltCurve_Q5T0S4_PPT1.pdf", "Melting_Curves/meltCurve_Q5T0S4_PPT1.pdf")</f>
        <v>Melting_Curves/meltCurve_Q5T0S4_PPT1.pdf</v>
      </c>
    </row>
    <row r="3524" spans="1:28" x14ac:dyDescent="0.25">
      <c r="A3524" t="s">
        <v>3528</v>
      </c>
      <c r="B3524">
        <v>0.99996721820229495</v>
      </c>
      <c r="C3524">
        <v>0.87309943706631599</v>
      </c>
      <c r="D3524">
        <v>0.82552371389152701</v>
      </c>
      <c r="E3524">
        <v>0.85922313320703603</v>
      </c>
      <c r="F3524">
        <v>1.1939898506022</v>
      </c>
      <c r="G3524">
        <v>0.96778187191222897</v>
      </c>
      <c r="H3524">
        <v>0.67698100271797701</v>
      </c>
      <c r="I3524">
        <v>0.66406595015894399</v>
      </c>
      <c r="J3524">
        <v>0.71344249209591803</v>
      </c>
      <c r="K3524">
        <v>0.54212741490099503</v>
      </c>
      <c r="L3524">
        <v>3858.8585364565802</v>
      </c>
      <c r="M3524">
        <v>65.3312910355382</v>
      </c>
      <c r="O3524">
        <v>59.010739202825903</v>
      </c>
      <c r="P3524">
        <v>-0.10007703673683301</v>
      </c>
      <c r="Q3524">
        <v>0.63842023665559899</v>
      </c>
      <c r="R3524">
        <v>0.63838744512662104</v>
      </c>
      <c r="S3524" t="s">
        <v>9350</v>
      </c>
      <c r="T3524" t="s">
        <v>11650</v>
      </c>
      <c r="U3524" t="s">
        <v>11650</v>
      </c>
      <c r="V3524" t="s">
        <v>11650</v>
      </c>
      <c r="W3524" t="s">
        <v>15122</v>
      </c>
      <c r="X3524">
        <v>7</v>
      </c>
      <c r="Y3524" t="s">
        <v>20803</v>
      </c>
      <c r="Z3524" t="s">
        <v>26586</v>
      </c>
      <c r="AA3524">
        <v>0.8687662500425728</v>
      </c>
      <c r="AB3524" t="str">
        <f>HYPERLINK("Melting_Curves/meltCurve_Q5T123_SH3BGRL3.pdf", "Melting_Curves/meltCurve_Q5T123_SH3BGRL3.pdf")</f>
        <v>Melting_Curves/meltCurve_Q5T123_SH3BGRL3.pdf</v>
      </c>
    </row>
    <row r="3525" spans="1:28" x14ac:dyDescent="0.25">
      <c r="A3525" t="s">
        <v>3529</v>
      </c>
      <c r="B3525">
        <v>0.99996721820229495</v>
      </c>
      <c r="C3525">
        <v>1.0083900053505399</v>
      </c>
      <c r="D3525">
        <v>0.90946703089212699</v>
      </c>
      <c r="E3525">
        <v>0.64088438773649403</v>
      </c>
      <c r="F3525">
        <v>0.48941159783201499</v>
      </c>
      <c r="G3525">
        <v>0.32403432571966001</v>
      </c>
      <c r="H3525">
        <v>0.239238272823555</v>
      </c>
      <c r="I3525">
        <v>0.197328860762536</v>
      </c>
      <c r="J3525">
        <v>0.10925780450504</v>
      </c>
      <c r="K3525">
        <v>0.112013821821975</v>
      </c>
      <c r="L3525">
        <v>744.55330309494195</v>
      </c>
      <c r="M3525">
        <v>14.3113564059447</v>
      </c>
      <c r="N3525">
        <v>52.9516157638067</v>
      </c>
      <c r="O3525">
        <v>51.041181918635402</v>
      </c>
      <c r="P3525">
        <v>-6.2342585472329203E-2</v>
      </c>
      <c r="Q3525">
        <v>0.110733376266796</v>
      </c>
      <c r="R3525">
        <v>0.99259517348815296</v>
      </c>
      <c r="S3525" t="s">
        <v>9351</v>
      </c>
      <c r="T3525" t="s">
        <v>11650</v>
      </c>
      <c r="U3525" t="s">
        <v>11650</v>
      </c>
      <c r="V3525" t="s">
        <v>11650</v>
      </c>
      <c r="W3525" t="s">
        <v>15123</v>
      </c>
      <c r="X3525">
        <v>6</v>
      </c>
      <c r="Y3525" t="s">
        <v>20804</v>
      </c>
      <c r="Z3525" t="s">
        <v>26587</v>
      </c>
      <c r="AA3525">
        <v>0.48850540476804338</v>
      </c>
      <c r="AB3525" t="str">
        <f>HYPERLINK("Melting_Curves/meltCurve_Q5T160_RARS2.pdf", "Melting_Curves/meltCurve_Q5T160_RARS2.pdf")</f>
        <v>Melting_Curves/meltCurve_Q5T160_RARS2.pdf</v>
      </c>
    </row>
    <row r="3526" spans="1:28" x14ac:dyDescent="0.25">
      <c r="A3526" t="s">
        <v>3530</v>
      </c>
      <c r="B3526">
        <v>0.99996721820229495</v>
      </c>
      <c r="C3526">
        <v>1.0436695005149701</v>
      </c>
      <c r="D3526">
        <v>0.95946843870090803</v>
      </c>
      <c r="E3526">
        <v>1.02632391696975</v>
      </c>
      <c r="F3526">
        <v>0.69026451269398104</v>
      </c>
      <c r="G3526">
        <v>0.56523970290667902</v>
      </c>
      <c r="H3526">
        <v>0.39867651165054302</v>
      </c>
      <c r="I3526">
        <v>0.32841282532777299</v>
      </c>
      <c r="J3526">
        <v>0.29093825496225501</v>
      </c>
      <c r="K3526">
        <v>0.23158797923851199</v>
      </c>
      <c r="L3526">
        <v>978.42506920180699</v>
      </c>
      <c r="M3526">
        <v>17.554090071646002</v>
      </c>
      <c r="N3526">
        <v>57.948120720460601</v>
      </c>
      <c r="O3526">
        <v>55.029476102244899</v>
      </c>
      <c r="P3526">
        <v>-6.0290002920407197E-2</v>
      </c>
      <c r="Q3526">
        <v>0.244040205318798</v>
      </c>
      <c r="R3526">
        <v>0.97331754453455699</v>
      </c>
      <c r="S3526" t="s">
        <v>9352</v>
      </c>
      <c r="T3526" t="s">
        <v>11650</v>
      </c>
      <c r="U3526" t="s">
        <v>11650</v>
      </c>
      <c r="V3526" t="s">
        <v>11650</v>
      </c>
      <c r="W3526" t="s">
        <v>15124</v>
      </c>
      <c r="X3526">
        <v>2</v>
      </c>
      <c r="Y3526" t="s">
        <v>20805</v>
      </c>
      <c r="Z3526" t="s">
        <v>26588</v>
      </c>
      <c r="AA3526">
        <v>0.65225870399698593</v>
      </c>
      <c r="AB3526" t="str">
        <f>HYPERLINK("Melting_Curves/meltCurve_Q5T171_PYGO2.pdf", "Melting_Curves/meltCurve_Q5T171_PYGO2.pdf")</f>
        <v>Melting_Curves/meltCurve_Q5T171_PYGO2.pdf</v>
      </c>
    </row>
    <row r="3527" spans="1:28" x14ac:dyDescent="0.25">
      <c r="A3527" t="s">
        <v>3531</v>
      </c>
      <c r="B3527">
        <v>0.99996721820229495</v>
      </c>
      <c r="C3527">
        <v>1.1102475885519301</v>
      </c>
      <c r="D3527">
        <v>1.0124358297854901</v>
      </c>
      <c r="E3527">
        <v>0.780196610272474</v>
      </c>
      <c r="F3527">
        <v>0.713496959402667</v>
      </c>
      <c r="G3527">
        <v>0.857091220864725</v>
      </c>
      <c r="H3527">
        <v>0.60459448966127705</v>
      </c>
      <c r="I3527">
        <v>1.0989775688305801</v>
      </c>
      <c r="J3527">
        <v>0.55230133747045995</v>
      </c>
      <c r="K3527">
        <v>0.37765897994097403</v>
      </c>
      <c r="L3527">
        <v>384.16835113715302</v>
      </c>
      <c r="M3527">
        <v>5.2962280898773102</v>
      </c>
      <c r="O3527">
        <v>64.128960344408995</v>
      </c>
      <c r="P3527">
        <v>-2.0750525742962499E-2</v>
      </c>
      <c r="Q3527">
        <v>0</v>
      </c>
      <c r="R3527">
        <v>0.46071728334260398</v>
      </c>
      <c r="S3527" t="s">
        <v>9353</v>
      </c>
      <c r="T3527" t="s">
        <v>11650</v>
      </c>
      <c r="U3527" t="s">
        <v>11650</v>
      </c>
      <c r="V3527" t="s">
        <v>11650</v>
      </c>
      <c r="W3527" t="s">
        <v>15125</v>
      </c>
      <c r="X3527">
        <v>1</v>
      </c>
      <c r="Y3527" t="s">
        <v>20806</v>
      </c>
      <c r="Z3527" t="s">
        <v>26589</v>
      </c>
      <c r="AA3527">
        <v>0.81610994244481039</v>
      </c>
      <c r="AB3527" t="str">
        <f>HYPERLINK("Melting_Curves/meltCurve_Q5T179_CKS1B.pdf", "Melting_Curves/meltCurve_Q5T179_CKS1B.pdf")</f>
        <v>Melting_Curves/meltCurve_Q5T179_CKS1B.pdf</v>
      </c>
    </row>
    <row r="3528" spans="1:28" x14ac:dyDescent="0.25">
      <c r="A3528" t="s">
        <v>3532</v>
      </c>
      <c r="B3528">
        <v>0.99996721820229495</v>
      </c>
      <c r="C3528">
        <v>1.0680229559091301</v>
      </c>
      <c r="D3528">
        <v>1.03181252104578</v>
      </c>
      <c r="E3528">
        <v>1.0342406706130201</v>
      </c>
      <c r="F3528">
        <v>1.37975620882549</v>
      </c>
      <c r="G3528">
        <v>0.97564527937870404</v>
      </c>
      <c r="H3528">
        <v>0.45377586812710002</v>
      </c>
      <c r="I3528">
        <v>0.23069248762251501</v>
      </c>
      <c r="J3528">
        <v>0.18418845333293801</v>
      </c>
      <c r="K3528">
        <v>0.13654486726600601</v>
      </c>
      <c r="L3528">
        <v>3308.3380116717999</v>
      </c>
      <c r="M3528">
        <v>54.850297289074398</v>
      </c>
      <c r="N3528">
        <v>60.774406764904803</v>
      </c>
      <c r="O3528">
        <v>60.235756674799703</v>
      </c>
      <c r="P3528">
        <v>-0.18906785076254501</v>
      </c>
      <c r="Q3528">
        <v>0.169474812510435</v>
      </c>
      <c r="R3528">
        <v>0.915923403288463</v>
      </c>
      <c r="S3528" t="s">
        <v>9354</v>
      </c>
      <c r="T3528" t="s">
        <v>11650</v>
      </c>
      <c r="U3528" t="s">
        <v>11650</v>
      </c>
      <c r="V3528" t="s">
        <v>11650</v>
      </c>
      <c r="W3528" t="s">
        <v>15126</v>
      </c>
      <c r="X3528">
        <v>4</v>
      </c>
      <c r="Y3528" t="s">
        <v>20807</v>
      </c>
      <c r="Z3528" t="s">
        <v>26590</v>
      </c>
      <c r="AA3528">
        <v>0.73371285501256667</v>
      </c>
      <c r="AB3528" t="str">
        <f>HYPERLINK("Melting_Curves/meltCurve_Q5T1C6_THEM4.pdf", "Melting_Curves/meltCurve_Q5T1C6_THEM4.pdf")</f>
        <v>Melting_Curves/meltCurve_Q5T1C6_THEM4.pdf</v>
      </c>
    </row>
    <row r="3529" spans="1:28" x14ac:dyDescent="0.25">
      <c r="A3529" t="s">
        <v>3533</v>
      </c>
      <c r="B3529">
        <v>0.99996721820229495</v>
      </c>
      <c r="C3529">
        <v>0.93690196693037897</v>
      </c>
      <c r="D3529">
        <v>0.91261077726128104</v>
      </c>
      <c r="E3529">
        <v>0.79195017079869701</v>
      </c>
      <c r="F3529">
        <v>0.54829567104267696</v>
      </c>
      <c r="G3529">
        <v>0.484562974566486</v>
      </c>
      <c r="H3529">
        <v>0.305805348163737</v>
      </c>
      <c r="I3529">
        <v>0.230137962649683</v>
      </c>
      <c r="J3529">
        <v>0.18221695046509501</v>
      </c>
      <c r="K3529">
        <v>0.14122825233394601</v>
      </c>
      <c r="L3529">
        <v>583.28023443678296</v>
      </c>
      <c r="M3529">
        <v>10.610952308734401</v>
      </c>
      <c r="N3529">
        <v>55.643524182687599</v>
      </c>
      <c r="O3529">
        <v>53.125045170259099</v>
      </c>
      <c r="P3529">
        <v>-4.6941220539783002E-2</v>
      </c>
      <c r="Q3529">
        <v>6.0296033280372099E-2</v>
      </c>
      <c r="R3529">
        <v>0.990748446403662</v>
      </c>
      <c r="S3529" t="s">
        <v>9355</v>
      </c>
      <c r="T3529" t="s">
        <v>11650</v>
      </c>
      <c r="U3529" t="s">
        <v>11650</v>
      </c>
      <c r="V3529" t="s">
        <v>11650</v>
      </c>
      <c r="W3529" t="s">
        <v>15127</v>
      </c>
      <c r="X3529">
        <v>26</v>
      </c>
      <c r="Y3529" t="s">
        <v>20808</v>
      </c>
      <c r="Z3529" t="s">
        <v>26591</v>
      </c>
      <c r="AA3529">
        <v>0.55299802399950282</v>
      </c>
      <c r="AB3529" t="str">
        <f>HYPERLINK("Melting_Curves/meltCurve_Q5T1M5_FKBP15.pdf", "Melting_Curves/meltCurve_Q5T1M5_FKBP15.pdf")</f>
        <v>Melting_Curves/meltCurve_Q5T1M5_FKBP15.pdf</v>
      </c>
    </row>
    <row r="3530" spans="1:28" x14ac:dyDescent="0.25">
      <c r="A3530" t="s">
        <v>3534</v>
      </c>
      <c r="B3530">
        <v>0.99996721820229495</v>
      </c>
      <c r="C3530">
        <v>0.85456198204879896</v>
      </c>
      <c r="D3530">
        <v>0.39720067120522401</v>
      </c>
      <c r="E3530">
        <v>0.28495529333246</v>
      </c>
      <c r="F3530">
        <v>0.214370080044956</v>
      </c>
      <c r="G3530">
        <v>0.17577252008717401</v>
      </c>
      <c r="H3530">
        <v>0.117541811142718</v>
      </c>
      <c r="I3530">
        <v>8.6985631905672905E-2</v>
      </c>
      <c r="J3530">
        <v>7.4990497361942896E-2</v>
      </c>
      <c r="K3530">
        <v>7.6363475395345201E-2</v>
      </c>
      <c r="L3530">
        <v>1068.9344868118901</v>
      </c>
      <c r="M3530">
        <v>23.6463737295059</v>
      </c>
      <c r="N3530">
        <v>45.757279924871099</v>
      </c>
      <c r="O3530">
        <v>44.885447028593298</v>
      </c>
      <c r="P3530">
        <v>-0.115355698279512</v>
      </c>
      <c r="Q3530">
        <v>0.12414427383043999</v>
      </c>
      <c r="R3530">
        <v>0.97192745935069103</v>
      </c>
      <c r="S3530" t="s">
        <v>9356</v>
      </c>
      <c r="T3530" t="s">
        <v>11650</v>
      </c>
      <c r="U3530" t="s">
        <v>11650</v>
      </c>
      <c r="V3530" t="s">
        <v>11650</v>
      </c>
      <c r="W3530" t="s">
        <v>15128</v>
      </c>
      <c r="X3530">
        <v>2</v>
      </c>
      <c r="Y3530" t="s">
        <v>20809</v>
      </c>
      <c r="Z3530" t="s">
        <v>26592</v>
      </c>
      <c r="AA3530">
        <v>0.28587353446596542</v>
      </c>
      <c r="AB3530" t="str">
        <f>HYPERLINK("Melting_Curves/meltCurve_Q5T1N9_GPSM2.pdf", "Melting_Curves/meltCurve_Q5T1N9_GPSM2.pdf")</f>
        <v>Melting_Curves/meltCurve_Q5T1N9_GPSM2.pdf</v>
      </c>
    </row>
    <row r="3531" spans="1:28" x14ac:dyDescent="0.25">
      <c r="A3531" t="s">
        <v>3535</v>
      </c>
      <c r="B3531">
        <v>0.99996721820229495</v>
      </c>
      <c r="C3531">
        <v>1.1197397748287099</v>
      </c>
      <c r="D3531">
        <v>1.1385865090474201</v>
      </c>
      <c r="E3531">
        <v>1.08474076253263</v>
      </c>
      <c r="F3531">
        <v>1.29080014787918</v>
      </c>
      <c r="G3531">
        <v>0.677638426983452</v>
      </c>
      <c r="H3531">
        <v>0.426134809423316</v>
      </c>
      <c r="I3531">
        <v>0.302612412159945</v>
      </c>
      <c r="J3531">
        <v>0.185966087771547</v>
      </c>
      <c r="K3531">
        <v>0.213827320719191</v>
      </c>
      <c r="L3531">
        <v>2074.4775875486498</v>
      </c>
      <c r="M3531">
        <v>35.577130990243298</v>
      </c>
      <c r="N3531">
        <v>59.346164869202902</v>
      </c>
      <c r="O3531">
        <v>58.125996482104703</v>
      </c>
      <c r="P3531">
        <v>-0.11760125767976</v>
      </c>
      <c r="Q3531">
        <v>0.23145378103566</v>
      </c>
      <c r="R3531">
        <v>0.90741036861952196</v>
      </c>
      <c r="S3531" t="s">
        <v>9357</v>
      </c>
      <c r="T3531" t="s">
        <v>11650</v>
      </c>
      <c r="U3531" t="s">
        <v>11650</v>
      </c>
      <c r="V3531" t="s">
        <v>11650</v>
      </c>
      <c r="W3531" t="s">
        <v>15129</v>
      </c>
      <c r="X3531">
        <v>2</v>
      </c>
      <c r="Y3531" t="s">
        <v>20810</v>
      </c>
      <c r="Z3531" t="s">
        <v>26593</v>
      </c>
      <c r="AA3531">
        <v>0.70426053021779289</v>
      </c>
      <c r="AB3531" t="str">
        <f>HYPERLINK("Melting_Curves/meltCurve_Q5T1V6_DDX59.pdf", "Melting_Curves/meltCurve_Q5T1V6_DDX59.pdf")</f>
        <v>Melting_Curves/meltCurve_Q5T1V6_DDX59.pdf</v>
      </c>
    </row>
    <row r="3532" spans="1:28" x14ac:dyDescent="0.25">
      <c r="A3532" t="s">
        <v>3536</v>
      </c>
      <c r="B3532">
        <v>0.99996721820229495</v>
      </c>
      <c r="C3532">
        <v>0.99576701279828805</v>
      </c>
      <c r="D3532">
        <v>0.94410106161761198</v>
      </c>
      <c r="E3532">
        <v>0.82289948892009701</v>
      </c>
      <c r="F3532">
        <v>0.76194310037077095</v>
      </c>
      <c r="G3532">
        <v>0.74262794653884501</v>
      </c>
      <c r="H3532">
        <v>0.46870565377019602</v>
      </c>
      <c r="I3532">
        <v>0.36490624404364702</v>
      </c>
      <c r="J3532">
        <v>0.38577330960933698</v>
      </c>
      <c r="K3532">
        <v>0.22889170669112499</v>
      </c>
      <c r="L3532">
        <v>517.10513677899303</v>
      </c>
      <c r="M3532">
        <v>8.4491012879252594</v>
      </c>
      <c r="N3532">
        <v>61.202380740013098</v>
      </c>
      <c r="O3532">
        <v>58.062410244066001</v>
      </c>
      <c r="P3532">
        <v>-3.6412923090728001E-2</v>
      </c>
      <c r="Q3532">
        <v>0</v>
      </c>
      <c r="R3532">
        <v>0.97326712006701699</v>
      </c>
      <c r="S3532" t="s">
        <v>9358</v>
      </c>
      <c r="T3532" t="s">
        <v>11650</v>
      </c>
      <c r="U3532" t="s">
        <v>11650</v>
      </c>
      <c r="V3532" t="s">
        <v>11650</v>
      </c>
      <c r="W3532" t="s">
        <v>15130</v>
      </c>
      <c r="X3532">
        <v>8</v>
      </c>
      <c r="Y3532" t="s">
        <v>20811</v>
      </c>
      <c r="Z3532" t="s">
        <v>26594</v>
      </c>
      <c r="AA3532">
        <v>0.68271129967555211</v>
      </c>
      <c r="AB3532" t="str">
        <f>HYPERLINK("Melting_Curves/meltCurve_Q5T1Z4_PUM1.pdf", "Melting_Curves/meltCurve_Q5T1Z4_PUM1.pdf")</f>
        <v>Melting_Curves/meltCurve_Q5T1Z4_PUM1.pdf</v>
      </c>
    </row>
    <row r="3533" spans="1:28" x14ac:dyDescent="0.25">
      <c r="A3533" t="s">
        <v>3537</v>
      </c>
      <c r="B3533">
        <v>0.99996721820229495</v>
      </c>
      <c r="C3533">
        <v>0.97581599262220298</v>
      </c>
      <c r="D3533">
        <v>1.01496444024278</v>
      </c>
      <c r="E3533">
        <v>1.0457193249787</v>
      </c>
      <c r="F3533">
        <v>1.3754922454021301</v>
      </c>
      <c r="G3533">
        <v>1.3514639193801501</v>
      </c>
      <c r="H3533">
        <v>0.68876985117603196</v>
      </c>
      <c r="I3533">
        <v>0.27385752244439499</v>
      </c>
      <c r="J3533">
        <v>0.188426718617766</v>
      </c>
      <c r="K3533">
        <v>0.16256466881454701</v>
      </c>
      <c r="L3533">
        <v>4383.3925863138502</v>
      </c>
      <c r="M3533">
        <v>71.312615698443594</v>
      </c>
      <c r="N3533">
        <v>61.8830135153908</v>
      </c>
      <c r="O3533">
        <v>61.418997280403403</v>
      </c>
      <c r="P3533">
        <v>-0.235024743946599</v>
      </c>
      <c r="Q3533">
        <v>0.190326651365788</v>
      </c>
      <c r="R3533">
        <v>0.85544980297635997</v>
      </c>
      <c r="S3533" t="s">
        <v>9359</v>
      </c>
      <c r="T3533" t="s">
        <v>11650</v>
      </c>
      <c r="U3533" t="s">
        <v>11650</v>
      </c>
      <c r="V3533" t="s">
        <v>11650</v>
      </c>
      <c r="W3533" t="s">
        <v>15131</v>
      </c>
      <c r="X3533">
        <v>10</v>
      </c>
      <c r="Y3533" t="s">
        <v>20812</v>
      </c>
      <c r="Z3533" t="s">
        <v>26595</v>
      </c>
      <c r="AA3533">
        <v>0.77078038999421983</v>
      </c>
      <c r="AB3533" t="str">
        <f>HYPERLINK("Melting_Curves/meltCurve_Q5T2E6_C10orf76.pdf", "Melting_Curves/meltCurve_Q5T2E6_C10orf76.pdf")</f>
        <v>Melting_Curves/meltCurve_Q5T2E6_C10orf76.pdf</v>
      </c>
    </row>
    <row r="3534" spans="1:28" x14ac:dyDescent="0.25">
      <c r="A3534" t="s">
        <v>3538</v>
      </c>
      <c r="B3534">
        <v>0.99996721820229495</v>
      </c>
      <c r="C3534">
        <v>0.88880401517380003</v>
      </c>
      <c r="D3534">
        <v>0.923885803220858</v>
      </c>
      <c r="E3534">
        <v>0.98188176005824701</v>
      </c>
      <c r="F3534">
        <v>1.42876355760305</v>
      </c>
      <c r="G3534">
        <v>1.42031363086298</v>
      </c>
      <c r="H3534">
        <v>1.0635382028351099</v>
      </c>
      <c r="I3534">
        <v>0.872354794870983</v>
      </c>
      <c r="J3534">
        <v>0.53927030336445503</v>
      </c>
      <c r="K3534">
        <v>0.50651066361242703</v>
      </c>
      <c r="L3534">
        <v>5959.7579565649003</v>
      </c>
      <c r="M3534">
        <v>92.055320391651506</v>
      </c>
      <c r="O3534">
        <v>64.710513331293299</v>
      </c>
      <c r="P3534">
        <v>-0.173620412239467</v>
      </c>
      <c r="Q3534">
        <v>0.51181245766134398</v>
      </c>
      <c r="R3534">
        <v>0.54424120280843302</v>
      </c>
      <c r="S3534" t="s">
        <v>9360</v>
      </c>
      <c r="T3534" t="s">
        <v>11650</v>
      </c>
      <c r="U3534" t="s">
        <v>11650</v>
      </c>
      <c r="V3534" t="s">
        <v>11650</v>
      </c>
      <c r="W3534" t="s">
        <v>15132</v>
      </c>
      <c r="X3534">
        <v>5</v>
      </c>
      <c r="Y3534" t="s">
        <v>20813</v>
      </c>
      <c r="Z3534" t="s">
        <v>26596</v>
      </c>
      <c r="AA3534">
        <v>0.9148175967631168</v>
      </c>
      <c r="AB3534" t="str">
        <f>HYPERLINK("Melting_Curves/meltCurve_Q5T3F8_TMEM63B.pdf", "Melting_Curves/meltCurve_Q5T3F8_TMEM63B.pdf")</f>
        <v>Melting_Curves/meltCurve_Q5T3F8_TMEM63B.pdf</v>
      </c>
    </row>
    <row r="3535" spans="1:28" x14ac:dyDescent="0.25">
      <c r="A3535" t="s">
        <v>3539</v>
      </c>
      <c r="B3535">
        <v>0.99996721820229495</v>
      </c>
      <c r="C3535">
        <v>1.0698180489079101</v>
      </c>
      <c r="D3535">
        <v>1.0643277853179001</v>
      </c>
      <c r="E3535">
        <v>1.0826246448310399</v>
      </c>
      <c r="F3535">
        <v>1.6197052130260801</v>
      </c>
      <c r="G3535">
        <v>1.2082121007145601</v>
      </c>
      <c r="H3535">
        <v>0.74414502265295901</v>
      </c>
      <c r="I3535">
        <v>0.67647099695826396</v>
      </c>
      <c r="J3535">
        <v>0.46804128379147902</v>
      </c>
      <c r="K3535">
        <v>0.30921455578226698</v>
      </c>
      <c r="L3535">
        <v>1883.20517574924</v>
      </c>
      <c r="M3535">
        <v>29.4055314411608</v>
      </c>
      <c r="N3535">
        <v>65.9053751683999</v>
      </c>
      <c r="O3535">
        <v>63.748555072437803</v>
      </c>
      <c r="P3535">
        <v>-8.2773099551271906E-2</v>
      </c>
      <c r="Q3535">
        <v>0.28222644545039599</v>
      </c>
      <c r="R3535">
        <v>0.64234248165536201</v>
      </c>
      <c r="S3535" t="s">
        <v>9361</v>
      </c>
      <c r="T3535" t="s">
        <v>11650</v>
      </c>
      <c r="U3535" t="s">
        <v>11650</v>
      </c>
      <c r="V3535" t="s">
        <v>11650</v>
      </c>
      <c r="W3535" t="s">
        <v>15133</v>
      </c>
      <c r="X3535">
        <v>3</v>
      </c>
      <c r="Y3535" t="s">
        <v>20814</v>
      </c>
      <c r="Z3535" t="s">
        <v>26597</v>
      </c>
      <c r="AA3535">
        <v>0.85806995940278941</v>
      </c>
      <c r="AB3535" t="str">
        <f>HYPERLINK("Melting_Curves/meltCurve_Q5T3J3_2_LRIF1.pdf", "Melting_Curves/meltCurve_Q5T3J3_2_LRIF1.pdf")</f>
        <v>Melting_Curves/meltCurve_Q5T3J3_2_LRIF1.pdf</v>
      </c>
    </row>
    <row r="3536" spans="1:28" x14ac:dyDescent="0.25">
      <c r="A3536" t="s">
        <v>3540</v>
      </c>
      <c r="B3536">
        <v>0.99996721820229495</v>
      </c>
      <c r="C3536">
        <v>0.99156462621941499</v>
      </c>
      <c r="D3536">
        <v>1.0408286166086</v>
      </c>
      <c r="E3536">
        <v>0.84198882780439299</v>
      </c>
      <c r="F3536">
        <v>1.6824598924687999</v>
      </c>
      <c r="G3536">
        <v>0.63288656982106894</v>
      </c>
      <c r="H3536">
        <v>0.35935533119707402</v>
      </c>
      <c r="I3536">
        <v>0.22292316998564399</v>
      </c>
      <c r="J3536">
        <v>0.102082147802946</v>
      </c>
      <c r="K3536">
        <v>8.0155053095999407E-2</v>
      </c>
      <c r="L3536">
        <v>6701.1078355590798</v>
      </c>
      <c r="M3536">
        <v>117.37434455676301</v>
      </c>
      <c r="N3536">
        <v>57.3267246732077</v>
      </c>
      <c r="O3536">
        <v>57.075192544986898</v>
      </c>
      <c r="P3536">
        <v>-0.41595627992943701</v>
      </c>
      <c r="Q3536">
        <v>0.19093789730296201</v>
      </c>
      <c r="R3536">
        <v>0.77094257301626201</v>
      </c>
      <c r="S3536" t="s">
        <v>9362</v>
      </c>
      <c r="T3536" t="s">
        <v>11650</v>
      </c>
      <c r="U3536" t="s">
        <v>11650</v>
      </c>
      <c r="V3536" t="s">
        <v>11650</v>
      </c>
      <c r="W3536" t="s">
        <v>15134</v>
      </c>
      <c r="X3536">
        <v>2</v>
      </c>
      <c r="Y3536" t="s">
        <v>20815</v>
      </c>
      <c r="Z3536" t="s">
        <v>26598</v>
      </c>
      <c r="AA3536">
        <v>0.65224910277755954</v>
      </c>
      <c r="AB3536" t="str">
        <f>HYPERLINK("Melting_Curves/meltCurve_Q5T3U5_2_ABCC10.pdf", "Melting_Curves/meltCurve_Q5T3U5_2_ABCC10.pdf")</f>
        <v>Melting_Curves/meltCurve_Q5T3U5_2_ABCC10.pdf</v>
      </c>
    </row>
    <row r="3537" spans="1:28" x14ac:dyDescent="0.25">
      <c r="A3537" t="s">
        <v>3541</v>
      </c>
      <c r="B3537">
        <v>0.99996721820229495</v>
      </c>
      <c r="C3537">
        <v>1.0224785311170801</v>
      </c>
      <c r="D3537">
        <v>0.94055690528712099</v>
      </c>
      <c r="E3537">
        <v>0.75303628964670299</v>
      </c>
      <c r="F3537">
        <v>0.526338401947547</v>
      </c>
      <c r="G3537">
        <v>0.24230262243817199</v>
      </c>
      <c r="H3537">
        <v>0.14044475736014</v>
      </c>
      <c r="I3537">
        <v>0.13249832972048101</v>
      </c>
      <c r="J3537">
        <v>6.2644598708250898E-2</v>
      </c>
      <c r="K3537">
        <v>6.2356158603149997E-2</v>
      </c>
      <c r="L3537">
        <v>983.84891252652903</v>
      </c>
      <c r="M3537">
        <v>18.618579044977199</v>
      </c>
      <c r="N3537">
        <v>53.231727479773603</v>
      </c>
      <c r="O3537">
        <v>52.244046865201199</v>
      </c>
      <c r="P3537">
        <v>-8.3425283460975302E-2</v>
      </c>
      <c r="Q3537">
        <v>6.3669424707455402E-2</v>
      </c>
      <c r="R3537">
        <v>0.997900433692543</v>
      </c>
      <c r="S3537" t="s">
        <v>9363</v>
      </c>
      <c r="T3537" t="s">
        <v>11650</v>
      </c>
      <c r="U3537" t="s">
        <v>11650</v>
      </c>
      <c r="V3537" t="s">
        <v>11650</v>
      </c>
      <c r="W3537" t="s">
        <v>15135</v>
      </c>
      <c r="X3537">
        <v>7</v>
      </c>
      <c r="Y3537" t="s">
        <v>20816</v>
      </c>
      <c r="Z3537" t="s">
        <v>26599</v>
      </c>
      <c r="AA3537">
        <v>0.47904100185347581</v>
      </c>
      <c r="AB3537" t="str">
        <f>HYPERLINK("Melting_Curves/meltCurve_Q5T440_IBA57.pdf", "Melting_Curves/meltCurve_Q5T440_IBA57.pdf")</f>
        <v>Melting_Curves/meltCurve_Q5T440_IBA57.pdf</v>
      </c>
    </row>
    <row r="3538" spans="1:28" x14ac:dyDescent="0.25">
      <c r="A3538" t="s">
        <v>3542</v>
      </c>
      <c r="B3538">
        <v>0.99996721820229495</v>
      </c>
      <c r="C3538">
        <v>0.68395477223731704</v>
      </c>
      <c r="D3538">
        <v>0.55035430323355095</v>
      </c>
      <c r="E3538">
        <v>0.45577793211219397</v>
      </c>
      <c r="F3538">
        <v>0.45860646262697102</v>
      </c>
      <c r="G3538">
        <v>0.40042980959268798</v>
      </c>
      <c r="H3538">
        <v>0.25770386171110798</v>
      </c>
      <c r="I3538">
        <v>0.178562249940696</v>
      </c>
      <c r="J3538">
        <v>0.144654087257273</v>
      </c>
      <c r="K3538">
        <v>0.12106004130711499</v>
      </c>
      <c r="L3538">
        <v>334.54961989820498</v>
      </c>
      <c r="M3538">
        <v>6.7156589306680701</v>
      </c>
      <c r="N3538">
        <v>50.093933900799897</v>
      </c>
      <c r="O3538">
        <v>45.956986330540602</v>
      </c>
      <c r="P3538">
        <v>-3.5942428037328097E-2</v>
      </c>
      <c r="Q3538">
        <v>1.8264621710189902E-2</v>
      </c>
      <c r="R3538">
        <v>0.92315252772817702</v>
      </c>
      <c r="S3538" t="s">
        <v>9364</v>
      </c>
      <c r="T3538" t="s">
        <v>11650</v>
      </c>
      <c r="U3538" t="s">
        <v>11650</v>
      </c>
      <c r="V3538" t="s">
        <v>11650</v>
      </c>
      <c r="W3538" t="s">
        <v>15136</v>
      </c>
      <c r="X3538">
        <v>5</v>
      </c>
      <c r="Y3538" t="s">
        <v>20817</v>
      </c>
      <c r="Z3538" t="s">
        <v>26600</v>
      </c>
      <c r="AA3538">
        <v>0.41118609828667829</v>
      </c>
      <c r="AB3538" t="str">
        <f>HYPERLINK("Melting_Curves/meltCurve_Q5T4B2_CERCAM.pdf", "Melting_Curves/meltCurve_Q5T4B2_CERCAM.pdf")</f>
        <v>Melting_Curves/meltCurve_Q5T4B2_CERCAM.pdf</v>
      </c>
    </row>
    <row r="3539" spans="1:28" x14ac:dyDescent="0.25">
      <c r="A3539" t="s">
        <v>3543</v>
      </c>
      <c r="B3539">
        <v>0.99996721820229495</v>
      </c>
      <c r="C3539">
        <v>0.805844369255449</v>
      </c>
      <c r="D3539">
        <v>0.82596040327795495</v>
      </c>
      <c r="E3539">
        <v>0.99603591949813697</v>
      </c>
      <c r="F3539">
        <v>1.31145373769137</v>
      </c>
      <c r="G3539">
        <v>1.1890385220028401</v>
      </c>
      <c r="H3539">
        <v>0.81266328384448805</v>
      </c>
      <c r="I3539">
        <v>0.79357123883819203</v>
      </c>
      <c r="J3539">
        <v>0.99216161790613</v>
      </c>
      <c r="K3539">
        <v>0.65264307564586799</v>
      </c>
      <c r="L3539">
        <v>1151.8102597888501</v>
      </c>
      <c r="M3539">
        <v>15.5945794501152</v>
      </c>
      <c r="Q3539">
        <v>0</v>
      </c>
      <c r="R3539">
        <v>0.244961906484646</v>
      </c>
      <c r="S3539" t="s">
        <v>9365</v>
      </c>
      <c r="T3539" t="s">
        <v>11650</v>
      </c>
      <c r="U3539" t="s">
        <v>11650</v>
      </c>
      <c r="V3539" t="s">
        <v>11650</v>
      </c>
      <c r="W3539" t="s">
        <v>15137</v>
      </c>
      <c r="X3539">
        <v>3</v>
      </c>
      <c r="Y3539" t="s">
        <v>20818</v>
      </c>
      <c r="Z3539" t="s">
        <v>26601</v>
      </c>
      <c r="AA3539">
        <v>0.9555705769380477</v>
      </c>
      <c r="AB3539" t="str">
        <f>HYPERLINK("Melting_Curves/meltCurve_Q5T4F4_2_ZFYVE27.pdf", "Melting_Curves/meltCurve_Q5T4F4_2_ZFYVE27.pdf")</f>
        <v>Melting_Curves/meltCurve_Q5T4F4_2_ZFYVE27.pdf</v>
      </c>
    </row>
    <row r="3540" spans="1:28" x14ac:dyDescent="0.25">
      <c r="A3540" t="s">
        <v>3544</v>
      </c>
      <c r="B3540">
        <v>0.99996721820229495</v>
      </c>
      <c r="C3540">
        <v>0.87289411522679805</v>
      </c>
      <c r="D3540">
        <v>0.70115880982404899</v>
      </c>
      <c r="E3540">
        <v>0.55602634407217</v>
      </c>
      <c r="F3540">
        <v>0.60570561984587501</v>
      </c>
      <c r="G3540">
        <v>0.30603923616659601</v>
      </c>
      <c r="H3540">
        <v>0.109420525935638</v>
      </c>
      <c r="I3540">
        <v>0.111531141255299</v>
      </c>
      <c r="J3540">
        <v>6.5397323146115502E-2</v>
      </c>
      <c r="K3540">
        <v>9.8935667035180197E-2</v>
      </c>
      <c r="L3540">
        <v>509.67644624869598</v>
      </c>
      <c r="M3540">
        <v>9.8030300500827607</v>
      </c>
      <c r="N3540">
        <v>51.991718629255502</v>
      </c>
      <c r="O3540">
        <v>49.966715969053801</v>
      </c>
      <c r="P3540">
        <v>-4.9073539823051099E-2</v>
      </c>
      <c r="Q3540">
        <v>0</v>
      </c>
      <c r="R3540">
        <v>0.96080303525142297</v>
      </c>
      <c r="S3540" t="s">
        <v>9366</v>
      </c>
      <c r="T3540" t="s">
        <v>11650</v>
      </c>
      <c r="U3540" t="s">
        <v>11650</v>
      </c>
      <c r="V3540" t="s">
        <v>11650</v>
      </c>
      <c r="W3540" t="s">
        <v>15138</v>
      </c>
      <c r="X3540">
        <v>1</v>
      </c>
      <c r="Y3540" t="s">
        <v>20819</v>
      </c>
      <c r="Z3540" t="s">
        <v>26602</v>
      </c>
      <c r="AA3540">
        <v>0.43854125074147787</v>
      </c>
      <c r="AB3540" t="str">
        <f>HYPERLINK("Melting_Curves/meltCurve_Q5T4K5_CRTC2.pdf", "Melting_Curves/meltCurve_Q5T4K5_CRTC2.pdf")</f>
        <v>Melting_Curves/meltCurve_Q5T4K5_CRTC2.pdf</v>
      </c>
    </row>
    <row r="3541" spans="1:28" x14ac:dyDescent="0.25">
      <c r="A3541" t="s">
        <v>3545</v>
      </c>
      <c r="B3541">
        <v>0.99996721820229495</v>
      </c>
      <c r="C3541">
        <v>0.87571532082360204</v>
      </c>
      <c r="D3541">
        <v>0.94080359424663895</v>
      </c>
      <c r="E3541">
        <v>0.95148192399692</v>
      </c>
      <c r="F3541">
        <v>0.79282102882696004</v>
      </c>
      <c r="G3541">
        <v>0.49580572697757602</v>
      </c>
      <c r="H3541">
        <v>0.147618712247026</v>
      </c>
      <c r="I3541">
        <v>7.6600764010817293E-2</v>
      </c>
      <c r="J3541">
        <v>8.9433540197259603E-2</v>
      </c>
      <c r="K3541">
        <v>8.9249750450331594E-2</v>
      </c>
      <c r="L3541">
        <v>1302.1329151351999</v>
      </c>
      <c r="M3541">
        <v>23.139817006204499</v>
      </c>
      <c r="N3541">
        <v>56.535857309289199</v>
      </c>
      <c r="O3541">
        <v>55.857181211578101</v>
      </c>
      <c r="P3541">
        <v>-9.8275210263714996E-2</v>
      </c>
      <c r="Q3541">
        <v>5.1111616635325298E-2</v>
      </c>
      <c r="R3541">
        <v>0.98413326665967005</v>
      </c>
      <c r="S3541" t="s">
        <v>9367</v>
      </c>
      <c r="T3541" t="s">
        <v>11650</v>
      </c>
      <c r="U3541" t="s">
        <v>11650</v>
      </c>
      <c r="V3541" t="s">
        <v>11650</v>
      </c>
      <c r="W3541" t="s">
        <v>15139</v>
      </c>
      <c r="X3541">
        <v>2</v>
      </c>
      <c r="Y3541" t="s">
        <v>20820</v>
      </c>
      <c r="Z3541" t="s">
        <v>26603</v>
      </c>
      <c r="AA3541">
        <v>0.57560912698946154</v>
      </c>
      <c r="AB3541" t="str">
        <f>HYPERLINK("Melting_Curves/meltCurve_Q5T4P9_PLEKHO1.pdf", "Melting_Curves/meltCurve_Q5T4P9_PLEKHO1.pdf")</f>
        <v>Melting_Curves/meltCurve_Q5T4P9_PLEKHO1.pdf</v>
      </c>
    </row>
    <row r="3542" spans="1:28" x14ac:dyDescent="0.25">
      <c r="A3542" t="s">
        <v>3546</v>
      </c>
      <c r="B3542">
        <v>0.99996721820229495</v>
      </c>
      <c r="C3542">
        <v>1.11040868389618</v>
      </c>
      <c r="D3542">
        <v>1.0901867874548501</v>
      </c>
      <c r="E3542">
        <v>1.0762090500561901</v>
      </c>
      <c r="F3542">
        <v>0.71329055185995405</v>
      </c>
      <c r="G3542">
        <v>0.38406055760059099</v>
      </c>
      <c r="H3542">
        <v>0.25214733538914302</v>
      </c>
      <c r="I3542">
        <v>0.10192187076151001</v>
      </c>
      <c r="J3542">
        <v>5.4377627710890102E-2</v>
      </c>
      <c r="K3542">
        <v>5.9787933952900003E-2</v>
      </c>
      <c r="L3542">
        <v>1346.63337652066</v>
      </c>
      <c r="M3542">
        <v>24.2372269015715</v>
      </c>
      <c r="N3542">
        <v>55.9237823220192</v>
      </c>
      <c r="O3542">
        <v>55.1864613986941</v>
      </c>
      <c r="P3542">
        <v>-0.10180210345844699</v>
      </c>
      <c r="Q3542">
        <v>7.2829274810383704E-2</v>
      </c>
      <c r="R3542">
        <v>0.97214084206964302</v>
      </c>
      <c r="S3542" t="s">
        <v>9368</v>
      </c>
      <c r="T3542" t="s">
        <v>11650</v>
      </c>
      <c r="U3542" t="s">
        <v>11650</v>
      </c>
      <c r="V3542" t="s">
        <v>11650</v>
      </c>
      <c r="W3542" t="s">
        <v>15140</v>
      </c>
      <c r="X3542">
        <v>7</v>
      </c>
      <c r="Y3542" t="s">
        <v>20821</v>
      </c>
      <c r="Z3542" t="s">
        <v>26604</v>
      </c>
      <c r="AA3542">
        <v>0.56274737795203478</v>
      </c>
      <c r="AB3542" t="str">
        <f>HYPERLINK("Melting_Curves/meltCurve_Q5T4S7_3_UBR4.pdf", "Melting_Curves/meltCurve_Q5T4S7_3_UBR4.pdf")</f>
        <v>Melting_Curves/meltCurve_Q5T4S7_3_UBR4.pdf</v>
      </c>
    </row>
    <row r="3543" spans="1:28" x14ac:dyDescent="0.25">
      <c r="A3543" t="s">
        <v>3547</v>
      </c>
      <c r="B3543">
        <v>0.99996721820229495</v>
      </c>
      <c r="C3543">
        <v>0.93529767934264596</v>
      </c>
      <c r="D3543">
        <v>1.10579790537224</v>
      </c>
      <c r="E3543">
        <v>1.65587932309356</v>
      </c>
      <c r="F3543">
        <v>1.6883166165016701</v>
      </c>
      <c r="G3543">
        <v>1.17173853099429</v>
      </c>
      <c r="H3543">
        <v>0.37848509891515503</v>
      </c>
      <c r="I3543">
        <v>0.22485853529305</v>
      </c>
      <c r="J3543">
        <v>0.15912015024340301</v>
      </c>
      <c r="K3543">
        <v>0.135340879511786</v>
      </c>
      <c r="L3543">
        <v>10004.656444059399</v>
      </c>
      <c r="M3543">
        <v>165.11731717418201</v>
      </c>
      <c r="N3543">
        <v>60.747482225563203</v>
      </c>
      <c r="O3543">
        <v>60.582316231533099</v>
      </c>
      <c r="P3543">
        <v>-0.56346640897911104</v>
      </c>
      <c r="Q3543">
        <v>0.17304620449571201</v>
      </c>
      <c r="R3543">
        <v>0.69760306589101595</v>
      </c>
      <c r="S3543" t="s">
        <v>9369</v>
      </c>
      <c r="T3543" t="s">
        <v>11650</v>
      </c>
      <c r="U3543" t="s">
        <v>11650</v>
      </c>
      <c r="V3543" t="s">
        <v>11650</v>
      </c>
      <c r="W3543" t="s">
        <v>15141</v>
      </c>
      <c r="X3543">
        <v>12</v>
      </c>
      <c r="Y3543" t="s">
        <v>20822</v>
      </c>
      <c r="Z3543" t="s">
        <v>26605</v>
      </c>
      <c r="AA3543">
        <v>0.74084688989540115</v>
      </c>
      <c r="AB3543" t="str">
        <f>HYPERLINK("Melting_Curves/meltCurve_Q5T4U5_ACADM.pdf", "Melting_Curves/meltCurve_Q5T4U5_ACADM.pdf")</f>
        <v>Melting_Curves/meltCurve_Q5T4U5_ACADM.pdf</v>
      </c>
    </row>
    <row r="3544" spans="1:28" x14ac:dyDescent="0.25">
      <c r="A3544" t="s">
        <v>3548</v>
      </c>
      <c r="B3544">
        <v>0.99996721820229495</v>
      </c>
      <c r="C3544">
        <v>0.96113750391118802</v>
      </c>
      <c r="D3544">
        <v>1.04290690927642</v>
      </c>
      <c r="E3544">
        <v>1.0789463546087199</v>
      </c>
      <c r="F3544">
        <v>1.53993090119769</v>
      </c>
      <c r="G3544">
        <v>1.71349623345066</v>
      </c>
      <c r="H3544">
        <v>1.3752335759707099</v>
      </c>
      <c r="I3544">
        <v>1.2304118459743201</v>
      </c>
      <c r="J3544">
        <v>1.0311313923057499</v>
      </c>
      <c r="K3544">
        <v>0.75555328644875497</v>
      </c>
      <c r="L3544">
        <v>15000</v>
      </c>
      <c r="M3544">
        <v>213.157241201923</v>
      </c>
      <c r="Q3544">
        <v>0</v>
      </c>
      <c r="R3544">
        <v>-0.31215048666678602</v>
      </c>
      <c r="S3544" t="s">
        <v>9370</v>
      </c>
      <c r="T3544" t="s">
        <v>11650</v>
      </c>
      <c r="U3544" t="s">
        <v>11650</v>
      </c>
      <c r="V3544" t="s">
        <v>11650</v>
      </c>
      <c r="W3544" t="s">
        <v>15142</v>
      </c>
      <c r="X3544">
        <v>2</v>
      </c>
      <c r="Y3544" t="s">
        <v>20823</v>
      </c>
      <c r="Z3544" t="s">
        <v>26606</v>
      </c>
      <c r="AA3544">
        <v>0.996977953974996</v>
      </c>
      <c r="AB3544" t="str">
        <f>HYPERLINK("Melting_Curves/meltCurve_Q5T593_FAM219A.pdf", "Melting_Curves/meltCurve_Q5T593_FAM219A.pdf")</f>
        <v>Melting_Curves/meltCurve_Q5T593_FAM219A.pdf</v>
      </c>
    </row>
    <row r="3545" spans="1:28" x14ac:dyDescent="0.25">
      <c r="A3545" t="s">
        <v>3549</v>
      </c>
      <c r="B3545">
        <v>0.99996721820229495</v>
      </c>
      <c r="C3545">
        <v>0.95203348022811196</v>
      </c>
      <c r="D3545">
        <v>0.99799461272063905</v>
      </c>
      <c r="E3545">
        <v>1.09364677641299</v>
      </c>
      <c r="F3545">
        <v>0.67492992066727098</v>
      </c>
      <c r="G3545">
        <v>0.39408682562675601</v>
      </c>
      <c r="H3545">
        <v>0.209870474779148</v>
      </c>
      <c r="I3545">
        <v>0.14342571971232401</v>
      </c>
      <c r="J3545">
        <v>0.10920756572868601</v>
      </c>
      <c r="K3545">
        <v>8.3371540455262003E-2</v>
      </c>
      <c r="L3545">
        <v>1413.5590720544001</v>
      </c>
      <c r="M3545">
        <v>25.6747755812817</v>
      </c>
      <c r="N3545">
        <v>55.598041887227403</v>
      </c>
      <c r="O3545">
        <v>54.725593320575001</v>
      </c>
      <c r="P3545">
        <v>-0.10431083702349001</v>
      </c>
      <c r="Q3545">
        <v>0.110659666022876</v>
      </c>
      <c r="R3545">
        <v>0.97718857111886903</v>
      </c>
      <c r="S3545" t="s">
        <v>9371</v>
      </c>
      <c r="T3545" t="s">
        <v>11650</v>
      </c>
      <c r="U3545" t="s">
        <v>11650</v>
      </c>
      <c r="V3545" t="s">
        <v>11650</v>
      </c>
      <c r="W3545" t="s">
        <v>15143</v>
      </c>
      <c r="X3545">
        <v>16</v>
      </c>
      <c r="Y3545" t="s">
        <v>20824</v>
      </c>
      <c r="Z3545" t="s">
        <v>26607</v>
      </c>
      <c r="AA3545">
        <v>0.56484964880146038</v>
      </c>
      <c r="AB3545" t="str">
        <f>HYPERLINK("Melting_Curves/meltCurve_Q5T5C0_STXBP5.pdf", "Melting_Curves/meltCurve_Q5T5C0_STXBP5.pdf")</f>
        <v>Melting_Curves/meltCurve_Q5T5C0_STXBP5.pdf</v>
      </c>
    </row>
    <row r="3546" spans="1:28" x14ac:dyDescent="0.25">
      <c r="A3546" t="s">
        <v>3550</v>
      </c>
      <c r="B3546">
        <v>0.99996721820229495</v>
      </c>
      <c r="C3546">
        <v>0.981967772877821</v>
      </c>
      <c r="D3546">
        <v>0.83133727304489602</v>
      </c>
      <c r="E3546">
        <v>0.70226200454683496</v>
      </c>
      <c r="F3546">
        <v>0.88345137927779704</v>
      </c>
      <c r="G3546">
        <v>0.95283876452400695</v>
      </c>
      <c r="H3546">
        <v>0.61107465951864504</v>
      </c>
      <c r="I3546">
        <v>0.36696609424370003</v>
      </c>
      <c r="J3546">
        <v>0.26102273639626</v>
      </c>
      <c r="K3546">
        <v>0.17546366390752099</v>
      </c>
      <c r="L3546">
        <v>964.00838501568796</v>
      </c>
      <c r="M3546">
        <v>15.3921043571758</v>
      </c>
      <c r="N3546">
        <v>62.630057831601199</v>
      </c>
      <c r="O3546">
        <v>61.601479541838899</v>
      </c>
      <c r="P3546">
        <v>-6.2472177024534198E-2</v>
      </c>
      <c r="Q3546">
        <v>0</v>
      </c>
      <c r="R3546">
        <v>0.85160595472429401</v>
      </c>
      <c r="S3546" t="s">
        <v>9372</v>
      </c>
      <c r="T3546" t="s">
        <v>11650</v>
      </c>
      <c r="U3546" t="s">
        <v>11650</v>
      </c>
      <c r="V3546" t="s">
        <v>11650</v>
      </c>
      <c r="W3546" t="s">
        <v>15144</v>
      </c>
      <c r="X3546">
        <v>9</v>
      </c>
      <c r="Y3546" t="s">
        <v>20825</v>
      </c>
      <c r="Z3546" t="s">
        <v>26608</v>
      </c>
      <c r="AA3546">
        <v>0.74854808974530185</v>
      </c>
      <c r="AB3546" t="str">
        <f>HYPERLINK("Melting_Curves/meltCurve_Q5T5U3_ARHGAP21.pdf", "Melting_Curves/meltCurve_Q5T5U3_ARHGAP21.pdf")</f>
        <v>Melting_Curves/meltCurve_Q5T5U3_ARHGAP21.pdf</v>
      </c>
    </row>
    <row r="3547" spans="1:28" x14ac:dyDescent="0.25">
      <c r="A3547" t="s">
        <v>3551</v>
      </c>
      <c r="B3547">
        <v>0.99996721820229495</v>
      </c>
      <c r="C3547">
        <v>0.98708093916929796</v>
      </c>
      <c r="D3547">
        <v>0.90855355705363305</v>
      </c>
      <c r="E3547">
        <v>0.741112539604033</v>
      </c>
      <c r="F3547">
        <v>0.70502611579722496</v>
      </c>
      <c r="G3547">
        <v>0.68376340251294498</v>
      </c>
      <c r="H3547">
        <v>0.44772966614604898</v>
      </c>
      <c r="I3547">
        <v>0.34095898627376497</v>
      </c>
      <c r="J3547">
        <v>0.22899761574319399</v>
      </c>
      <c r="K3547">
        <v>0.15133367862121699</v>
      </c>
      <c r="L3547">
        <v>517.07374452613499</v>
      </c>
      <c r="M3547">
        <v>8.7608033643418892</v>
      </c>
      <c r="N3547">
        <v>59.021270255825101</v>
      </c>
      <c r="O3547">
        <v>56.188330235881502</v>
      </c>
      <c r="P3547">
        <v>-3.9010982504072603E-2</v>
      </c>
      <c r="Q3547">
        <v>0</v>
      </c>
      <c r="R3547">
        <v>0.97158999054589701</v>
      </c>
      <c r="S3547" t="s">
        <v>9373</v>
      </c>
      <c r="T3547" t="s">
        <v>11650</v>
      </c>
      <c r="U3547" t="s">
        <v>11650</v>
      </c>
      <c r="V3547" t="s">
        <v>11650</v>
      </c>
      <c r="W3547" t="s">
        <v>15145</v>
      </c>
      <c r="X3547">
        <v>6</v>
      </c>
      <c r="Y3547" t="s">
        <v>20826</v>
      </c>
      <c r="Z3547" t="s">
        <v>26609</v>
      </c>
      <c r="AA3547">
        <v>0.63241301222815194</v>
      </c>
      <c r="AB3547" t="str">
        <f>HYPERLINK("Melting_Curves/meltCurve_Q5T5Y3_2_CAMSAP1.pdf", "Melting_Curves/meltCurve_Q5T5Y3_2_CAMSAP1.pdf")</f>
        <v>Melting_Curves/meltCurve_Q5T5Y3_2_CAMSAP1.pdf</v>
      </c>
    </row>
    <row r="3548" spans="1:28" x14ac:dyDescent="0.25">
      <c r="A3548" t="s">
        <v>3552</v>
      </c>
      <c r="B3548">
        <v>0.99996721820229495</v>
      </c>
      <c r="C3548">
        <v>0.88473376623443301</v>
      </c>
      <c r="D3548">
        <v>0.81187042863634196</v>
      </c>
      <c r="E3548">
        <v>1.02914409143924</v>
      </c>
      <c r="F3548">
        <v>1.2358805854025201</v>
      </c>
      <c r="G3548">
        <v>1.1205041226030401</v>
      </c>
      <c r="H3548">
        <v>0.95023127601686197</v>
      </c>
      <c r="I3548">
        <v>1.09009409586119</v>
      </c>
      <c r="J3548">
        <v>1.01222877190363</v>
      </c>
      <c r="K3548">
        <v>0.96400510837306697</v>
      </c>
      <c r="L3548">
        <v>12506.2310266448</v>
      </c>
      <c r="M3548">
        <v>250</v>
      </c>
      <c r="O3548">
        <v>50.0217109867679</v>
      </c>
      <c r="P3548">
        <v>7.7662847113157699E-2</v>
      </c>
      <c r="Q3548">
        <v>1.06215727059799</v>
      </c>
      <c r="R3548">
        <v>0.17633889900331801</v>
      </c>
      <c r="S3548" t="s">
        <v>9374</v>
      </c>
      <c r="T3548" t="s">
        <v>11650</v>
      </c>
      <c r="U3548" t="s">
        <v>11650</v>
      </c>
      <c r="V3548" t="s">
        <v>11650</v>
      </c>
      <c r="W3548" t="s">
        <v>15146</v>
      </c>
      <c r="X3548">
        <v>16</v>
      </c>
      <c r="Y3548" t="s">
        <v>20827</v>
      </c>
      <c r="Z3548" t="s">
        <v>26610</v>
      </c>
      <c r="AA3548">
        <v>1.041381082946452</v>
      </c>
      <c r="AB3548" t="str">
        <f>HYPERLINK("Melting_Curves/meltCurve_Q5T6F2_UBAP2.pdf", "Melting_Curves/meltCurve_Q5T6F2_UBAP2.pdf")</f>
        <v>Melting_Curves/meltCurve_Q5T6F2_UBAP2.pdf</v>
      </c>
    </row>
    <row r="3549" spans="1:28" x14ac:dyDescent="0.25">
      <c r="A3549" t="s">
        <v>3553</v>
      </c>
      <c r="B3549">
        <v>0.99996721820229495</v>
      </c>
      <c r="C3549">
        <v>1.07017943813901</v>
      </c>
      <c r="D3549">
        <v>0.96026758830820003</v>
      </c>
      <c r="E3549">
        <v>0.48292167074917097</v>
      </c>
      <c r="F3549">
        <v>0.33053565087678699</v>
      </c>
      <c r="G3549">
        <v>0.27487135866934498</v>
      </c>
      <c r="H3549">
        <v>0.195034479599803</v>
      </c>
      <c r="I3549">
        <v>0.125190934913774</v>
      </c>
      <c r="J3549">
        <v>0.13947361855944401</v>
      </c>
      <c r="K3549">
        <v>7.7225514966940897E-2</v>
      </c>
      <c r="L3549">
        <v>1300.7749917127601</v>
      </c>
      <c r="M3549">
        <v>26.184405618882799</v>
      </c>
      <c r="N3549">
        <v>50.3938874458659</v>
      </c>
      <c r="O3549">
        <v>49.390442527230199</v>
      </c>
      <c r="P3549">
        <v>-0.111941634572485</v>
      </c>
      <c r="Q3549">
        <v>0.15540816211127101</v>
      </c>
      <c r="R3549">
        <v>0.977326539728817</v>
      </c>
      <c r="S3549" t="s">
        <v>9375</v>
      </c>
      <c r="T3549" t="s">
        <v>11650</v>
      </c>
      <c r="U3549" t="s">
        <v>11650</v>
      </c>
      <c r="V3549" t="s">
        <v>11650</v>
      </c>
      <c r="W3549" t="s">
        <v>15147</v>
      </c>
      <c r="X3549">
        <v>2</v>
      </c>
      <c r="Y3549" t="s">
        <v>20828</v>
      </c>
      <c r="Z3549" t="s">
        <v>26611</v>
      </c>
      <c r="AA3549">
        <v>0.43470941356433213</v>
      </c>
      <c r="AB3549" t="str">
        <f>HYPERLINK("Melting_Curves/meltCurve_Q5T6J7_IDNK.pdf", "Melting_Curves/meltCurve_Q5T6J7_IDNK.pdf")</f>
        <v>Melting_Curves/meltCurve_Q5T6J7_IDNK.pdf</v>
      </c>
    </row>
    <row r="3550" spans="1:28" x14ac:dyDescent="0.25">
      <c r="A3550" t="s">
        <v>3554</v>
      </c>
      <c r="B3550">
        <v>0.99996721820229495</v>
      </c>
      <c r="C3550">
        <v>0.99004792563292199</v>
      </c>
      <c r="D3550">
        <v>0.91908016217744504</v>
      </c>
      <c r="E3550">
        <v>0.81443351411064802</v>
      </c>
      <c r="F3550">
        <v>0.30571949152166</v>
      </c>
      <c r="G3550">
        <v>0.228581469643857</v>
      </c>
      <c r="H3550">
        <v>0.14494984178855899</v>
      </c>
      <c r="I3550">
        <v>8.0844010546421194E-2</v>
      </c>
      <c r="J3550">
        <v>5.5527065529191198E-2</v>
      </c>
      <c r="K3550">
        <v>5.2508966055815502E-2</v>
      </c>
      <c r="L3550">
        <v>1876.8014101229901</v>
      </c>
      <c r="M3550">
        <v>36.392323835560902</v>
      </c>
      <c r="N3550">
        <v>51.893207821127397</v>
      </c>
      <c r="O3550">
        <v>51.416380430484899</v>
      </c>
      <c r="P3550">
        <v>-0.15907290582332601</v>
      </c>
      <c r="Q3550">
        <v>0.10102716541553899</v>
      </c>
      <c r="R3550">
        <v>0.98444498111382905</v>
      </c>
      <c r="S3550" t="s">
        <v>9376</v>
      </c>
      <c r="T3550" t="s">
        <v>11650</v>
      </c>
      <c r="U3550" t="s">
        <v>11650</v>
      </c>
      <c r="V3550" t="s">
        <v>11650</v>
      </c>
      <c r="W3550" t="s">
        <v>15148</v>
      </c>
      <c r="X3550">
        <v>21</v>
      </c>
      <c r="Y3550" t="s">
        <v>20829</v>
      </c>
      <c r="Z3550" t="s">
        <v>26612</v>
      </c>
      <c r="AA3550">
        <v>0.45164620405290362</v>
      </c>
      <c r="AB3550" t="str">
        <f>HYPERLINK("Melting_Curves/meltCurve_Q5T6V5_C9orf64.pdf", "Melting_Curves/meltCurve_Q5T6V5_C9orf64.pdf")</f>
        <v>Melting_Curves/meltCurve_Q5T6V5_C9orf64.pdf</v>
      </c>
    </row>
    <row r="3551" spans="1:28" x14ac:dyDescent="0.25">
      <c r="A3551" t="s">
        <v>3555</v>
      </c>
      <c r="B3551">
        <v>0.99996721820229495</v>
      </c>
      <c r="C3551">
        <v>0.92288560456832802</v>
      </c>
      <c r="D3551">
        <v>0.99417278136377796</v>
      </c>
      <c r="E3551">
        <v>1.0317610420948999</v>
      </c>
      <c r="F3551">
        <v>1.0970261671591499</v>
      </c>
      <c r="G3551">
        <v>0.75987975988556</v>
      </c>
      <c r="H3551">
        <v>0.30485819317264501</v>
      </c>
      <c r="I3551">
        <v>0.19644164774040701</v>
      </c>
      <c r="J3551">
        <v>0.155446018900469</v>
      </c>
      <c r="K3551">
        <v>0.111013306971426</v>
      </c>
      <c r="L3551">
        <v>2225.5401596976699</v>
      </c>
      <c r="M3551">
        <v>37.977515013689697</v>
      </c>
      <c r="N3551">
        <v>59.115351302238501</v>
      </c>
      <c r="O3551">
        <v>58.439746144169497</v>
      </c>
      <c r="P3551">
        <v>-0.13962651981494001</v>
      </c>
      <c r="Q3551">
        <v>0.14057383985661501</v>
      </c>
      <c r="R3551">
        <v>0.985864180622821</v>
      </c>
      <c r="S3551" t="s">
        <v>9377</v>
      </c>
      <c r="T3551" t="s">
        <v>11650</v>
      </c>
      <c r="U3551" t="s">
        <v>11650</v>
      </c>
      <c r="V3551" t="s">
        <v>11650</v>
      </c>
      <c r="W3551" t="s">
        <v>15149</v>
      </c>
      <c r="X3551">
        <v>8</v>
      </c>
      <c r="Y3551" t="s">
        <v>20830</v>
      </c>
      <c r="Z3551" t="s">
        <v>26613</v>
      </c>
      <c r="AA3551">
        <v>0.67718948887867181</v>
      </c>
      <c r="AB3551" t="str">
        <f>HYPERLINK("Melting_Curves/meltCurve_Q5T7M9_FAM69A.pdf", "Melting_Curves/meltCurve_Q5T7M9_FAM69A.pdf")</f>
        <v>Melting_Curves/meltCurve_Q5T7M9_FAM69A.pdf</v>
      </c>
    </row>
    <row r="3552" spans="1:28" x14ac:dyDescent="0.25">
      <c r="A3552" t="s">
        <v>3556</v>
      </c>
      <c r="B3552">
        <v>0.99996721820229495</v>
      </c>
      <c r="C3552">
        <v>1.0357078914817299</v>
      </c>
      <c r="D3552">
        <v>0.94624254981644995</v>
      </c>
      <c r="E3552">
        <v>0.75954989117557603</v>
      </c>
      <c r="F3552">
        <v>0.72469151789543995</v>
      </c>
      <c r="G3552">
        <v>0.68929938349779596</v>
      </c>
      <c r="H3552">
        <v>0.41726540951951502</v>
      </c>
      <c r="I3552">
        <v>0.23106743334187799</v>
      </c>
      <c r="J3552">
        <v>0.19267467515297401</v>
      </c>
      <c r="K3552">
        <v>0.13360134813851199</v>
      </c>
      <c r="L3552">
        <v>623.08584555710797</v>
      </c>
      <c r="M3552">
        <v>10.634687790248099</v>
      </c>
      <c r="N3552">
        <v>58.589941121531098</v>
      </c>
      <c r="O3552">
        <v>56.632157492634597</v>
      </c>
      <c r="P3552">
        <v>-4.6964366387211E-2</v>
      </c>
      <c r="Q3552">
        <v>0</v>
      </c>
      <c r="R3552">
        <v>0.96996662102948905</v>
      </c>
      <c r="S3552" t="s">
        <v>9378</v>
      </c>
      <c r="T3552" t="s">
        <v>11650</v>
      </c>
      <c r="U3552" t="s">
        <v>11650</v>
      </c>
      <c r="V3552" t="s">
        <v>11650</v>
      </c>
      <c r="W3552" t="s">
        <v>15150</v>
      </c>
      <c r="X3552">
        <v>2</v>
      </c>
      <c r="Y3552" t="s">
        <v>20831</v>
      </c>
      <c r="Z3552" t="s">
        <v>26614</v>
      </c>
      <c r="AA3552">
        <v>0.62733826344752019</v>
      </c>
      <c r="AB3552" t="str">
        <f>HYPERLINK("Melting_Curves/meltCurve_Q5T7V8_GORAB.pdf", "Melting_Curves/meltCurve_Q5T7V8_GORAB.pdf")</f>
        <v>Melting_Curves/meltCurve_Q5T7V8_GORAB.pdf</v>
      </c>
    </row>
    <row r="3553" spans="1:28" x14ac:dyDescent="0.25">
      <c r="A3553" t="s">
        <v>3557</v>
      </c>
      <c r="B3553">
        <v>0.99996721820229495</v>
      </c>
      <c r="C3553">
        <v>0.97326935208183596</v>
      </c>
      <c r="D3553">
        <v>0.98351893159259196</v>
      </c>
      <c r="E3553">
        <v>0.94057417241896202</v>
      </c>
      <c r="F3553">
        <v>0.97868003372329904</v>
      </c>
      <c r="G3553">
        <v>0.71445605800543999</v>
      </c>
      <c r="H3553">
        <v>0.39567031197143399</v>
      </c>
      <c r="I3553">
        <v>0.33625286390132902</v>
      </c>
      <c r="J3553">
        <v>0.25306549095759601</v>
      </c>
      <c r="K3553">
        <v>0.18381088937606299</v>
      </c>
      <c r="L3553">
        <v>1380.2650239166401</v>
      </c>
      <c r="M3553">
        <v>23.5920833604564</v>
      </c>
      <c r="N3553">
        <v>59.806680327474403</v>
      </c>
      <c r="O3553">
        <v>58.089940545785304</v>
      </c>
      <c r="P3553">
        <v>-8.1151943581442398E-2</v>
      </c>
      <c r="Q3553">
        <v>0.2007434485157</v>
      </c>
      <c r="R3553">
        <v>0.99197932837706004</v>
      </c>
      <c r="S3553" t="s">
        <v>9379</v>
      </c>
      <c r="T3553" t="s">
        <v>11650</v>
      </c>
      <c r="U3553" t="s">
        <v>11650</v>
      </c>
      <c r="V3553" t="s">
        <v>11650</v>
      </c>
      <c r="W3553" t="s">
        <v>15151</v>
      </c>
      <c r="X3553">
        <v>3</v>
      </c>
      <c r="Y3553" t="s">
        <v>20832</v>
      </c>
      <c r="Z3553" t="s">
        <v>26615</v>
      </c>
      <c r="AA3553">
        <v>0.70103808648093202</v>
      </c>
      <c r="AB3553" t="str">
        <f>HYPERLINK("Melting_Curves/meltCurve_Q5T8C6_CDC16.pdf", "Melting_Curves/meltCurve_Q5T8C6_CDC16.pdf")</f>
        <v>Melting_Curves/meltCurve_Q5T8C6_CDC16.pdf</v>
      </c>
    </row>
    <row r="3554" spans="1:28" x14ac:dyDescent="0.25">
      <c r="A3554" t="s">
        <v>3558</v>
      </c>
      <c r="B3554">
        <v>0.99996721820229495</v>
      </c>
      <c r="C3554">
        <v>0.48609365891489897</v>
      </c>
      <c r="D3554">
        <v>0.58713856747345405</v>
      </c>
      <c r="E3554">
        <v>0.34756947398464999</v>
      </c>
      <c r="F3554">
        <v>0.41188431556541799</v>
      </c>
      <c r="G3554">
        <v>0.51189944479994498</v>
      </c>
      <c r="H3554">
        <v>0.43234677091996099</v>
      </c>
      <c r="I3554">
        <v>0.397476447808776</v>
      </c>
      <c r="J3554">
        <v>0.51320908216135697</v>
      </c>
      <c r="K3554">
        <v>0.332480031270183</v>
      </c>
      <c r="L3554">
        <v>4824.2323831774102</v>
      </c>
      <c r="M3554">
        <v>114.898401345533</v>
      </c>
      <c r="N3554">
        <v>42.787402786638303</v>
      </c>
      <c r="O3554">
        <v>41.974225579872702</v>
      </c>
      <c r="P3554">
        <v>-0.38204740490957501</v>
      </c>
      <c r="Q3554">
        <v>0.44172788241150002</v>
      </c>
      <c r="R3554">
        <v>0.83469280910791199</v>
      </c>
      <c r="S3554" t="s">
        <v>9380</v>
      </c>
      <c r="T3554" t="s">
        <v>11650</v>
      </c>
      <c r="U3554" t="s">
        <v>11650</v>
      </c>
      <c r="V3554" t="s">
        <v>11650</v>
      </c>
      <c r="W3554" t="s">
        <v>15152</v>
      </c>
      <c r="X3554">
        <v>1</v>
      </c>
      <c r="Y3554" t="s">
        <v>20833</v>
      </c>
      <c r="Z3554" t="s">
        <v>26616</v>
      </c>
      <c r="AA3554">
        <v>0.47891805309133961</v>
      </c>
      <c r="AB3554" t="str">
        <f>HYPERLINK("Melting_Curves/meltCurve_Q5T8D3_2_ACBD5.pdf", "Melting_Curves/meltCurve_Q5T8D3_2_ACBD5.pdf")</f>
        <v>Melting_Curves/meltCurve_Q5T8D3_2_ACBD5.pdf</v>
      </c>
    </row>
    <row r="3555" spans="1:28" x14ac:dyDescent="0.25">
      <c r="A3555" t="s">
        <v>3559</v>
      </c>
      <c r="B3555">
        <v>0.99996721820229495</v>
      </c>
      <c r="C3555">
        <v>1.02786219582918</v>
      </c>
      <c r="D3555">
        <v>1.0557169379729801</v>
      </c>
      <c r="E3555">
        <v>1.0559537426817101</v>
      </c>
      <c r="F3555">
        <v>1.48934600305184</v>
      </c>
      <c r="G3555">
        <v>1.75829451833485</v>
      </c>
      <c r="H3555">
        <v>1.1427226817221201</v>
      </c>
      <c r="I3555">
        <v>0.73392455110627897</v>
      </c>
      <c r="J3555">
        <v>0.54716585368835002</v>
      </c>
      <c r="K3555">
        <v>0.34549325444115597</v>
      </c>
      <c r="L3555">
        <v>3311.1514142957399</v>
      </c>
      <c r="M3555">
        <v>50.952935114848302</v>
      </c>
      <c r="N3555">
        <v>66.743609585649907</v>
      </c>
      <c r="O3555">
        <v>64.884641866310105</v>
      </c>
      <c r="P3555">
        <v>-0.12378869340624001</v>
      </c>
      <c r="Q3555">
        <v>0.369458997367554</v>
      </c>
      <c r="R3555">
        <v>0.44292829419777202</v>
      </c>
      <c r="S3555" t="s">
        <v>9381</v>
      </c>
      <c r="T3555" t="s">
        <v>11650</v>
      </c>
      <c r="U3555" t="s">
        <v>11650</v>
      </c>
      <c r="V3555" t="s">
        <v>11650</v>
      </c>
      <c r="W3555" t="s">
        <v>15153</v>
      </c>
      <c r="X3555">
        <v>1</v>
      </c>
      <c r="Y3555" t="s">
        <v>20834</v>
      </c>
      <c r="Z3555" t="s">
        <v>26617</v>
      </c>
      <c r="AA3555">
        <v>0.89549054560144681</v>
      </c>
      <c r="AB3555" t="str">
        <f>HYPERLINK("Melting_Curves/meltCurve_Q5T8I0_COX6A1P2.pdf", "Melting_Curves/meltCurve_Q5T8I0_COX6A1P2.pdf")</f>
        <v>Melting_Curves/meltCurve_Q5T8I0_COX6A1P2.pdf</v>
      </c>
    </row>
    <row r="3556" spans="1:28" x14ac:dyDescent="0.25">
      <c r="A3556" t="s">
        <v>3560</v>
      </c>
      <c r="B3556">
        <v>0.99996721820229495</v>
      </c>
      <c r="C3556">
        <v>1.07252536731736</v>
      </c>
      <c r="D3556">
        <v>0.99369588653464103</v>
      </c>
      <c r="E3556">
        <v>1.13877218421896</v>
      </c>
      <c r="F3556">
        <v>1.2987583995883301</v>
      </c>
      <c r="G3556">
        <v>1.00696003794736</v>
      </c>
      <c r="H3556">
        <v>0.56341679731161298</v>
      </c>
      <c r="I3556">
        <v>0.31571319541128501</v>
      </c>
      <c r="J3556">
        <v>0.22007434649809199</v>
      </c>
      <c r="K3556">
        <v>0.189232460794309</v>
      </c>
      <c r="L3556">
        <v>2945.7050010513099</v>
      </c>
      <c r="M3556">
        <v>48.420518775718598</v>
      </c>
      <c r="N3556">
        <v>61.540000235808897</v>
      </c>
      <c r="O3556">
        <v>60.732387672921</v>
      </c>
      <c r="P3556">
        <v>-0.15692823763660799</v>
      </c>
      <c r="Q3556">
        <v>0.21267947816890301</v>
      </c>
      <c r="R3556">
        <v>0.92419869861437498</v>
      </c>
      <c r="S3556" t="s">
        <v>9382</v>
      </c>
      <c r="T3556" t="s">
        <v>11650</v>
      </c>
      <c r="U3556" t="s">
        <v>11650</v>
      </c>
      <c r="V3556" t="s">
        <v>11650</v>
      </c>
      <c r="W3556" t="s">
        <v>15154</v>
      </c>
      <c r="X3556">
        <v>32</v>
      </c>
      <c r="Y3556" t="s">
        <v>20835</v>
      </c>
      <c r="Z3556" t="s">
        <v>26618</v>
      </c>
      <c r="AA3556">
        <v>0.76166946749606024</v>
      </c>
      <c r="AB3556" t="str">
        <f>HYPERLINK("Melting_Curves/meltCurve_Q5T8M7_ACTA1.pdf", "Melting_Curves/meltCurve_Q5T8M7_ACTA1.pdf")</f>
        <v>Melting_Curves/meltCurve_Q5T8M7_ACTA1.pdf</v>
      </c>
    </row>
    <row r="3557" spans="1:28" x14ac:dyDescent="0.25">
      <c r="A3557" t="s">
        <v>3561</v>
      </c>
      <c r="B3557">
        <v>0.99996721820229495</v>
      </c>
      <c r="C3557">
        <v>0.88509164190660705</v>
      </c>
      <c r="D3557">
        <v>0.82067911334591903</v>
      </c>
      <c r="E3557">
        <v>0.73867020820488805</v>
      </c>
      <c r="F3557">
        <v>0.35820060500204698</v>
      </c>
      <c r="G3557">
        <v>0.19667608550982901</v>
      </c>
      <c r="H3557">
        <v>0.17620991704400499</v>
      </c>
      <c r="I3557">
        <v>0.101810926242051</v>
      </c>
      <c r="J3557">
        <v>8.4100448748708506E-2</v>
      </c>
      <c r="K3557">
        <v>3.96424138075211E-2</v>
      </c>
      <c r="L3557">
        <v>753.94558231666997</v>
      </c>
      <c r="M3557">
        <v>14.6207264579543</v>
      </c>
      <c r="N3557">
        <v>51.874433869055203</v>
      </c>
      <c r="O3557">
        <v>50.631030595594801</v>
      </c>
      <c r="P3557">
        <v>-6.9203290163606698E-2</v>
      </c>
      <c r="Q3557">
        <v>4.1513395062562602E-2</v>
      </c>
      <c r="R3557">
        <v>0.97892272125116797</v>
      </c>
      <c r="S3557" t="s">
        <v>9383</v>
      </c>
      <c r="T3557" t="s">
        <v>11650</v>
      </c>
      <c r="U3557" t="s">
        <v>11650</v>
      </c>
      <c r="V3557" t="s">
        <v>11650</v>
      </c>
      <c r="W3557" t="s">
        <v>15155</v>
      </c>
      <c r="X3557">
        <v>2</v>
      </c>
      <c r="Y3557" t="s">
        <v>20836</v>
      </c>
      <c r="Z3557" t="s">
        <v>26619</v>
      </c>
      <c r="AA3557">
        <v>0.43370866508939132</v>
      </c>
      <c r="AB3557" t="str">
        <f>HYPERLINK("Melting_Curves/meltCurve_Q5T8N1_NUP133.pdf", "Melting_Curves/meltCurve_Q5T8N1_NUP133.pdf")</f>
        <v>Melting_Curves/meltCurve_Q5T8N1_NUP133.pdf</v>
      </c>
    </row>
    <row r="3558" spans="1:28" x14ac:dyDescent="0.25">
      <c r="A3558" t="s">
        <v>3562</v>
      </c>
      <c r="B3558">
        <v>0.99996721820229495</v>
      </c>
      <c r="C3558">
        <v>1.1183735133380901</v>
      </c>
      <c r="D3558">
        <v>0.96539152245286197</v>
      </c>
      <c r="E3558">
        <v>0.46992706320556299</v>
      </c>
      <c r="F3558">
        <v>0.40221431970569799</v>
      </c>
      <c r="G3558">
        <v>0.32985866483336701</v>
      </c>
      <c r="H3558">
        <v>0.220583187718596</v>
      </c>
      <c r="I3558">
        <v>0.16097360926299101</v>
      </c>
      <c r="J3558">
        <v>0.121270111421602</v>
      </c>
      <c r="K3558">
        <v>9.3462487102984104E-2</v>
      </c>
      <c r="L3558">
        <v>1110.3233869200701</v>
      </c>
      <c r="M3558">
        <v>22.233045168394899</v>
      </c>
      <c r="N3558">
        <v>50.882669268515102</v>
      </c>
      <c r="O3558">
        <v>49.541488138448599</v>
      </c>
      <c r="P3558">
        <v>-9.3261054652520506E-2</v>
      </c>
      <c r="Q3558">
        <v>0.16877040801092999</v>
      </c>
      <c r="R3558">
        <v>0.95542526107371295</v>
      </c>
      <c r="S3558" t="s">
        <v>9384</v>
      </c>
      <c r="T3558" t="s">
        <v>11650</v>
      </c>
      <c r="U3558" t="s">
        <v>11650</v>
      </c>
      <c r="V3558" t="s">
        <v>11650</v>
      </c>
      <c r="W3558" t="s">
        <v>15156</v>
      </c>
      <c r="X3558">
        <v>5</v>
      </c>
      <c r="Y3558" t="s">
        <v>20837</v>
      </c>
      <c r="Z3558" t="s">
        <v>26620</v>
      </c>
      <c r="AA3558">
        <v>0.45358253547458538</v>
      </c>
      <c r="AB3558" t="str">
        <f>HYPERLINK("Melting_Curves/meltCurve_Q5T8P6_2_RBM26.pdf", "Melting_Curves/meltCurve_Q5T8P6_2_RBM26.pdf")</f>
        <v>Melting_Curves/meltCurve_Q5T8P6_2_RBM26.pdf</v>
      </c>
    </row>
    <row r="3559" spans="1:28" x14ac:dyDescent="0.25">
      <c r="A3559" t="s">
        <v>3563</v>
      </c>
      <c r="B3559">
        <v>0.99996721820229495</v>
      </c>
      <c r="C3559">
        <v>0.99538207984540805</v>
      </c>
      <c r="D3559">
        <v>0.94247452303546198</v>
      </c>
      <c r="E3559">
        <v>0.94732784977875195</v>
      </c>
      <c r="F3559">
        <v>1.1271183165449099</v>
      </c>
      <c r="G3559">
        <v>0.98259309114731697</v>
      </c>
      <c r="H3559">
        <v>0.50371128719341296</v>
      </c>
      <c r="I3559">
        <v>0.390722712816434</v>
      </c>
      <c r="J3559">
        <v>0.32680174270720702</v>
      </c>
      <c r="K3559">
        <v>0.28880301416633503</v>
      </c>
      <c r="L3559">
        <v>3451.4429123395498</v>
      </c>
      <c r="M3559">
        <v>57.540384327607498</v>
      </c>
      <c r="N3559">
        <v>61.107137000784199</v>
      </c>
      <c r="O3559">
        <v>59.9106441709623</v>
      </c>
      <c r="P3559">
        <v>-0.16170859771620599</v>
      </c>
      <c r="Q3559">
        <v>0.32652090063689398</v>
      </c>
      <c r="R3559">
        <v>0.97313037461794805</v>
      </c>
      <c r="S3559" t="s">
        <v>9385</v>
      </c>
      <c r="T3559" t="s">
        <v>11650</v>
      </c>
      <c r="U3559" t="s">
        <v>11650</v>
      </c>
      <c r="V3559" t="s">
        <v>11650</v>
      </c>
      <c r="W3559" t="s">
        <v>15157</v>
      </c>
      <c r="X3559">
        <v>3</v>
      </c>
      <c r="Y3559" t="s">
        <v>20838</v>
      </c>
      <c r="Z3559" t="s">
        <v>26621</v>
      </c>
      <c r="AA3559">
        <v>0.77645939968883149</v>
      </c>
      <c r="AB3559" t="str">
        <f>HYPERLINK("Melting_Curves/meltCurve_Q5T8T7_MED22.pdf", "Melting_Curves/meltCurve_Q5T8T7_MED22.pdf")</f>
        <v>Melting_Curves/meltCurve_Q5T8T7_MED22.pdf</v>
      </c>
    </row>
    <row r="3560" spans="1:28" x14ac:dyDescent="0.25">
      <c r="A3560" t="s">
        <v>3564</v>
      </c>
      <c r="B3560">
        <v>0.99996721820229495</v>
      </c>
      <c r="C3560">
        <v>0.91776180033657595</v>
      </c>
      <c r="D3560">
        <v>1.02451173799498</v>
      </c>
      <c r="E3560">
        <v>1.0698612022927401</v>
      </c>
      <c r="F3560">
        <v>1.3376666033034901</v>
      </c>
      <c r="G3560">
        <v>1.11024335476712</v>
      </c>
      <c r="H3560">
        <v>0.78997919535385597</v>
      </c>
      <c r="I3560">
        <v>0.32817803112483501</v>
      </c>
      <c r="J3560">
        <v>0.135380822805382</v>
      </c>
      <c r="K3560">
        <v>0.14549892416513699</v>
      </c>
      <c r="L3560">
        <v>3304.4433486138801</v>
      </c>
      <c r="M3560">
        <v>52.942152505368703</v>
      </c>
      <c r="N3560">
        <v>62.778286299026597</v>
      </c>
      <c r="O3560">
        <v>62.3272494013273</v>
      </c>
      <c r="P3560">
        <v>-0.184410719222248</v>
      </c>
      <c r="Q3560">
        <v>0.131595180812939</v>
      </c>
      <c r="R3560">
        <v>0.91498806511770503</v>
      </c>
      <c r="S3560" t="s">
        <v>9386</v>
      </c>
      <c r="T3560" t="s">
        <v>11650</v>
      </c>
      <c r="U3560" t="s">
        <v>11650</v>
      </c>
      <c r="V3560" t="s">
        <v>11650</v>
      </c>
      <c r="W3560" t="s">
        <v>15158</v>
      </c>
      <c r="X3560">
        <v>3</v>
      </c>
      <c r="Y3560" t="s">
        <v>20839</v>
      </c>
      <c r="Z3560" t="s">
        <v>26622</v>
      </c>
      <c r="AA3560">
        <v>0.78245714232356034</v>
      </c>
      <c r="AB3560" t="str">
        <f>HYPERLINK("Melting_Curves/meltCurve_Q5T8U5_SURF4.pdf", "Melting_Curves/meltCurve_Q5T8U5_SURF4.pdf")</f>
        <v>Melting_Curves/meltCurve_Q5T8U5_SURF4.pdf</v>
      </c>
    </row>
    <row r="3561" spans="1:28" x14ac:dyDescent="0.25">
      <c r="A3561" t="s">
        <v>3565</v>
      </c>
      <c r="B3561">
        <v>0.99996721820229495</v>
      </c>
      <c r="C3561">
        <v>0.99990639976276097</v>
      </c>
      <c r="D3561">
        <v>0.90738227779452696</v>
      </c>
      <c r="E3561">
        <v>0.69020973709653699</v>
      </c>
      <c r="F3561">
        <v>0.35076845354033698</v>
      </c>
      <c r="G3561">
        <v>0.26503992792543002</v>
      </c>
      <c r="H3561">
        <v>0.14778903273126201</v>
      </c>
      <c r="I3561">
        <v>0.102111831689944</v>
      </c>
      <c r="J3561">
        <v>8.8991333827065006E-2</v>
      </c>
      <c r="K3561">
        <v>6.8615407892333002E-2</v>
      </c>
      <c r="L3561">
        <v>981.12878250380595</v>
      </c>
      <c r="M3561">
        <v>19.101982687290398</v>
      </c>
      <c r="N3561">
        <v>51.884551807067901</v>
      </c>
      <c r="O3561">
        <v>50.809687268407103</v>
      </c>
      <c r="P3561">
        <v>-8.5776563396372796E-2</v>
      </c>
      <c r="Q3561">
        <v>8.74014679575537E-2</v>
      </c>
      <c r="R3561">
        <v>0.99316309974982397</v>
      </c>
      <c r="S3561" t="s">
        <v>9387</v>
      </c>
      <c r="T3561" t="s">
        <v>11650</v>
      </c>
      <c r="U3561" t="s">
        <v>11650</v>
      </c>
      <c r="V3561" t="s">
        <v>11650</v>
      </c>
      <c r="W3561" t="s">
        <v>15159</v>
      </c>
      <c r="X3561">
        <v>23</v>
      </c>
      <c r="Y3561" t="s">
        <v>20840</v>
      </c>
      <c r="Z3561" t="s">
        <v>26623</v>
      </c>
      <c r="AA3561">
        <v>0.44681853353341089</v>
      </c>
      <c r="AB3561" t="str">
        <f>HYPERLINK("Melting_Curves/meltCurve_Q5T9B7_AK1.pdf", "Melting_Curves/meltCurve_Q5T9B7_AK1.pdf")</f>
        <v>Melting_Curves/meltCurve_Q5T9B7_AK1.pdf</v>
      </c>
    </row>
    <row r="3562" spans="1:28" x14ac:dyDescent="0.25">
      <c r="A3562" t="s">
        <v>3566</v>
      </c>
      <c r="B3562">
        <v>0.99996721820229495</v>
      </c>
      <c r="C3562">
        <v>1.0453813354261701</v>
      </c>
      <c r="D3562">
        <v>0.95501823100657401</v>
      </c>
      <c r="E3562">
        <v>0.58925580956740597</v>
      </c>
      <c r="F3562">
        <v>0.46269416216078302</v>
      </c>
      <c r="G3562">
        <v>0.54002335369765597</v>
      </c>
      <c r="H3562">
        <v>0.39528693149614402</v>
      </c>
      <c r="I3562">
        <v>0.25526749551227002</v>
      </c>
      <c r="J3562">
        <v>0.19243531383965801</v>
      </c>
      <c r="K3562">
        <v>0.15100989627773301</v>
      </c>
      <c r="L3562">
        <v>578.24237427696903</v>
      </c>
      <c r="M3562">
        <v>10.917606288578</v>
      </c>
      <c r="N3562">
        <v>54.702849290314902</v>
      </c>
      <c r="O3562">
        <v>51.280238050445803</v>
      </c>
      <c r="P3562">
        <v>-4.5438368152829797E-2</v>
      </c>
      <c r="Q3562">
        <v>0.14659664863504701</v>
      </c>
      <c r="R3562">
        <v>0.92885232866385903</v>
      </c>
      <c r="S3562" t="s">
        <v>9388</v>
      </c>
      <c r="T3562" t="s">
        <v>11650</v>
      </c>
      <c r="U3562" t="s">
        <v>11650</v>
      </c>
      <c r="V3562" t="s">
        <v>11650</v>
      </c>
      <c r="W3562" t="s">
        <v>15160</v>
      </c>
      <c r="X3562">
        <v>1</v>
      </c>
      <c r="Y3562" t="s">
        <v>20841</v>
      </c>
      <c r="Z3562" t="s">
        <v>26624</v>
      </c>
      <c r="AA3562">
        <v>0.54233454416963478</v>
      </c>
      <c r="AB3562" t="str">
        <f>HYPERLINK("Melting_Curves/meltCurve_Q5T9P7_PRPF18.pdf", "Melting_Curves/meltCurve_Q5T9P7_PRPF18.pdf")</f>
        <v>Melting_Curves/meltCurve_Q5T9P7_PRPF18.pdf</v>
      </c>
    </row>
    <row r="3563" spans="1:28" x14ac:dyDescent="0.25">
      <c r="A3563" t="s">
        <v>3567</v>
      </c>
      <c r="B3563">
        <v>0.99996721820229495</v>
      </c>
      <c r="C3563">
        <v>0.998794294099835</v>
      </c>
      <c r="D3563">
        <v>0.86979540211110196</v>
      </c>
      <c r="E3563">
        <v>0.569510517839241</v>
      </c>
      <c r="F3563">
        <v>0.43017789238876403</v>
      </c>
      <c r="G3563">
        <v>0.42692342908659803</v>
      </c>
      <c r="H3563">
        <v>0.244448207492034</v>
      </c>
      <c r="I3563">
        <v>0.25840667069700601</v>
      </c>
      <c r="J3563">
        <v>0.214976713853434</v>
      </c>
      <c r="K3563">
        <v>0.15765541333663799</v>
      </c>
      <c r="L3563">
        <v>746.58585014650396</v>
      </c>
      <c r="M3563">
        <v>14.8148058512772</v>
      </c>
      <c r="N3563">
        <v>52.211163044753199</v>
      </c>
      <c r="O3563">
        <v>49.503101635784603</v>
      </c>
      <c r="P3563">
        <v>-5.9756675089974398E-2</v>
      </c>
      <c r="Q3563">
        <v>0.201386408261502</v>
      </c>
      <c r="R3563">
        <v>0.97666839429641095</v>
      </c>
      <c r="S3563" t="s">
        <v>9389</v>
      </c>
      <c r="T3563" t="s">
        <v>11650</v>
      </c>
      <c r="U3563" t="s">
        <v>11650</v>
      </c>
      <c r="V3563" t="s">
        <v>11650</v>
      </c>
      <c r="W3563" t="s">
        <v>15161</v>
      </c>
      <c r="X3563">
        <v>2</v>
      </c>
      <c r="Y3563" t="s">
        <v>20842</v>
      </c>
      <c r="Z3563" t="s">
        <v>26625</v>
      </c>
      <c r="AA3563">
        <v>0.49730724313205771</v>
      </c>
      <c r="AB3563" t="str">
        <f>HYPERLINK("Melting_Curves/meltCurve_Q5TBP9_LSM14B.pdf", "Melting_Curves/meltCurve_Q5TBP9_LSM14B.pdf")</f>
        <v>Melting_Curves/meltCurve_Q5TBP9_LSM14B.pdf</v>
      </c>
    </row>
    <row r="3564" spans="1:28" x14ac:dyDescent="0.25">
      <c r="A3564" t="s">
        <v>3568</v>
      </c>
      <c r="B3564">
        <v>0.99996721820229495</v>
      </c>
      <c r="C3564">
        <v>0.95717617532872501</v>
      </c>
      <c r="D3564">
        <v>0.85569214280408301</v>
      </c>
      <c r="E3564">
        <v>0.96352711277158198</v>
      </c>
      <c r="F3564">
        <v>1.3305590135179699</v>
      </c>
      <c r="G3564">
        <v>1.4717278354340699</v>
      </c>
      <c r="H3564">
        <v>1.07035113026136</v>
      </c>
      <c r="I3564">
        <v>1.1891359264930501</v>
      </c>
      <c r="J3564">
        <v>1.1647635810575301</v>
      </c>
      <c r="K3564">
        <v>0.77238280647920299</v>
      </c>
      <c r="L3564">
        <v>15000</v>
      </c>
      <c r="M3564">
        <v>213.06379228369599</v>
      </c>
      <c r="Q3564">
        <v>0</v>
      </c>
      <c r="R3564">
        <v>-1.9990954843732301E-2</v>
      </c>
      <c r="S3564" t="s">
        <v>9390</v>
      </c>
      <c r="T3564" t="s">
        <v>11650</v>
      </c>
      <c r="U3564" t="s">
        <v>11650</v>
      </c>
      <c r="V3564" t="s">
        <v>11650</v>
      </c>
      <c r="W3564" t="s">
        <v>15162</v>
      </c>
      <c r="X3564">
        <v>2</v>
      </c>
      <c r="Y3564" t="s">
        <v>20587</v>
      </c>
      <c r="Z3564" t="s">
        <v>26626</v>
      </c>
      <c r="AA3564">
        <v>0.99721552893712817</v>
      </c>
      <c r="AB3564" t="str">
        <f>HYPERLINK("Melting_Curves/meltCurve_Q5TBU2_ADIRF.pdf", "Melting_Curves/meltCurve_Q5TBU2_ADIRF.pdf")</f>
        <v>Melting_Curves/meltCurve_Q5TBU2_ADIRF.pdf</v>
      </c>
    </row>
    <row r="3565" spans="1:28" x14ac:dyDescent="0.25">
      <c r="A3565" t="s">
        <v>3569</v>
      </c>
      <c r="B3565">
        <v>0.99996721820229495</v>
      </c>
      <c r="C3565">
        <v>1.03149611014188</v>
      </c>
      <c r="D3565">
        <v>1.13906130331483</v>
      </c>
      <c r="E3565">
        <v>1.13707806392946</v>
      </c>
      <c r="F3565">
        <v>0.95738160544359696</v>
      </c>
      <c r="G3565">
        <v>1.26829519347467</v>
      </c>
      <c r="H3565">
        <v>0.77886665967826496</v>
      </c>
      <c r="I3565">
        <v>0.90699127679229496</v>
      </c>
      <c r="J3565">
        <v>0.61876155964409096</v>
      </c>
      <c r="K3565">
        <v>0.53870370651802202</v>
      </c>
      <c r="L3565">
        <v>1780.97804618592</v>
      </c>
      <c r="M3565">
        <v>27.039679503628602</v>
      </c>
      <c r="O3565">
        <v>65.508265131037007</v>
      </c>
      <c r="P3565">
        <v>-5.8401243017865603E-2</v>
      </c>
      <c r="Q3565">
        <v>0.43405744092590698</v>
      </c>
      <c r="R3565">
        <v>0.68938504775989196</v>
      </c>
      <c r="S3565" t="s">
        <v>9391</v>
      </c>
      <c r="T3565" t="s">
        <v>11650</v>
      </c>
      <c r="U3565" t="s">
        <v>11650</v>
      </c>
      <c r="V3565" t="s">
        <v>11650</v>
      </c>
      <c r="W3565" t="s">
        <v>15163</v>
      </c>
      <c r="X3565">
        <v>1</v>
      </c>
      <c r="Y3565" t="s">
        <v>20843</v>
      </c>
      <c r="Z3565" t="s">
        <v>26627</v>
      </c>
      <c r="AA3565">
        <v>0.91723063754270251</v>
      </c>
      <c r="AB3565" t="str">
        <f>HYPERLINK("Melting_Curves/meltCurve_Q5TC82_2_RC3H1.pdf", "Melting_Curves/meltCurve_Q5TC82_2_RC3H1.pdf")</f>
        <v>Melting_Curves/meltCurve_Q5TC82_2_RC3H1.pdf</v>
      </c>
    </row>
    <row r="3566" spans="1:28" x14ac:dyDescent="0.25">
      <c r="A3566" t="s">
        <v>3570</v>
      </c>
      <c r="B3566">
        <v>0.99996721820229495</v>
      </c>
      <c r="C3566">
        <v>1.1271622718618299</v>
      </c>
      <c r="D3566">
        <v>1.0183851976979099</v>
      </c>
      <c r="E3566">
        <v>1.00459321839154</v>
      </c>
      <c r="F3566">
        <v>1.35403382404699</v>
      </c>
      <c r="G3566">
        <v>1.1157096482465101</v>
      </c>
      <c r="H3566">
        <v>0.66445518784518398</v>
      </c>
      <c r="I3566">
        <v>0.70669232995066</v>
      </c>
      <c r="J3566">
        <v>0.89558549932622</v>
      </c>
      <c r="K3566">
        <v>0.79780985565225204</v>
      </c>
      <c r="L3566">
        <v>14738.8730485877</v>
      </c>
      <c r="M3566">
        <v>250</v>
      </c>
      <c r="O3566">
        <v>58.951722476832103</v>
      </c>
      <c r="P3566">
        <v>-0.247942739380038</v>
      </c>
      <c r="Q3566">
        <v>0.76613358734281101</v>
      </c>
      <c r="R3566">
        <v>0.52764225964412603</v>
      </c>
      <c r="S3566" t="s">
        <v>9392</v>
      </c>
      <c r="T3566" t="s">
        <v>11650</v>
      </c>
      <c r="U3566" t="s">
        <v>11650</v>
      </c>
      <c r="V3566" t="s">
        <v>11650</v>
      </c>
      <c r="W3566" t="s">
        <v>15164</v>
      </c>
      <c r="X3566">
        <v>2</v>
      </c>
      <c r="Y3566" t="s">
        <v>20844</v>
      </c>
      <c r="Z3566" t="s">
        <v>26628</v>
      </c>
      <c r="AA3566">
        <v>0.91392621654648409</v>
      </c>
      <c r="AB3566" t="str">
        <f>HYPERLINK("Melting_Curves/meltCurve_Q5TC84_OGFRL1.pdf", "Melting_Curves/meltCurve_Q5TC84_OGFRL1.pdf")</f>
        <v>Melting_Curves/meltCurve_Q5TC84_OGFRL1.pdf</v>
      </c>
    </row>
    <row r="3567" spans="1:28" x14ac:dyDescent="0.25">
      <c r="A3567" t="s">
        <v>3571</v>
      </c>
      <c r="B3567">
        <v>0.99996721820229495</v>
      </c>
      <c r="C3567">
        <v>1.12438279673585</v>
      </c>
      <c r="D3567">
        <v>1.0760803118935001</v>
      </c>
      <c r="E3567">
        <v>1.10422858857753</v>
      </c>
      <c r="F3567">
        <v>1.2250038432428001</v>
      </c>
      <c r="G3567">
        <v>1.2235106722868401</v>
      </c>
      <c r="H3567">
        <v>0.96242337637687003</v>
      </c>
      <c r="I3567">
        <v>0.65988245559890002</v>
      </c>
      <c r="J3567">
        <v>0.429004266661143</v>
      </c>
      <c r="K3567">
        <v>0.22403835204483</v>
      </c>
      <c r="L3567">
        <v>2491.9875045777599</v>
      </c>
      <c r="M3567">
        <v>38.423206690717898</v>
      </c>
      <c r="N3567">
        <v>65.750074154776996</v>
      </c>
      <c r="O3567">
        <v>64.681380454014302</v>
      </c>
      <c r="P3567">
        <v>-0.118299654099267</v>
      </c>
      <c r="Q3567">
        <v>0.20342241154409699</v>
      </c>
      <c r="R3567">
        <v>0.87108459493328105</v>
      </c>
      <c r="S3567" t="s">
        <v>9393</v>
      </c>
      <c r="T3567" t="s">
        <v>11650</v>
      </c>
      <c r="U3567" t="s">
        <v>11650</v>
      </c>
      <c r="V3567" t="s">
        <v>11650</v>
      </c>
      <c r="W3567" t="s">
        <v>15165</v>
      </c>
      <c r="X3567">
        <v>11</v>
      </c>
      <c r="Y3567" t="s">
        <v>20845</v>
      </c>
      <c r="Z3567" t="s">
        <v>26629</v>
      </c>
      <c r="AA3567">
        <v>0.86409489390939842</v>
      </c>
      <c r="AB3567" t="str">
        <f>HYPERLINK("Melting_Curves/meltCurve_Q5TD07_NQO2.pdf", "Melting_Curves/meltCurve_Q5TD07_NQO2.pdf")</f>
        <v>Melting_Curves/meltCurve_Q5TD07_NQO2.pdf</v>
      </c>
    </row>
    <row r="3568" spans="1:28" x14ac:dyDescent="0.25">
      <c r="A3568" t="s">
        <v>3572</v>
      </c>
      <c r="B3568">
        <v>0.99996721820229495</v>
      </c>
      <c r="C3568">
        <v>1.00283141109123</v>
      </c>
      <c r="D3568">
        <v>0.98610752495280496</v>
      </c>
      <c r="E3568">
        <v>0.94994834574374099</v>
      </c>
      <c r="F3568">
        <v>0.93454650898041103</v>
      </c>
      <c r="G3568">
        <v>0.60097508737435301</v>
      </c>
      <c r="H3568">
        <v>0.268052687238995</v>
      </c>
      <c r="I3568">
        <v>0.18919308064048701</v>
      </c>
      <c r="J3568">
        <v>0.113340769070977</v>
      </c>
      <c r="K3568">
        <v>9.4739827949399405E-2</v>
      </c>
      <c r="L3568">
        <v>1449.16740902879</v>
      </c>
      <c r="M3568">
        <v>25.1479704192867</v>
      </c>
      <c r="N3568">
        <v>58.109558823998199</v>
      </c>
      <c r="O3568">
        <v>57.264939954115903</v>
      </c>
      <c r="P3568">
        <v>-9.9416409486232801E-2</v>
      </c>
      <c r="Q3568">
        <v>9.44796135508323E-2</v>
      </c>
      <c r="R3568">
        <v>0.99815415967868504</v>
      </c>
      <c r="S3568" t="s">
        <v>9394</v>
      </c>
      <c r="T3568" t="s">
        <v>11650</v>
      </c>
      <c r="U3568" t="s">
        <v>11650</v>
      </c>
      <c r="V3568" t="s">
        <v>11650</v>
      </c>
      <c r="W3568" t="s">
        <v>15166</v>
      </c>
      <c r="X3568">
        <v>13</v>
      </c>
      <c r="Y3568" t="s">
        <v>20846</v>
      </c>
      <c r="Z3568" t="s">
        <v>26630</v>
      </c>
      <c r="AA3568">
        <v>0.6344221585008113</v>
      </c>
      <c r="AB3568" t="str">
        <f>HYPERLINK("Melting_Curves/meltCurve_Q5TDH0_DDI2.pdf", "Melting_Curves/meltCurve_Q5TDH0_DDI2.pdf")</f>
        <v>Melting_Curves/meltCurve_Q5TDH0_DDI2.pdf</v>
      </c>
    </row>
    <row r="3569" spans="1:28" x14ac:dyDescent="0.25">
      <c r="A3569" t="s">
        <v>3573</v>
      </c>
      <c r="B3569">
        <v>0.99996721820229495</v>
      </c>
      <c r="C3569">
        <v>0.903338127164801</v>
      </c>
      <c r="D3569">
        <v>0.76558100045259603</v>
      </c>
      <c r="E3569">
        <v>0.44994385953516303</v>
      </c>
      <c r="F3569">
        <v>0.43055682147606</v>
      </c>
      <c r="G3569">
        <v>0.34939677515272399</v>
      </c>
      <c r="H3569">
        <v>0.192304617080511</v>
      </c>
      <c r="I3569">
        <v>0.157821435576282</v>
      </c>
      <c r="J3569">
        <v>0.11357199755488701</v>
      </c>
      <c r="K3569">
        <v>7.9245160725007396E-2</v>
      </c>
      <c r="L3569">
        <v>545.16182733881703</v>
      </c>
      <c r="M3569">
        <v>10.832144362130499</v>
      </c>
      <c r="N3569">
        <v>51.016438603783698</v>
      </c>
      <c r="O3569">
        <v>48.703968814515697</v>
      </c>
      <c r="P3569">
        <v>-5.1840571293918697E-2</v>
      </c>
      <c r="Q3569">
        <v>6.7982118513311998E-2</v>
      </c>
      <c r="R3569">
        <v>0.97902552565874201</v>
      </c>
      <c r="S3569" t="s">
        <v>9395</v>
      </c>
      <c r="T3569" t="s">
        <v>11650</v>
      </c>
      <c r="U3569" t="s">
        <v>11650</v>
      </c>
      <c r="V3569" t="s">
        <v>11650</v>
      </c>
      <c r="W3569" t="s">
        <v>15167</v>
      </c>
      <c r="X3569">
        <v>1</v>
      </c>
      <c r="Y3569" t="s">
        <v>20847</v>
      </c>
      <c r="Z3569" t="s">
        <v>26631</v>
      </c>
      <c r="AA3569">
        <v>0.4256203954228463</v>
      </c>
      <c r="AB3569" t="str">
        <f>HYPERLINK("Melting_Curves/meltCurve_Q5TEA3_C20orf194.pdf", "Melting_Curves/meltCurve_Q5TEA3_C20orf194.pdf")</f>
        <v>Melting_Curves/meltCurve_Q5TEA3_C20orf194.pdf</v>
      </c>
    </row>
    <row r="3570" spans="1:28" x14ac:dyDescent="0.25">
      <c r="A3570" t="s">
        <v>3574</v>
      </c>
      <c r="B3570">
        <v>0.99996721820229495</v>
      </c>
      <c r="C3570">
        <v>0.95678638817761497</v>
      </c>
      <c r="D3570">
        <v>1.0334735143782501</v>
      </c>
      <c r="E3570">
        <v>0.84100304595460695</v>
      </c>
      <c r="F3570">
        <v>0.58761416998373595</v>
      </c>
      <c r="G3570">
        <v>0.84148723423501903</v>
      </c>
      <c r="H3570">
        <v>0.33795834354138099</v>
      </c>
      <c r="I3570">
        <v>0.56892606055757899</v>
      </c>
      <c r="J3570">
        <v>0.13169997254927601</v>
      </c>
      <c r="K3570">
        <v>9.0681654905096304E-2</v>
      </c>
      <c r="L3570">
        <v>609.20959215308403</v>
      </c>
      <c r="M3570">
        <v>10.1720123630739</v>
      </c>
      <c r="N3570">
        <v>59.890741829302002</v>
      </c>
      <c r="O3570">
        <v>57.714389096887302</v>
      </c>
      <c r="P3570">
        <v>-4.4081935185667297E-2</v>
      </c>
      <c r="Q3570">
        <v>0</v>
      </c>
      <c r="R3570">
        <v>0.83593346637894905</v>
      </c>
      <c r="S3570" t="s">
        <v>9396</v>
      </c>
      <c r="T3570" t="s">
        <v>11650</v>
      </c>
      <c r="U3570" t="s">
        <v>11650</v>
      </c>
      <c r="V3570" t="s">
        <v>11650</v>
      </c>
      <c r="W3570" t="s">
        <v>15168</v>
      </c>
      <c r="X3570">
        <v>3</v>
      </c>
      <c r="Y3570" t="s">
        <v>20848</v>
      </c>
      <c r="Z3570" t="s">
        <v>26632</v>
      </c>
      <c r="AA3570">
        <v>0.66055642887163402</v>
      </c>
      <c r="AB3570" t="str">
        <f>HYPERLINK("Melting_Curves/meltCurve_Q5TEE2_HDAC1.pdf", "Melting_Curves/meltCurve_Q5TEE2_HDAC1.pdf")</f>
        <v>Melting_Curves/meltCurve_Q5TEE2_HDAC1.pdf</v>
      </c>
    </row>
    <row r="3571" spans="1:28" x14ac:dyDescent="0.25">
      <c r="A3571" t="s">
        <v>3575</v>
      </c>
      <c r="B3571">
        <v>0.99996721820229495</v>
      </c>
      <c r="C3571">
        <v>1.0620314323701801</v>
      </c>
      <c r="D3571">
        <v>1.0525817741969099</v>
      </c>
      <c r="E3571">
        <v>1.0345744643322801</v>
      </c>
      <c r="F3571">
        <v>1.1011981656558101</v>
      </c>
      <c r="G3571">
        <v>0.55857178986414802</v>
      </c>
      <c r="H3571">
        <v>0.185530944370141</v>
      </c>
      <c r="I3571">
        <v>0.110678440891098</v>
      </c>
      <c r="J3571">
        <v>0.10855743488043899</v>
      </c>
      <c r="K3571">
        <v>0.101605519721065</v>
      </c>
      <c r="L3571">
        <v>4577.1298897639199</v>
      </c>
      <c r="M3571">
        <v>80.309304151577294</v>
      </c>
      <c r="N3571">
        <v>57.198967344242497</v>
      </c>
      <c r="O3571">
        <v>56.958465682506102</v>
      </c>
      <c r="P3571">
        <v>-0.30836898866086399</v>
      </c>
      <c r="Q3571">
        <v>0.12517136342037699</v>
      </c>
      <c r="R3571">
        <v>0.98815167581173702</v>
      </c>
      <c r="S3571" t="s">
        <v>9397</v>
      </c>
      <c r="T3571" t="s">
        <v>11650</v>
      </c>
      <c r="U3571" t="s">
        <v>11650</v>
      </c>
      <c r="V3571" t="s">
        <v>11650</v>
      </c>
      <c r="W3571" t="s">
        <v>15169</v>
      </c>
      <c r="X3571">
        <v>7</v>
      </c>
      <c r="Y3571" t="s">
        <v>20849</v>
      </c>
      <c r="Z3571" t="s">
        <v>26633</v>
      </c>
      <c r="AA3571">
        <v>0.62157545473964582</v>
      </c>
      <c r="AB3571" t="str">
        <f>HYPERLINK("Melting_Curves/meltCurve_Q5TEU4_NDUFAF5.pdf", "Melting_Curves/meltCurve_Q5TEU4_NDUFAF5.pdf")</f>
        <v>Melting_Curves/meltCurve_Q5TEU4_NDUFAF5.pdf</v>
      </c>
    </row>
    <row r="3572" spans="1:28" x14ac:dyDescent="0.25">
      <c r="A3572" t="s">
        <v>3576</v>
      </c>
      <c r="B3572">
        <v>0.99996721820229495</v>
      </c>
      <c r="C3572">
        <v>1.01794833009319</v>
      </c>
      <c r="D3572">
        <v>0.98831968850193896</v>
      </c>
      <c r="E3572">
        <v>0.92243993037079997</v>
      </c>
      <c r="F3572">
        <v>0.93617160355469897</v>
      </c>
      <c r="G3572">
        <v>0.69863790230230305</v>
      </c>
      <c r="H3572">
        <v>0.236055938863279</v>
      </c>
      <c r="I3572">
        <v>0.15677287495818201</v>
      </c>
      <c r="J3572">
        <v>0.117877615294988</v>
      </c>
      <c r="K3572">
        <v>9.3557635476924597E-2</v>
      </c>
      <c r="L3572">
        <v>1849.62125414549</v>
      </c>
      <c r="M3572">
        <v>31.844340001820498</v>
      </c>
      <c r="N3572">
        <v>58.479950018873502</v>
      </c>
      <c r="O3572">
        <v>57.855586991036397</v>
      </c>
      <c r="P3572">
        <v>-0.12423530797738699</v>
      </c>
      <c r="Q3572">
        <v>9.7149486397094406E-2</v>
      </c>
      <c r="R3572">
        <v>0.99516934775412802</v>
      </c>
      <c r="S3572" t="s">
        <v>9398</v>
      </c>
      <c r="T3572" t="s">
        <v>11650</v>
      </c>
      <c r="U3572" t="s">
        <v>11650</v>
      </c>
      <c r="V3572" t="s">
        <v>11650</v>
      </c>
      <c r="W3572" t="s">
        <v>15170</v>
      </c>
      <c r="X3572">
        <v>14</v>
      </c>
      <c r="Y3572" t="s">
        <v>20850</v>
      </c>
      <c r="Z3572" t="s">
        <v>26634</v>
      </c>
      <c r="AA3572">
        <v>0.64673255702986909</v>
      </c>
      <c r="AB3572" t="str">
        <f>HYPERLINK("Melting_Curves/meltCurve_Q5TFE4_NT5DC1.pdf", "Melting_Curves/meltCurve_Q5TFE4_NT5DC1.pdf")</f>
        <v>Melting_Curves/meltCurve_Q5TFE4_NT5DC1.pdf</v>
      </c>
    </row>
    <row r="3573" spans="1:28" x14ac:dyDescent="0.25">
      <c r="A3573" t="s">
        <v>3577</v>
      </c>
      <c r="B3573">
        <v>0.99996721820229495</v>
      </c>
      <c r="C3573">
        <v>0.91789511828244696</v>
      </c>
      <c r="D3573">
        <v>0.79827474249195896</v>
      </c>
      <c r="E3573">
        <v>0.465618190548025</v>
      </c>
      <c r="F3573">
        <v>0.286491042841376</v>
      </c>
      <c r="G3573">
        <v>0.17941819138465301</v>
      </c>
      <c r="H3573">
        <v>8.3930558250680604E-2</v>
      </c>
      <c r="I3573">
        <v>6.5512459616216601E-2</v>
      </c>
      <c r="J3573">
        <v>4.1650249665000201E-2</v>
      </c>
      <c r="K3573">
        <v>2.6259665614251498E-2</v>
      </c>
      <c r="L3573">
        <v>776.93084617056502</v>
      </c>
      <c r="M3573">
        <v>15.6613683326381</v>
      </c>
      <c r="N3573">
        <v>49.8261317583422</v>
      </c>
      <c r="O3573">
        <v>48.820421750648599</v>
      </c>
      <c r="P3573">
        <v>-7.7549527852496497E-2</v>
      </c>
      <c r="Q3573">
        <v>3.3116999446111697E-2</v>
      </c>
      <c r="R3573">
        <v>0.99787141119749201</v>
      </c>
      <c r="S3573" t="s">
        <v>9399</v>
      </c>
      <c r="T3573" t="s">
        <v>11650</v>
      </c>
      <c r="U3573" t="s">
        <v>11650</v>
      </c>
      <c r="V3573" t="s">
        <v>11650</v>
      </c>
      <c r="W3573" t="s">
        <v>15171</v>
      </c>
      <c r="X3573">
        <v>4</v>
      </c>
      <c r="Y3573" t="s">
        <v>20851</v>
      </c>
      <c r="Z3573" t="s">
        <v>26635</v>
      </c>
      <c r="AA3573">
        <v>0.36436166007970272</v>
      </c>
      <c r="AB3573" t="str">
        <f>HYPERLINK("Melting_Curves/meltCurve_Q5TGL8_PXDC1.pdf", "Melting_Curves/meltCurve_Q5TGL8_PXDC1.pdf")</f>
        <v>Melting_Curves/meltCurve_Q5TGL8_PXDC1.pdf</v>
      </c>
    </row>
    <row r="3574" spans="1:28" x14ac:dyDescent="0.25">
      <c r="A3574" t="s">
        <v>3578</v>
      </c>
      <c r="B3574">
        <v>0.99996721820229495</v>
      </c>
      <c r="C3574">
        <v>1.08878468671885</v>
      </c>
      <c r="D3574">
        <v>1.0715503839184699</v>
      </c>
      <c r="E3574">
        <v>0.77836464835932295</v>
      </c>
      <c r="F3574">
        <v>0.794178686025937</v>
      </c>
      <c r="G3574">
        <v>0.84940271273822499</v>
      </c>
      <c r="H3574">
        <v>0.62203704379944402</v>
      </c>
      <c r="I3574">
        <v>0.37355036159427502</v>
      </c>
      <c r="J3574">
        <v>0.116354833106582</v>
      </c>
      <c r="K3574">
        <v>0.216527480240227</v>
      </c>
      <c r="L3574">
        <v>858.40193656791303</v>
      </c>
      <c r="M3574">
        <v>13.897256963485299</v>
      </c>
      <c r="N3574">
        <v>61.767724316459301</v>
      </c>
      <c r="O3574">
        <v>60.530920015712297</v>
      </c>
      <c r="P3574">
        <v>-5.74051599851279E-2</v>
      </c>
      <c r="Q3574">
        <v>0</v>
      </c>
      <c r="R3574">
        <v>0.91174253567475405</v>
      </c>
      <c r="S3574" t="s">
        <v>9400</v>
      </c>
      <c r="T3574" t="s">
        <v>11650</v>
      </c>
      <c r="U3574" t="s">
        <v>11650</v>
      </c>
      <c r="V3574" t="s">
        <v>11650</v>
      </c>
      <c r="W3574" t="s">
        <v>15172</v>
      </c>
      <c r="X3574">
        <v>1</v>
      </c>
      <c r="Y3574" t="s">
        <v>20852</v>
      </c>
      <c r="Z3574" t="s">
        <v>26636</v>
      </c>
      <c r="AA3574">
        <v>0.72175764500166162</v>
      </c>
      <c r="AB3574" t="str">
        <f>HYPERLINK("Melting_Curves/meltCurve_Q5TGY1_TMCO4.pdf", "Melting_Curves/meltCurve_Q5TGY1_TMCO4.pdf")</f>
        <v>Melting_Curves/meltCurve_Q5TGY1_TMCO4.pdf</v>
      </c>
    </row>
    <row r="3575" spans="1:28" x14ac:dyDescent="0.25">
      <c r="A3575" t="s">
        <v>3579</v>
      </c>
      <c r="B3575">
        <v>0.99996721820229495</v>
      </c>
      <c r="C3575">
        <v>0.91162444336825399</v>
      </c>
      <c r="D3575">
        <v>1.1111508325589099</v>
      </c>
      <c r="E3575">
        <v>1.29459315520951</v>
      </c>
      <c r="F3575">
        <v>1.5962775074881901</v>
      </c>
      <c r="G3575">
        <v>2.0822788041023501</v>
      </c>
      <c r="H3575">
        <v>1.61597591006909</v>
      </c>
      <c r="I3575">
        <v>1.17131993646334</v>
      </c>
      <c r="J3575">
        <v>0.76197043873083103</v>
      </c>
      <c r="K3575">
        <v>0.66768096748419203</v>
      </c>
      <c r="L3575">
        <v>15000</v>
      </c>
      <c r="M3575">
        <v>224.805336807196</v>
      </c>
      <c r="O3575">
        <v>66.719114113071697</v>
      </c>
      <c r="P3575">
        <v>-0.27996433403632598</v>
      </c>
      <c r="Q3575">
        <v>0.66764183494331897</v>
      </c>
      <c r="R3575">
        <v>-0.18754313584336499</v>
      </c>
      <c r="S3575" t="s">
        <v>9401</v>
      </c>
      <c r="T3575" t="s">
        <v>11650</v>
      </c>
      <c r="U3575" t="s">
        <v>11650</v>
      </c>
      <c r="V3575" t="s">
        <v>11650</v>
      </c>
      <c r="W3575" t="s">
        <v>15173</v>
      </c>
      <c r="X3575">
        <v>1</v>
      </c>
      <c r="Y3575" t="s">
        <v>20853</v>
      </c>
      <c r="Z3575" t="s">
        <v>26637</v>
      </c>
      <c r="AA3575">
        <v>0.96375889549098637</v>
      </c>
      <c r="AB3575" t="str">
        <f>HYPERLINK("Melting_Curves/meltCurve_Q5TIE1_SLC19A2.pdf", "Melting_Curves/meltCurve_Q5TIE1_SLC19A2.pdf")</f>
        <v>Melting_Curves/meltCurve_Q5TIE1_SLC19A2.pdf</v>
      </c>
    </row>
    <row r="3576" spans="1:28" x14ac:dyDescent="0.25">
      <c r="A3576" t="s">
        <v>3580</v>
      </c>
      <c r="B3576">
        <v>0.99996721820229495</v>
      </c>
      <c r="C3576">
        <v>0.78996999647668997</v>
      </c>
      <c r="D3576">
        <v>0.74516884225088698</v>
      </c>
      <c r="E3576">
        <v>1.02543063477464</v>
      </c>
      <c r="F3576">
        <v>1.17692021392437</v>
      </c>
      <c r="G3576">
        <v>0.813317140777571</v>
      </c>
      <c r="H3576">
        <v>0.73572800050910003</v>
      </c>
      <c r="I3576">
        <v>0.74221314285446205</v>
      </c>
      <c r="J3576">
        <v>0.574527135375134</v>
      </c>
      <c r="K3576">
        <v>0.66169833431299496</v>
      </c>
      <c r="L3576">
        <v>11063.952012650199</v>
      </c>
      <c r="M3576">
        <v>194.430207838809</v>
      </c>
      <c r="O3576">
        <v>56.898470973738597</v>
      </c>
      <c r="P3576">
        <v>-0.27461754782967501</v>
      </c>
      <c r="Q3576">
        <v>0.67854134036724301</v>
      </c>
      <c r="R3576">
        <v>0.47997757654533102</v>
      </c>
      <c r="S3576" t="s">
        <v>9402</v>
      </c>
      <c r="T3576" t="s">
        <v>11650</v>
      </c>
      <c r="U3576" t="s">
        <v>11650</v>
      </c>
      <c r="V3576" t="s">
        <v>11650</v>
      </c>
      <c r="W3576" t="s">
        <v>15174</v>
      </c>
      <c r="X3576">
        <v>2</v>
      </c>
      <c r="Y3576" t="s">
        <v>20854</v>
      </c>
      <c r="Z3576" t="s">
        <v>26638</v>
      </c>
      <c r="AA3576">
        <v>0.85973092460709377</v>
      </c>
      <c r="AB3576" t="str">
        <f>HYPERLINK("Melting_Curves/meltCurve_Q5TIH2_SFT2D2.pdf", "Melting_Curves/meltCurve_Q5TIH2_SFT2D2.pdf")</f>
        <v>Melting_Curves/meltCurve_Q5TIH2_SFT2D2.pdf</v>
      </c>
    </row>
    <row r="3577" spans="1:28" x14ac:dyDescent="0.25">
      <c r="A3577" t="s">
        <v>3581</v>
      </c>
      <c r="B3577">
        <v>0.99996721820229495</v>
      </c>
      <c r="C3577">
        <v>1.07774108371232</v>
      </c>
      <c r="D3577">
        <v>1.0091504074841899</v>
      </c>
      <c r="E3577">
        <v>0.935038689575728</v>
      </c>
      <c r="F3577">
        <v>0.63458123864937699</v>
      </c>
      <c r="G3577">
        <v>0.37033529682232202</v>
      </c>
      <c r="H3577">
        <v>0.233045350269033</v>
      </c>
      <c r="I3577">
        <v>0.167902546680398</v>
      </c>
      <c r="J3577">
        <v>0.14225832019527501</v>
      </c>
      <c r="K3577">
        <v>0.10794503632845601</v>
      </c>
      <c r="L3577">
        <v>1201.31474705649</v>
      </c>
      <c r="M3577">
        <v>22.1251053364287</v>
      </c>
      <c r="N3577">
        <v>55.062447637236701</v>
      </c>
      <c r="O3577">
        <v>53.858724818972803</v>
      </c>
      <c r="P3577">
        <v>-8.9097192885226106E-2</v>
      </c>
      <c r="Q3577">
        <v>0.13246839253347301</v>
      </c>
      <c r="R3577">
        <v>0.99087546827888295</v>
      </c>
      <c r="S3577" t="s">
        <v>9403</v>
      </c>
      <c r="T3577" t="s">
        <v>11650</v>
      </c>
      <c r="U3577" t="s">
        <v>11650</v>
      </c>
      <c r="V3577" t="s">
        <v>11650</v>
      </c>
      <c r="W3577" t="s">
        <v>15175</v>
      </c>
      <c r="X3577">
        <v>12</v>
      </c>
      <c r="Y3577" t="s">
        <v>20855</v>
      </c>
      <c r="Z3577" t="s">
        <v>26639</v>
      </c>
      <c r="AA3577">
        <v>0.55583444908273927</v>
      </c>
      <c r="AB3577" t="str">
        <f>HYPERLINK("Melting_Curves/meltCurve_Q5TZA2_CROCC.pdf", "Melting_Curves/meltCurve_Q5TZA2_CROCC.pdf")</f>
        <v>Melting_Curves/meltCurve_Q5TZA2_CROCC.pdf</v>
      </c>
    </row>
    <row r="3578" spans="1:28" x14ac:dyDescent="0.25">
      <c r="A3578" t="s">
        <v>3582</v>
      </c>
      <c r="B3578">
        <v>0.99996721820229495</v>
      </c>
      <c r="C3578">
        <v>1.0984005606817899</v>
      </c>
      <c r="D3578">
        <v>1.11327113522801</v>
      </c>
      <c r="E3578">
        <v>0.98463614609274097</v>
      </c>
      <c r="F3578">
        <v>1.22232502092343</v>
      </c>
      <c r="G3578">
        <v>1.1959866797996701</v>
      </c>
      <c r="H3578">
        <v>0.84775845544737505</v>
      </c>
      <c r="I3578">
        <v>0.853514893312048</v>
      </c>
      <c r="J3578">
        <v>0.63128268863158998</v>
      </c>
      <c r="K3578">
        <v>0.61749160531565594</v>
      </c>
      <c r="L3578">
        <v>2148.71641165969</v>
      </c>
      <c r="M3578">
        <v>33.456678431461803</v>
      </c>
      <c r="O3578">
        <v>63.995694820269698</v>
      </c>
      <c r="P3578">
        <v>-5.4930773767426201E-2</v>
      </c>
      <c r="Q3578">
        <v>0.57971701138915499</v>
      </c>
      <c r="R3578">
        <v>0.70073096858142103</v>
      </c>
      <c r="S3578" t="s">
        <v>9404</v>
      </c>
      <c r="T3578" t="s">
        <v>11650</v>
      </c>
      <c r="U3578" t="s">
        <v>11650</v>
      </c>
      <c r="V3578" t="s">
        <v>11650</v>
      </c>
      <c r="W3578" t="s">
        <v>15176</v>
      </c>
      <c r="X3578">
        <v>1</v>
      </c>
      <c r="Y3578" t="s">
        <v>20856</v>
      </c>
      <c r="Z3578" t="s">
        <v>26640</v>
      </c>
      <c r="AA3578">
        <v>0.9196536915228305</v>
      </c>
      <c r="AB3578" t="str">
        <f>HYPERLINK("Melting_Curves/meltCurve_Q5U5Q3_MEX3C.pdf", "Melting_Curves/meltCurve_Q5U5Q3_MEX3C.pdf")</f>
        <v>Melting_Curves/meltCurve_Q5U5Q3_MEX3C.pdf</v>
      </c>
    </row>
    <row r="3579" spans="1:28" x14ac:dyDescent="0.25">
      <c r="A3579" t="s">
        <v>3583</v>
      </c>
      <c r="B3579">
        <v>0.99996721820229495</v>
      </c>
      <c r="C3579">
        <v>0.92592260806014903</v>
      </c>
      <c r="D3579">
        <v>0.850458893251273</v>
      </c>
      <c r="E3579">
        <v>0.75688484476407702</v>
      </c>
      <c r="F3579">
        <v>0.52970986068055304</v>
      </c>
      <c r="G3579">
        <v>0.36286250568630302</v>
      </c>
      <c r="H3579">
        <v>0.23573982182603401</v>
      </c>
      <c r="I3579">
        <v>0.12873675664697501</v>
      </c>
      <c r="J3579">
        <v>0.100202799421582</v>
      </c>
      <c r="K3579">
        <v>8.1569365888314094E-2</v>
      </c>
      <c r="L3579">
        <v>602.90787612827</v>
      </c>
      <c r="M3579">
        <v>11.1515527662797</v>
      </c>
      <c r="N3579">
        <v>54.064925863575397</v>
      </c>
      <c r="O3579">
        <v>52.4137305796798</v>
      </c>
      <c r="P3579">
        <v>-5.3207059557694801E-2</v>
      </c>
      <c r="Q3579">
        <v>0</v>
      </c>
      <c r="R3579">
        <v>0.99576771847743695</v>
      </c>
      <c r="S3579" t="s">
        <v>9405</v>
      </c>
      <c r="T3579" t="s">
        <v>11650</v>
      </c>
      <c r="U3579" t="s">
        <v>11650</v>
      </c>
      <c r="V3579" t="s">
        <v>11650</v>
      </c>
      <c r="W3579" t="s">
        <v>15177</v>
      </c>
      <c r="X3579">
        <v>6</v>
      </c>
      <c r="Y3579" t="s">
        <v>20857</v>
      </c>
      <c r="Z3579" t="s">
        <v>26641</v>
      </c>
      <c r="AA3579">
        <v>0.49647146349277338</v>
      </c>
      <c r="AB3579" t="str">
        <f>HYPERLINK("Melting_Curves/meltCurve_Q5U5X0_LYRM7.pdf", "Melting_Curves/meltCurve_Q5U5X0_LYRM7.pdf")</f>
        <v>Melting_Curves/meltCurve_Q5U5X0_LYRM7.pdf</v>
      </c>
    </row>
    <row r="3580" spans="1:28" x14ac:dyDescent="0.25">
      <c r="A3580" t="s">
        <v>3584</v>
      </c>
      <c r="B3580">
        <v>0.99996721820229495</v>
      </c>
      <c r="C3580">
        <v>0.90407227061629403</v>
      </c>
      <c r="D3580">
        <v>0.84905366073233401</v>
      </c>
      <c r="E3580">
        <v>0.74777561191541697</v>
      </c>
      <c r="F3580">
        <v>0.44661387716855799</v>
      </c>
      <c r="G3580">
        <v>0.33105148355755698</v>
      </c>
      <c r="H3580">
        <v>0.217847377510302</v>
      </c>
      <c r="I3580">
        <v>0.11357101914753399</v>
      </c>
      <c r="J3580">
        <v>7.3522322220147707E-2</v>
      </c>
      <c r="K3580">
        <v>8.2662193867894307E-2</v>
      </c>
      <c r="L3580">
        <v>623.37645276173896</v>
      </c>
      <c r="M3580">
        <v>11.7386660292273</v>
      </c>
      <c r="N3580">
        <v>53.221962194598298</v>
      </c>
      <c r="O3580">
        <v>51.633672112690697</v>
      </c>
      <c r="P3580">
        <v>-5.6124469472409698E-2</v>
      </c>
      <c r="Q3580">
        <v>1.2783516822347201E-2</v>
      </c>
      <c r="R3580">
        <v>0.98926719520825901</v>
      </c>
      <c r="S3580" t="s">
        <v>9406</v>
      </c>
      <c r="T3580" t="s">
        <v>11650</v>
      </c>
      <c r="U3580" t="s">
        <v>11650</v>
      </c>
      <c r="V3580" t="s">
        <v>11650</v>
      </c>
      <c r="W3580" t="s">
        <v>15178</v>
      </c>
      <c r="X3580">
        <v>5</v>
      </c>
      <c r="Y3580" t="s">
        <v>20858</v>
      </c>
      <c r="Z3580" t="s">
        <v>26642</v>
      </c>
      <c r="AA3580">
        <v>0.47256688525849788</v>
      </c>
      <c r="AB3580" t="str">
        <f>HYPERLINK("Melting_Curves/meltCurve_Q5VIR6_4_VPS53.pdf", "Melting_Curves/meltCurve_Q5VIR6_4_VPS53.pdf")</f>
        <v>Melting_Curves/meltCurve_Q5VIR6_4_VPS53.pdf</v>
      </c>
    </row>
    <row r="3581" spans="1:28" x14ac:dyDescent="0.25">
      <c r="A3581" t="s">
        <v>3585</v>
      </c>
      <c r="B3581">
        <v>0.99996721820229495</v>
      </c>
      <c r="C3581">
        <v>1.0329127236113</v>
      </c>
      <c r="D3581">
        <v>0.88998389019150703</v>
      </c>
      <c r="E3581">
        <v>0.85224641604294604</v>
      </c>
      <c r="F3581">
        <v>0.89374360739014302</v>
      </c>
      <c r="G3581">
        <v>0.741495802192358</v>
      </c>
      <c r="H3581">
        <v>0.50857640133372095</v>
      </c>
      <c r="I3581">
        <v>0.31724742847995602</v>
      </c>
      <c r="J3581">
        <v>0.21130862181771401</v>
      </c>
      <c r="K3581">
        <v>0.193051149083692</v>
      </c>
      <c r="L3581">
        <v>757.83609111499698</v>
      </c>
      <c r="M3581">
        <v>12.450503471517999</v>
      </c>
      <c r="N3581">
        <v>60.8679073661487</v>
      </c>
      <c r="O3581">
        <v>59.361666886902</v>
      </c>
      <c r="P3581">
        <v>-5.2445924297119202E-2</v>
      </c>
      <c r="Q3581">
        <v>0</v>
      </c>
      <c r="R3581">
        <v>0.97601501494310505</v>
      </c>
      <c r="S3581" t="s">
        <v>9407</v>
      </c>
      <c r="T3581" t="s">
        <v>11650</v>
      </c>
      <c r="U3581" t="s">
        <v>11650</v>
      </c>
      <c r="V3581" t="s">
        <v>11650</v>
      </c>
      <c r="W3581" t="s">
        <v>15179</v>
      </c>
      <c r="X3581">
        <v>7</v>
      </c>
      <c r="Y3581" t="s">
        <v>20859</v>
      </c>
      <c r="Z3581" t="s">
        <v>26643</v>
      </c>
      <c r="AA3581">
        <v>0.6937579968583919</v>
      </c>
      <c r="AB3581" t="str">
        <f>HYPERLINK("Melting_Curves/meltCurve_Q5VSL9_STRIP1.pdf", "Melting_Curves/meltCurve_Q5VSL9_STRIP1.pdf")</f>
        <v>Melting_Curves/meltCurve_Q5VSL9_STRIP1.pdf</v>
      </c>
    </row>
    <row r="3582" spans="1:28" x14ac:dyDescent="0.25">
      <c r="A3582" t="s">
        <v>3586</v>
      </c>
      <c r="B3582">
        <v>0.99996721820229495</v>
      </c>
      <c r="C3582">
        <v>0.97970087203378098</v>
      </c>
      <c r="D3582">
        <v>1.07101465545466</v>
      </c>
      <c r="E3582">
        <v>1.1213371586368901</v>
      </c>
      <c r="F3582">
        <v>1.4024040140882399</v>
      </c>
      <c r="G3582">
        <v>1.2526311946898101</v>
      </c>
      <c r="H3582">
        <v>0.39924030323842602</v>
      </c>
      <c r="I3582">
        <v>0.18981378137816901</v>
      </c>
      <c r="J3582">
        <v>0.11779714323932799</v>
      </c>
      <c r="K3582">
        <v>0.110952893440097</v>
      </c>
      <c r="L3582">
        <v>9678.5779142475094</v>
      </c>
      <c r="M3582">
        <v>159.502871477262</v>
      </c>
      <c r="N3582">
        <v>60.804265873875003</v>
      </c>
      <c r="O3582">
        <v>60.670108490885298</v>
      </c>
      <c r="P3582">
        <v>-0.56561821520339695</v>
      </c>
      <c r="Q3582">
        <v>0.13942318024307401</v>
      </c>
      <c r="R3582">
        <v>0.89033341063684301</v>
      </c>
      <c r="S3582" t="s">
        <v>9408</v>
      </c>
      <c r="T3582" t="s">
        <v>11650</v>
      </c>
      <c r="U3582" t="s">
        <v>11650</v>
      </c>
      <c r="V3582" t="s">
        <v>11650</v>
      </c>
      <c r="W3582" t="s">
        <v>15180</v>
      </c>
      <c r="X3582">
        <v>10</v>
      </c>
      <c r="Y3582" t="s">
        <v>20860</v>
      </c>
      <c r="Z3582" t="s">
        <v>26644</v>
      </c>
      <c r="AA3582">
        <v>0.73286254851782806</v>
      </c>
      <c r="AB3582" t="str">
        <f>HYPERLINK("Melting_Curves/meltCurve_Q5VST6_ABHD17B.pdf", "Melting_Curves/meltCurve_Q5VST6_ABHD17B.pdf")</f>
        <v>Melting_Curves/meltCurve_Q5VST6_ABHD17B.pdf</v>
      </c>
    </row>
    <row r="3583" spans="1:28" x14ac:dyDescent="0.25">
      <c r="A3583" t="s">
        <v>3587</v>
      </c>
      <c r="B3583">
        <v>0.99996721820229495</v>
      </c>
      <c r="C3583">
        <v>0.93697103968666595</v>
      </c>
      <c r="D3583">
        <v>0.94045734064573205</v>
      </c>
      <c r="E3583">
        <v>0.79890825770461704</v>
      </c>
      <c r="F3583">
        <v>0.94302484468479997</v>
      </c>
      <c r="G3583">
        <v>0.87477459264194402</v>
      </c>
      <c r="H3583">
        <v>0.49943415100685501</v>
      </c>
      <c r="I3583">
        <v>0.426910008900867</v>
      </c>
      <c r="J3583">
        <v>0.31224726843359801</v>
      </c>
      <c r="K3583">
        <v>0.27399956501911699</v>
      </c>
      <c r="S3583" t="s">
        <v>9409</v>
      </c>
      <c r="T3583" t="s">
        <v>11650</v>
      </c>
      <c r="U3583" t="s">
        <v>11651</v>
      </c>
      <c r="V3583" t="s">
        <v>11650</v>
      </c>
      <c r="W3583" t="s">
        <v>15181</v>
      </c>
      <c r="X3583">
        <v>2</v>
      </c>
      <c r="Y3583" t="s">
        <v>20861</v>
      </c>
      <c r="Z3583" t="s">
        <v>26645</v>
      </c>
      <c r="AB3583" t="str">
        <f>HYPERLINK("Melting_Curves/meltCurve_Q5VT52_2_RPRD2.pdf", "Melting_Curves/meltCurve_Q5VT52_2_RPRD2.pdf")</f>
        <v>Melting_Curves/meltCurve_Q5VT52_2_RPRD2.pdf</v>
      </c>
    </row>
    <row r="3584" spans="1:28" x14ac:dyDescent="0.25">
      <c r="A3584" t="s">
        <v>3588</v>
      </c>
      <c r="B3584">
        <v>0.99996721820229495</v>
      </c>
      <c r="C3584">
        <v>0.96150715836011602</v>
      </c>
      <c r="D3584">
        <v>1.0207738187900199</v>
      </c>
      <c r="E3584">
        <v>1.07647294936057</v>
      </c>
      <c r="F3584">
        <v>1.32650534223075</v>
      </c>
      <c r="G3584">
        <v>1.6146594493451201</v>
      </c>
      <c r="H3584">
        <v>1.48360325221005</v>
      </c>
      <c r="I3584">
        <v>1.16110888636899</v>
      </c>
      <c r="J3584">
        <v>0.797598205299615</v>
      </c>
      <c r="K3584">
        <v>0.51160574110822099</v>
      </c>
      <c r="L3584">
        <v>15000</v>
      </c>
      <c r="M3584">
        <v>223.534604494565</v>
      </c>
      <c r="O3584">
        <v>67.098330419506794</v>
      </c>
      <c r="P3584">
        <v>-0.40680601280045098</v>
      </c>
      <c r="Q3584">
        <v>0.51155651415301795</v>
      </c>
      <c r="R3584">
        <v>0.20044007378360401</v>
      </c>
      <c r="S3584" t="s">
        <v>9410</v>
      </c>
      <c r="T3584" t="s">
        <v>11650</v>
      </c>
      <c r="U3584" t="s">
        <v>11650</v>
      </c>
      <c r="V3584" t="s">
        <v>11650</v>
      </c>
      <c r="W3584" t="s">
        <v>15182</v>
      </c>
      <c r="X3584">
        <v>2</v>
      </c>
      <c r="Y3584" t="s">
        <v>20862</v>
      </c>
      <c r="Z3584" t="s">
        <v>26646</v>
      </c>
      <c r="AA3584">
        <v>0.95291554407655688</v>
      </c>
      <c r="AB3584" t="str">
        <f>HYPERLINK("Melting_Curves/meltCurve_Q5VT94_GHITM.pdf", "Melting_Curves/meltCurve_Q5VT94_GHITM.pdf")</f>
        <v>Melting_Curves/meltCurve_Q5VT94_GHITM.pdf</v>
      </c>
    </row>
    <row r="3585" spans="1:28" x14ac:dyDescent="0.25">
      <c r="A3585" t="s">
        <v>3589</v>
      </c>
      <c r="B3585">
        <v>0.99996721820229495</v>
      </c>
      <c r="C3585">
        <v>0.96111920519671801</v>
      </c>
      <c r="D3585">
        <v>0.85645187468349304</v>
      </c>
      <c r="E3585">
        <v>0.62784322852791996</v>
      </c>
      <c r="F3585">
        <v>0.96059393553280503</v>
      </c>
      <c r="G3585">
        <v>0.75058913720284903</v>
      </c>
      <c r="H3585">
        <v>0.53887627286644602</v>
      </c>
      <c r="I3585">
        <v>0.33664961668625198</v>
      </c>
      <c r="J3585">
        <v>0.34090078442548599</v>
      </c>
      <c r="K3585">
        <v>0.232668691506345</v>
      </c>
      <c r="L3585">
        <v>503.94389133787502</v>
      </c>
      <c r="M3585">
        <v>8.2068760245631491</v>
      </c>
      <c r="N3585">
        <v>61.405079744731701</v>
      </c>
      <c r="O3585">
        <v>58.082592230939802</v>
      </c>
      <c r="P3585">
        <v>-3.5360490564278799E-2</v>
      </c>
      <c r="Q3585">
        <v>0</v>
      </c>
      <c r="R3585">
        <v>0.84951405485262299</v>
      </c>
      <c r="S3585" t="s">
        <v>9411</v>
      </c>
      <c r="T3585" t="s">
        <v>11650</v>
      </c>
      <c r="U3585" t="s">
        <v>11650</v>
      </c>
      <c r="V3585" t="s">
        <v>11650</v>
      </c>
      <c r="W3585" t="s">
        <v>15183</v>
      </c>
      <c r="X3585">
        <v>3</v>
      </c>
      <c r="Y3585" t="s">
        <v>20863</v>
      </c>
      <c r="Z3585" t="s">
        <v>26647</v>
      </c>
      <c r="AA3585">
        <v>0.68532217513119598</v>
      </c>
      <c r="AB3585" t="str">
        <f>HYPERLINK("Melting_Curves/meltCurve_Q5VTR2_RNF20.pdf", "Melting_Curves/meltCurve_Q5VTR2_RNF20.pdf")</f>
        <v>Melting_Curves/meltCurve_Q5VTR2_RNF20.pdf</v>
      </c>
    </row>
    <row r="3586" spans="1:28" x14ac:dyDescent="0.25">
      <c r="A3586" t="s">
        <v>3590</v>
      </c>
      <c r="B3586">
        <v>0.99996721820229495</v>
      </c>
      <c r="C3586">
        <v>0.94044954374241496</v>
      </c>
      <c r="D3586">
        <v>1.1657737851212</v>
      </c>
      <c r="E3586">
        <v>1.1992362447210201</v>
      </c>
      <c r="F3586">
        <v>1.3297020911809201</v>
      </c>
      <c r="G3586">
        <v>1.0174134415764899</v>
      </c>
      <c r="H3586">
        <v>0.42005866986120499</v>
      </c>
      <c r="I3586">
        <v>0.33218870956475099</v>
      </c>
      <c r="J3586">
        <v>0.18784508162029501</v>
      </c>
      <c r="K3586">
        <v>0.18051350613807701</v>
      </c>
      <c r="L3586">
        <v>4148.0672842746599</v>
      </c>
      <c r="M3586">
        <v>69.024536430106295</v>
      </c>
      <c r="N3586">
        <v>60.625920715773901</v>
      </c>
      <c r="O3586">
        <v>60.045175413150901</v>
      </c>
      <c r="P3586">
        <v>-0.22224961419289099</v>
      </c>
      <c r="Q3586">
        <v>0.22665115773716801</v>
      </c>
      <c r="R3586">
        <v>0.89239134512974505</v>
      </c>
      <c r="S3586" t="s">
        <v>9412</v>
      </c>
      <c r="T3586" t="s">
        <v>11650</v>
      </c>
      <c r="U3586" t="s">
        <v>11650</v>
      </c>
      <c r="V3586" t="s">
        <v>11650</v>
      </c>
      <c r="W3586" t="s">
        <v>15184</v>
      </c>
      <c r="X3586">
        <v>2</v>
      </c>
      <c r="Y3586" t="s">
        <v>20864</v>
      </c>
      <c r="Z3586" t="s">
        <v>26648</v>
      </c>
      <c r="AA3586">
        <v>0.7457511247779911</v>
      </c>
      <c r="AB3586" t="str">
        <f>HYPERLINK("Melting_Curves/meltCurve_Q5VU97_CACHD1.pdf", "Melting_Curves/meltCurve_Q5VU97_CACHD1.pdf")</f>
        <v>Melting_Curves/meltCurve_Q5VU97_CACHD1.pdf</v>
      </c>
    </row>
    <row r="3587" spans="1:28" x14ac:dyDescent="0.25">
      <c r="A3587" t="s">
        <v>3591</v>
      </c>
      <c r="B3587">
        <v>0.99996721820229495</v>
      </c>
      <c r="C3587">
        <v>0.88899761657216503</v>
      </c>
      <c r="D3587">
        <v>0.79360734408767897</v>
      </c>
      <c r="E3587">
        <v>0.62303428418717099</v>
      </c>
      <c r="F3587">
        <v>0.56203375267453304</v>
      </c>
      <c r="G3587">
        <v>0.93676515423212503</v>
      </c>
      <c r="H3587">
        <v>0.69645024123872001</v>
      </c>
      <c r="I3587">
        <v>0.45616111726897102</v>
      </c>
      <c r="J3587">
        <v>0.449895907044296</v>
      </c>
      <c r="K3587">
        <v>0.185465855749709</v>
      </c>
      <c r="L3587">
        <v>295.27180936359798</v>
      </c>
      <c r="M3587">
        <v>4.6766552988933103</v>
      </c>
      <c r="N3587">
        <v>63.137390863373298</v>
      </c>
      <c r="O3587">
        <v>54.208457329917103</v>
      </c>
      <c r="P3587">
        <v>-2.1733748911120399E-2</v>
      </c>
      <c r="Q3587">
        <v>0</v>
      </c>
      <c r="R3587">
        <v>0.63088688204919297</v>
      </c>
      <c r="S3587" t="s">
        <v>9413</v>
      </c>
      <c r="T3587" t="s">
        <v>11650</v>
      </c>
      <c r="U3587" t="s">
        <v>11650</v>
      </c>
      <c r="V3587" t="s">
        <v>11650</v>
      </c>
      <c r="W3587" t="s">
        <v>15185</v>
      </c>
      <c r="X3587">
        <v>2</v>
      </c>
      <c r="Y3587" t="s">
        <v>20865</v>
      </c>
      <c r="Z3587" t="s">
        <v>26649</v>
      </c>
      <c r="AA3587">
        <v>0.66655605042482025</v>
      </c>
      <c r="AB3587" t="str">
        <f>HYPERLINK("Melting_Curves/meltCurve_Q5VUA4_ZNF318.pdf", "Melting_Curves/meltCurve_Q5VUA4_ZNF318.pdf")</f>
        <v>Melting_Curves/meltCurve_Q5VUA4_ZNF318.pdf</v>
      </c>
    </row>
    <row r="3588" spans="1:28" x14ac:dyDescent="0.25">
      <c r="A3588" t="s">
        <v>3592</v>
      </c>
      <c r="B3588">
        <v>0.99996721820229495</v>
      </c>
      <c r="C3588">
        <v>1.0013687117416901</v>
      </c>
      <c r="D3588">
        <v>1.0811649151034399</v>
      </c>
      <c r="E3588">
        <v>1.2267089509815501</v>
      </c>
      <c r="F3588">
        <v>1.66897188622038</v>
      </c>
      <c r="G3588">
        <v>1.3987887064817699</v>
      </c>
      <c r="H3588">
        <v>0.91835596146142395</v>
      </c>
      <c r="I3588">
        <v>0.69818947035103796</v>
      </c>
      <c r="J3588">
        <v>0.572079429332495</v>
      </c>
      <c r="K3588">
        <v>0.59916499212590901</v>
      </c>
      <c r="L3588">
        <v>3765.9849352316301</v>
      </c>
      <c r="M3588">
        <v>59.963530879032902</v>
      </c>
      <c r="O3588">
        <v>62.734851319886303</v>
      </c>
      <c r="P3588">
        <v>-9.9400070762589707E-2</v>
      </c>
      <c r="Q3588">
        <v>0.58402409205387795</v>
      </c>
      <c r="R3588">
        <v>0.39589740118397299</v>
      </c>
      <c r="S3588" t="s">
        <v>9414</v>
      </c>
      <c r="T3588" t="s">
        <v>11650</v>
      </c>
      <c r="U3588" t="s">
        <v>11650</v>
      </c>
      <c r="V3588" t="s">
        <v>11650</v>
      </c>
      <c r="W3588" t="s">
        <v>15186</v>
      </c>
      <c r="X3588">
        <v>1</v>
      </c>
      <c r="Y3588" t="s">
        <v>20866</v>
      </c>
      <c r="Z3588" t="s">
        <v>26650</v>
      </c>
      <c r="AA3588">
        <v>0.90098987332538105</v>
      </c>
      <c r="AB3588" t="str">
        <f>HYPERLINK("Melting_Curves/meltCurve_Q5VUB5_FAM171A1.pdf", "Melting_Curves/meltCurve_Q5VUB5_FAM171A1.pdf")</f>
        <v>Melting_Curves/meltCurve_Q5VUB5_FAM171A1.pdf</v>
      </c>
    </row>
    <row r="3589" spans="1:28" x14ac:dyDescent="0.25">
      <c r="A3589" t="s">
        <v>3593</v>
      </c>
      <c r="B3589">
        <v>0.99996721820229495</v>
      </c>
      <c r="C3589">
        <v>0.99366006114941996</v>
      </c>
      <c r="D3589">
        <v>0.67190747665972805</v>
      </c>
      <c r="E3589">
        <v>0.45377813139211798</v>
      </c>
      <c r="F3589">
        <v>0.54961863231695596</v>
      </c>
      <c r="G3589">
        <v>0.36055725135540201</v>
      </c>
      <c r="H3589">
        <v>0.29924049837832101</v>
      </c>
      <c r="I3589">
        <v>0.100206669487465</v>
      </c>
      <c r="J3589">
        <v>0</v>
      </c>
      <c r="K3589">
        <v>0</v>
      </c>
      <c r="L3589">
        <v>498.01862579286399</v>
      </c>
      <c r="M3589">
        <v>9.6037317480498299</v>
      </c>
      <c r="N3589">
        <v>51.8567749061868</v>
      </c>
      <c r="O3589">
        <v>49.757930025027001</v>
      </c>
      <c r="P3589">
        <v>-4.8279652157641399E-2</v>
      </c>
      <c r="Q3589">
        <v>0</v>
      </c>
      <c r="R3589">
        <v>0.92780179833912102</v>
      </c>
      <c r="S3589" t="s">
        <v>9415</v>
      </c>
      <c r="T3589" t="s">
        <v>11650</v>
      </c>
      <c r="U3589" t="s">
        <v>11650</v>
      </c>
      <c r="V3589" t="s">
        <v>11650</v>
      </c>
      <c r="W3589" t="s">
        <v>15187</v>
      </c>
      <c r="X3589">
        <v>1</v>
      </c>
      <c r="Y3589" t="s">
        <v>20867</v>
      </c>
      <c r="Z3589" t="s">
        <v>26651</v>
      </c>
      <c r="AA3589">
        <v>0.43544295925399629</v>
      </c>
      <c r="AB3589" t="str">
        <f>HYPERLINK("Melting_Curves/meltCurve_Q5VUJ6_2_LRCH2.pdf", "Melting_Curves/meltCurve_Q5VUJ6_2_LRCH2.pdf")</f>
        <v>Melting_Curves/meltCurve_Q5VUJ6_2_LRCH2.pdf</v>
      </c>
    </row>
    <row r="3590" spans="1:28" x14ac:dyDescent="0.25">
      <c r="A3590" t="s">
        <v>3594</v>
      </c>
      <c r="B3590">
        <v>0.99996721820229495</v>
      </c>
      <c r="C3590">
        <v>0.75829050611343096</v>
      </c>
      <c r="D3590">
        <v>0.79040294037393699</v>
      </c>
      <c r="E3590">
        <v>1.04029714222331</v>
      </c>
      <c r="F3590">
        <v>1.2659581606182899</v>
      </c>
      <c r="G3590">
        <v>1.5190562519203299</v>
      </c>
      <c r="H3590">
        <v>1.31668073977414</v>
      </c>
      <c r="I3590">
        <v>1.1485645051723401</v>
      </c>
      <c r="J3590">
        <v>1.2456886963568801</v>
      </c>
      <c r="K3590">
        <v>0.89701513947129496</v>
      </c>
      <c r="L3590">
        <v>12578.0241473489</v>
      </c>
      <c r="M3590">
        <v>250</v>
      </c>
      <c r="O3590">
        <v>50.308876972307402</v>
      </c>
      <c r="P3590">
        <v>0.28841911152677702</v>
      </c>
      <c r="Q3590">
        <v>1.2321606651921899</v>
      </c>
      <c r="R3590">
        <v>0.42251497020950701</v>
      </c>
      <c r="S3590" t="s">
        <v>9416</v>
      </c>
      <c r="T3590" t="s">
        <v>11650</v>
      </c>
      <c r="U3590" t="s">
        <v>11650</v>
      </c>
      <c r="V3590" t="s">
        <v>11650</v>
      </c>
      <c r="W3590" t="s">
        <v>15188</v>
      </c>
      <c r="X3590">
        <v>3</v>
      </c>
      <c r="Y3590" t="s">
        <v>20868</v>
      </c>
      <c r="Z3590" t="s">
        <v>26652</v>
      </c>
      <c r="AA3590">
        <v>1.15233805932371</v>
      </c>
      <c r="AB3590" t="str">
        <f>HYPERLINK("Melting_Curves/meltCurve_Q5VUM1_C6orf57.pdf", "Melting_Curves/meltCurve_Q5VUM1_C6orf57.pdf")</f>
        <v>Melting_Curves/meltCurve_Q5VUM1_C6orf57.pdf</v>
      </c>
    </row>
    <row r="3591" spans="1:28" x14ac:dyDescent="0.25">
      <c r="A3591" t="s">
        <v>3595</v>
      </c>
      <c r="B3591">
        <v>0.99996721820229495</v>
      </c>
      <c r="C3591">
        <v>0.29680338656453698</v>
      </c>
      <c r="D3591">
        <v>0.372474869234385</v>
      </c>
      <c r="E3591">
        <v>1.24401729033278</v>
      </c>
      <c r="F3591">
        <v>0.84122055465187895</v>
      </c>
      <c r="G3591">
        <v>0.32490282649922902</v>
      </c>
      <c r="H3591">
        <v>0.55715130999826301</v>
      </c>
      <c r="I3591">
        <v>0.12531556948718101</v>
      </c>
      <c r="J3591">
        <v>0.121059936933382</v>
      </c>
      <c r="K3591">
        <v>0.17304398900808601</v>
      </c>
      <c r="L3591">
        <v>272.724085065466</v>
      </c>
      <c r="M3591">
        <v>4.9665619972529704</v>
      </c>
      <c r="N3591">
        <v>54.912046836882197</v>
      </c>
      <c r="O3591">
        <v>47.850383137611402</v>
      </c>
      <c r="P3591">
        <v>-2.6111094375651001E-2</v>
      </c>
      <c r="Q3591">
        <v>0</v>
      </c>
      <c r="R3591">
        <v>0.28706309308757899</v>
      </c>
      <c r="S3591" t="s">
        <v>9417</v>
      </c>
      <c r="T3591" t="s">
        <v>11650</v>
      </c>
      <c r="U3591" t="s">
        <v>11650</v>
      </c>
      <c r="V3591" t="s">
        <v>11650</v>
      </c>
      <c r="W3591" t="s">
        <v>15189</v>
      </c>
      <c r="X3591">
        <v>1</v>
      </c>
      <c r="Y3591" t="s">
        <v>20869</v>
      </c>
      <c r="Z3591" t="s">
        <v>26653</v>
      </c>
      <c r="AA3591">
        <v>0.52252713451731392</v>
      </c>
      <c r="AB3591" t="str">
        <f>HYPERLINK("Melting_Curves/meltCurve_Q5VV89_MGST3.pdf", "Melting_Curves/meltCurve_Q5VV89_MGST3.pdf")</f>
        <v>Melting_Curves/meltCurve_Q5VV89_MGST3.pdf</v>
      </c>
    </row>
    <row r="3592" spans="1:28" x14ac:dyDescent="0.25">
      <c r="A3592" t="s">
        <v>3596</v>
      </c>
      <c r="B3592">
        <v>0.99996721820229495</v>
      </c>
      <c r="C3592">
        <v>0.912047719216172</v>
      </c>
      <c r="D3592">
        <v>0.86460436578491096</v>
      </c>
      <c r="E3592">
        <v>0.98060883141021205</v>
      </c>
      <c r="F3592">
        <v>0.595918015526685</v>
      </c>
      <c r="G3592">
        <v>0.47336533406449399</v>
      </c>
      <c r="H3592">
        <v>0.31016136812869599</v>
      </c>
      <c r="I3592">
        <v>0.17837866814723799</v>
      </c>
      <c r="J3592">
        <v>0.115228317339924</v>
      </c>
      <c r="K3592">
        <v>0.116503456027717</v>
      </c>
      <c r="L3592">
        <v>721.98013344369804</v>
      </c>
      <c r="M3592">
        <v>12.8753332317148</v>
      </c>
      <c r="N3592">
        <v>56.344109208759903</v>
      </c>
      <c r="O3592">
        <v>54.773670540702099</v>
      </c>
      <c r="P3592">
        <v>-5.7022055674973801E-2</v>
      </c>
      <c r="Q3592">
        <v>2.98555409463542E-2</v>
      </c>
      <c r="R3592">
        <v>0.96352224312289902</v>
      </c>
      <c r="S3592" t="s">
        <v>9418</v>
      </c>
      <c r="T3592" t="s">
        <v>11650</v>
      </c>
      <c r="U3592" t="s">
        <v>11650</v>
      </c>
      <c r="V3592" t="s">
        <v>11650</v>
      </c>
      <c r="W3592" t="s">
        <v>15190</v>
      </c>
      <c r="X3592">
        <v>12</v>
      </c>
      <c r="Y3592" t="s">
        <v>20870</v>
      </c>
      <c r="Z3592" t="s">
        <v>26654</v>
      </c>
      <c r="AA3592">
        <v>0.56862166980649065</v>
      </c>
      <c r="AB3592" t="str">
        <f>HYPERLINK("Melting_Curves/meltCurve_Q5VVD7_PLEKHM2.pdf", "Melting_Curves/meltCurve_Q5VVD7_PLEKHM2.pdf")</f>
        <v>Melting_Curves/meltCurve_Q5VVD7_PLEKHM2.pdf</v>
      </c>
    </row>
    <row r="3593" spans="1:28" x14ac:dyDescent="0.25">
      <c r="A3593" t="s">
        <v>3597</v>
      </c>
      <c r="B3593">
        <v>0.99996721820229495</v>
      </c>
      <c r="C3593">
        <v>1.0080026735165299</v>
      </c>
      <c r="D3593">
        <v>0.87502288385804605</v>
      </c>
      <c r="E3593">
        <v>0.75213772549063296</v>
      </c>
      <c r="F3593">
        <v>0.55575439912073699</v>
      </c>
      <c r="G3593">
        <v>0.60269325513515504</v>
      </c>
      <c r="H3593">
        <v>0.33668370833390099</v>
      </c>
      <c r="I3593">
        <v>0.31468415807575301</v>
      </c>
      <c r="J3593">
        <v>0.30258662985673901</v>
      </c>
      <c r="K3593">
        <v>0.20294617347205501</v>
      </c>
      <c r="L3593">
        <v>522.50072318573496</v>
      </c>
      <c r="M3593">
        <v>9.50227891730637</v>
      </c>
      <c r="N3593">
        <v>56.865171160663401</v>
      </c>
      <c r="O3593">
        <v>52.716788672873399</v>
      </c>
      <c r="P3593">
        <v>-3.9016335782996001E-2</v>
      </c>
      <c r="Q3593">
        <v>0.13469129341229699</v>
      </c>
      <c r="R3593">
        <v>0.96615677596787097</v>
      </c>
      <c r="S3593" t="s">
        <v>9419</v>
      </c>
      <c r="T3593" t="s">
        <v>11650</v>
      </c>
      <c r="U3593" t="s">
        <v>11650</v>
      </c>
      <c r="V3593" t="s">
        <v>11650</v>
      </c>
      <c r="W3593" t="s">
        <v>15191</v>
      </c>
      <c r="X3593">
        <v>2</v>
      </c>
      <c r="Y3593" t="s">
        <v>20871</v>
      </c>
      <c r="Z3593" t="s">
        <v>26655</v>
      </c>
      <c r="AA3593">
        <v>0.58981485479212836</v>
      </c>
      <c r="AB3593" t="str">
        <f>HYPERLINK("Melting_Curves/meltCurve_Q5VVQ6_2_YOD1.pdf", "Melting_Curves/meltCurve_Q5VVQ6_2_YOD1.pdf")</f>
        <v>Melting_Curves/meltCurve_Q5VVQ6_2_YOD1.pdf</v>
      </c>
    </row>
    <row r="3594" spans="1:28" x14ac:dyDescent="0.25">
      <c r="A3594" t="s">
        <v>3598</v>
      </c>
      <c r="B3594">
        <v>0.99996721820229495</v>
      </c>
      <c r="C3594">
        <v>0.87450331305656204</v>
      </c>
      <c r="D3594">
        <v>1.01665809071338</v>
      </c>
      <c r="E3594">
        <v>0.98737530227869696</v>
      </c>
      <c r="F3594">
        <v>1.37986437527738</v>
      </c>
      <c r="G3594">
        <v>1.3946229461863899</v>
      </c>
      <c r="H3594">
        <v>1.0220883920461299</v>
      </c>
      <c r="I3594">
        <v>0.60075535054171403</v>
      </c>
      <c r="J3594">
        <v>0.40060560071282902</v>
      </c>
      <c r="K3594">
        <v>0.30334671725455398</v>
      </c>
      <c r="L3594">
        <v>6861.2844333999301</v>
      </c>
      <c r="M3594">
        <v>107.658723691538</v>
      </c>
      <c r="N3594">
        <v>64.451198554394097</v>
      </c>
      <c r="O3594">
        <v>63.709819737969603</v>
      </c>
      <c r="P3594">
        <v>-0.27474314264371402</v>
      </c>
      <c r="Q3594">
        <v>0.349654731715213</v>
      </c>
      <c r="R3594">
        <v>0.73584753763960697</v>
      </c>
      <c r="S3594" t="s">
        <v>9420</v>
      </c>
      <c r="T3594" t="s">
        <v>11650</v>
      </c>
      <c r="U3594" t="s">
        <v>11650</v>
      </c>
      <c r="V3594" t="s">
        <v>11650</v>
      </c>
      <c r="W3594" t="s">
        <v>15192</v>
      </c>
      <c r="X3594">
        <v>1</v>
      </c>
      <c r="Y3594" t="s">
        <v>20872</v>
      </c>
      <c r="Z3594" t="s">
        <v>26656</v>
      </c>
      <c r="AA3594">
        <v>0.86450849390504914</v>
      </c>
      <c r="AB3594" t="str">
        <f>HYPERLINK("Melting_Curves/meltCurve_Q5VVW5_SLC2A8.pdf", "Melting_Curves/meltCurve_Q5VVW5_SLC2A8.pdf")</f>
        <v>Melting_Curves/meltCurve_Q5VVW5_SLC2A8.pdf</v>
      </c>
    </row>
    <row r="3595" spans="1:28" x14ac:dyDescent="0.25">
      <c r="A3595" t="s">
        <v>3599</v>
      </c>
      <c r="B3595">
        <v>0.99996721820229495</v>
      </c>
      <c r="C3595">
        <v>0.95125699512344897</v>
      </c>
      <c r="D3595">
        <v>0.85324059075245096</v>
      </c>
      <c r="E3595">
        <v>0.53381406049094504</v>
      </c>
      <c r="F3595">
        <v>0.31364910763049803</v>
      </c>
      <c r="G3595">
        <v>0.257475161728353</v>
      </c>
      <c r="H3595">
        <v>0.19038896051882001</v>
      </c>
      <c r="I3595">
        <v>0.12742914069380101</v>
      </c>
      <c r="J3595">
        <v>0.115958592656158</v>
      </c>
      <c r="K3595">
        <v>9.34151208101556E-2</v>
      </c>
      <c r="L3595">
        <v>877.44756451992396</v>
      </c>
      <c r="M3595">
        <v>17.624197956208299</v>
      </c>
      <c r="N3595">
        <v>50.579392816507102</v>
      </c>
      <c r="O3595">
        <v>49.1588135470965</v>
      </c>
      <c r="P3595">
        <v>-7.8815236763162697E-2</v>
      </c>
      <c r="Q3595">
        <v>0.120696259644906</v>
      </c>
      <c r="R3595">
        <v>0.99409790953573896</v>
      </c>
      <c r="S3595" t="s">
        <v>9421</v>
      </c>
      <c r="T3595" t="s">
        <v>11650</v>
      </c>
      <c r="U3595" t="s">
        <v>11650</v>
      </c>
      <c r="V3595" t="s">
        <v>11650</v>
      </c>
      <c r="W3595" t="s">
        <v>15193</v>
      </c>
      <c r="X3595">
        <v>10</v>
      </c>
      <c r="Y3595" t="s">
        <v>20873</v>
      </c>
      <c r="Z3595" t="s">
        <v>26657</v>
      </c>
      <c r="AA3595">
        <v>0.42319842756091991</v>
      </c>
      <c r="AB3595" t="str">
        <f>HYPERLINK("Melting_Curves/meltCurve_Q5VW32_BROX.pdf", "Melting_Curves/meltCurve_Q5VW32_BROX.pdf")</f>
        <v>Melting_Curves/meltCurve_Q5VW32_BROX.pdf</v>
      </c>
    </row>
    <row r="3596" spans="1:28" x14ac:dyDescent="0.25">
      <c r="A3596" t="s">
        <v>3600</v>
      </c>
      <c r="B3596">
        <v>0.99996721820229495</v>
      </c>
      <c r="C3596">
        <v>0.811702879590945</v>
      </c>
      <c r="D3596">
        <v>1.06965666365974</v>
      </c>
      <c r="E3596">
        <v>1.90959933481528</v>
      </c>
      <c r="F3596">
        <v>1.2499070714148</v>
      </c>
      <c r="G3596">
        <v>0.676807585730543</v>
      </c>
      <c r="H3596">
        <v>0.43043736280079298</v>
      </c>
      <c r="I3596">
        <v>0.45055047541372301</v>
      </c>
      <c r="J3596">
        <v>0.18211577814149399</v>
      </c>
      <c r="K3596">
        <v>0.18510248919193201</v>
      </c>
      <c r="L3596">
        <v>2076.63383225708</v>
      </c>
      <c r="M3596">
        <v>35.617359396358601</v>
      </c>
      <c r="N3596">
        <v>59.549704928462198</v>
      </c>
      <c r="O3596">
        <v>58.121105908688499</v>
      </c>
      <c r="P3596">
        <v>-0.11296441538861</v>
      </c>
      <c r="Q3596">
        <v>0.26265226240530298</v>
      </c>
      <c r="R3596">
        <v>0.614575060055637</v>
      </c>
      <c r="S3596" t="s">
        <v>9422</v>
      </c>
      <c r="T3596" t="s">
        <v>11650</v>
      </c>
      <c r="U3596" t="s">
        <v>11650</v>
      </c>
      <c r="V3596" t="s">
        <v>11650</v>
      </c>
      <c r="W3596" t="s">
        <v>15194</v>
      </c>
      <c r="X3596">
        <v>3</v>
      </c>
      <c r="Y3596" t="s">
        <v>20874</v>
      </c>
      <c r="Z3596" t="s">
        <v>26658</v>
      </c>
      <c r="AA3596">
        <v>0.71612786704437992</v>
      </c>
      <c r="AB3596" t="str">
        <f>HYPERLINK("Melting_Curves/meltCurve_Q5VW36_FOCAD.pdf", "Melting_Curves/meltCurve_Q5VW36_FOCAD.pdf")</f>
        <v>Melting_Curves/meltCurve_Q5VW36_FOCAD.pdf</v>
      </c>
    </row>
    <row r="3597" spans="1:28" x14ac:dyDescent="0.25">
      <c r="A3597" t="s">
        <v>3601</v>
      </c>
      <c r="B3597">
        <v>0.99996721820229495</v>
      </c>
      <c r="C3597">
        <v>1.1317484017553101</v>
      </c>
      <c r="D3597">
        <v>1.04704461927675</v>
      </c>
      <c r="E3597">
        <v>1.28157966910985</v>
      </c>
      <c r="F3597">
        <v>1.30639605911985</v>
      </c>
      <c r="G3597">
        <v>3.1077744184243699</v>
      </c>
      <c r="H3597">
        <v>1.8235239278239299</v>
      </c>
      <c r="I3597">
        <v>0.843038557884077</v>
      </c>
      <c r="J3597">
        <v>0.639905672907783</v>
      </c>
      <c r="K3597">
        <v>0.52649872120915198</v>
      </c>
      <c r="L3597">
        <v>15000</v>
      </c>
      <c r="M3597">
        <v>233.870565896317</v>
      </c>
      <c r="O3597">
        <v>64.133354148269902</v>
      </c>
      <c r="P3597">
        <v>-0.379989934093313</v>
      </c>
      <c r="Q3597">
        <v>0.58318777261645305</v>
      </c>
      <c r="R3597">
        <v>-7.2788828734135197E-2</v>
      </c>
      <c r="S3597" t="s">
        <v>9423</v>
      </c>
      <c r="T3597" t="s">
        <v>11650</v>
      </c>
      <c r="U3597" t="s">
        <v>11650</v>
      </c>
      <c r="V3597" t="s">
        <v>11650</v>
      </c>
      <c r="W3597" t="s">
        <v>14225</v>
      </c>
      <c r="X3597">
        <v>12</v>
      </c>
      <c r="Y3597" t="s">
        <v>19937</v>
      </c>
      <c r="Z3597" t="s">
        <v>26659</v>
      </c>
      <c r="AA3597">
        <v>0.91860907695063676</v>
      </c>
      <c r="AB3597" t="str">
        <f>HYPERLINK("Melting_Curves/meltCurve_Q5VWC4_PSMD4.pdf", "Melting_Curves/meltCurve_Q5VWC4_PSMD4.pdf")</f>
        <v>Melting_Curves/meltCurve_Q5VWC4_PSMD4.pdf</v>
      </c>
    </row>
    <row r="3598" spans="1:28" x14ac:dyDescent="0.25">
      <c r="A3598" t="s">
        <v>3602</v>
      </c>
      <c r="B3598">
        <v>0.99996721820229495</v>
      </c>
      <c r="C3598">
        <v>0.90398530851132697</v>
      </c>
      <c r="D3598">
        <v>0.76250801955217395</v>
      </c>
      <c r="E3598">
        <v>0.53017210813122795</v>
      </c>
      <c r="F3598">
        <v>0.315556129798236</v>
      </c>
      <c r="G3598">
        <v>0.29541940655261301</v>
      </c>
      <c r="H3598">
        <v>0.19908543281973301</v>
      </c>
      <c r="I3598">
        <v>0.14216768220422399</v>
      </c>
      <c r="J3598">
        <v>0.11105763190437599</v>
      </c>
      <c r="K3598">
        <v>8.7922674242817703E-2</v>
      </c>
      <c r="L3598">
        <v>655.98109411181997</v>
      </c>
      <c r="M3598">
        <v>13.2220614502489</v>
      </c>
      <c r="N3598">
        <v>50.4495314744211</v>
      </c>
      <c r="O3598">
        <v>48.518955909177897</v>
      </c>
      <c r="P3598">
        <v>-6.1429467552744997E-2</v>
      </c>
      <c r="Q3598">
        <v>9.8476526077853704E-2</v>
      </c>
      <c r="R3598">
        <v>0.99074769281354302</v>
      </c>
      <c r="S3598" t="s">
        <v>9424</v>
      </c>
      <c r="T3598" t="s">
        <v>11650</v>
      </c>
      <c r="U3598" t="s">
        <v>11650</v>
      </c>
      <c r="V3598" t="s">
        <v>11650</v>
      </c>
      <c r="W3598" t="s">
        <v>15195</v>
      </c>
      <c r="X3598">
        <v>11</v>
      </c>
      <c r="Y3598" t="s">
        <v>20875</v>
      </c>
      <c r="Z3598" t="s">
        <v>26660</v>
      </c>
      <c r="AA3598">
        <v>0.41453402319574439</v>
      </c>
      <c r="AB3598" t="str">
        <f>HYPERLINK("Melting_Curves/meltCurve_Q5VWJ9_SNX30.pdf", "Melting_Curves/meltCurve_Q5VWJ9_SNX30.pdf")</f>
        <v>Melting_Curves/meltCurve_Q5VWJ9_SNX30.pdf</v>
      </c>
    </row>
    <row r="3599" spans="1:28" x14ac:dyDescent="0.25">
      <c r="A3599" t="s">
        <v>3603</v>
      </c>
      <c r="B3599">
        <v>0.99996721820229495</v>
      </c>
      <c r="C3599">
        <v>0.652909904025746</v>
      </c>
      <c r="D3599">
        <v>0.58154214657439696</v>
      </c>
      <c r="E3599">
        <v>0.76115775841273203</v>
      </c>
      <c r="F3599">
        <v>0.94926903067524904</v>
      </c>
      <c r="G3599">
        <v>0.68908154336515903</v>
      </c>
      <c r="H3599">
        <v>0.57192026941913199</v>
      </c>
      <c r="I3599">
        <v>0.65929930245388602</v>
      </c>
      <c r="J3599">
        <v>0.51275250642252002</v>
      </c>
      <c r="K3599">
        <v>0.48019858979121099</v>
      </c>
      <c r="L3599">
        <v>148.17444164582699</v>
      </c>
      <c r="M3599">
        <v>1.94374758994182</v>
      </c>
      <c r="O3599">
        <v>44.4804319683629</v>
      </c>
      <c r="P3599">
        <v>-1.19741927644317E-2</v>
      </c>
      <c r="Q3599">
        <v>0</v>
      </c>
      <c r="R3599">
        <v>0.38807092869216597</v>
      </c>
      <c r="S3599" t="s">
        <v>9425</v>
      </c>
      <c r="T3599" t="s">
        <v>11650</v>
      </c>
      <c r="U3599" t="s">
        <v>11650</v>
      </c>
      <c r="V3599" t="s">
        <v>11650</v>
      </c>
      <c r="W3599" t="s">
        <v>15196</v>
      </c>
      <c r="X3599">
        <v>5</v>
      </c>
      <c r="Y3599" t="s">
        <v>20876</v>
      </c>
      <c r="Z3599" t="s">
        <v>26661</v>
      </c>
      <c r="AA3599">
        <v>0.68605689009731763</v>
      </c>
      <c r="AB3599" t="str">
        <f>HYPERLINK("Melting_Curves/meltCurve_Q5VWQ8_2_DAB2IP.pdf", "Melting_Curves/meltCurve_Q5VWQ8_2_DAB2IP.pdf")</f>
        <v>Melting_Curves/meltCurve_Q5VWQ8_2_DAB2IP.pdf</v>
      </c>
    </row>
    <row r="3600" spans="1:28" x14ac:dyDescent="0.25">
      <c r="A3600" t="s">
        <v>3604</v>
      </c>
      <c r="B3600">
        <v>0.99996721820229495</v>
      </c>
      <c r="C3600">
        <v>1.02916815525584</v>
      </c>
      <c r="D3600">
        <v>0.72220272227384796</v>
      </c>
      <c r="E3600">
        <v>0.52822124218080002</v>
      </c>
      <c r="F3600">
        <v>0.61353409599922204</v>
      </c>
      <c r="G3600">
        <v>0.50086254497114502</v>
      </c>
      <c r="H3600">
        <v>0.39750303770182799</v>
      </c>
      <c r="I3600">
        <v>0.33322305060111501</v>
      </c>
      <c r="J3600">
        <v>0.226535016529507</v>
      </c>
      <c r="K3600">
        <v>0.177292985914035</v>
      </c>
      <c r="L3600">
        <v>403.086788582628</v>
      </c>
      <c r="M3600">
        <v>7.4491138808640702</v>
      </c>
      <c r="N3600">
        <v>55.332376435401599</v>
      </c>
      <c r="O3600">
        <v>50.6234301291042</v>
      </c>
      <c r="P3600">
        <v>-3.4050386762080498E-2</v>
      </c>
      <c r="Q3600">
        <v>7.5750750050312607E-2</v>
      </c>
      <c r="R3600">
        <v>0.91980741185107995</v>
      </c>
      <c r="S3600" t="s">
        <v>9426</v>
      </c>
      <c r="T3600" t="s">
        <v>11650</v>
      </c>
      <c r="U3600" t="s">
        <v>11650</v>
      </c>
      <c r="V3600" t="s">
        <v>11650</v>
      </c>
      <c r="W3600" t="s">
        <v>15197</v>
      </c>
      <c r="X3600">
        <v>1</v>
      </c>
      <c r="Y3600" t="s">
        <v>20877</v>
      </c>
      <c r="Z3600" t="s">
        <v>26662</v>
      </c>
      <c r="AA3600">
        <v>0.54210838835453323</v>
      </c>
      <c r="AB3600" t="str">
        <f>HYPERLINK("Melting_Curves/meltCurve_Q5VWU8_PARD3.pdf", "Melting_Curves/meltCurve_Q5VWU8_PARD3.pdf")</f>
        <v>Melting_Curves/meltCurve_Q5VWU8_PARD3.pdf</v>
      </c>
    </row>
    <row r="3601" spans="1:28" x14ac:dyDescent="0.25">
      <c r="A3601" t="s">
        <v>3605</v>
      </c>
      <c r="B3601">
        <v>0.99996721820229495</v>
      </c>
      <c r="C3601">
        <v>1.0214840796934499</v>
      </c>
      <c r="D3601">
        <v>0.95485767967318902</v>
      </c>
      <c r="E3601">
        <v>0.83062674194182395</v>
      </c>
      <c r="F3601">
        <v>0.72999659848785903</v>
      </c>
      <c r="G3601">
        <v>0.347186874176175</v>
      </c>
      <c r="H3601">
        <v>0.199374948350793</v>
      </c>
      <c r="I3601">
        <v>0.13227454103477901</v>
      </c>
      <c r="J3601">
        <v>9.0959265128747899E-2</v>
      </c>
      <c r="K3601">
        <v>7.7759738841468001E-2</v>
      </c>
      <c r="L3601">
        <v>1010.04150250488</v>
      </c>
      <c r="M3601">
        <v>18.387194482880702</v>
      </c>
      <c r="N3601">
        <v>55.321455312603902</v>
      </c>
      <c r="O3601">
        <v>54.294429887219103</v>
      </c>
      <c r="P3601">
        <v>-7.9525536707539604E-2</v>
      </c>
      <c r="Q3601">
        <v>6.0738419823212E-2</v>
      </c>
      <c r="R3601">
        <v>0.99593736139779099</v>
      </c>
      <c r="S3601" t="s">
        <v>9427</v>
      </c>
      <c r="T3601" t="s">
        <v>11650</v>
      </c>
      <c r="U3601" t="s">
        <v>11650</v>
      </c>
      <c r="V3601" t="s">
        <v>11650</v>
      </c>
      <c r="W3601" t="s">
        <v>15198</v>
      </c>
      <c r="X3601">
        <v>7</v>
      </c>
      <c r="Y3601" t="s">
        <v>20878</v>
      </c>
      <c r="Z3601" t="s">
        <v>26663</v>
      </c>
      <c r="AA3601">
        <v>0.54238372184961403</v>
      </c>
      <c r="AB3601" t="str">
        <f>HYPERLINK("Melting_Curves/meltCurve_Q5VWZ2_LYPLAL1.pdf", "Melting_Curves/meltCurve_Q5VWZ2_LYPLAL1.pdf")</f>
        <v>Melting_Curves/meltCurve_Q5VWZ2_LYPLAL1.pdf</v>
      </c>
    </row>
    <row r="3602" spans="1:28" x14ac:dyDescent="0.25">
      <c r="A3602" t="s">
        <v>3606</v>
      </c>
      <c r="B3602">
        <v>0.99996721820229495</v>
      </c>
      <c r="C3602">
        <v>0.90822882344350997</v>
      </c>
      <c r="D3602">
        <v>0.90986688340465705</v>
      </c>
      <c r="E3602">
        <v>0.97816799371494401</v>
      </c>
      <c r="F3602">
        <v>1.3793512843592499</v>
      </c>
      <c r="G3602">
        <v>1.41482255614182</v>
      </c>
      <c r="H3602">
        <v>1.04693742771482</v>
      </c>
      <c r="I3602">
        <v>0.89999642213831399</v>
      </c>
      <c r="J3602">
        <v>0.804003695428259</v>
      </c>
      <c r="K3602">
        <v>0.837166938209011</v>
      </c>
      <c r="L3602">
        <v>15000</v>
      </c>
      <c r="M3602">
        <v>234.60552575928801</v>
      </c>
      <c r="O3602">
        <v>63.932466910871398</v>
      </c>
      <c r="P3602">
        <v>-0.16459589203265099</v>
      </c>
      <c r="Q3602">
        <v>0.82058357121551895</v>
      </c>
      <c r="R3602">
        <v>0.17494127217970101</v>
      </c>
      <c r="S3602" t="s">
        <v>9428</v>
      </c>
      <c r="T3602" t="s">
        <v>11650</v>
      </c>
      <c r="U3602" t="s">
        <v>11650</v>
      </c>
      <c r="V3602" t="s">
        <v>11650</v>
      </c>
      <c r="W3602" t="s">
        <v>15199</v>
      </c>
      <c r="X3602">
        <v>7</v>
      </c>
      <c r="Y3602" t="s">
        <v>20879</v>
      </c>
      <c r="Z3602" t="s">
        <v>26664</v>
      </c>
      <c r="AA3602">
        <v>0.96376347678200669</v>
      </c>
      <c r="AB3602" t="str">
        <f>HYPERLINK("Melting_Curves/meltCurve_Q5VY43_PEAR1.pdf", "Melting_Curves/meltCurve_Q5VY43_PEAR1.pdf")</f>
        <v>Melting_Curves/meltCurve_Q5VY43_PEAR1.pdf</v>
      </c>
    </row>
    <row r="3603" spans="1:28" x14ac:dyDescent="0.25">
      <c r="A3603" t="s">
        <v>3607</v>
      </c>
      <c r="B3603">
        <v>0.99996721820229495</v>
      </c>
      <c r="C3603">
        <v>0.92032238967268298</v>
      </c>
      <c r="D3603">
        <v>1.1712582900811299</v>
      </c>
      <c r="E3603">
        <v>1.0695870936784799</v>
      </c>
      <c r="F3603">
        <v>0.56064807534170202</v>
      </c>
      <c r="G3603">
        <v>0.26981890190817698</v>
      </c>
      <c r="H3603">
        <v>0.150526640813782</v>
      </c>
      <c r="I3603">
        <v>0.11337626625356401</v>
      </c>
      <c r="J3603">
        <v>6.6675431662701207E-2</v>
      </c>
      <c r="K3603">
        <v>5.1166506113142898E-2</v>
      </c>
      <c r="L3603">
        <v>2207.5399005414802</v>
      </c>
      <c r="M3603">
        <v>41.388023549679403</v>
      </c>
      <c r="N3603">
        <v>53.669809794384598</v>
      </c>
      <c r="O3603">
        <v>53.213583607539803</v>
      </c>
      <c r="P3603">
        <v>-0.17247378294169499</v>
      </c>
      <c r="Q3603">
        <v>0.112986760984884</v>
      </c>
      <c r="R3603">
        <v>0.96285802095578099</v>
      </c>
      <c r="S3603" t="s">
        <v>9429</v>
      </c>
      <c r="T3603" t="s">
        <v>11650</v>
      </c>
      <c r="U3603" t="s">
        <v>11650</v>
      </c>
      <c r="V3603" t="s">
        <v>11650</v>
      </c>
      <c r="W3603" t="s">
        <v>15200</v>
      </c>
      <c r="X3603">
        <v>2</v>
      </c>
      <c r="Y3603" t="s">
        <v>20880</v>
      </c>
      <c r="Z3603" t="s">
        <v>26665</v>
      </c>
      <c r="AA3603">
        <v>0.51039251193542212</v>
      </c>
      <c r="AB3603" t="str">
        <f>HYPERLINK("Melting_Curves/meltCurve_Q5VYS8_2_ZCCHC6.pdf", "Melting_Curves/meltCurve_Q5VYS8_2_ZCCHC6.pdf")</f>
        <v>Melting_Curves/meltCurve_Q5VYS8_2_ZCCHC6.pdf</v>
      </c>
    </row>
    <row r="3604" spans="1:28" x14ac:dyDescent="0.25">
      <c r="A3604" t="s">
        <v>3608</v>
      </c>
      <c r="B3604">
        <v>0.99996721820229495</v>
      </c>
      <c r="C3604">
        <v>0.99676673942017502</v>
      </c>
      <c r="D3604">
        <v>0.96967710299630305</v>
      </c>
      <c r="E3604">
        <v>0.91601452649785298</v>
      </c>
      <c r="F3604">
        <v>1.1398881175997899</v>
      </c>
      <c r="G3604">
        <v>0.79606963761488303</v>
      </c>
      <c r="H3604">
        <v>0.34141145858616301</v>
      </c>
      <c r="I3604">
        <v>0.21228173235987799</v>
      </c>
      <c r="J3604">
        <v>0.12608206921308601</v>
      </c>
      <c r="K3604">
        <v>0.13668163795736801</v>
      </c>
      <c r="L3604">
        <v>2189.6363001157401</v>
      </c>
      <c r="M3604">
        <v>37.0919727748824</v>
      </c>
      <c r="N3604">
        <v>59.552317966563301</v>
      </c>
      <c r="O3604">
        <v>58.861817479175897</v>
      </c>
      <c r="P3604">
        <v>-0.13575691310044</v>
      </c>
      <c r="Q3604">
        <v>0.13826355894450601</v>
      </c>
      <c r="R3604">
        <v>0.97809626606353794</v>
      </c>
      <c r="S3604" t="s">
        <v>9430</v>
      </c>
      <c r="T3604" t="s">
        <v>11650</v>
      </c>
      <c r="U3604" t="s">
        <v>11650</v>
      </c>
      <c r="V3604" t="s">
        <v>11650</v>
      </c>
      <c r="W3604" t="s">
        <v>15201</v>
      </c>
      <c r="X3604">
        <v>6</v>
      </c>
      <c r="Y3604" t="s">
        <v>20881</v>
      </c>
      <c r="Z3604" t="s">
        <v>26666</v>
      </c>
      <c r="AA3604">
        <v>0.68885761539396406</v>
      </c>
      <c r="AB3604" t="str">
        <f>HYPERLINK("Melting_Curves/meltCurve_Q5VYX0_2_RNLS.pdf", "Melting_Curves/meltCurve_Q5VYX0_2_RNLS.pdf")</f>
        <v>Melting_Curves/meltCurve_Q5VYX0_2_RNLS.pdf</v>
      </c>
    </row>
    <row r="3605" spans="1:28" x14ac:dyDescent="0.25">
      <c r="A3605" t="s">
        <v>3609</v>
      </c>
      <c r="B3605">
        <v>0.99996721820229495</v>
      </c>
      <c r="C3605">
        <v>0.93152863856317203</v>
      </c>
      <c r="D3605">
        <v>0.94144448843519601</v>
      </c>
      <c r="E3605">
        <v>0.92364119444417403</v>
      </c>
      <c r="F3605">
        <v>0.31266688383454699</v>
      </c>
      <c r="G3605">
        <v>0.31355564510802603</v>
      </c>
      <c r="H3605">
        <v>0.16031483177202199</v>
      </c>
      <c r="I3605">
        <v>9.2895686064244101E-2</v>
      </c>
      <c r="J3605">
        <v>6.2672785491120805E-2</v>
      </c>
      <c r="K3605">
        <v>5.9806344759853802E-2</v>
      </c>
      <c r="L3605">
        <v>3050.3745200865101</v>
      </c>
      <c r="M3605">
        <v>58.831701292549702</v>
      </c>
      <c r="N3605">
        <v>52.128745610619703</v>
      </c>
      <c r="O3605">
        <v>51.789333117135797</v>
      </c>
      <c r="P3605">
        <v>-0.24557083866218599</v>
      </c>
      <c r="Q3605">
        <v>0.13529949588524201</v>
      </c>
      <c r="R3605">
        <v>0.96628665312391304</v>
      </c>
      <c r="S3605" t="s">
        <v>9431</v>
      </c>
      <c r="T3605" t="s">
        <v>11650</v>
      </c>
      <c r="U3605" t="s">
        <v>11650</v>
      </c>
      <c r="V3605" t="s">
        <v>11650</v>
      </c>
      <c r="W3605" t="s">
        <v>15202</v>
      </c>
      <c r="X3605">
        <v>4</v>
      </c>
      <c r="Y3605" t="s">
        <v>20882</v>
      </c>
      <c r="Z3605" t="s">
        <v>26667</v>
      </c>
      <c r="AA3605">
        <v>0.47825830831836719</v>
      </c>
      <c r="AB3605" t="str">
        <f>HYPERLINK("Melting_Curves/meltCurve_Q5VZE5_NAA35.pdf", "Melting_Curves/meltCurve_Q5VZE5_NAA35.pdf")</f>
        <v>Melting_Curves/meltCurve_Q5VZE5_NAA35.pdf</v>
      </c>
    </row>
    <row r="3606" spans="1:28" x14ac:dyDescent="0.25">
      <c r="A3606" t="s">
        <v>3610</v>
      </c>
      <c r="B3606">
        <v>0.99996721820229495</v>
      </c>
      <c r="C3606">
        <v>1.0593134018814101</v>
      </c>
      <c r="D3606">
        <v>1.05614390846405</v>
      </c>
      <c r="E3606">
        <v>1.05594643212038</v>
      </c>
      <c r="F3606">
        <v>1.4631992998990899</v>
      </c>
      <c r="G3606">
        <v>1.4928269674449299</v>
      </c>
      <c r="H3606">
        <v>0.91018261725350402</v>
      </c>
      <c r="I3606">
        <v>0.65408689176989199</v>
      </c>
      <c r="J3606">
        <v>0.46940193409860997</v>
      </c>
      <c r="K3606">
        <v>0.329121719823814</v>
      </c>
      <c r="L3606">
        <v>2874.1487402994298</v>
      </c>
      <c r="M3606">
        <v>44.936809748804698</v>
      </c>
      <c r="N3606">
        <v>65.707883883224994</v>
      </c>
      <c r="O3606">
        <v>63.833508391511401</v>
      </c>
      <c r="P3606">
        <v>-0.11461960892497999</v>
      </c>
      <c r="Q3606">
        <v>0.34872438729495298</v>
      </c>
      <c r="R3606">
        <v>0.63561345007514702</v>
      </c>
      <c r="S3606" t="s">
        <v>9432</v>
      </c>
      <c r="T3606" t="s">
        <v>11650</v>
      </c>
      <c r="U3606" t="s">
        <v>11650</v>
      </c>
      <c r="V3606" t="s">
        <v>11650</v>
      </c>
      <c r="W3606" t="s">
        <v>15203</v>
      </c>
      <c r="X3606">
        <v>1</v>
      </c>
      <c r="Y3606" t="s">
        <v>20883</v>
      </c>
      <c r="Z3606" t="s">
        <v>26668</v>
      </c>
      <c r="AA3606">
        <v>0.87035124092843008</v>
      </c>
      <c r="AB3606" t="str">
        <f>HYPERLINK("Melting_Curves/meltCurve_Q5VZI3_2_C9orf91.pdf", "Melting_Curves/meltCurve_Q5VZI3_2_C9orf91.pdf")</f>
        <v>Melting_Curves/meltCurve_Q5VZI3_2_C9orf91.pdf</v>
      </c>
    </row>
    <row r="3607" spans="1:28" x14ac:dyDescent="0.25">
      <c r="A3607" t="s">
        <v>3611</v>
      </c>
      <c r="B3607">
        <v>0.99996721820229495</v>
      </c>
      <c r="C3607">
        <v>0.95223826759530505</v>
      </c>
      <c r="D3607">
        <v>0.94560980964868502</v>
      </c>
      <c r="E3607">
        <v>1.0448105882673699</v>
      </c>
      <c r="F3607">
        <v>1.27500726713132</v>
      </c>
      <c r="G3607">
        <v>1.11189419242763</v>
      </c>
      <c r="H3607">
        <v>0.71040958533820797</v>
      </c>
      <c r="I3607">
        <v>0.57191287207794606</v>
      </c>
      <c r="J3607">
        <v>0.52592725383586703</v>
      </c>
      <c r="K3607">
        <v>0.41438969407990001</v>
      </c>
      <c r="L3607">
        <v>3898.7030648227901</v>
      </c>
      <c r="M3607">
        <v>64.077814811062893</v>
      </c>
      <c r="N3607">
        <v>65.285904485174896</v>
      </c>
      <c r="O3607">
        <v>60.784081908872899</v>
      </c>
      <c r="P3607">
        <v>-0.13345658861849999</v>
      </c>
      <c r="Q3607">
        <v>0.49361359107637198</v>
      </c>
      <c r="R3607">
        <v>0.85043702257169895</v>
      </c>
      <c r="S3607" t="s">
        <v>9433</v>
      </c>
      <c r="T3607" t="s">
        <v>11650</v>
      </c>
      <c r="U3607" t="s">
        <v>11650</v>
      </c>
      <c r="V3607" t="s">
        <v>11650</v>
      </c>
      <c r="W3607" t="s">
        <v>15204</v>
      </c>
      <c r="X3607">
        <v>8</v>
      </c>
      <c r="Y3607" t="s">
        <v>20884</v>
      </c>
      <c r="Z3607" t="s">
        <v>26669</v>
      </c>
      <c r="AA3607">
        <v>0.84625898493660379</v>
      </c>
      <c r="AB3607" t="str">
        <f>HYPERLINK("Melting_Curves/meltCurve_Q5VZK9_LRRC16A.pdf", "Melting_Curves/meltCurve_Q5VZK9_LRRC16A.pdf")</f>
        <v>Melting_Curves/meltCurve_Q5VZK9_LRRC16A.pdf</v>
      </c>
    </row>
    <row r="3608" spans="1:28" x14ac:dyDescent="0.25">
      <c r="A3608" t="s">
        <v>3612</v>
      </c>
      <c r="B3608">
        <v>0.99996721820229495</v>
      </c>
      <c r="C3608">
        <v>1.19573292549503</v>
      </c>
      <c r="D3608">
        <v>1.1942375168394499</v>
      </c>
      <c r="E3608">
        <v>1.0507152338655701</v>
      </c>
      <c r="F3608">
        <v>0.82890609645479096</v>
      </c>
      <c r="G3608">
        <v>0.54759100099309899</v>
      </c>
      <c r="H3608">
        <v>0.28116017190553499</v>
      </c>
      <c r="I3608">
        <v>0.14538922645240901</v>
      </c>
      <c r="J3608">
        <v>0</v>
      </c>
      <c r="K3608">
        <v>2.8337546934026101E-2</v>
      </c>
      <c r="L3608">
        <v>1212.4269427491799</v>
      </c>
      <c r="M3608">
        <v>20.979859597077301</v>
      </c>
      <c r="N3608">
        <v>57.790045058774197</v>
      </c>
      <c r="O3608">
        <v>57.272679742970801</v>
      </c>
      <c r="P3608">
        <v>-9.1581295839574695E-2</v>
      </c>
      <c r="Q3608">
        <v>0</v>
      </c>
      <c r="R3608">
        <v>0.95612916272011195</v>
      </c>
      <c r="S3608" t="s">
        <v>9434</v>
      </c>
      <c r="T3608" t="s">
        <v>11650</v>
      </c>
      <c r="U3608" t="s">
        <v>11650</v>
      </c>
      <c r="V3608" t="s">
        <v>11650</v>
      </c>
      <c r="W3608" t="s">
        <v>15205</v>
      </c>
      <c r="X3608">
        <v>2</v>
      </c>
      <c r="Y3608" t="s">
        <v>20885</v>
      </c>
      <c r="Z3608" t="s">
        <v>26670</v>
      </c>
      <c r="AA3608">
        <v>0.60397741216572409</v>
      </c>
      <c r="AB3608" t="str">
        <f>HYPERLINK("Melting_Curves/meltCurve_Q5VZZ6_CELF2.pdf", "Melting_Curves/meltCurve_Q5VZZ6_CELF2.pdf")</f>
        <v>Melting_Curves/meltCurve_Q5VZZ6_CELF2.pdf</v>
      </c>
    </row>
    <row r="3609" spans="1:28" x14ac:dyDescent="0.25">
      <c r="A3609" t="s">
        <v>3613</v>
      </c>
      <c r="B3609">
        <v>0.99996721820229495</v>
      </c>
      <c r="C3609">
        <v>0.86341896879166802</v>
      </c>
      <c r="D3609">
        <v>0.89734718878608</v>
      </c>
      <c r="E3609">
        <v>0.88694127840261106</v>
      </c>
      <c r="F3609">
        <v>0.908391470467656</v>
      </c>
      <c r="G3609">
        <v>0.66763355680360903</v>
      </c>
      <c r="H3609">
        <v>0.43016818419091002</v>
      </c>
      <c r="I3609">
        <v>0.31813133438887098</v>
      </c>
      <c r="J3609">
        <v>0.18415527947691401</v>
      </c>
      <c r="K3609">
        <v>0.16284873478942799</v>
      </c>
      <c r="L3609">
        <v>756.97573527364398</v>
      </c>
      <c r="M3609">
        <v>12.6150957666846</v>
      </c>
      <c r="N3609">
        <v>60.005548142968401</v>
      </c>
      <c r="O3609">
        <v>58.557591751243699</v>
      </c>
      <c r="P3609">
        <v>-5.3868338952746897E-2</v>
      </c>
      <c r="Q3609">
        <v>0</v>
      </c>
      <c r="R3609">
        <v>0.96754136507581001</v>
      </c>
      <c r="S3609" t="s">
        <v>9435</v>
      </c>
      <c r="T3609" t="s">
        <v>11650</v>
      </c>
      <c r="U3609" t="s">
        <v>11650</v>
      </c>
      <c r="V3609" t="s">
        <v>11650</v>
      </c>
      <c r="W3609" t="s">
        <v>15206</v>
      </c>
      <c r="X3609">
        <v>5</v>
      </c>
      <c r="Y3609" t="s">
        <v>20886</v>
      </c>
      <c r="Z3609" t="s">
        <v>26671</v>
      </c>
      <c r="AA3609">
        <v>0.67050225559024568</v>
      </c>
      <c r="AB3609" t="str">
        <f>HYPERLINK("Melting_Curves/meltCurve_Q5W0A2_ITM2B.pdf", "Melting_Curves/meltCurve_Q5W0A2_ITM2B.pdf")</f>
        <v>Melting_Curves/meltCurve_Q5W0A2_ITM2B.pdf</v>
      </c>
    </row>
    <row r="3610" spans="1:28" x14ac:dyDescent="0.25">
      <c r="A3610" t="s">
        <v>3614</v>
      </c>
      <c r="B3610">
        <v>0.99996721820229495</v>
      </c>
      <c r="C3610">
        <v>1.0180864036792601</v>
      </c>
      <c r="D3610">
        <v>1.03003747765482</v>
      </c>
      <c r="E3610">
        <v>1.0864212353203599</v>
      </c>
      <c r="F3610">
        <v>0.92934669197231101</v>
      </c>
      <c r="G3610">
        <v>0.52154597343988296</v>
      </c>
      <c r="H3610">
        <v>0.23053512027513801</v>
      </c>
      <c r="I3610">
        <v>0.139711684638681</v>
      </c>
      <c r="J3610">
        <v>9.83622764636186E-2</v>
      </c>
      <c r="K3610">
        <v>7.5375279766112399E-2</v>
      </c>
      <c r="L3610">
        <v>1784.3034618787599</v>
      </c>
      <c r="M3610">
        <v>31.329765690050301</v>
      </c>
      <c r="N3610">
        <v>57.352211760997598</v>
      </c>
      <c r="O3610">
        <v>56.721815089101</v>
      </c>
      <c r="P3610">
        <v>-0.12453780521107401</v>
      </c>
      <c r="Q3610">
        <v>9.8113723102971298E-2</v>
      </c>
      <c r="R3610">
        <v>0.99236937372790801</v>
      </c>
      <c r="S3610" t="s">
        <v>9436</v>
      </c>
      <c r="T3610" t="s">
        <v>11650</v>
      </c>
      <c r="U3610" t="s">
        <v>11650</v>
      </c>
      <c r="V3610" t="s">
        <v>11650</v>
      </c>
      <c r="W3610" t="s">
        <v>15207</v>
      </c>
      <c r="X3610">
        <v>13</v>
      </c>
      <c r="Y3610" t="s">
        <v>20887</v>
      </c>
      <c r="Z3610" t="s">
        <v>26672</v>
      </c>
      <c r="AA3610">
        <v>0.61331061883245241</v>
      </c>
      <c r="AB3610" t="str">
        <f>HYPERLINK("Melting_Curves/meltCurve_Q5W0V3_FAM160B1.pdf", "Melting_Curves/meltCurve_Q5W0V3_FAM160B1.pdf")</f>
        <v>Melting_Curves/meltCurve_Q5W0V3_FAM160B1.pdf</v>
      </c>
    </row>
    <row r="3611" spans="1:28" x14ac:dyDescent="0.25">
      <c r="A3611" t="s">
        <v>3615</v>
      </c>
      <c r="B3611">
        <v>0.99996721820229495</v>
      </c>
      <c r="C3611">
        <v>0.76199016513186701</v>
      </c>
      <c r="D3611">
        <v>0.82821592056489202</v>
      </c>
      <c r="E3611">
        <v>0.839712184892906</v>
      </c>
      <c r="F3611">
        <v>0.83244863172708305</v>
      </c>
      <c r="G3611">
        <v>0.385066080729768</v>
      </c>
      <c r="H3611">
        <v>0.183838243319256</v>
      </c>
      <c r="I3611">
        <v>0.148088313076188</v>
      </c>
      <c r="J3611">
        <v>0.12907560525449999</v>
      </c>
      <c r="K3611">
        <v>0.110190861980647</v>
      </c>
      <c r="L3611">
        <v>1015.24115467837</v>
      </c>
      <c r="M3611">
        <v>18.303311449316698</v>
      </c>
      <c r="N3611">
        <v>55.951771555504202</v>
      </c>
      <c r="O3611">
        <v>54.818223839861503</v>
      </c>
      <c r="P3611">
        <v>-7.7363058338556501E-2</v>
      </c>
      <c r="Q3611">
        <v>7.3236578267395297E-2</v>
      </c>
      <c r="R3611">
        <v>0.91871140923444194</v>
      </c>
      <c r="S3611" t="s">
        <v>9437</v>
      </c>
      <c r="T3611" t="s">
        <v>11650</v>
      </c>
      <c r="U3611" t="s">
        <v>11650</v>
      </c>
      <c r="V3611" t="s">
        <v>11650</v>
      </c>
      <c r="W3611" t="s">
        <v>15208</v>
      </c>
      <c r="X3611">
        <v>7</v>
      </c>
      <c r="Y3611" t="s">
        <v>20888</v>
      </c>
      <c r="Z3611" t="s">
        <v>26673</v>
      </c>
      <c r="AA3611">
        <v>0.5648089706733781</v>
      </c>
      <c r="AB3611" t="str">
        <f>HYPERLINK("Melting_Curves/meltCurve_Q5W111_SPRYD7.pdf", "Melting_Curves/meltCurve_Q5W111_SPRYD7.pdf")</f>
        <v>Melting_Curves/meltCurve_Q5W111_SPRYD7.pdf</v>
      </c>
    </row>
    <row r="3612" spans="1:28" x14ac:dyDescent="0.25">
      <c r="A3612" t="s">
        <v>3616</v>
      </c>
      <c r="B3612">
        <v>0.99996721820229495</v>
      </c>
      <c r="C3612">
        <v>0.98950507932342602</v>
      </c>
      <c r="D3612">
        <v>1.0651474990652801</v>
      </c>
      <c r="E3612">
        <v>1.25944579088116</v>
      </c>
      <c r="F3612">
        <v>1.75278336302698</v>
      </c>
      <c r="G3612">
        <v>3.6265087328891101</v>
      </c>
      <c r="H3612">
        <v>4.1524016093680203</v>
      </c>
      <c r="I3612">
        <v>2.5505481081022601</v>
      </c>
      <c r="J3612">
        <v>2.1156752700359598</v>
      </c>
      <c r="K3612">
        <v>1.2267364050601699</v>
      </c>
      <c r="S3612" t="s">
        <v>9438</v>
      </c>
      <c r="T3612" t="s">
        <v>11650</v>
      </c>
      <c r="U3612" t="s">
        <v>11651</v>
      </c>
      <c r="V3612" t="s">
        <v>11650</v>
      </c>
      <c r="W3612" t="s">
        <v>15209</v>
      </c>
      <c r="X3612">
        <v>3</v>
      </c>
      <c r="Y3612" t="s">
        <v>20889</v>
      </c>
      <c r="Z3612" t="s">
        <v>26674</v>
      </c>
      <c r="AB3612" t="str">
        <f>HYPERLINK("Melting_Curves/meltCurve_Q5W145_NDUFB8.pdf", "Melting_Curves/meltCurve_Q5W145_NDUFB8.pdf")</f>
        <v>Melting_Curves/meltCurve_Q5W145_NDUFB8.pdf</v>
      </c>
    </row>
    <row r="3613" spans="1:28" x14ac:dyDescent="0.25">
      <c r="A3613" t="s">
        <v>3617</v>
      </c>
      <c r="B3613">
        <v>0.99996721820229495</v>
      </c>
      <c r="C3613">
        <v>1.00989063787178</v>
      </c>
      <c r="D3613">
        <v>1.0793928393063299</v>
      </c>
      <c r="E3613">
        <v>1.1158706820717501</v>
      </c>
      <c r="F3613">
        <v>1.2459651034407699</v>
      </c>
      <c r="G3613">
        <v>1.5753614770839299</v>
      </c>
      <c r="H3613">
        <v>0.99035919018171403</v>
      </c>
      <c r="I3613">
        <v>0.74577823127725495</v>
      </c>
      <c r="J3613">
        <v>0.63993388184716105</v>
      </c>
      <c r="K3613">
        <v>0.37168579791335599</v>
      </c>
      <c r="L3613">
        <v>2196.2999863963701</v>
      </c>
      <c r="M3613">
        <v>33.139036519745098</v>
      </c>
      <c r="N3613">
        <v>68.046385804772399</v>
      </c>
      <c r="O3613">
        <v>66.035372130445694</v>
      </c>
      <c r="P3613">
        <v>-8.9207942513061897E-2</v>
      </c>
      <c r="Q3613">
        <v>0.28895293241657199</v>
      </c>
      <c r="R3613">
        <v>0.57061536057670603</v>
      </c>
      <c r="S3613" t="s">
        <v>9439</v>
      </c>
      <c r="T3613" t="s">
        <v>11650</v>
      </c>
      <c r="U3613" t="s">
        <v>11650</v>
      </c>
      <c r="V3613" t="s">
        <v>11650</v>
      </c>
      <c r="W3613" t="s">
        <v>15210</v>
      </c>
      <c r="X3613">
        <v>2</v>
      </c>
      <c r="Y3613" t="s">
        <v>20890</v>
      </c>
      <c r="Z3613" t="s">
        <v>26675</v>
      </c>
      <c r="AA3613">
        <v>0.90749958347176296</v>
      </c>
      <c r="AB3613" t="str">
        <f>HYPERLINK("Melting_Curves/meltCurve_Q5XKP0_QIL1.pdf", "Melting_Curves/meltCurve_Q5XKP0_QIL1.pdf")</f>
        <v>Melting_Curves/meltCurve_Q5XKP0_QIL1.pdf</v>
      </c>
    </row>
    <row r="3614" spans="1:28" x14ac:dyDescent="0.25">
      <c r="A3614" t="s">
        <v>3618</v>
      </c>
      <c r="B3614">
        <v>0.99996721820229495</v>
      </c>
      <c r="C3614">
        <v>0.92230829177962803</v>
      </c>
      <c r="D3614">
        <v>1.04555043340371</v>
      </c>
      <c r="E3614">
        <v>0.91560252533348896</v>
      </c>
      <c r="F3614">
        <v>0.46749665138622198</v>
      </c>
      <c r="G3614">
        <v>0.39608514791732702</v>
      </c>
      <c r="H3614">
        <v>0.262232806086792</v>
      </c>
      <c r="I3614">
        <v>0.17351030808532</v>
      </c>
      <c r="J3614">
        <v>0.12481623606964599</v>
      </c>
      <c r="K3614">
        <v>0.109010678275914</v>
      </c>
      <c r="L3614">
        <v>1104.03704290003</v>
      </c>
      <c r="M3614">
        <v>20.722552896350901</v>
      </c>
      <c r="N3614">
        <v>54.180117102062802</v>
      </c>
      <c r="O3614">
        <v>52.788392311434897</v>
      </c>
      <c r="P3614">
        <v>-8.3811081747316496E-2</v>
      </c>
      <c r="Q3614">
        <v>0.14602681190889399</v>
      </c>
      <c r="R3614">
        <v>0.96465705089834897</v>
      </c>
      <c r="S3614" t="s">
        <v>9440</v>
      </c>
      <c r="T3614" t="s">
        <v>11650</v>
      </c>
      <c r="U3614" t="s">
        <v>11650</v>
      </c>
      <c r="V3614" t="s">
        <v>11650</v>
      </c>
      <c r="W3614" t="s">
        <v>15211</v>
      </c>
      <c r="X3614">
        <v>5</v>
      </c>
      <c r="Y3614" t="s">
        <v>20891</v>
      </c>
      <c r="Z3614" t="s">
        <v>26676</v>
      </c>
      <c r="AA3614">
        <v>0.534998637964607</v>
      </c>
      <c r="AB3614" t="str">
        <f>HYPERLINK("Melting_Curves/meltCurve_Q5XPI4_RNF123.pdf", "Melting_Curves/meltCurve_Q5XPI4_RNF123.pdf")</f>
        <v>Melting_Curves/meltCurve_Q5XPI4_RNF123.pdf</v>
      </c>
    </row>
    <row r="3615" spans="1:28" x14ac:dyDescent="0.25">
      <c r="A3615" t="s">
        <v>3619</v>
      </c>
      <c r="B3615">
        <v>0.99996721820229495</v>
      </c>
      <c r="C3615">
        <v>0.99685594346015605</v>
      </c>
      <c r="D3615">
        <v>1.00646232765504</v>
      </c>
      <c r="E3615">
        <v>0.92156369907147495</v>
      </c>
      <c r="F3615">
        <v>0.84260326693891097</v>
      </c>
      <c r="G3615">
        <v>0.45347807205676999</v>
      </c>
      <c r="H3615">
        <v>0.159126200839559</v>
      </c>
      <c r="I3615">
        <v>0.12033344364165199</v>
      </c>
      <c r="J3615">
        <v>5.3941089771829397E-2</v>
      </c>
      <c r="K3615">
        <v>0.106783753432387</v>
      </c>
      <c r="L3615">
        <v>1438.0332727683799</v>
      </c>
      <c r="M3615">
        <v>25.615875638173801</v>
      </c>
      <c r="N3615">
        <v>56.472357950526799</v>
      </c>
      <c r="O3615">
        <v>55.7995745925205</v>
      </c>
      <c r="P3615">
        <v>-0.106701153568788</v>
      </c>
      <c r="Q3615">
        <v>7.0294211730031406E-2</v>
      </c>
      <c r="R3615">
        <v>0.99740584151135603</v>
      </c>
      <c r="S3615" t="s">
        <v>9441</v>
      </c>
      <c r="T3615" t="s">
        <v>11650</v>
      </c>
      <c r="U3615" t="s">
        <v>11650</v>
      </c>
      <c r="V3615" t="s">
        <v>11650</v>
      </c>
      <c r="W3615" t="s">
        <v>15212</v>
      </c>
      <c r="X3615">
        <v>1</v>
      </c>
      <c r="Y3615" t="s">
        <v>20892</v>
      </c>
      <c r="Z3615" t="s">
        <v>26677</v>
      </c>
      <c r="AA3615">
        <v>0.57860619859294127</v>
      </c>
      <c r="AB3615" t="str">
        <f>HYPERLINK("Melting_Curves/meltCurve_Q5XUX1_3_FBXW9.pdf", "Melting_Curves/meltCurve_Q5XUX1_3_FBXW9.pdf")</f>
        <v>Melting_Curves/meltCurve_Q5XUX1_3_FBXW9.pdf</v>
      </c>
    </row>
    <row r="3616" spans="1:28" x14ac:dyDescent="0.25">
      <c r="A3616" t="s">
        <v>3620</v>
      </c>
      <c r="B3616">
        <v>0.99996721820229495</v>
      </c>
      <c r="C3616">
        <v>1.00702479606535</v>
      </c>
      <c r="D3616">
        <v>1.13648122920721</v>
      </c>
      <c r="E3616">
        <v>1.1925538645991101</v>
      </c>
      <c r="F3616">
        <v>1.5406457755290199</v>
      </c>
      <c r="G3616">
        <v>1.7179964063648401</v>
      </c>
      <c r="H3616">
        <v>1.29609031231114</v>
      </c>
      <c r="I3616">
        <v>0.79726360785259998</v>
      </c>
      <c r="J3616">
        <v>0.45752701720948802</v>
      </c>
      <c r="K3616">
        <v>0.56352366688637001</v>
      </c>
      <c r="L3616">
        <v>15000</v>
      </c>
      <c r="M3616">
        <v>234.02831094359601</v>
      </c>
      <c r="O3616">
        <v>64.090128961180596</v>
      </c>
      <c r="P3616">
        <v>-0.44684215056202897</v>
      </c>
      <c r="Q3616">
        <v>0.51051783629372804</v>
      </c>
      <c r="R3616">
        <v>0.32938974574542201</v>
      </c>
      <c r="S3616" t="s">
        <v>9442</v>
      </c>
      <c r="T3616" t="s">
        <v>11650</v>
      </c>
      <c r="U3616" t="s">
        <v>11650</v>
      </c>
      <c r="V3616" t="s">
        <v>11650</v>
      </c>
      <c r="W3616" t="s">
        <v>15213</v>
      </c>
      <c r="X3616">
        <v>7</v>
      </c>
      <c r="Y3616" t="s">
        <v>20893</v>
      </c>
      <c r="Z3616" t="s">
        <v>26678</v>
      </c>
      <c r="AA3616">
        <v>0.90371331864690718</v>
      </c>
      <c r="AB3616" t="str">
        <f>HYPERLINK("Melting_Curves/meltCurve_Q5ZPR3_CD276.pdf", "Melting_Curves/meltCurve_Q5ZPR3_CD276.pdf")</f>
        <v>Melting_Curves/meltCurve_Q5ZPR3_CD276.pdf</v>
      </c>
    </row>
    <row r="3617" spans="1:28" x14ac:dyDescent="0.25">
      <c r="A3617" t="s">
        <v>3621</v>
      </c>
      <c r="B3617">
        <v>0.99996721820229495</v>
      </c>
      <c r="C3617">
        <v>1.07883878316135</v>
      </c>
      <c r="D3617">
        <v>0.94648574808394004</v>
      </c>
      <c r="E3617">
        <v>1.04672771019459</v>
      </c>
      <c r="F3617">
        <v>1.01680439952525</v>
      </c>
      <c r="G3617">
        <v>0.97245240082820295</v>
      </c>
      <c r="H3617">
        <v>0.70398038953599396</v>
      </c>
      <c r="I3617">
        <v>0.59365021084106095</v>
      </c>
      <c r="J3617">
        <v>0.48330762022873802</v>
      </c>
      <c r="K3617">
        <v>0.34697071941640001</v>
      </c>
      <c r="L3617">
        <v>1381.4314343102601</v>
      </c>
      <c r="M3617">
        <v>22.061790375115301</v>
      </c>
      <c r="N3617">
        <v>65.5785259294436</v>
      </c>
      <c r="O3617">
        <v>62.108812261915901</v>
      </c>
      <c r="P3617">
        <v>-6.0794746892108502E-2</v>
      </c>
      <c r="Q3617">
        <v>0.31541255750253999</v>
      </c>
      <c r="R3617">
        <v>0.96950106926317003</v>
      </c>
      <c r="S3617" t="s">
        <v>9443</v>
      </c>
      <c r="T3617" t="s">
        <v>11650</v>
      </c>
      <c r="U3617" t="s">
        <v>11650</v>
      </c>
      <c r="V3617" t="s">
        <v>11650</v>
      </c>
      <c r="W3617" t="s">
        <v>15214</v>
      </c>
      <c r="X3617">
        <v>4</v>
      </c>
      <c r="Y3617" t="s">
        <v>20894</v>
      </c>
      <c r="Z3617" t="s">
        <v>26679</v>
      </c>
      <c r="AA3617">
        <v>0.83299113815706893</v>
      </c>
      <c r="AB3617" t="str">
        <f>HYPERLINK("Melting_Curves/meltCurve_Q63HN8_RNF213.pdf", "Melting_Curves/meltCurve_Q63HN8_RNF213.pdf")</f>
        <v>Melting_Curves/meltCurve_Q63HN8_RNF213.pdf</v>
      </c>
    </row>
    <row r="3618" spans="1:28" x14ac:dyDescent="0.25">
      <c r="A3618" t="s">
        <v>3622</v>
      </c>
      <c r="B3618">
        <v>0.99996721820229495</v>
      </c>
      <c r="C3618">
        <v>0.70746614195741697</v>
      </c>
      <c r="D3618">
        <v>0.77285886335264797</v>
      </c>
      <c r="E3618">
        <v>1.1344454797625301</v>
      </c>
      <c r="F3618">
        <v>1.74510515445758</v>
      </c>
      <c r="G3618">
        <v>1.67884663471129</v>
      </c>
      <c r="H3618">
        <v>1.7204344791691799</v>
      </c>
      <c r="I3618">
        <v>1.64845297470283</v>
      </c>
      <c r="J3618">
        <v>1.4218387417914</v>
      </c>
      <c r="K3618">
        <v>1.43416002765604</v>
      </c>
      <c r="L3618">
        <v>12550.0117344998</v>
      </c>
      <c r="M3618">
        <v>250</v>
      </c>
      <c r="O3618">
        <v>50.196834481393303</v>
      </c>
      <c r="P3618">
        <v>0.62254921785103501</v>
      </c>
      <c r="Q3618">
        <v>1.5</v>
      </c>
      <c r="R3618">
        <v>0.78025623645849795</v>
      </c>
      <c r="S3618" t="s">
        <v>9444</v>
      </c>
      <c r="T3618" t="s">
        <v>11650</v>
      </c>
      <c r="U3618" t="s">
        <v>11650</v>
      </c>
      <c r="V3618" t="s">
        <v>11650</v>
      </c>
      <c r="W3618" t="s">
        <v>15215</v>
      </c>
      <c r="X3618">
        <v>4</v>
      </c>
      <c r="Y3618" t="s">
        <v>20895</v>
      </c>
      <c r="Z3618" t="s">
        <v>26680</v>
      </c>
      <c r="AA3618">
        <v>1.3299551675494681</v>
      </c>
      <c r="AB3618" t="str">
        <f>HYPERLINK("Melting_Curves/meltCurve_Q63HQ0_AP1AR.pdf", "Melting_Curves/meltCurve_Q63HQ0_AP1AR.pdf")</f>
        <v>Melting_Curves/meltCurve_Q63HQ0_AP1AR.pdf</v>
      </c>
    </row>
    <row r="3619" spans="1:28" x14ac:dyDescent="0.25">
      <c r="A3619" t="s">
        <v>3623</v>
      </c>
      <c r="B3619">
        <v>0.99996721820229495</v>
      </c>
      <c r="C3619">
        <v>0.98154885254899504</v>
      </c>
      <c r="D3619">
        <v>0.84112404334474</v>
      </c>
      <c r="E3619">
        <v>0.52548846829021001</v>
      </c>
      <c r="F3619">
        <v>0.54370627262208204</v>
      </c>
      <c r="G3619">
        <v>0.51344848329691395</v>
      </c>
      <c r="H3619">
        <v>0.36210244149884102</v>
      </c>
      <c r="I3619">
        <v>0.317781099769822</v>
      </c>
      <c r="J3619">
        <v>0.30483383718734602</v>
      </c>
      <c r="K3619">
        <v>0.188702611121987</v>
      </c>
      <c r="L3619">
        <v>538.56084678562297</v>
      </c>
      <c r="M3619">
        <v>10.5304921150427</v>
      </c>
      <c r="N3619">
        <v>54.197692646544702</v>
      </c>
      <c r="O3619">
        <v>49.401951456258701</v>
      </c>
      <c r="P3619">
        <v>-4.1379494788620901E-2</v>
      </c>
      <c r="Q3619">
        <v>0.22381130085499401</v>
      </c>
      <c r="R3619">
        <v>0.94607976933371696</v>
      </c>
      <c r="S3619" t="s">
        <v>9445</v>
      </c>
      <c r="T3619" t="s">
        <v>11650</v>
      </c>
      <c r="U3619" t="s">
        <v>11650</v>
      </c>
      <c r="V3619" t="s">
        <v>11650</v>
      </c>
      <c r="W3619" t="s">
        <v>15216</v>
      </c>
      <c r="X3619">
        <v>16</v>
      </c>
      <c r="Y3619" t="s">
        <v>20896</v>
      </c>
      <c r="Z3619" t="s">
        <v>26681</v>
      </c>
      <c r="AA3619">
        <v>0.54201239543335755</v>
      </c>
      <c r="AB3619" t="str">
        <f>HYPERLINK("Melting_Curves/meltCurve_Q63ZY3_3_KANK2.pdf", "Melting_Curves/meltCurve_Q63ZY3_3_KANK2.pdf")</f>
        <v>Melting_Curves/meltCurve_Q63ZY3_3_KANK2.pdf</v>
      </c>
    </row>
    <row r="3620" spans="1:28" x14ac:dyDescent="0.25">
      <c r="A3620" t="s">
        <v>3624</v>
      </c>
      <c r="B3620">
        <v>0.99996721820229495</v>
      </c>
      <c r="C3620">
        <v>1.14475924909668</v>
      </c>
      <c r="D3620">
        <v>1.11990031979017</v>
      </c>
      <c r="E3620">
        <v>1.2562586023782101</v>
      </c>
      <c r="F3620">
        <v>1.59107246145498</v>
      </c>
      <c r="G3620">
        <v>1.72952918257295</v>
      </c>
      <c r="H3620">
        <v>1.2304727092077099</v>
      </c>
      <c r="I3620">
        <v>0.92805218521217003</v>
      </c>
      <c r="J3620">
        <v>0.83273950684308895</v>
      </c>
      <c r="K3620">
        <v>0.77841478217416704</v>
      </c>
      <c r="L3620">
        <v>15000</v>
      </c>
      <c r="M3620">
        <v>233.842732073734</v>
      </c>
      <c r="O3620">
        <v>64.1409841992146</v>
      </c>
      <c r="P3620">
        <v>-0.17721088805775201</v>
      </c>
      <c r="Q3620">
        <v>0.80557051179585504</v>
      </c>
      <c r="R3620">
        <v>-0.20831340333471501</v>
      </c>
      <c r="S3620" t="s">
        <v>9446</v>
      </c>
      <c r="T3620" t="s">
        <v>11650</v>
      </c>
      <c r="U3620" t="s">
        <v>11650</v>
      </c>
      <c r="V3620" t="s">
        <v>11650</v>
      </c>
      <c r="W3620" t="s">
        <v>15217</v>
      </c>
      <c r="X3620">
        <v>37</v>
      </c>
      <c r="Y3620" t="s">
        <v>20897</v>
      </c>
      <c r="Z3620" t="s">
        <v>26682</v>
      </c>
      <c r="AA3620">
        <v>0.96208324029662207</v>
      </c>
      <c r="AB3620" t="str">
        <f>HYPERLINK("Melting_Curves/meltCurve_Q641Q2_FAM21A.pdf", "Melting_Curves/meltCurve_Q641Q2_FAM21A.pdf")</f>
        <v>Melting_Curves/meltCurve_Q641Q2_FAM21A.pdf</v>
      </c>
    </row>
    <row r="3621" spans="1:28" x14ac:dyDescent="0.25">
      <c r="A3621" t="s">
        <v>3625</v>
      </c>
      <c r="B3621">
        <v>0.99996721820229495</v>
      </c>
      <c r="C3621">
        <v>1.0373446374200099</v>
      </c>
      <c r="D3621">
        <v>0.96480030703467901</v>
      </c>
      <c r="E3621">
        <v>0.48807988515654099</v>
      </c>
      <c r="F3621">
        <v>0.29584315448070803</v>
      </c>
      <c r="G3621">
        <v>0.26901383978854898</v>
      </c>
      <c r="H3621">
        <v>0.162150809191597</v>
      </c>
      <c r="I3621">
        <v>0.10651016636326199</v>
      </c>
      <c r="J3621">
        <v>7.9897061254090407E-2</v>
      </c>
      <c r="K3621">
        <v>6.2244775740180697E-2</v>
      </c>
      <c r="L3621">
        <v>1265.22691635449</v>
      </c>
      <c r="M3621">
        <v>25.4008437140849</v>
      </c>
      <c r="N3621">
        <v>50.3762345627622</v>
      </c>
      <c r="O3621">
        <v>49.504785438314698</v>
      </c>
      <c r="P3621">
        <v>-0.11235649057224301</v>
      </c>
      <c r="Q3621">
        <v>0.12410581481900899</v>
      </c>
      <c r="R3621">
        <v>0.98020264699441495</v>
      </c>
      <c r="S3621" t="s">
        <v>9447</v>
      </c>
      <c r="T3621" t="s">
        <v>11650</v>
      </c>
      <c r="U3621" t="s">
        <v>11650</v>
      </c>
      <c r="V3621" t="s">
        <v>11650</v>
      </c>
      <c r="W3621" t="s">
        <v>15218</v>
      </c>
      <c r="X3621">
        <v>18</v>
      </c>
      <c r="Y3621" t="s">
        <v>20898</v>
      </c>
      <c r="Z3621" t="s">
        <v>26683</v>
      </c>
      <c r="AA3621">
        <v>0.41810241590489011</v>
      </c>
      <c r="AB3621" t="str">
        <f>HYPERLINK("Melting_Curves/meltCurve_Q66K14_2_TBC1D9B.pdf", "Melting_Curves/meltCurve_Q66K14_2_TBC1D9B.pdf")</f>
        <v>Melting_Curves/meltCurve_Q66K14_2_TBC1D9B.pdf</v>
      </c>
    </row>
    <row r="3622" spans="1:28" x14ac:dyDescent="0.25">
      <c r="A3622" t="s">
        <v>3626</v>
      </c>
      <c r="B3622">
        <v>0.99996721820229495</v>
      </c>
      <c r="C3622">
        <v>1.11257578780584</v>
      </c>
      <c r="D3622">
        <v>1.2377653480400099</v>
      </c>
      <c r="E3622">
        <v>1.5389293793455501</v>
      </c>
      <c r="F3622">
        <v>1.22659690049185</v>
      </c>
      <c r="G3622">
        <v>0.68830916939896403</v>
      </c>
      <c r="H3622">
        <v>0.46081193018667599</v>
      </c>
      <c r="I3622">
        <v>0.31370999244821701</v>
      </c>
      <c r="J3622">
        <v>0.25915619042695398</v>
      </c>
      <c r="K3622">
        <v>0.19474750787403899</v>
      </c>
      <c r="L3622">
        <v>1988.1487566794101</v>
      </c>
      <c r="M3622">
        <v>33.977026779040102</v>
      </c>
      <c r="N3622">
        <v>59.722511629616598</v>
      </c>
      <c r="O3622">
        <v>58.312919059232797</v>
      </c>
      <c r="P3622">
        <v>-0.109465748555357</v>
      </c>
      <c r="Q3622">
        <v>0.248522611621666</v>
      </c>
      <c r="R3622">
        <v>0.78830313030013799</v>
      </c>
      <c r="S3622" t="s">
        <v>9448</v>
      </c>
      <c r="T3622" t="s">
        <v>11650</v>
      </c>
      <c r="U3622" t="s">
        <v>11650</v>
      </c>
      <c r="V3622" t="s">
        <v>11650</v>
      </c>
      <c r="W3622" t="s">
        <v>15219</v>
      </c>
      <c r="X3622">
        <v>6</v>
      </c>
      <c r="Y3622" t="s">
        <v>20899</v>
      </c>
      <c r="Z3622" t="s">
        <v>26684</v>
      </c>
      <c r="AA3622">
        <v>0.71627317205619379</v>
      </c>
      <c r="AB3622" t="str">
        <f>HYPERLINK("Melting_Curves/meltCurve_Q66LE6_PPP2R2D.pdf", "Melting_Curves/meltCurve_Q66LE6_PPP2R2D.pdf")</f>
        <v>Melting_Curves/meltCurve_Q66LE6_PPP2R2D.pdf</v>
      </c>
    </row>
    <row r="3623" spans="1:28" x14ac:dyDescent="0.25">
      <c r="A3623" t="s">
        <v>3627</v>
      </c>
      <c r="B3623">
        <v>0.99996721820229495</v>
      </c>
      <c r="C3623">
        <v>1.2624405720270599</v>
      </c>
      <c r="D3623">
        <v>1.2065077270838001</v>
      </c>
      <c r="E3623">
        <v>1.08116154981114</v>
      </c>
      <c r="F3623">
        <v>1.3742844041833899</v>
      </c>
      <c r="G3623">
        <v>1.38133755218221</v>
      </c>
      <c r="H3623">
        <v>0.99738611353330398</v>
      </c>
      <c r="I3623">
        <v>0.68268798535114406</v>
      </c>
      <c r="J3623">
        <v>0.57556260625685995</v>
      </c>
      <c r="K3623">
        <v>0.35580457484941402</v>
      </c>
      <c r="L3623">
        <v>2614.2573596511302</v>
      </c>
      <c r="M3623">
        <v>40.443399945875001</v>
      </c>
      <c r="N3623">
        <v>66.923294958056303</v>
      </c>
      <c r="O3623">
        <v>64.482467310292606</v>
      </c>
      <c r="P3623">
        <v>-9.8125542191579498E-2</v>
      </c>
      <c r="Q3623">
        <v>0.374200543675893</v>
      </c>
      <c r="R3623">
        <v>0.61674527071732599</v>
      </c>
      <c r="S3623" t="s">
        <v>9449</v>
      </c>
      <c r="T3623" t="s">
        <v>11650</v>
      </c>
      <c r="U3623" t="s">
        <v>11650</v>
      </c>
      <c r="V3623" t="s">
        <v>11650</v>
      </c>
      <c r="W3623" t="s">
        <v>15220</v>
      </c>
      <c r="X3623">
        <v>3</v>
      </c>
      <c r="Y3623" t="s">
        <v>20900</v>
      </c>
      <c r="Z3623" t="s">
        <v>26685</v>
      </c>
      <c r="AA3623">
        <v>0.88909363642049266</v>
      </c>
      <c r="AB3623" t="str">
        <f>HYPERLINK("Melting_Curves/meltCurve_Q66PJ3_ARL6IP4.pdf", "Melting_Curves/meltCurve_Q66PJ3_ARL6IP4.pdf")</f>
        <v>Melting_Curves/meltCurve_Q66PJ3_ARL6IP4.pdf</v>
      </c>
    </row>
    <row r="3624" spans="1:28" x14ac:dyDescent="0.25">
      <c r="A3624" t="s">
        <v>3628</v>
      </c>
      <c r="B3624">
        <v>0.99996721820229495</v>
      </c>
      <c r="C3624">
        <v>0.80133188011022505</v>
      </c>
      <c r="D3624">
        <v>0.766322974079092</v>
      </c>
      <c r="E3624">
        <v>0.83341588436536695</v>
      </c>
      <c r="F3624">
        <v>1.40112773145463</v>
      </c>
      <c r="G3624">
        <v>0.85768395922251695</v>
      </c>
      <c r="H3624">
        <v>0.60968845538399596</v>
      </c>
      <c r="I3624">
        <v>0.73095260523656702</v>
      </c>
      <c r="J3624">
        <v>0.68663538067749397</v>
      </c>
      <c r="K3624">
        <v>0.52134421983981605</v>
      </c>
      <c r="L3624">
        <v>14274.9647476547</v>
      </c>
      <c r="M3624">
        <v>250</v>
      </c>
      <c r="O3624">
        <v>57.096205585448502</v>
      </c>
      <c r="P3624">
        <v>-0.39718581596429198</v>
      </c>
      <c r="Q3624">
        <v>0.63715515621985996</v>
      </c>
      <c r="R3624">
        <v>0.42302479875180099</v>
      </c>
      <c r="S3624" t="s">
        <v>9450</v>
      </c>
      <c r="T3624" t="s">
        <v>11650</v>
      </c>
      <c r="U3624" t="s">
        <v>11650</v>
      </c>
      <c r="V3624" t="s">
        <v>11650</v>
      </c>
      <c r="W3624" t="s">
        <v>15221</v>
      </c>
      <c r="X3624">
        <v>1</v>
      </c>
      <c r="Y3624" t="s">
        <v>20901</v>
      </c>
      <c r="Z3624" t="s">
        <v>26686</v>
      </c>
      <c r="AA3624">
        <v>0.84401137214128452</v>
      </c>
      <c r="AB3624" t="str">
        <f>HYPERLINK("Melting_Curves/meltCurve_Q674X7_3_KAZN.pdf", "Melting_Curves/meltCurve_Q674X7_3_KAZN.pdf")</f>
        <v>Melting_Curves/meltCurve_Q674X7_3_KAZN.pdf</v>
      </c>
    </row>
    <row r="3625" spans="1:28" x14ac:dyDescent="0.25">
      <c r="A3625" t="s">
        <v>3629</v>
      </c>
      <c r="B3625">
        <v>0.99996721820229495</v>
      </c>
      <c r="C3625">
        <v>0.60927944183454197</v>
      </c>
      <c r="D3625">
        <v>0.53771309413050605</v>
      </c>
      <c r="E3625">
        <v>0.46000899972587</v>
      </c>
      <c r="F3625">
        <v>0.44915452110169801</v>
      </c>
      <c r="G3625">
        <v>0.40450648486931301</v>
      </c>
      <c r="H3625">
        <v>0.257313678603104</v>
      </c>
      <c r="I3625">
        <v>0.18861131466728701</v>
      </c>
      <c r="J3625">
        <v>0.19144492979875</v>
      </c>
      <c r="K3625">
        <v>0.140946416550807</v>
      </c>
      <c r="L3625">
        <v>337.18462681798002</v>
      </c>
      <c r="M3625">
        <v>6.9936334478558599</v>
      </c>
      <c r="N3625">
        <v>49.4471064076982</v>
      </c>
      <c r="O3625">
        <v>44.735258188825199</v>
      </c>
      <c r="P3625">
        <v>-3.60206629127688E-2</v>
      </c>
      <c r="Q3625">
        <v>8.0076499134142401E-2</v>
      </c>
      <c r="R3625">
        <v>0.891787016447396</v>
      </c>
      <c r="S3625" t="s">
        <v>9451</v>
      </c>
      <c r="T3625" t="s">
        <v>11650</v>
      </c>
      <c r="U3625" t="s">
        <v>11650</v>
      </c>
      <c r="V3625" t="s">
        <v>11650</v>
      </c>
      <c r="W3625" t="s">
        <v>15222</v>
      </c>
      <c r="X3625">
        <v>2</v>
      </c>
      <c r="Y3625" t="s">
        <v>20902</v>
      </c>
      <c r="Z3625" t="s">
        <v>26687</v>
      </c>
      <c r="AA3625">
        <v>0.40875080731235408</v>
      </c>
      <c r="AB3625" t="str">
        <f>HYPERLINK("Melting_Curves/meltCurve_Q68CQ7_GLT8D1.pdf", "Melting_Curves/meltCurve_Q68CQ7_GLT8D1.pdf")</f>
        <v>Melting_Curves/meltCurve_Q68CQ7_GLT8D1.pdf</v>
      </c>
    </row>
    <row r="3626" spans="1:28" x14ac:dyDescent="0.25">
      <c r="A3626" t="s">
        <v>3630</v>
      </c>
      <c r="B3626">
        <v>0.99996721820229495</v>
      </c>
      <c r="C3626">
        <v>0.77593059570122103</v>
      </c>
      <c r="D3626">
        <v>0.49861800075949902</v>
      </c>
      <c r="E3626">
        <v>0.225001903044285</v>
      </c>
      <c r="F3626">
        <v>0.16867977464189099</v>
      </c>
      <c r="G3626">
        <v>0.14239536855127799</v>
      </c>
      <c r="H3626">
        <v>9.2779998103323297E-2</v>
      </c>
      <c r="I3626">
        <v>5.4833030493336599E-2</v>
      </c>
      <c r="J3626">
        <v>3.2030711842265101E-2</v>
      </c>
      <c r="K3626">
        <v>2.91563679616525E-2</v>
      </c>
      <c r="L3626">
        <v>826.01827880616702</v>
      </c>
      <c r="M3626">
        <v>18.0251115030553</v>
      </c>
      <c r="N3626">
        <v>46.172056977299</v>
      </c>
      <c r="O3626">
        <v>45.273105246081698</v>
      </c>
      <c r="P3626">
        <v>-9.3250440420083305E-2</v>
      </c>
      <c r="Q3626">
        <v>6.3189185965872002E-2</v>
      </c>
      <c r="R3626">
        <v>0.98933284818044798</v>
      </c>
      <c r="S3626" t="s">
        <v>9452</v>
      </c>
      <c r="T3626" t="s">
        <v>11650</v>
      </c>
      <c r="U3626" t="s">
        <v>11650</v>
      </c>
      <c r="V3626" t="s">
        <v>11650</v>
      </c>
      <c r="W3626" t="s">
        <v>15223</v>
      </c>
      <c r="X3626">
        <v>35</v>
      </c>
      <c r="Y3626" t="s">
        <v>20903</v>
      </c>
      <c r="Z3626" t="s">
        <v>26688</v>
      </c>
      <c r="AA3626">
        <v>0.26370636464781377</v>
      </c>
      <c r="AB3626" t="str">
        <f>HYPERLINK("Melting_Curves/meltCurve_Q68CZ2_TNS3.pdf", "Melting_Curves/meltCurve_Q68CZ2_TNS3.pdf")</f>
        <v>Melting_Curves/meltCurve_Q68CZ2_TNS3.pdf</v>
      </c>
    </row>
    <row r="3627" spans="1:28" x14ac:dyDescent="0.25">
      <c r="A3627" t="s">
        <v>3631</v>
      </c>
      <c r="B3627">
        <v>0.99996721820229495</v>
      </c>
      <c r="C3627">
        <v>0.92812552164574402</v>
      </c>
      <c r="D3627">
        <v>1.00040407221976</v>
      </c>
      <c r="E3627">
        <v>0.99493539795352004</v>
      </c>
      <c r="F3627">
        <v>1.25448282955297</v>
      </c>
      <c r="G3627">
        <v>1.22559257336691</v>
      </c>
      <c r="H3627">
        <v>0.80106403424404404</v>
      </c>
      <c r="I3627">
        <v>0.42761577863681499</v>
      </c>
      <c r="J3627">
        <v>0.24976196014160601</v>
      </c>
      <c r="K3627">
        <v>0.22356123980347201</v>
      </c>
      <c r="L3627">
        <v>3134.5729903469201</v>
      </c>
      <c r="M3627">
        <v>50.1329371887185</v>
      </c>
      <c r="N3627">
        <v>63.283855618222702</v>
      </c>
      <c r="O3627">
        <v>62.425974171048097</v>
      </c>
      <c r="P3627">
        <v>-0.15542308908213001</v>
      </c>
      <c r="Q3627">
        <v>0.22586386614568499</v>
      </c>
      <c r="R3627">
        <v>0.90373172140372804</v>
      </c>
      <c r="S3627" t="s">
        <v>9453</v>
      </c>
      <c r="T3627" t="s">
        <v>11650</v>
      </c>
      <c r="U3627" t="s">
        <v>11650</v>
      </c>
      <c r="V3627" t="s">
        <v>11650</v>
      </c>
      <c r="W3627" t="s">
        <v>15224</v>
      </c>
      <c r="X3627">
        <v>8</v>
      </c>
      <c r="Y3627" t="s">
        <v>20904</v>
      </c>
      <c r="Z3627" t="s">
        <v>26689</v>
      </c>
      <c r="AA3627">
        <v>0.80904090812867435</v>
      </c>
      <c r="AB3627" t="str">
        <f>HYPERLINK("Melting_Curves/meltCurve_Q68D91_MBLAC2.pdf", "Melting_Curves/meltCurve_Q68D91_MBLAC2.pdf")</f>
        <v>Melting_Curves/meltCurve_Q68D91_MBLAC2.pdf</v>
      </c>
    </row>
    <row r="3628" spans="1:28" x14ac:dyDescent="0.25">
      <c r="A3628" t="s">
        <v>3632</v>
      </c>
      <c r="B3628">
        <v>0.99996721820229495</v>
      </c>
      <c r="C3628">
        <v>0.95666910955698803</v>
      </c>
      <c r="D3628">
        <v>1.0831442258495201</v>
      </c>
      <c r="E3628">
        <v>1.3978920964983601</v>
      </c>
      <c r="F3628">
        <v>1.7917246578086701</v>
      </c>
      <c r="G3628">
        <v>2.23657320369486</v>
      </c>
      <c r="H3628">
        <v>1.04745283996751</v>
      </c>
      <c r="I3628">
        <v>0.57839891479997096</v>
      </c>
      <c r="J3628">
        <v>0.52875996876517695</v>
      </c>
      <c r="K3628">
        <v>0.35007426395588498</v>
      </c>
      <c r="L3628">
        <v>15000</v>
      </c>
      <c r="M3628">
        <v>235.48455321919701</v>
      </c>
      <c r="N3628">
        <v>64.274500306191896</v>
      </c>
      <c r="O3628">
        <v>63.693854981060902</v>
      </c>
      <c r="P3628">
        <v>-0.518143433197501</v>
      </c>
      <c r="Q3628">
        <v>0.43941035087920899</v>
      </c>
      <c r="R3628">
        <v>0.233201842479</v>
      </c>
      <c r="S3628" t="s">
        <v>9454</v>
      </c>
      <c r="T3628" t="s">
        <v>11650</v>
      </c>
      <c r="U3628" t="s">
        <v>11650</v>
      </c>
      <c r="V3628" t="s">
        <v>11650</v>
      </c>
      <c r="W3628" t="s">
        <v>15225</v>
      </c>
      <c r="X3628">
        <v>5</v>
      </c>
      <c r="Y3628" t="s">
        <v>20905</v>
      </c>
      <c r="Z3628" t="s">
        <v>26690</v>
      </c>
      <c r="AA3628">
        <v>0.88231776155762465</v>
      </c>
      <c r="AB3628" t="str">
        <f>HYPERLINK("Melting_Curves/meltCurve_Q68DH5_LMBRD2.pdf", "Melting_Curves/meltCurve_Q68DH5_LMBRD2.pdf")</f>
        <v>Melting_Curves/meltCurve_Q68DH5_LMBRD2.pdf</v>
      </c>
    </row>
    <row r="3629" spans="1:28" x14ac:dyDescent="0.25">
      <c r="A3629" t="s">
        <v>3633</v>
      </c>
      <c r="B3629">
        <v>0.99996721820229495</v>
      </c>
      <c r="C3629">
        <v>1.0740713662399</v>
      </c>
      <c r="D3629">
        <v>0.98516568811046701</v>
      </c>
      <c r="E3629">
        <v>0.64101864861774605</v>
      </c>
      <c r="F3629">
        <v>0.33791875554609901</v>
      </c>
      <c r="G3629">
        <v>0.28331928712504001</v>
      </c>
      <c r="H3629">
        <v>0.21802160004179399</v>
      </c>
      <c r="I3629">
        <v>0.16489385270284301</v>
      </c>
      <c r="J3629">
        <v>6.9704979866031594E-2</v>
      </c>
      <c r="K3629">
        <v>9.0830074433048899E-2</v>
      </c>
      <c r="L3629">
        <v>1257.95061520434</v>
      </c>
      <c r="M3629">
        <v>24.762948885555801</v>
      </c>
      <c r="N3629">
        <v>51.505764523878199</v>
      </c>
      <c r="O3629">
        <v>50.471894152603099</v>
      </c>
      <c r="P3629">
        <v>-0.105005577988636</v>
      </c>
      <c r="Q3629">
        <v>0.14392158174247499</v>
      </c>
      <c r="R3629">
        <v>0.97926631146030396</v>
      </c>
      <c r="S3629" t="s">
        <v>9455</v>
      </c>
      <c r="T3629" t="s">
        <v>11650</v>
      </c>
      <c r="U3629" t="s">
        <v>11650</v>
      </c>
      <c r="V3629" t="s">
        <v>11650</v>
      </c>
      <c r="W3629" t="s">
        <v>15226</v>
      </c>
      <c r="X3629">
        <v>2</v>
      </c>
      <c r="Y3629" t="s">
        <v>20906</v>
      </c>
      <c r="Z3629" t="s">
        <v>26691</v>
      </c>
      <c r="AA3629">
        <v>0.45996496369716489</v>
      </c>
      <c r="AB3629" t="str">
        <f>HYPERLINK("Melting_Curves/meltCurve_Q68DM5_DKFZp781L1143.pdf", "Melting_Curves/meltCurve_Q68DM5_DKFZp781L1143.pdf")</f>
        <v>Melting_Curves/meltCurve_Q68DM5_DKFZp781L1143.pdf</v>
      </c>
    </row>
    <row r="3630" spans="1:28" x14ac:dyDescent="0.25">
      <c r="A3630" t="s">
        <v>3634</v>
      </c>
      <c r="B3630">
        <v>0.99996721820229495</v>
      </c>
      <c r="C3630">
        <v>0.86147291799062997</v>
      </c>
      <c r="D3630">
        <v>0.65976218560793098</v>
      </c>
      <c r="E3630">
        <v>0.58695613203999297</v>
      </c>
      <c r="F3630">
        <v>0.39507407757409002</v>
      </c>
      <c r="G3630">
        <v>0.33266557542299102</v>
      </c>
      <c r="H3630">
        <v>0.28764002886265999</v>
      </c>
      <c r="I3630">
        <v>0.18234048446677001</v>
      </c>
      <c r="J3630">
        <v>0.109517435978293</v>
      </c>
      <c r="K3630">
        <v>0.13679509282923299</v>
      </c>
      <c r="L3630">
        <v>468.677956418245</v>
      </c>
      <c r="M3630">
        <v>9.2936107315963703</v>
      </c>
      <c r="N3630">
        <v>51.298642398738899</v>
      </c>
      <c r="O3630">
        <v>48.260246382259801</v>
      </c>
      <c r="P3630">
        <v>-4.4667271705560098E-2</v>
      </c>
      <c r="Q3630">
        <v>7.2795976256984599E-2</v>
      </c>
      <c r="R3630">
        <v>0.97686550505956404</v>
      </c>
      <c r="S3630" t="s">
        <v>9456</v>
      </c>
      <c r="T3630" t="s">
        <v>11650</v>
      </c>
      <c r="U3630" t="s">
        <v>11650</v>
      </c>
      <c r="V3630" t="s">
        <v>11650</v>
      </c>
      <c r="W3630" t="s">
        <v>15227</v>
      </c>
      <c r="X3630">
        <v>2</v>
      </c>
      <c r="Y3630" t="s">
        <v>20907</v>
      </c>
      <c r="Z3630" t="s">
        <v>26692</v>
      </c>
      <c r="AA3630">
        <v>0.43957780531926938</v>
      </c>
      <c r="AB3630" t="str">
        <f>HYPERLINK("Melting_Curves/meltCurve_Q68E01_2_INTS3.pdf", "Melting_Curves/meltCurve_Q68E01_2_INTS3.pdf")</f>
        <v>Melting_Curves/meltCurve_Q68E01_2_INTS3.pdf</v>
      </c>
    </row>
    <row r="3631" spans="1:28" x14ac:dyDescent="0.25">
      <c r="A3631" t="s">
        <v>3635</v>
      </c>
      <c r="B3631">
        <v>0.99996721820229495</v>
      </c>
      <c r="C3631">
        <v>0.90665030501466903</v>
      </c>
      <c r="D3631">
        <v>0.67967046696516398</v>
      </c>
      <c r="E3631">
        <v>0.32285904787675201</v>
      </c>
      <c r="F3631">
        <v>0.26782624666256</v>
      </c>
      <c r="G3631">
        <v>0.266688824373079</v>
      </c>
      <c r="H3631">
        <v>0.194199697491619</v>
      </c>
      <c r="I3631">
        <v>0.123861227073921</v>
      </c>
      <c r="J3631">
        <v>7.9454723888187806E-2</v>
      </c>
      <c r="K3631">
        <v>5.2095806080073297E-2</v>
      </c>
      <c r="L3631">
        <v>824.05625468715402</v>
      </c>
      <c r="M3631">
        <v>17.3556120267307</v>
      </c>
      <c r="N3631">
        <v>48.2590597951936</v>
      </c>
      <c r="O3631">
        <v>46.863746925800498</v>
      </c>
      <c r="P3631">
        <v>-8.1287014583040093E-2</v>
      </c>
      <c r="Q3631">
        <v>0.12208246373300199</v>
      </c>
      <c r="R3631">
        <v>0.97592266597940402</v>
      </c>
      <c r="S3631" t="s">
        <v>9457</v>
      </c>
      <c r="T3631" t="s">
        <v>11650</v>
      </c>
      <c r="U3631" t="s">
        <v>11650</v>
      </c>
      <c r="V3631" t="s">
        <v>11650</v>
      </c>
      <c r="W3631" t="s">
        <v>15228</v>
      </c>
      <c r="X3631">
        <v>13</v>
      </c>
      <c r="Y3631" t="s">
        <v>20908</v>
      </c>
      <c r="Z3631" t="s">
        <v>26693</v>
      </c>
      <c r="AA3631">
        <v>0.35813380890954649</v>
      </c>
      <c r="AB3631" t="str">
        <f>HYPERLINK("Melting_Curves/meltCurve_Q68EM7_6_ARHGAP17.pdf", "Melting_Curves/meltCurve_Q68EM7_6_ARHGAP17.pdf")</f>
        <v>Melting_Curves/meltCurve_Q68EM7_6_ARHGAP17.pdf</v>
      </c>
    </row>
    <row r="3632" spans="1:28" x14ac:dyDescent="0.25">
      <c r="A3632" t="s">
        <v>3636</v>
      </c>
      <c r="B3632">
        <v>0.99996721820229495</v>
      </c>
      <c r="C3632">
        <v>1.0224213511898399</v>
      </c>
      <c r="D3632">
        <v>0.87790400395585999</v>
      </c>
      <c r="E3632">
        <v>0.59024371698371703</v>
      </c>
      <c r="F3632">
        <v>0.243366336815592</v>
      </c>
      <c r="G3632">
        <v>0.20734996159093699</v>
      </c>
      <c r="H3632">
        <v>0.11621990954259299</v>
      </c>
      <c r="I3632">
        <v>7.9726637826343802E-2</v>
      </c>
      <c r="J3632">
        <v>5.4755795630668201E-2</v>
      </c>
      <c r="K3632">
        <v>4.0293411895308801E-2</v>
      </c>
      <c r="L3632">
        <v>1106.9474989837599</v>
      </c>
      <c r="M3632">
        <v>22.014381551009201</v>
      </c>
      <c r="N3632">
        <v>50.645207177243201</v>
      </c>
      <c r="O3632">
        <v>49.873526146796003</v>
      </c>
      <c r="P3632">
        <v>-0.102314094291364</v>
      </c>
      <c r="Q3632">
        <v>7.2851340232263501E-2</v>
      </c>
      <c r="R3632">
        <v>0.991292397938486</v>
      </c>
      <c r="S3632" t="s">
        <v>9458</v>
      </c>
      <c r="T3632" t="s">
        <v>11650</v>
      </c>
      <c r="U3632" t="s">
        <v>11650</v>
      </c>
      <c r="V3632" t="s">
        <v>11650</v>
      </c>
      <c r="W3632" t="s">
        <v>15229</v>
      </c>
      <c r="X3632">
        <v>7</v>
      </c>
      <c r="Y3632" t="s">
        <v>20909</v>
      </c>
      <c r="Z3632" t="s">
        <v>26694</v>
      </c>
      <c r="AA3632">
        <v>0.40134054549206277</v>
      </c>
      <c r="AB3632" t="str">
        <f>HYPERLINK("Melting_Curves/meltCurve_Q69YN2_3_CWF19L1.pdf", "Melting_Curves/meltCurve_Q69YN2_3_CWF19L1.pdf")</f>
        <v>Melting_Curves/meltCurve_Q69YN2_3_CWF19L1.pdf</v>
      </c>
    </row>
    <row r="3633" spans="1:28" x14ac:dyDescent="0.25">
      <c r="A3633" t="s">
        <v>3637</v>
      </c>
      <c r="B3633">
        <v>0.99996721820229495</v>
      </c>
      <c r="C3633">
        <v>0.91830102931964297</v>
      </c>
      <c r="D3633">
        <v>0.89297996408949198</v>
      </c>
      <c r="E3633">
        <v>0.88293165803052298</v>
      </c>
      <c r="F3633">
        <v>0.78416630475538796</v>
      </c>
      <c r="G3633">
        <v>0.770464735968313</v>
      </c>
      <c r="H3633">
        <v>0.56258202167222304</v>
      </c>
      <c r="I3633">
        <v>0.478372954521044</v>
      </c>
      <c r="J3633">
        <v>0.37702729617001401</v>
      </c>
      <c r="K3633">
        <v>0.36560469178090199</v>
      </c>
      <c r="L3633">
        <v>445.31598424366001</v>
      </c>
      <c r="M3633">
        <v>6.9957290313224796</v>
      </c>
      <c r="N3633">
        <v>63.655407602152003</v>
      </c>
      <c r="O3633">
        <v>59.0660884136608</v>
      </c>
      <c r="P3633">
        <v>-2.9664766157852299E-2</v>
      </c>
      <c r="Q3633">
        <v>0</v>
      </c>
      <c r="R3633">
        <v>0.97436101498696104</v>
      </c>
      <c r="S3633" t="s">
        <v>9459</v>
      </c>
      <c r="T3633" t="s">
        <v>11650</v>
      </c>
      <c r="U3633" t="s">
        <v>11650</v>
      </c>
      <c r="V3633" t="s">
        <v>11650</v>
      </c>
      <c r="W3633" t="s">
        <v>15230</v>
      </c>
      <c r="X3633">
        <v>24</v>
      </c>
      <c r="Y3633" t="s">
        <v>20910</v>
      </c>
      <c r="Z3633" t="s">
        <v>26695</v>
      </c>
      <c r="AA3633">
        <v>0.71841091398487456</v>
      </c>
      <c r="AB3633" t="str">
        <f>HYPERLINK("Melting_Curves/meltCurve_Q69YQ0_2_SPECC1L.pdf", "Melting_Curves/meltCurve_Q69YQ0_2_SPECC1L.pdf")</f>
        <v>Melting_Curves/meltCurve_Q69YQ0_2_SPECC1L.pdf</v>
      </c>
    </row>
    <row r="3634" spans="1:28" x14ac:dyDescent="0.25">
      <c r="A3634" t="s">
        <v>3638</v>
      </c>
      <c r="B3634">
        <v>0.99996721820229495</v>
      </c>
      <c r="C3634">
        <v>1.0943083711963599</v>
      </c>
      <c r="D3634">
        <v>1.0844380316961799</v>
      </c>
      <c r="E3634">
        <v>0.99831573301043197</v>
      </c>
      <c r="F3634">
        <v>1.3096015695202501</v>
      </c>
      <c r="G3634">
        <v>1.15261943095691</v>
      </c>
      <c r="H3634">
        <v>0.90574027044886196</v>
      </c>
      <c r="I3634">
        <v>0.846275495842012</v>
      </c>
      <c r="J3634">
        <v>0.71793606375214303</v>
      </c>
      <c r="K3634">
        <v>0.53496882281821301</v>
      </c>
      <c r="L3634">
        <v>1718.85915119483</v>
      </c>
      <c r="M3634">
        <v>25.6313291822499</v>
      </c>
      <c r="O3634">
        <v>66.656653627664497</v>
      </c>
      <c r="P3634">
        <v>-5.89785411432769E-2</v>
      </c>
      <c r="Q3634">
        <v>0.38649074717040499</v>
      </c>
      <c r="R3634">
        <v>0.68762768692837395</v>
      </c>
      <c r="S3634" t="s">
        <v>9460</v>
      </c>
      <c r="T3634" t="s">
        <v>11650</v>
      </c>
      <c r="U3634" t="s">
        <v>11650</v>
      </c>
      <c r="V3634" t="s">
        <v>11650</v>
      </c>
      <c r="W3634" t="s">
        <v>15231</v>
      </c>
      <c r="X3634">
        <v>3</v>
      </c>
      <c r="Y3634" t="s">
        <v>20911</v>
      </c>
      <c r="Z3634" t="s">
        <v>26696</v>
      </c>
      <c r="AA3634">
        <v>0.9280838750328344</v>
      </c>
      <c r="AB3634" t="str">
        <f>HYPERLINK("Melting_Curves/meltCurve_Q69YU5_C12orf73.pdf", "Melting_Curves/meltCurve_Q69YU5_C12orf73.pdf")</f>
        <v>Melting_Curves/meltCurve_Q69YU5_C12orf73.pdf</v>
      </c>
    </row>
    <row r="3635" spans="1:28" x14ac:dyDescent="0.25">
      <c r="A3635" t="s">
        <v>3639</v>
      </c>
      <c r="B3635">
        <v>0.99996721820229495</v>
      </c>
      <c r="C3635">
        <v>0.912149373892017</v>
      </c>
      <c r="D3635">
        <v>0.90266090998256598</v>
      </c>
      <c r="E3635">
        <v>1.3860290352060001</v>
      </c>
      <c r="F3635">
        <v>1.7056523790089499</v>
      </c>
      <c r="G3635">
        <v>1.59180371032089</v>
      </c>
      <c r="H3635">
        <v>1.2097418520251899</v>
      </c>
      <c r="I3635">
        <v>0.81700214913125102</v>
      </c>
      <c r="J3635">
        <v>0.706096788084559</v>
      </c>
      <c r="K3635">
        <v>0.73569265255517802</v>
      </c>
      <c r="L3635">
        <v>15000</v>
      </c>
      <c r="M3635">
        <v>235.018690401768</v>
      </c>
      <c r="O3635">
        <v>63.820089460005299</v>
      </c>
      <c r="P3635">
        <v>-0.256957556236525</v>
      </c>
      <c r="Q3635">
        <v>0.72088936139798898</v>
      </c>
      <c r="R3635">
        <v>8.2983693257301899E-2</v>
      </c>
      <c r="S3635" t="s">
        <v>9461</v>
      </c>
      <c r="T3635" t="s">
        <v>11650</v>
      </c>
      <c r="U3635" t="s">
        <v>11650</v>
      </c>
      <c r="V3635" t="s">
        <v>11650</v>
      </c>
      <c r="W3635" t="s">
        <v>15232</v>
      </c>
      <c r="X3635">
        <v>2</v>
      </c>
      <c r="Y3635" t="s">
        <v>20912</v>
      </c>
      <c r="Z3635" t="s">
        <v>26697</v>
      </c>
      <c r="AA3635">
        <v>0.94258241577443058</v>
      </c>
      <c r="AB3635" t="str">
        <f>HYPERLINK("Melting_Curves/meltCurve_Q6AZY7_2_SCARA3.pdf", "Melting_Curves/meltCurve_Q6AZY7_2_SCARA3.pdf")</f>
        <v>Melting_Curves/meltCurve_Q6AZY7_2_SCARA3.pdf</v>
      </c>
    </row>
    <row r="3636" spans="1:28" x14ac:dyDescent="0.25">
      <c r="A3636" t="s">
        <v>3640</v>
      </c>
      <c r="B3636">
        <v>0.99996721820229495</v>
      </c>
      <c r="C3636">
        <v>0.98523498241353802</v>
      </c>
      <c r="D3636">
        <v>0.97862296324993503</v>
      </c>
      <c r="E3636">
        <v>0.954160473322891</v>
      </c>
      <c r="F3636">
        <v>1.2313625573832201</v>
      </c>
      <c r="G3636">
        <v>1.3113538414211801</v>
      </c>
      <c r="H3636">
        <v>0.94099350873026899</v>
      </c>
      <c r="I3636">
        <v>0.67514165202381005</v>
      </c>
      <c r="J3636">
        <v>0.20673210192949101</v>
      </c>
      <c r="K3636">
        <v>0.117598581897725</v>
      </c>
      <c r="L3636">
        <v>3578.99956085747</v>
      </c>
      <c r="M3636">
        <v>55.379431705168997</v>
      </c>
      <c r="N3636">
        <v>64.892417252685206</v>
      </c>
      <c r="O3636">
        <v>64.542766925948499</v>
      </c>
      <c r="P3636">
        <v>-0.19275874377545399</v>
      </c>
      <c r="Q3636">
        <v>0.10138654418903099</v>
      </c>
      <c r="R3636">
        <v>0.89086291017427099</v>
      </c>
      <c r="S3636" t="s">
        <v>9462</v>
      </c>
      <c r="T3636" t="s">
        <v>11650</v>
      </c>
      <c r="U3636" t="s">
        <v>11650</v>
      </c>
      <c r="V3636" t="s">
        <v>11650</v>
      </c>
      <c r="W3636" t="s">
        <v>15233</v>
      </c>
      <c r="X3636">
        <v>19</v>
      </c>
      <c r="Y3636" t="s">
        <v>20913</v>
      </c>
      <c r="Z3636" t="s">
        <v>26698</v>
      </c>
      <c r="AA3636">
        <v>0.84053600447145982</v>
      </c>
      <c r="AB3636" t="str">
        <f>HYPERLINK("Melting_Curves/meltCurve_Q6BCY4_CYB5R2.pdf", "Melting_Curves/meltCurve_Q6BCY4_CYB5R2.pdf")</f>
        <v>Melting_Curves/meltCurve_Q6BCY4_CYB5R2.pdf</v>
      </c>
    </row>
    <row r="3637" spans="1:28" x14ac:dyDescent="0.25">
      <c r="A3637" t="s">
        <v>3641</v>
      </c>
      <c r="B3637">
        <v>0.99996721820229495</v>
      </c>
      <c r="C3637">
        <v>0.93009323513664099</v>
      </c>
      <c r="D3637">
        <v>0.94092526625827899</v>
      </c>
      <c r="E3637">
        <v>0.73615004725592204</v>
      </c>
      <c r="F3637">
        <v>0.236458216319818</v>
      </c>
      <c r="G3637">
        <v>0.17441667167206401</v>
      </c>
      <c r="H3637">
        <v>0.11717927169192401</v>
      </c>
      <c r="I3637">
        <v>6.7496043623616803E-2</v>
      </c>
      <c r="J3637">
        <v>4.9612106839515099E-2</v>
      </c>
      <c r="K3637">
        <v>4.5259754395900603E-2</v>
      </c>
      <c r="L3637">
        <v>1982.47805655457</v>
      </c>
      <c r="M3637">
        <v>38.826629085104102</v>
      </c>
      <c r="N3637">
        <v>51.301789205678098</v>
      </c>
      <c r="O3637">
        <v>50.9248669685512</v>
      </c>
      <c r="P3637">
        <v>-0.17465636891136099</v>
      </c>
      <c r="Q3637">
        <v>8.36874780244143E-2</v>
      </c>
      <c r="R3637">
        <v>0.98879667747855104</v>
      </c>
      <c r="S3637" t="s">
        <v>9463</v>
      </c>
      <c r="T3637" t="s">
        <v>11650</v>
      </c>
      <c r="U3637" t="s">
        <v>11650</v>
      </c>
      <c r="V3637" t="s">
        <v>11650</v>
      </c>
      <c r="W3637" t="s">
        <v>15234</v>
      </c>
      <c r="X3637">
        <v>20</v>
      </c>
      <c r="Y3637" t="s">
        <v>20914</v>
      </c>
      <c r="Z3637" t="s">
        <v>26699</v>
      </c>
      <c r="AA3637">
        <v>0.42492739783365452</v>
      </c>
      <c r="AB3637" t="str">
        <f>HYPERLINK("Melting_Curves/meltCurve_Q6DD88_ATL3.pdf", "Melting_Curves/meltCurve_Q6DD88_ATL3.pdf")</f>
        <v>Melting_Curves/meltCurve_Q6DD88_ATL3.pdf</v>
      </c>
    </row>
    <row r="3638" spans="1:28" x14ac:dyDescent="0.25">
      <c r="A3638" t="s">
        <v>3642</v>
      </c>
      <c r="B3638">
        <v>0.99996721820229495</v>
      </c>
      <c r="C3638">
        <v>1.0082461827179701</v>
      </c>
      <c r="D3638">
        <v>0.959793586315562</v>
      </c>
      <c r="E3638">
        <v>0.967926688826657</v>
      </c>
      <c r="F3638">
        <v>1.2864509336761201</v>
      </c>
      <c r="G3638">
        <v>1.31516404406368</v>
      </c>
      <c r="H3638">
        <v>0.89382839579031603</v>
      </c>
      <c r="I3638">
        <v>0.60232367453840896</v>
      </c>
      <c r="J3638">
        <v>0.23952648428439199</v>
      </c>
      <c r="K3638">
        <v>0.13822313871080999</v>
      </c>
      <c r="L3638">
        <v>2906.1778782225902</v>
      </c>
      <c r="M3638">
        <v>45.240376168811203</v>
      </c>
      <c r="N3638">
        <v>64.629684330542105</v>
      </c>
      <c r="O3638">
        <v>64.113449367943502</v>
      </c>
      <c r="P3638">
        <v>-0.15528383615078201</v>
      </c>
      <c r="Q3638">
        <v>0.11974474625847201</v>
      </c>
      <c r="R3638">
        <v>0.86848125536749199</v>
      </c>
      <c r="S3638" t="s">
        <v>9464</v>
      </c>
      <c r="T3638" t="s">
        <v>11650</v>
      </c>
      <c r="U3638" t="s">
        <v>11650</v>
      </c>
      <c r="V3638" t="s">
        <v>11650</v>
      </c>
      <c r="W3638" t="s">
        <v>15235</v>
      </c>
      <c r="X3638">
        <v>12</v>
      </c>
      <c r="Y3638" t="s">
        <v>20915</v>
      </c>
      <c r="Z3638" t="s">
        <v>26700</v>
      </c>
      <c r="AA3638">
        <v>0.83275782606816651</v>
      </c>
      <c r="AB3638" t="str">
        <f>HYPERLINK("Melting_Curves/meltCurve_Q6DHV7_ADAL.pdf", "Melting_Curves/meltCurve_Q6DHV7_ADAL.pdf")</f>
        <v>Melting_Curves/meltCurve_Q6DHV7_ADAL.pdf</v>
      </c>
    </row>
    <row r="3639" spans="1:28" x14ac:dyDescent="0.25">
      <c r="A3639" t="s">
        <v>3643</v>
      </c>
      <c r="B3639">
        <v>0.99996721820229495</v>
      </c>
      <c r="C3639">
        <v>1.0257499362029801</v>
      </c>
      <c r="D3639">
        <v>0.98286601892441205</v>
      </c>
      <c r="E3639">
        <v>0.79871635291727305</v>
      </c>
      <c r="F3639">
        <v>0.50885439087071704</v>
      </c>
      <c r="G3639">
        <v>0.39567260589728998</v>
      </c>
      <c r="H3639">
        <v>0.25810334788764899</v>
      </c>
      <c r="I3639">
        <v>0.19034985241807501</v>
      </c>
      <c r="J3639">
        <v>0.16550874510969199</v>
      </c>
      <c r="K3639">
        <v>0.124540715777538</v>
      </c>
      <c r="L3639">
        <v>900.21209457533803</v>
      </c>
      <c r="M3639">
        <v>16.9503080244281</v>
      </c>
      <c r="N3639">
        <v>54.194655417222101</v>
      </c>
      <c r="O3639">
        <v>52.386236956253498</v>
      </c>
      <c r="P3639">
        <v>-6.9249627198131297E-2</v>
      </c>
      <c r="Q3639">
        <v>0.14396855733570799</v>
      </c>
      <c r="R3639">
        <v>0.98968737643863003</v>
      </c>
      <c r="S3639" t="s">
        <v>9465</v>
      </c>
      <c r="T3639" t="s">
        <v>11650</v>
      </c>
      <c r="U3639" t="s">
        <v>11650</v>
      </c>
      <c r="V3639" t="s">
        <v>11650</v>
      </c>
      <c r="W3639" t="s">
        <v>15236</v>
      </c>
      <c r="X3639">
        <v>15</v>
      </c>
      <c r="Y3639" t="s">
        <v>20916</v>
      </c>
      <c r="Z3639" t="s">
        <v>26701</v>
      </c>
      <c r="AA3639">
        <v>0.53338015047609377</v>
      </c>
      <c r="AB3639" t="str">
        <f>HYPERLINK("Melting_Curves/meltCurve_Q6DKJ4_NXN.pdf", "Melting_Curves/meltCurve_Q6DKJ4_NXN.pdf")</f>
        <v>Melting_Curves/meltCurve_Q6DKJ4_NXN.pdf</v>
      </c>
    </row>
    <row r="3640" spans="1:28" x14ac:dyDescent="0.25">
      <c r="A3640" t="s">
        <v>3644</v>
      </c>
      <c r="B3640">
        <v>0.99996721820229495</v>
      </c>
      <c r="C3640">
        <v>0.88348264045360003</v>
      </c>
      <c r="D3640">
        <v>0.89828408109410596</v>
      </c>
      <c r="E3640">
        <v>0.89233198714512196</v>
      </c>
      <c r="F3640">
        <v>0.79578658640277</v>
      </c>
      <c r="G3640">
        <v>0.78174426968921895</v>
      </c>
      <c r="H3640">
        <v>0.54848571517098699</v>
      </c>
      <c r="I3640">
        <v>0.33277716459395501</v>
      </c>
      <c r="J3640">
        <v>0.201954419971346</v>
      </c>
      <c r="K3640">
        <v>0.123662645397004</v>
      </c>
      <c r="L3640">
        <v>778.13515449370698</v>
      </c>
      <c r="M3640">
        <v>12.773039424324599</v>
      </c>
      <c r="N3640">
        <v>60.920124773471102</v>
      </c>
      <c r="O3640">
        <v>59.484827444795997</v>
      </c>
      <c r="P3640">
        <v>-5.3692078147850403E-2</v>
      </c>
      <c r="Q3640">
        <v>0</v>
      </c>
      <c r="R3640">
        <v>0.95726975200590902</v>
      </c>
      <c r="S3640" t="s">
        <v>9466</v>
      </c>
      <c r="T3640" t="s">
        <v>11650</v>
      </c>
      <c r="U3640" t="s">
        <v>11650</v>
      </c>
      <c r="V3640" t="s">
        <v>11650</v>
      </c>
      <c r="W3640" t="s">
        <v>15237</v>
      </c>
      <c r="X3640">
        <v>6</v>
      </c>
      <c r="Y3640" t="s">
        <v>20917</v>
      </c>
      <c r="Z3640" t="s">
        <v>26702</v>
      </c>
      <c r="AA3640">
        <v>0.69600669278423744</v>
      </c>
      <c r="AB3640" t="str">
        <f>HYPERLINK("Melting_Curves/meltCurve_Q6DKK2_TTC19.pdf", "Melting_Curves/meltCurve_Q6DKK2_TTC19.pdf")</f>
        <v>Melting_Curves/meltCurve_Q6DKK2_TTC19.pdf</v>
      </c>
    </row>
    <row r="3641" spans="1:28" x14ac:dyDescent="0.25">
      <c r="A3641" t="s">
        <v>3645</v>
      </c>
      <c r="B3641">
        <v>0.99996721820229495</v>
      </c>
      <c r="C3641">
        <v>0.937243403402094</v>
      </c>
      <c r="D3641">
        <v>0.85675177663644697</v>
      </c>
      <c r="E3641">
        <v>0.55188970215376798</v>
      </c>
      <c r="F3641">
        <v>0.55031168058976798</v>
      </c>
      <c r="G3641">
        <v>0.56571458301991395</v>
      </c>
      <c r="H3641">
        <v>0.413562555436155</v>
      </c>
      <c r="I3641">
        <v>0.22132729855437699</v>
      </c>
      <c r="J3641">
        <v>0.16783004703250601</v>
      </c>
      <c r="K3641">
        <v>0.14665144159492799</v>
      </c>
      <c r="L3641">
        <v>418.75555031830697</v>
      </c>
      <c r="M3641">
        <v>7.5600918467247897</v>
      </c>
      <c r="N3641">
        <v>55.390272859031001</v>
      </c>
      <c r="O3641">
        <v>51.912782923963903</v>
      </c>
      <c r="P3641">
        <v>-3.6458485068681198E-2</v>
      </c>
      <c r="Q3641">
        <v>0</v>
      </c>
      <c r="R3641">
        <v>0.941643617853824</v>
      </c>
      <c r="S3641" t="s">
        <v>9467</v>
      </c>
      <c r="T3641" t="s">
        <v>11650</v>
      </c>
      <c r="U3641" t="s">
        <v>11650</v>
      </c>
      <c r="V3641" t="s">
        <v>11650</v>
      </c>
      <c r="W3641" t="s">
        <v>15238</v>
      </c>
      <c r="X3641">
        <v>3</v>
      </c>
      <c r="Y3641" t="s">
        <v>20918</v>
      </c>
      <c r="Z3641" t="s">
        <v>26703</v>
      </c>
      <c r="AA3641">
        <v>0.53709592605998568</v>
      </c>
      <c r="AB3641" t="str">
        <f>HYPERLINK("Melting_Curves/meltCurve_Q6DU44_HLA_E.pdf", "Melting_Curves/meltCurve_Q6DU44_HLA_E.pdf")</f>
        <v>Melting_Curves/meltCurve_Q6DU44_HLA_E.pdf</v>
      </c>
    </row>
    <row r="3642" spans="1:28" x14ac:dyDescent="0.25">
      <c r="A3642" t="s">
        <v>3646</v>
      </c>
      <c r="B3642">
        <v>0.99996721820229495</v>
      </c>
      <c r="C3642">
        <v>1.1031078879149701</v>
      </c>
      <c r="D3642">
        <v>1.03491609912047</v>
      </c>
      <c r="E3642">
        <v>0.91973989926564603</v>
      </c>
      <c r="F3642">
        <v>1.43767508334673</v>
      </c>
      <c r="G3642">
        <v>1.90591239698166</v>
      </c>
      <c r="H3642">
        <v>1.47580157312228</v>
      </c>
      <c r="I3642">
        <v>1.6207137356141299</v>
      </c>
      <c r="J3642">
        <v>1.6027786198518701</v>
      </c>
      <c r="K3642">
        <v>0.95027244315021497</v>
      </c>
      <c r="L3642">
        <v>13146.698693127901</v>
      </c>
      <c r="M3642">
        <v>250</v>
      </c>
      <c r="O3642">
        <v>52.5834299132827</v>
      </c>
      <c r="P3642">
        <v>0.59429368328135401</v>
      </c>
      <c r="Q3642">
        <v>1.5</v>
      </c>
      <c r="R3642">
        <v>0.525653762338393</v>
      </c>
      <c r="S3642" t="s">
        <v>9468</v>
      </c>
      <c r="T3642" t="s">
        <v>11650</v>
      </c>
      <c r="U3642" t="s">
        <v>11650</v>
      </c>
      <c r="V3642" t="s">
        <v>11650</v>
      </c>
      <c r="W3642" t="s">
        <v>15239</v>
      </c>
      <c r="X3642">
        <v>3</v>
      </c>
      <c r="Y3642" t="s">
        <v>20919</v>
      </c>
      <c r="Z3642" t="s">
        <v>26704</v>
      </c>
      <c r="AA3642">
        <v>1.290173942621609</v>
      </c>
      <c r="AB3642" t="str">
        <f>HYPERLINK("Melting_Curves/meltCurve_Q6EEV4_2_POLR2M.pdf", "Melting_Curves/meltCurve_Q6EEV4_2_POLR2M.pdf")</f>
        <v>Melting_Curves/meltCurve_Q6EEV4_2_POLR2M.pdf</v>
      </c>
    </row>
    <row r="3643" spans="1:28" x14ac:dyDescent="0.25">
      <c r="A3643" t="s">
        <v>3647</v>
      </c>
      <c r="B3643">
        <v>0.99996721820229495</v>
      </c>
      <c r="C3643">
        <v>0.89949976441617696</v>
      </c>
      <c r="D3643">
        <v>0.92167869957997395</v>
      </c>
      <c r="E3643">
        <v>0.90945969435066798</v>
      </c>
      <c r="F3643">
        <v>1.1022583022453101</v>
      </c>
      <c r="G3643">
        <v>0.960848734319248</v>
      </c>
      <c r="H3643">
        <v>0.51482877756843604</v>
      </c>
      <c r="I3643">
        <v>0.24639297867716201</v>
      </c>
      <c r="J3643">
        <v>0.16084773880764999</v>
      </c>
      <c r="K3643">
        <v>0.14011370633842801</v>
      </c>
      <c r="L3643">
        <v>2634.69189749303</v>
      </c>
      <c r="M3643">
        <v>43.4294257574442</v>
      </c>
      <c r="N3643">
        <v>61.161389743500997</v>
      </c>
      <c r="O3643">
        <v>60.537848877423301</v>
      </c>
      <c r="P3643">
        <v>-0.15275754714693901</v>
      </c>
      <c r="Q3643">
        <v>0.14826416863080699</v>
      </c>
      <c r="R3643">
        <v>0.97233852510248298</v>
      </c>
      <c r="S3643" t="s">
        <v>9469</v>
      </c>
      <c r="T3643" t="s">
        <v>11650</v>
      </c>
      <c r="U3643" t="s">
        <v>11650</v>
      </c>
      <c r="V3643" t="s">
        <v>11650</v>
      </c>
      <c r="W3643" t="s">
        <v>15240</v>
      </c>
      <c r="X3643">
        <v>9</v>
      </c>
      <c r="Y3643" t="s">
        <v>20920</v>
      </c>
      <c r="Z3643" t="s">
        <v>26705</v>
      </c>
      <c r="AA3643">
        <v>0.73785439385574159</v>
      </c>
      <c r="AB3643" t="str">
        <f>HYPERLINK("Melting_Curves/meltCurve_Q6EMK4_VASN.pdf", "Melting_Curves/meltCurve_Q6EMK4_VASN.pdf")</f>
        <v>Melting_Curves/meltCurve_Q6EMK4_VASN.pdf</v>
      </c>
    </row>
    <row r="3644" spans="1:28" x14ac:dyDescent="0.25">
      <c r="A3644" t="s">
        <v>3648</v>
      </c>
      <c r="B3644">
        <v>0.99996721820229495</v>
      </c>
      <c r="C3644">
        <v>1.10836332863035</v>
      </c>
      <c r="D3644">
        <v>1.0205812600269699</v>
      </c>
      <c r="E3644">
        <v>0.83843132007059895</v>
      </c>
      <c r="F3644">
        <v>0.59761999530768894</v>
      </c>
      <c r="G3644">
        <v>0.45211315624170101</v>
      </c>
      <c r="H3644">
        <v>0.27791457173601902</v>
      </c>
      <c r="I3644">
        <v>0.23441283150058101</v>
      </c>
      <c r="J3644">
        <v>0.19443730134706699</v>
      </c>
      <c r="K3644">
        <v>0.14768824537302799</v>
      </c>
      <c r="L3644">
        <v>926.56960317639198</v>
      </c>
      <c r="M3644">
        <v>17.122325340988901</v>
      </c>
      <c r="N3644">
        <v>55.396743549475602</v>
      </c>
      <c r="O3644">
        <v>53.392738527303997</v>
      </c>
      <c r="P3644">
        <v>-6.7060865191867394E-2</v>
      </c>
      <c r="Q3644">
        <v>0.163583665664191</v>
      </c>
      <c r="R3644">
        <v>0.981292160207762</v>
      </c>
      <c r="S3644" t="s">
        <v>9470</v>
      </c>
      <c r="T3644" t="s">
        <v>11650</v>
      </c>
      <c r="U3644" t="s">
        <v>11650</v>
      </c>
      <c r="V3644" t="s">
        <v>11650</v>
      </c>
      <c r="W3644" t="s">
        <v>15241</v>
      </c>
      <c r="X3644">
        <v>16</v>
      </c>
      <c r="Y3644" t="s">
        <v>20921</v>
      </c>
      <c r="Z3644" t="s">
        <v>26706</v>
      </c>
      <c r="AA3644">
        <v>0.57144214438305008</v>
      </c>
      <c r="AB3644" t="str">
        <f>HYPERLINK("Melting_Curves/meltCurve_Q6FI81_3_CIAPIN1.pdf", "Melting_Curves/meltCurve_Q6FI81_3_CIAPIN1.pdf")</f>
        <v>Melting_Curves/meltCurve_Q6FI81_3_CIAPIN1.pdf</v>
      </c>
    </row>
    <row r="3645" spans="1:28" x14ac:dyDescent="0.25">
      <c r="A3645" t="s">
        <v>3649</v>
      </c>
      <c r="B3645">
        <v>0.99996721820229495</v>
      </c>
      <c r="C3645">
        <v>0.99751528360407804</v>
      </c>
      <c r="D3645">
        <v>0.910332884065713</v>
      </c>
      <c r="E3645">
        <v>0.96825990036264298</v>
      </c>
      <c r="F3645">
        <v>1.4540969226979299</v>
      </c>
      <c r="G3645">
        <v>1.4448313300045501</v>
      </c>
      <c r="H3645">
        <v>1.0615069477569199</v>
      </c>
      <c r="I3645">
        <v>1.05586083138467</v>
      </c>
      <c r="J3645">
        <v>1.0411726684538001</v>
      </c>
      <c r="K3645">
        <v>0.60099123779872299</v>
      </c>
      <c r="L3645">
        <v>15000</v>
      </c>
      <c r="M3645">
        <v>213.876084913938</v>
      </c>
      <c r="Q3645">
        <v>0</v>
      </c>
      <c r="R3645">
        <v>0.236494141599216</v>
      </c>
      <c r="S3645" t="s">
        <v>9471</v>
      </c>
      <c r="T3645" t="s">
        <v>11650</v>
      </c>
      <c r="U3645" t="s">
        <v>11650</v>
      </c>
      <c r="V3645" t="s">
        <v>11650</v>
      </c>
      <c r="W3645" t="s">
        <v>15242</v>
      </c>
      <c r="X3645">
        <v>5</v>
      </c>
      <c r="Y3645" t="s">
        <v>20922</v>
      </c>
      <c r="Z3645" t="s">
        <v>26707</v>
      </c>
      <c r="AA3645">
        <v>0.99451363416530725</v>
      </c>
      <c r="AB3645" t="str">
        <f>HYPERLINK("Melting_Curves/meltCurve_Q6FIF0_2_ZFAND6.pdf", "Melting_Curves/meltCurve_Q6FIF0_2_ZFAND6.pdf")</f>
        <v>Melting_Curves/meltCurve_Q6FIF0_2_ZFAND6.pdf</v>
      </c>
    </row>
    <row r="3646" spans="1:28" x14ac:dyDescent="0.25">
      <c r="A3646" t="s">
        <v>3650</v>
      </c>
      <c r="B3646">
        <v>0.99996721820229495</v>
      </c>
      <c r="C3646">
        <v>0.97233214989767802</v>
      </c>
      <c r="D3646">
        <v>0.91625481540086695</v>
      </c>
      <c r="E3646">
        <v>0.94947812367009898</v>
      </c>
      <c r="F3646">
        <v>0.61920849389427901</v>
      </c>
      <c r="G3646">
        <v>0.206218403186569</v>
      </c>
      <c r="H3646">
        <v>0.10152940800188399</v>
      </c>
      <c r="I3646">
        <v>6.15697168788348E-2</v>
      </c>
      <c r="J3646">
        <v>4.1153844433393399E-2</v>
      </c>
      <c r="K3646">
        <v>3.46438538329472E-2</v>
      </c>
      <c r="L3646">
        <v>1596.7486425798199</v>
      </c>
      <c r="M3646">
        <v>29.654438445170101</v>
      </c>
      <c r="N3646">
        <v>54.033756709986399</v>
      </c>
      <c r="O3646">
        <v>53.602098054843403</v>
      </c>
      <c r="P3646">
        <v>-0.13151004970059399</v>
      </c>
      <c r="Q3646">
        <v>4.9158606168348301E-2</v>
      </c>
      <c r="R3646">
        <v>0.99455419490109898</v>
      </c>
      <c r="S3646" t="s">
        <v>9472</v>
      </c>
      <c r="T3646" t="s">
        <v>11650</v>
      </c>
      <c r="U3646" t="s">
        <v>11650</v>
      </c>
      <c r="V3646" t="s">
        <v>11650</v>
      </c>
      <c r="W3646" t="s">
        <v>15243</v>
      </c>
      <c r="X3646">
        <v>9</v>
      </c>
      <c r="Y3646" t="s">
        <v>20923</v>
      </c>
      <c r="Z3646" t="s">
        <v>26708</v>
      </c>
      <c r="AA3646">
        <v>0.49435326939044621</v>
      </c>
      <c r="AB3646" t="str">
        <f>HYPERLINK("Melting_Curves/meltCurve_Q6GMV2_SMYD5.pdf", "Melting_Curves/meltCurve_Q6GMV2_SMYD5.pdf")</f>
        <v>Melting_Curves/meltCurve_Q6GMV2_SMYD5.pdf</v>
      </c>
    </row>
    <row r="3647" spans="1:28" x14ac:dyDescent="0.25">
      <c r="A3647" t="s">
        <v>3651</v>
      </c>
      <c r="B3647">
        <v>0.99996721820229495</v>
      </c>
      <c r="C3647">
        <v>0.99398364117937499</v>
      </c>
      <c r="D3647">
        <v>0.93688003816446896</v>
      </c>
      <c r="E3647">
        <v>0.86465378609646903</v>
      </c>
      <c r="F3647">
        <v>0.90153969796613198</v>
      </c>
      <c r="G3647">
        <v>0.84062350091836302</v>
      </c>
      <c r="H3647">
        <v>0.55450979494061503</v>
      </c>
      <c r="I3647">
        <v>0.39358520719812601</v>
      </c>
      <c r="J3647">
        <v>0.282808795118631</v>
      </c>
      <c r="K3647">
        <v>0.24447989695747799</v>
      </c>
      <c r="L3647">
        <v>824.37271916112195</v>
      </c>
      <c r="M3647">
        <v>13.348302686133399</v>
      </c>
      <c r="N3647">
        <v>62.307771482643297</v>
      </c>
      <c r="O3647">
        <v>60.421900150054</v>
      </c>
      <c r="P3647">
        <v>-5.2172934988295797E-2</v>
      </c>
      <c r="Q3647">
        <v>5.54947241750137E-2</v>
      </c>
      <c r="R3647">
        <v>0.97615857422178198</v>
      </c>
      <c r="S3647" t="s">
        <v>9473</v>
      </c>
      <c r="T3647" t="s">
        <v>11650</v>
      </c>
      <c r="U3647" t="s">
        <v>11650</v>
      </c>
      <c r="V3647" t="s">
        <v>11650</v>
      </c>
      <c r="W3647" t="s">
        <v>15244</v>
      </c>
      <c r="X3647">
        <v>7</v>
      </c>
      <c r="Y3647" t="s">
        <v>20924</v>
      </c>
      <c r="Z3647" t="s">
        <v>26709</v>
      </c>
      <c r="AA3647">
        <v>0.73564039899373823</v>
      </c>
      <c r="AB3647" t="str">
        <f>HYPERLINK("Melting_Curves/meltCurve_Q6GMV3_PTRHD1.pdf", "Melting_Curves/meltCurve_Q6GMV3_PTRHD1.pdf")</f>
        <v>Melting_Curves/meltCurve_Q6GMV3_PTRHD1.pdf</v>
      </c>
    </row>
    <row r="3648" spans="1:28" x14ac:dyDescent="0.25">
      <c r="A3648" t="s">
        <v>3652</v>
      </c>
      <c r="B3648">
        <v>0.99996721820229495</v>
      </c>
      <c r="C3648">
        <v>0.80484031067526296</v>
      </c>
      <c r="D3648">
        <v>0.70540938660401198</v>
      </c>
      <c r="E3648">
        <v>0.575644721132203</v>
      </c>
      <c r="F3648">
        <v>0.50829163975068803</v>
      </c>
      <c r="G3648">
        <v>0.36650900993596502</v>
      </c>
      <c r="H3648">
        <v>0.331991915601698</v>
      </c>
      <c r="I3648">
        <v>0.197643866417022</v>
      </c>
      <c r="J3648">
        <v>0.144535190378278</v>
      </c>
      <c r="K3648">
        <v>0.12746537168547101</v>
      </c>
      <c r="L3648">
        <v>384.72111576313199</v>
      </c>
      <c r="M3648">
        <v>7.3061452887887901</v>
      </c>
      <c r="N3648">
        <v>52.657194194399402</v>
      </c>
      <c r="O3648">
        <v>49.142648011782498</v>
      </c>
      <c r="P3648">
        <v>-3.72269198956841E-2</v>
      </c>
      <c r="Q3648">
        <v>0</v>
      </c>
      <c r="R3648">
        <v>0.97866844449707102</v>
      </c>
      <c r="S3648" t="s">
        <v>9474</v>
      </c>
      <c r="T3648" t="s">
        <v>11650</v>
      </c>
      <c r="U3648" t="s">
        <v>11650</v>
      </c>
      <c r="V3648" t="s">
        <v>11650</v>
      </c>
      <c r="W3648" t="s">
        <v>15245</v>
      </c>
      <c r="X3648">
        <v>11</v>
      </c>
      <c r="Y3648" t="s">
        <v>20925</v>
      </c>
      <c r="Z3648" t="s">
        <v>26710</v>
      </c>
      <c r="AA3648">
        <v>0.46764568898525982</v>
      </c>
      <c r="AB3648" t="str">
        <f>HYPERLINK("Melting_Curves/meltCurve_Q6GQQ9_OTUD7B.pdf", "Melting_Curves/meltCurve_Q6GQQ9_OTUD7B.pdf")</f>
        <v>Melting_Curves/meltCurve_Q6GQQ9_OTUD7B.pdf</v>
      </c>
    </row>
    <row r="3649" spans="1:28" x14ac:dyDescent="0.25">
      <c r="A3649" t="s">
        <v>3653</v>
      </c>
      <c r="B3649">
        <v>0.99996721820229495</v>
      </c>
      <c r="C3649">
        <v>0.94247149701056998</v>
      </c>
      <c r="D3649">
        <v>0.99225714052395497</v>
      </c>
      <c r="E3649">
        <v>1.0393833168147699</v>
      </c>
      <c r="F3649">
        <v>1.2070624970047501</v>
      </c>
      <c r="G3649">
        <v>1.2479994022026599</v>
      </c>
      <c r="H3649">
        <v>0.87301379927552503</v>
      </c>
      <c r="I3649">
        <v>0.67225566079729104</v>
      </c>
      <c r="J3649">
        <v>0.58638696651678501</v>
      </c>
      <c r="K3649">
        <v>0.444761156188547</v>
      </c>
      <c r="L3649">
        <v>2524.46325952702</v>
      </c>
      <c r="M3649">
        <v>39.874956682598302</v>
      </c>
      <c r="N3649">
        <v>68.586152881770602</v>
      </c>
      <c r="O3649">
        <v>63.1508803383417</v>
      </c>
      <c r="P3649">
        <v>-8.2600215807240099E-2</v>
      </c>
      <c r="Q3649">
        <v>0.476737627542965</v>
      </c>
      <c r="R3649">
        <v>0.80621733988460897</v>
      </c>
      <c r="S3649" t="s">
        <v>9475</v>
      </c>
      <c r="T3649" t="s">
        <v>11650</v>
      </c>
      <c r="U3649" t="s">
        <v>11650</v>
      </c>
      <c r="V3649" t="s">
        <v>11650</v>
      </c>
      <c r="W3649" t="s">
        <v>15246</v>
      </c>
      <c r="X3649">
        <v>9</v>
      </c>
      <c r="Y3649" t="s">
        <v>20926</v>
      </c>
      <c r="Z3649" t="s">
        <v>26711</v>
      </c>
      <c r="AA3649">
        <v>0.88482270776473215</v>
      </c>
      <c r="AB3649" t="str">
        <f>HYPERLINK("Melting_Curves/meltCurve_Q6GYA4_SELS.pdf", "Melting_Curves/meltCurve_Q6GYA4_SELS.pdf")</f>
        <v>Melting_Curves/meltCurve_Q6GYA4_SELS.pdf</v>
      </c>
    </row>
    <row r="3650" spans="1:28" x14ac:dyDescent="0.25">
      <c r="A3650" t="s">
        <v>3654</v>
      </c>
      <c r="B3650">
        <v>0.99996721820229495</v>
      </c>
      <c r="C3650">
        <v>0.68973228253783103</v>
      </c>
      <c r="D3650">
        <v>0.53606528024120403</v>
      </c>
      <c r="E3650">
        <v>1.1998666878323001</v>
      </c>
      <c r="F3650">
        <v>1.0125622515705801</v>
      </c>
      <c r="G3650">
        <v>0.76243106101362101</v>
      </c>
      <c r="H3650">
        <v>0.70096000840987005</v>
      </c>
      <c r="I3650">
        <v>0.75197546609472399</v>
      </c>
      <c r="J3650">
        <v>0.48016138186257301</v>
      </c>
      <c r="K3650">
        <v>0.43326659606843199</v>
      </c>
      <c r="L3650">
        <v>558.30293567432795</v>
      </c>
      <c r="M3650">
        <v>8.1669392729310104</v>
      </c>
      <c r="N3650">
        <v>68.361342839120198</v>
      </c>
      <c r="O3650">
        <v>64.629359916201196</v>
      </c>
      <c r="P3650">
        <v>-3.1624505706078297E-2</v>
      </c>
      <c r="Q3650">
        <v>0</v>
      </c>
      <c r="R3650">
        <v>0.311474797834776</v>
      </c>
      <c r="S3650" t="s">
        <v>9476</v>
      </c>
      <c r="T3650" t="s">
        <v>11650</v>
      </c>
      <c r="U3650" t="s">
        <v>11650</v>
      </c>
      <c r="V3650" t="s">
        <v>11650</v>
      </c>
      <c r="W3650" t="s">
        <v>15247</v>
      </c>
      <c r="X3650">
        <v>1</v>
      </c>
      <c r="Y3650" t="s">
        <v>20927</v>
      </c>
      <c r="Z3650" t="s">
        <v>26712</v>
      </c>
      <c r="AA3650">
        <v>0.8191360385696046</v>
      </c>
      <c r="AB3650" t="str">
        <f>HYPERLINK("Melting_Curves/meltCurve_Q6I9Y2_THOC7.pdf", "Melting_Curves/meltCurve_Q6I9Y2_THOC7.pdf")</f>
        <v>Melting_Curves/meltCurve_Q6I9Y2_THOC7.pdf</v>
      </c>
    </row>
    <row r="3651" spans="1:28" x14ac:dyDescent="0.25">
      <c r="A3651" t="s">
        <v>3655</v>
      </c>
      <c r="B3651">
        <v>0.99996721820229495</v>
      </c>
      <c r="C3651">
        <v>0.89063995780181804</v>
      </c>
      <c r="D3651">
        <v>0.96677744923141296</v>
      </c>
      <c r="E3651">
        <v>1.4578143972617801</v>
      </c>
      <c r="F3651">
        <v>1.5708006128134699</v>
      </c>
      <c r="G3651">
        <v>1.8966553393808201</v>
      </c>
      <c r="H3651">
        <v>0.93354025574298005</v>
      </c>
      <c r="I3651">
        <v>0.38680567842681601</v>
      </c>
      <c r="J3651">
        <v>0.14298067949778401</v>
      </c>
      <c r="K3651">
        <v>0.14864180652859099</v>
      </c>
      <c r="L3651">
        <v>4736.7465126551797</v>
      </c>
      <c r="M3651">
        <v>74.9405757451959</v>
      </c>
      <c r="N3651">
        <v>63.485743325970297</v>
      </c>
      <c r="O3651">
        <v>63.161735709803501</v>
      </c>
      <c r="P3651">
        <v>-0.255000375708343</v>
      </c>
      <c r="Q3651">
        <v>0.14031813207285501</v>
      </c>
      <c r="R3651">
        <v>0.57115670824555898</v>
      </c>
      <c r="S3651" t="s">
        <v>9477</v>
      </c>
      <c r="T3651" t="s">
        <v>11650</v>
      </c>
      <c r="U3651" t="s">
        <v>11650</v>
      </c>
      <c r="V3651" t="s">
        <v>11650</v>
      </c>
      <c r="W3651" t="s">
        <v>15248</v>
      </c>
      <c r="X3651">
        <v>4</v>
      </c>
      <c r="Y3651" t="s">
        <v>20928</v>
      </c>
      <c r="Z3651" t="s">
        <v>26713</v>
      </c>
      <c r="AA3651">
        <v>0.80637321968665487</v>
      </c>
      <c r="AB3651" t="str">
        <f>HYPERLINK("Melting_Curves/meltCurve_Q6IA69_NADSYN1.pdf", "Melting_Curves/meltCurve_Q6IA69_NADSYN1.pdf")</f>
        <v>Melting_Curves/meltCurve_Q6IA69_NADSYN1.pdf</v>
      </c>
    </row>
    <row r="3652" spans="1:28" x14ac:dyDescent="0.25">
      <c r="A3652" t="s">
        <v>3656</v>
      </c>
      <c r="B3652">
        <v>0.99996721820229495</v>
      </c>
      <c r="C3652">
        <v>0.97959183141385897</v>
      </c>
      <c r="D3652">
        <v>1.07775054049531</v>
      </c>
      <c r="E3652">
        <v>0.87341549194762103</v>
      </c>
      <c r="F3652">
        <v>1.02322715629267</v>
      </c>
      <c r="G3652">
        <v>0.81892956913354598</v>
      </c>
      <c r="H3652">
        <v>0.59089368259608099</v>
      </c>
      <c r="I3652">
        <v>0.40229857445272599</v>
      </c>
      <c r="J3652">
        <v>0.29553741266693201</v>
      </c>
      <c r="K3652">
        <v>0.25736583114245898</v>
      </c>
      <c r="L3652">
        <v>1267.0440343580699</v>
      </c>
      <c r="M3652">
        <v>20.880835674014101</v>
      </c>
      <c r="N3652">
        <v>62.2535825746752</v>
      </c>
      <c r="O3652">
        <v>60.131439118265099</v>
      </c>
      <c r="P3652">
        <v>-6.9011987492110904E-2</v>
      </c>
      <c r="Q3652">
        <v>0.20507469387348401</v>
      </c>
      <c r="R3652">
        <v>0.97304276514951205</v>
      </c>
      <c r="S3652" t="s">
        <v>9478</v>
      </c>
      <c r="T3652" t="s">
        <v>11650</v>
      </c>
      <c r="U3652" t="s">
        <v>11650</v>
      </c>
      <c r="V3652" t="s">
        <v>11650</v>
      </c>
      <c r="W3652" t="s">
        <v>15249</v>
      </c>
      <c r="X3652">
        <v>3</v>
      </c>
      <c r="Y3652" t="s">
        <v>20929</v>
      </c>
      <c r="Z3652" t="s">
        <v>26714</v>
      </c>
      <c r="AA3652">
        <v>0.75857538019910598</v>
      </c>
      <c r="AB3652" t="str">
        <f>HYPERLINK("Melting_Curves/meltCurve_Q6IA86_3_ELP2.pdf", "Melting_Curves/meltCurve_Q6IA86_3_ELP2.pdf")</f>
        <v>Melting_Curves/meltCurve_Q6IA86_3_ELP2.pdf</v>
      </c>
    </row>
    <row r="3653" spans="1:28" x14ac:dyDescent="0.25">
      <c r="A3653" t="s">
        <v>3657</v>
      </c>
      <c r="B3653">
        <v>0.99996721820229495</v>
      </c>
      <c r="C3653">
        <v>0.89636401384250597</v>
      </c>
      <c r="D3653">
        <v>1.07363098528464</v>
      </c>
      <c r="E3653">
        <v>1.1732327380160701</v>
      </c>
      <c r="F3653">
        <v>1.67352530448922</v>
      </c>
      <c r="G3653">
        <v>1.71998716749231</v>
      </c>
      <c r="H3653">
        <v>1.02101809891913</v>
      </c>
      <c r="I3653">
        <v>0.40840943277778802</v>
      </c>
      <c r="J3653">
        <v>0.23250456001744499</v>
      </c>
      <c r="K3653">
        <v>0.15699599772251999</v>
      </c>
      <c r="L3653">
        <v>15000</v>
      </c>
      <c r="M3653">
        <v>235.393374814727</v>
      </c>
      <c r="N3653">
        <v>63.856996937357003</v>
      </c>
      <c r="O3653">
        <v>63.718522516694101</v>
      </c>
      <c r="P3653">
        <v>-0.74370764653229804</v>
      </c>
      <c r="Q3653">
        <v>0.19474454234116201</v>
      </c>
      <c r="R3653">
        <v>0.61112982302349494</v>
      </c>
      <c r="S3653" t="s">
        <v>9479</v>
      </c>
      <c r="T3653" t="s">
        <v>11650</v>
      </c>
      <c r="U3653" t="s">
        <v>11650</v>
      </c>
      <c r="V3653" t="s">
        <v>11650</v>
      </c>
      <c r="W3653" t="s">
        <v>15250</v>
      </c>
      <c r="X3653">
        <v>7</v>
      </c>
      <c r="Y3653" t="s">
        <v>20930</v>
      </c>
      <c r="Z3653" t="s">
        <v>26715</v>
      </c>
      <c r="AA3653">
        <v>0.83161848648451753</v>
      </c>
      <c r="AB3653" t="str">
        <f>HYPERLINK("Melting_Curves/meltCurve_Q6IAA8_LAMTOR1.pdf", "Melting_Curves/meltCurve_Q6IAA8_LAMTOR1.pdf")</f>
        <v>Melting_Curves/meltCurve_Q6IAA8_LAMTOR1.pdf</v>
      </c>
    </row>
    <row r="3654" spans="1:28" x14ac:dyDescent="0.25">
      <c r="A3654" t="s">
        <v>3658</v>
      </c>
      <c r="B3654">
        <v>0.99996721820229495</v>
      </c>
      <c r="C3654">
        <v>0.95033221325233597</v>
      </c>
      <c r="D3654">
        <v>1.02944085994033</v>
      </c>
      <c r="E3654">
        <v>0.81351563319425901</v>
      </c>
      <c r="F3654">
        <v>0.32113443000478897</v>
      </c>
      <c r="G3654">
        <v>0.28453097184139903</v>
      </c>
      <c r="H3654">
        <v>0.16410673749618701</v>
      </c>
      <c r="I3654">
        <v>0.14259606078793899</v>
      </c>
      <c r="J3654">
        <v>8.8969002931448202E-2</v>
      </c>
      <c r="K3654">
        <v>7.8346729386696401E-2</v>
      </c>
      <c r="L3654">
        <v>2089.4116244001402</v>
      </c>
      <c r="M3654">
        <v>40.5899146002631</v>
      </c>
      <c r="N3654">
        <v>51.911175283309802</v>
      </c>
      <c r="O3654">
        <v>51.351654270791897</v>
      </c>
      <c r="P3654">
        <v>-0.16911872624604701</v>
      </c>
      <c r="Q3654">
        <v>0.144170717318479</v>
      </c>
      <c r="R3654">
        <v>0.98149619603387395</v>
      </c>
      <c r="S3654" t="s">
        <v>9480</v>
      </c>
      <c r="T3654" t="s">
        <v>11650</v>
      </c>
      <c r="U3654" t="s">
        <v>11650</v>
      </c>
      <c r="V3654" t="s">
        <v>11650</v>
      </c>
      <c r="W3654" t="s">
        <v>15251</v>
      </c>
      <c r="X3654">
        <v>3</v>
      </c>
      <c r="Y3654" t="s">
        <v>20931</v>
      </c>
      <c r="Z3654" t="s">
        <v>26716</v>
      </c>
      <c r="AA3654">
        <v>0.47451362846323158</v>
      </c>
      <c r="AB3654" t="str">
        <f>HYPERLINK("Melting_Curves/meltCurve_Q6IAN0_DHRS7B.pdf", "Melting_Curves/meltCurve_Q6IAN0_DHRS7B.pdf")</f>
        <v>Melting_Curves/meltCurve_Q6IAN0_DHRS7B.pdf</v>
      </c>
    </row>
    <row r="3655" spans="1:28" x14ac:dyDescent="0.25">
      <c r="A3655" t="s">
        <v>3659</v>
      </c>
      <c r="B3655">
        <v>0.99996721820229495</v>
      </c>
      <c r="C3655">
        <v>0.97694927262929498</v>
      </c>
      <c r="D3655">
        <v>1.0270719487053499</v>
      </c>
      <c r="E3655">
        <v>1.01372917049058</v>
      </c>
      <c r="F3655">
        <v>1.1098804549326</v>
      </c>
      <c r="G3655">
        <v>0.80057766082830895</v>
      </c>
      <c r="H3655">
        <v>0.50295340142519795</v>
      </c>
      <c r="I3655">
        <v>0.28604885884412801</v>
      </c>
      <c r="J3655">
        <v>0.220200720035755</v>
      </c>
      <c r="K3655">
        <v>0.155397094829929</v>
      </c>
      <c r="L3655">
        <v>1660.51729790029</v>
      </c>
      <c r="M3655">
        <v>27.648048673200901</v>
      </c>
      <c r="N3655">
        <v>60.892459819344602</v>
      </c>
      <c r="O3655">
        <v>59.747552374569402</v>
      </c>
      <c r="P3655">
        <v>-9.7465507462451695E-2</v>
      </c>
      <c r="Q3655">
        <v>0.15751406906835699</v>
      </c>
      <c r="R3655">
        <v>0.98343091679639305</v>
      </c>
      <c r="S3655" t="s">
        <v>9481</v>
      </c>
      <c r="T3655" t="s">
        <v>11650</v>
      </c>
      <c r="U3655" t="s">
        <v>11650</v>
      </c>
      <c r="V3655" t="s">
        <v>11650</v>
      </c>
      <c r="W3655" t="s">
        <v>15252</v>
      </c>
      <c r="X3655">
        <v>11</v>
      </c>
      <c r="Y3655" t="s">
        <v>20932</v>
      </c>
      <c r="Z3655" t="s">
        <v>26717</v>
      </c>
      <c r="AA3655">
        <v>0.72645126078388622</v>
      </c>
      <c r="AB3655" t="str">
        <f>HYPERLINK("Melting_Curves/meltCurve_Q6IBS0_TWF2.pdf", "Melting_Curves/meltCurve_Q6IBS0_TWF2.pdf")</f>
        <v>Melting_Curves/meltCurve_Q6IBS0_TWF2.pdf</v>
      </c>
    </row>
    <row r="3656" spans="1:28" x14ac:dyDescent="0.25">
      <c r="A3656" t="s">
        <v>3660</v>
      </c>
      <c r="B3656">
        <v>0.99996721820229495</v>
      </c>
      <c r="C3656">
        <v>0.92245650550219405</v>
      </c>
      <c r="D3656">
        <v>0.57077952567630197</v>
      </c>
      <c r="E3656">
        <v>0.40067627761635799</v>
      </c>
      <c r="F3656">
        <v>0.47657543531485502</v>
      </c>
      <c r="G3656">
        <v>0.36834074365062502</v>
      </c>
      <c r="H3656">
        <v>0.20602223215041801</v>
      </c>
      <c r="I3656">
        <v>0.14908218964925299</v>
      </c>
      <c r="J3656">
        <v>0.11152494404223599</v>
      </c>
      <c r="K3656">
        <v>9.8030067633352494E-2</v>
      </c>
      <c r="L3656">
        <v>474.64640365376101</v>
      </c>
      <c r="M3656">
        <v>9.60886099519327</v>
      </c>
      <c r="N3656">
        <v>50.206604363598601</v>
      </c>
      <c r="O3656">
        <v>47.399447967204999</v>
      </c>
      <c r="P3656">
        <v>-4.7068486829788897E-2</v>
      </c>
      <c r="Q3656">
        <v>7.1791171051603403E-2</v>
      </c>
      <c r="R3656">
        <v>0.93299024459737101</v>
      </c>
      <c r="S3656" t="s">
        <v>9482</v>
      </c>
      <c r="T3656" t="s">
        <v>11650</v>
      </c>
      <c r="U3656" t="s">
        <v>11650</v>
      </c>
      <c r="V3656" t="s">
        <v>11650</v>
      </c>
      <c r="W3656" t="s">
        <v>15253</v>
      </c>
      <c r="X3656">
        <v>3</v>
      </c>
      <c r="Y3656" t="s">
        <v>20933</v>
      </c>
      <c r="Z3656" t="s">
        <v>26718</v>
      </c>
      <c r="AA3656">
        <v>0.40910672318049901</v>
      </c>
      <c r="AB3656" t="str">
        <f>HYPERLINK("Melting_Curves/meltCurve_Q6ICB0_DESI1.pdf", "Melting_Curves/meltCurve_Q6ICB0_DESI1.pdf")</f>
        <v>Melting_Curves/meltCurve_Q6ICB0_DESI1.pdf</v>
      </c>
    </row>
    <row r="3657" spans="1:28" x14ac:dyDescent="0.25">
      <c r="A3657" t="s">
        <v>3661</v>
      </c>
      <c r="B3657">
        <v>0.99996721820229495</v>
      </c>
      <c r="C3657">
        <v>0.96550663242394197</v>
      </c>
      <c r="D3657">
        <v>0.92705044330722297</v>
      </c>
      <c r="E3657">
        <v>1.04889221159624</v>
      </c>
      <c r="F3657">
        <v>1.03437893599469</v>
      </c>
      <c r="G3657">
        <v>0.98987080937452698</v>
      </c>
      <c r="H3657">
        <v>0.229026802344622</v>
      </c>
      <c r="I3657">
        <v>0.185029088503191</v>
      </c>
      <c r="J3657">
        <v>0.11642810456889099</v>
      </c>
      <c r="K3657">
        <v>0.11904719016728101</v>
      </c>
      <c r="L3657">
        <v>5457.3316110350697</v>
      </c>
      <c r="M3657">
        <v>91.597738841476399</v>
      </c>
      <c r="N3657">
        <v>59.792370069400903</v>
      </c>
      <c r="O3657">
        <v>59.550945088968199</v>
      </c>
      <c r="P3657">
        <v>-0.33099639852377899</v>
      </c>
      <c r="Q3657">
        <v>0.13922998386076599</v>
      </c>
      <c r="R3657">
        <v>0.99226998245842102</v>
      </c>
      <c r="S3657" t="s">
        <v>9483</v>
      </c>
      <c r="T3657" t="s">
        <v>11650</v>
      </c>
      <c r="U3657" t="s">
        <v>11650</v>
      </c>
      <c r="V3657" t="s">
        <v>11650</v>
      </c>
      <c r="W3657" t="s">
        <v>15254</v>
      </c>
      <c r="X3657">
        <v>4</v>
      </c>
      <c r="Y3657" t="s">
        <v>20934</v>
      </c>
      <c r="Z3657" t="s">
        <v>26719</v>
      </c>
      <c r="AA3657">
        <v>0.70167794192590549</v>
      </c>
      <c r="AB3657" t="str">
        <f>HYPERLINK("Melting_Curves/meltCurve_Q6ICG6_KIAA0930.pdf", "Melting_Curves/meltCurve_Q6ICG6_KIAA0930.pdf")</f>
        <v>Melting_Curves/meltCurve_Q6ICG6_KIAA0930.pdf</v>
      </c>
    </row>
    <row r="3658" spans="1:28" x14ac:dyDescent="0.25">
      <c r="A3658" t="s">
        <v>3662</v>
      </c>
      <c r="B3658">
        <v>0.99996721820229495</v>
      </c>
      <c r="C3658">
        <v>0.96330202694315703</v>
      </c>
      <c r="D3658">
        <v>0.98307604930360604</v>
      </c>
      <c r="E3658">
        <v>0.95351863946548898</v>
      </c>
      <c r="F3658">
        <v>1.0904494101367901</v>
      </c>
      <c r="G3658">
        <v>1.0311817079811301</v>
      </c>
      <c r="H3658">
        <v>0.66065010232318999</v>
      </c>
      <c r="I3658">
        <v>0.48891123527967101</v>
      </c>
      <c r="J3658">
        <v>0.32680308126746199</v>
      </c>
      <c r="K3658">
        <v>0.17015617407643899</v>
      </c>
      <c r="L3658">
        <v>1671.14570652459</v>
      </c>
      <c r="M3658">
        <v>26.6591938534098</v>
      </c>
      <c r="N3658">
        <v>63.586971083939702</v>
      </c>
      <c r="O3658">
        <v>62.336001558309398</v>
      </c>
      <c r="P3658">
        <v>-9.0093470464047004E-2</v>
      </c>
      <c r="Q3658">
        <v>0.15736264880210499</v>
      </c>
      <c r="R3658">
        <v>0.97115541432529295</v>
      </c>
      <c r="S3658" t="s">
        <v>9484</v>
      </c>
      <c r="T3658" t="s">
        <v>11650</v>
      </c>
      <c r="U3658" t="s">
        <v>11650</v>
      </c>
      <c r="V3658" t="s">
        <v>11650</v>
      </c>
      <c r="W3658" t="s">
        <v>15255</v>
      </c>
      <c r="X3658">
        <v>6</v>
      </c>
      <c r="Y3658" t="s">
        <v>20935</v>
      </c>
      <c r="Z3658" t="s">
        <v>26720</v>
      </c>
      <c r="AA3658">
        <v>0.79745454218951128</v>
      </c>
      <c r="AB3658" t="str">
        <f>HYPERLINK("Melting_Curves/meltCurve_Q6ICJ4_Em_AP000351_3.pdf", "Melting_Curves/meltCurve_Q6ICJ4_Em_AP000351_3.pdf")</f>
        <v>Melting_Curves/meltCurve_Q6ICJ4_Em_AP000351_3.pdf</v>
      </c>
    </row>
    <row r="3659" spans="1:28" x14ac:dyDescent="0.25">
      <c r="A3659" t="s">
        <v>3663</v>
      </c>
      <c r="B3659">
        <v>0.99996721820229495</v>
      </c>
      <c r="C3659">
        <v>1.06475433197681</v>
      </c>
      <c r="D3659">
        <v>1.01221131017679</v>
      </c>
      <c r="E3659">
        <v>0.91267494353107503</v>
      </c>
      <c r="F3659">
        <v>0.92911440841601001</v>
      </c>
      <c r="G3659">
        <v>0.59007943288847398</v>
      </c>
      <c r="H3659">
        <v>0.30743069143728802</v>
      </c>
      <c r="I3659">
        <v>0.29518062246327798</v>
      </c>
      <c r="J3659">
        <v>0.15079151704246899</v>
      </c>
      <c r="K3659">
        <v>0.19353844463898601</v>
      </c>
      <c r="L3659">
        <v>1372.60539869184</v>
      </c>
      <c r="M3659">
        <v>24.016935505687702</v>
      </c>
      <c r="N3659">
        <v>58.2038226498737</v>
      </c>
      <c r="O3659">
        <v>56.759757054312502</v>
      </c>
      <c r="P3659">
        <v>-8.7155206297818005E-2</v>
      </c>
      <c r="Q3659">
        <v>0.17610965242955401</v>
      </c>
      <c r="R3659">
        <v>0.98731194496949803</v>
      </c>
      <c r="S3659" t="s">
        <v>9485</v>
      </c>
      <c r="T3659" t="s">
        <v>11650</v>
      </c>
      <c r="U3659" t="s">
        <v>11650</v>
      </c>
      <c r="V3659" t="s">
        <v>11650</v>
      </c>
      <c r="W3659" t="s">
        <v>15256</v>
      </c>
      <c r="X3659">
        <v>4</v>
      </c>
      <c r="Y3659" t="s">
        <v>20936</v>
      </c>
      <c r="Z3659" t="s">
        <v>26721</v>
      </c>
      <c r="AA3659">
        <v>0.65499190570678822</v>
      </c>
      <c r="AB3659" t="str">
        <f>HYPERLINK("Melting_Curves/meltCurve_Q6ICL3_TANGO2.pdf", "Melting_Curves/meltCurve_Q6ICL3_TANGO2.pdf")</f>
        <v>Melting_Curves/meltCurve_Q6ICL3_TANGO2.pdf</v>
      </c>
    </row>
    <row r="3660" spans="1:28" x14ac:dyDescent="0.25">
      <c r="A3660" t="s">
        <v>3664</v>
      </c>
      <c r="B3660">
        <v>0.99996721820229495</v>
      </c>
      <c r="C3660">
        <v>0.82756575595553905</v>
      </c>
      <c r="D3660">
        <v>0.790808602136165</v>
      </c>
      <c r="E3660">
        <v>1.2104002679038699</v>
      </c>
      <c r="F3660">
        <v>1.2648033007656001</v>
      </c>
      <c r="G3660">
        <v>0.61774041172017002</v>
      </c>
      <c r="H3660">
        <v>0.30060400685098598</v>
      </c>
      <c r="I3660">
        <v>0.27898065049776899</v>
      </c>
      <c r="J3660">
        <v>0.18307914132165101</v>
      </c>
      <c r="K3660">
        <v>0.12791305149045701</v>
      </c>
      <c r="L3660">
        <v>7452.5686897350597</v>
      </c>
      <c r="M3660">
        <v>130.71309756504601</v>
      </c>
      <c r="N3660">
        <v>57.272831976020797</v>
      </c>
      <c r="O3660">
        <v>57.001363281500502</v>
      </c>
      <c r="P3660">
        <v>-0.44567967254836799</v>
      </c>
      <c r="Q3660">
        <v>0.222592118784709</v>
      </c>
      <c r="R3660">
        <v>0.87150561029780504</v>
      </c>
      <c r="S3660" t="s">
        <v>9486</v>
      </c>
      <c r="T3660" t="s">
        <v>11650</v>
      </c>
      <c r="U3660" t="s">
        <v>11650</v>
      </c>
      <c r="V3660" t="s">
        <v>11650</v>
      </c>
      <c r="W3660" t="s">
        <v>15257</v>
      </c>
      <c r="X3660">
        <v>5</v>
      </c>
      <c r="Y3660" t="s">
        <v>20937</v>
      </c>
      <c r="Z3660" t="s">
        <v>26722</v>
      </c>
      <c r="AA3660">
        <v>0.6637890219182464</v>
      </c>
      <c r="AB3660" t="str">
        <f>HYPERLINK("Melting_Curves/meltCurve_Q6IN85_2_SMEK1.pdf", "Melting_Curves/meltCurve_Q6IN85_2_SMEK1.pdf")</f>
        <v>Melting_Curves/meltCurve_Q6IN85_2_SMEK1.pdf</v>
      </c>
    </row>
    <row r="3661" spans="1:28" x14ac:dyDescent="0.25">
      <c r="A3661" t="s">
        <v>3665</v>
      </c>
      <c r="B3661">
        <v>0.99996721820229495</v>
      </c>
      <c r="C3661">
        <v>1.0411182097432301</v>
      </c>
      <c r="D3661">
        <v>1.06890448957825</v>
      </c>
      <c r="E3661">
        <v>0.97526021877178604</v>
      </c>
      <c r="F3661">
        <v>0.97044281127222898</v>
      </c>
      <c r="G3661">
        <v>0.66420678492954099</v>
      </c>
      <c r="H3661">
        <v>0.253716459291638</v>
      </c>
      <c r="I3661">
        <v>0.170402291196499</v>
      </c>
      <c r="J3661">
        <v>0.13708421349515501</v>
      </c>
      <c r="K3661">
        <v>0.125177124524921</v>
      </c>
      <c r="L3661">
        <v>1956.9868360390401</v>
      </c>
      <c r="M3661">
        <v>33.859555363656</v>
      </c>
      <c r="N3661">
        <v>58.3134045691518</v>
      </c>
      <c r="O3661">
        <v>57.596697890725402</v>
      </c>
      <c r="P3661">
        <v>-0.127937030549543</v>
      </c>
      <c r="Q3661">
        <v>0.12949593152658501</v>
      </c>
      <c r="R3661">
        <v>0.99552023646024901</v>
      </c>
      <c r="S3661" t="s">
        <v>9487</v>
      </c>
      <c r="T3661" t="s">
        <v>11650</v>
      </c>
      <c r="U3661" t="s">
        <v>11650</v>
      </c>
      <c r="V3661" t="s">
        <v>11650</v>
      </c>
      <c r="W3661" t="s">
        <v>15258</v>
      </c>
      <c r="X3661">
        <v>11</v>
      </c>
      <c r="Y3661" t="s">
        <v>20938</v>
      </c>
      <c r="Z3661" t="s">
        <v>26723</v>
      </c>
      <c r="AA3661">
        <v>0.65057116356184441</v>
      </c>
      <c r="AB3661" t="str">
        <f>HYPERLINK("Melting_Curves/meltCurve_Q6IQ22_RAB12.pdf", "Melting_Curves/meltCurve_Q6IQ22_RAB12.pdf")</f>
        <v>Melting_Curves/meltCurve_Q6IQ22_RAB12.pdf</v>
      </c>
    </row>
    <row r="3662" spans="1:28" x14ac:dyDescent="0.25">
      <c r="A3662" t="s">
        <v>3666</v>
      </c>
      <c r="B3662">
        <v>0.99996721820229495</v>
      </c>
      <c r="C3662">
        <v>1.04842353241193</v>
      </c>
      <c r="D3662">
        <v>0.99782290409734098</v>
      </c>
      <c r="E3662">
        <v>0.94427191444092196</v>
      </c>
      <c r="F3662">
        <v>1.1187696220237999</v>
      </c>
      <c r="G3662">
        <v>1.1235422280085301</v>
      </c>
      <c r="H3662">
        <v>0.66966360872375197</v>
      </c>
      <c r="I3662">
        <v>0.56402059485881995</v>
      </c>
      <c r="J3662">
        <v>0.55865446436752497</v>
      </c>
      <c r="K3662">
        <v>0.36139279608749503</v>
      </c>
      <c r="L3662">
        <v>5710.4417821081797</v>
      </c>
      <c r="M3662">
        <v>94.208644336134796</v>
      </c>
      <c r="N3662">
        <v>63.465218449261499</v>
      </c>
      <c r="O3662">
        <v>60.5875322930533</v>
      </c>
      <c r="P3662">
        <v>-0.197190027626864</v>
      </c>
      <c r="Q3662">
        <v>0.49273198451964001</v>
      </c>
      <c r="R3662">
        <v>0.90929341269550501</v>
      </c>
      <c r="S3662" t="s">
        <v>9488</v>
      </c>
      <c r="T3662" t="s">
        <v>11650</v>
      </c>
      <c r="U3662" t="s">
        <v>11650</v>
      </c>
      <c r="V3662" t="s">
        <v>11650</v>
      </c>
      <c r="W3662" t="s">
        <v>15259</v>
      </c>
      <c r="X3662">
        <v>2</v>
      </c>
      <c r="Y3662" t="s">
        <v>20939</v>
      </c>
      <c r="Z3662" t="s">
        <v>26724</v>
      </c>
      <c r="AA3662">
        <v>0.84168739361861333</v>
      </c>
      <c r="AB3662" t="str">
        <f>HYPERLINK("Melting_Curves/meltCurve_Q6IQ49_3_SDE2.pdf", "Melting_Curves/meltCurve_Q6IQ49_3_SDE2.pdf")</f>
        <v>Melting_Curves/meltCurve_Q6IQ49_3_SDE2.pdf</v>
      </c>
    </row>
    <row r="3663" spans="1:28" x14ac:dyDescent="0.25">
      <c r="A3663" t="s">
        <v>3667</v>
      </c>
      <c r="B3663">
        <v>0.99996721820229495</v>
      </c>
      <c r="C3663">
        <v>1.11317823287026</v>
      </c>
      <c r="D3663">
        <v>1.06770507757816</v>
      </c>
      <c r="E3663">
        <v>1.23603872711167</v>
      </c>
      <c r="F3663">
        <v>1.4231133344901901</v>
      </c>
      <c r="G3663">
        <v>2.1300076439331299</v>
      </c>
      <c r="H3663">
        <v>1.45486758854771</v>
      </c>
      <c r="I3663">
        <v>0.93959558191639403</v>
      </c>
      <c r="J3663">
        <v>0.84903542224960804</v>
      </c>
      <c r="K3663">
        <v>0.84838164563898599</v>
      </c>
      <c r="L3663">
        <v>15000</v>
      </c>
      <c r="M3663">
        <v>233.966054929488</v>
      </c>
      <c r="O3663">
        <v>64.107166504365097</v>
      </c>
      <c r="P3663">
        <v>-0.13804242048899901</v>
      </c>
      <c r="Q3663">
        <v>0.84870437177495595</v>
      </c>
      <c r="R3663">
        <v>-0.27621054063011402</v>
      </c>
      <c r="S3663" t="s">
        <v>9489</v>
      </c>
      <c r="T3663" t="s">
        <v>11650</v>
      </c>
      <c r="U3663" t="s">
        <v>11650</v>
      </c>
      <c r="V3663" t="s">
        <v>11650</v>
      </c>
      <c r="W3663" t="s">
        <v>15260</v>
      </c>
      <c r="X3663">
        <v>3</v>
      </c>
      <c r="Y3663" t="s">
        <v>20940</v>
      </c>
      <c r="Z3663" t="s">
        <v>26725</v>
      </c>
      <c r="AA3663">
        <v>0.97032446462293886</v>
      </c>
      <c r="AB3663" t="str">
        <f>HYPERLINK("Melting_Curves/meltCurve_Q6KC79_3_NIPBL.pdf", "Melting_Curves/meltCurve_Q6KC79_3_NIPBL.pdf")</f>
        <v>Melting_Curves/meltCurve_Q6KC79_3_NIPBL.pdf</v>
      </c>
    </row>
    <row r="3664" spans="1:28" x14ac:dyDescent="0.25">
      <c r="A3664" t="s">
        <v>3668</v>
      </c>
      <c r="B3664">
        <v>0.99996721820229495</v>
      </c>
      <c r="C3664">
        <v>1.0355811095832299</v>
      </c>
      <c r="D3664">
        <v>1.1281523001521401</v>
      </c>
      <c r="E3664">
        <v>1.3199945896704599</v>
      </c>
      <c r="F3664">
        <v>1.67608775553388</v>
      </c>
      <c r="G3664">
        <v>2.16834708742299</v>
      </c>
      <c r="H3664">
        <v>1.5890756240709201</v>
      </c>
      <c r="I3664">
        <v>1.32203012723937</v>
      </c>
      <c r="J3664">
        <v>1.0602433969937199</v>
      </c>
      <c r="K3664">
        <v>0.947140706115565</v>
      </c>
      <c r="L3664">
        <v>1825.3783548521999</v>
      </c>
      <c r="M3664">
        <v>38.593283680413698</v>
      </c>
      <c r="O3664">
        <v>47.171390716740703</v>
      </c>
      <c r="P3664">
        <v>9.2007043753477902E-2</v>
      </c>
      <c r="Q3664">
        <v>1.4498282992075899</v>
      </c>
      <c r="R3664">
        <v>0.242433614677555</v>
      </c>
      <c r="S3664" t="s">
        <v>9490</v>
      </c>
      <c r="T3664" t="s">
        <v>11650</v>
      </c>
      <c r="U3664" t="s">
        <v>11650</v>
      </c>
      <c r="V3664" t="s">
        <v>11650</v>
      </c>
      <c r="W3664" t="s">
        <v>15261</v>
      </c>
      <c r="X3664">
        <v>9</v>
      </c>
      <c r="Y3664" t="s">
        <v>20941</v>
      </c>
      <c r="Z3664" t="s">
        <v>26726</v>
      </c>
      <c r="AA3664">
        <v>1.338810521056758</v>
      </c>
      <c r="AB3664" t="str">
        <f>HYPERLINK("Melting_Curves/meltCurve_Q6N022_TENM4.pdf", "Melting_Curves/meltCurve_Q6N022_TENM4.pdf")</f>
        <v>Melting_Curves/meltCurve_Q6N022_TENM4.pdf</v>
      </c>
    </row>
    <row r="3665" spans="1:28" x14ac:dyDescent="0.25">
      <c r="A3665" t="s">
        <v>3669</v>
      </c>
      <c r="B3665">
        <v>0.99996721820229495</v>
      </c>
      <c r="C3665">
        <v>0.93040898159576702</v>
      </c>
      <c r="D3665">
        <v>0.69673919516258798</v>
      </c>
      <c r="E3665">
        <v>0.48531475117447098</v>
      </c>
      <c r="F3665">
        <v>0.55511912308157596</v>
      </c>
      <c r="G3665">
        <v>0.355243898697923</v>
      </c>
      <c r="H3665">
        <v>0.21572061839970899</v>
      </c>
      <c r="I3665">
        <v>0.21050814780490301</v>
      </c>
      <c r="J3665">
        <v>0.127921526358584</v>
      </c>
      <c r="K3665">
        <v>0.135801688299197</v>
      </c>
      <c r="L3665">
        <v>475.43346621691597</v>
      </c>
      <c r="M3665">
        <v>9.27493426011171</v>
      </c>
      <c r="N3665">
        <v>52.016629529071103</v>
      </c>
      <c r="O3665">
        <v>49.046187043062901</v>
      </c>
      <c r="P3665">
        <v>-4.4322040150340698E-2</v>
      </c>
      <c r="Q3665">
        <v>6.3100948445510396E-2</v>
      </c>
      <c r="R3665">
        <v>0.96384397812436395</v>
      </c>
      <c r="S3665" t="s">
        <v>9491</v>
      </c>
      <c r="T3665" t="s">
        <v>11650</v>
      </c>
      <c r="U3665" t="s">
        <v>11650</v>
      </c>
      <c r="V3665" t="s">
        <v>11650</v>
      </c>
      <c r="W3665" t="s">
        <v>15262</v>
      </c>
      <c r="X3665">
        <v>4</v>
      </c>
      <c r="Y3665" t="s">
        <v>20942</v>
      </c>
      <c r="Z3665" t="s">
        <v>26727</v>
      </c>
      <c r="AA3665">
        <v>0.4563117184940077</v>
      </c>
      <c r="AB3665" t="str">
        <f>HYPERLINK("Melting_Curves/meltCurve_Q6N063_OGFOD2.pdf", "Melting_Curves/meltCurve_Q6N063_OGFOD2.pdf")</f>
        <v>Melting_Curves/meltCurve_Q6N063_OGFOD2.pdf</v>
      </c>
    </row>
    <row r="3666" spans="1:28" x14ac:dyDescent="0.25">
      <c r="A3666" t="s">
        <v>3670</v>
      </c>
      <c r="B3666">
        <v>0.99996721820229495</v>
      </c>
      <c r="C3666">
        <v>0.81633468937762099</v>
      </c>
      <c r="D3666">
        <v>0.94363931131601897</v>
      </c>
      <c r="E3666">
        <v>1.25200750603637</v>
      </c>
      <c r="F3666">
        <v>1.5329533371888799</v>
      </c>
      <c r="G3666">
        <v>1.2332927451633899</v>
      </c>
      <c r="H3666">
        <v>0.68362664347902002</v>
      </c>
      <c r="I3666">
        <v>0.32189620409118302</v>
      </c>
      <c r="J3666">
        <v>0.169650386147464</v>
      </c>
      <c r="K3666">
        <v>0.18525129903614301</v>
      </c>
      <c r="L3666">
        <v>3483.8396817723001</v>
      </c>
      <c r="M3666">
        <v>56.516176914573599</v>
      </c>
      <c r="N3666">
        <v>62.163127632932103</v>
      </c>
      <c r="O3666">
        <v>61.5662045169002</v>
      </c>
      <c r="P3666">
        <v>-0.18627141035106001</v>
      </c>
      <c r="Q3666">
        <v>0.188337472766161</v>
      </c>
      <c r="R3666">
        <v>0.77750745918872999</v>
      </c>
      <c r="S3666" t="s">
        <v>9492</v>
      </c>
      <c r="T3666" t="s">
        <v>11650</v>
      </c>
      <c r="U3666" t="s">
        <v>11650</v>
      </c>
      <c r="V3666" t="s">
        <v>11650</v>
      </c>
      <c r="W3666" t="s">
        <v>15263</v>
      </c>
      <c r="X3666">
        <v>3</v>
      </c>
      <c r="Y3666" t="s">
        <v>20943</v>
      </c>
      <c r="Z3666" t="s">
        <v>26728</v>
      </c>
      <c r="AA3666">
        <v>0.77558282305966197</v>
      </c>
      <c r="AB3666" t="str">
        <f>HYPERLINK("Melting_Curves/meltCurve_Q6NSJ0_KIAA1161.pdf", "Melting_Curves/meltCurve_Q6NSJ0_KIAA1161.pdf")</f>
        <v>Melting_Curves/meltCurve_Q6NSJ0_KIAA1161.pdf</v>
      </c>
    </row>
    <row r="3667" spans="1:28" x14ac:dyDescent="0.25">
      <c r="A3667" t="s">
        <v>3671</v>
      </c>
      <c r="B3667">
        <v>0.99996721820229495</v>
      </c>
      <c r="C3667">
        <v>1.1164321799105099</v>
      </c>
      <c r="D3667">
        <v>1.1290266940344</v>
      </c>
      <c r="E3667">
        <v>1.2620120315233001</v>
      </c>
      <c r="F3667">
        <v>1.5069100882127799</v>
      </c>
      <c r="G3667">
        <v>1.75014599680106</v>
      </c>
      <c r="H3667">
        <v>1.19945723523987</v>
      </c>
      <c r="I3667">
        <v>0.89486982793813896</v>
      </c>
      <c r="J3667">
        <v>0.605092267268454</v>
      </c>
      <c r="K3667">
        <v>0.57717359289043002</v>
      </c>
      <c r="L3667">
        <v>9731.12403514789</v>
      </c>
      <c r="M3667">
        <v>150.98003901806001</v>
      </c>
      <c r="O3667">
        <v>64.441743471193007</v>
      </c>
      <c r="P3667">
        <v>-0.23990140851530101</v>
      </c>
      <c r="Q3667">
        <v>0.59041831047535898</v>
      </c>
      <c r="R3667">
        <v>0.198219867153204</v>
      </c>
      <c r="S3667" t="s">
        <v>9493</v>
      </c>
      <c r="T3667" t="s">
        <v>11650</v>
      </c>
      <c r="U3667" t="s">
        <v>11650</v>
      </c>
      <c r="V3667" t="s">
        <v>11650</v>
      </c>
      <c r="W3667" t="s">
        <v>15264</v>
      </c>
      <c r="X3667">
        <v>3</v>
      </c>
      <c r="Y3667" t="s">
        <v>20944</v>
      </c>
      <c r="Z3667" t="s">
        <v>26729</v>
      </c>
      <c r="AA3667">
        <v>0.92439606327895263</v>
      </c>
      <c r="AB3667" t="str">
        <f>HYPERLINK("Melting_Curves/meltCurve_Q6NT16_SLC18B1.pdf", "Melting_Curves/meltCurve_Q6NT16_SLC18B1.pdf")</f>
        <v>Melting_Curves/meltCurve_Q6NT16_SLC18B1.pdf</v>
      </c>
    </row>
    <row r="3668" spans="1:28" x14ac:dyDescent="0.25">
      <c r="A3668" t="s">
        <v>3672</v>
      </c>
      <c r="B3668">
        <v>0.99996721820229495</v>
      </c>
      <c r="C3668">
        <v>0.98627369633542605</v>
      </c>
      <c r="D3668">
        <v>0.90796251220358104</v>
      </c>
      <c r="E3668">
        <v>0.93793406821502701</v>
      </c>
      <c r="F3668">
        <v>1.42431346354565</v>
      </c>
      <c r="G3668">
        <v>2.1914491355678498</v>
      </c>
      <c r="H3668">
        <v>1.72897116853139</v>
      </c>
      <c r="I3668">
        <v>1.4460712993098099</v>
      </c>
      <c r="J3668">
        <v>1.4532828634022901</v>
      </c>
      <c r="K3668">
        <v>1.0214610196934499</v>
      </c>
      <c r="L3668">
        <v>13158.635557257099</v>
      </c>
      <c r="M3668">
        <v>250</v>
      </c>
      <c r="O3668">
        <v>52.631186743938102</v>
      </c>
      <c r="P3668">
        <v>0.59375456886498201</v>
      </c>
      <c r="Q3668">
        <v>1.5</v>
      </c>
      <c r="R3668">
        <v>0.51088197071793895</v>
      </c>
      <c r="S3668" t="s">
        <v>9494</v>
      </c>
      <c r="T3668" t="s">
        <v>11650</v>
      </c>
      <c r="U3668" t="s">
        <v>11650</v>
      </c>
      <c r="V3668" t="s">
        <v>11650</v>
      </c>
      <c r="W3668" t="s">
        <v>15265</v>
      </c>
      <c r="X3668">
        <v>1</v>
      </c>
      <c r="Y3668" t="s">
        <v>20945</v>
      </c>
      <c r="Z3668" t="s">
        <v>26730</v>
      </c>
      <c r="AA3668">
        <v>1.289378109781641</v>
      </c>
      <c r="AB3668" t="str">
        <f>HYPERLINK("Melting_Curves/meltCurve_Q6NT89_TRNP1.pdf", "Melting_Curves/meltCurve_Q6NT89_TRNP1.pdf")</f>
        <v>Melting_Curves/meltCurve_Q6NT89_TRNP1.pdf</v>
      </c>
    </row>
    <row r="3669" spans="1:28" x14ac:dyDescent="0.25">
      <c r="A3669" t="s">
        <v>3673</v>
      </c>
      <c r="B3669">
        <v>0.99996721820229495</v>
      </c>
      <c r="C3669">
        <v>0.834826993293869</v>
      </c>
      <c r="D3669">
        <v>0.74018622094414099</v>
      </c>
      <c r="E3669">
        <v>0.356231639191325</v>
      </c>
      <c r="F3669">
        <v>0.44119260356849499</v>
      </c>
      <c r="G3669">
        <v>0.380976730921472</v>
      </c>
      <c r="H3669">
        <v>0.26346570477344899</v>
      </c>
      <c r="I3669">
        <v>0</v>
      </c>
      <c r="J3669">
        <v>0</v>
      </c>
      <c r="K3669">
        <v>0</v>
      </c>
      <c r="L3669">
        <v>490.88490620849302</v>
      </c>
      <c r="M3669">
        <v>9.7408261269573995</v>
      </c>
      <c r="N3669">
        <v>50.3945628409299</v>
      </c>
      <c r="O3669">
        <v>48.408255416333603</v>
      </c>
      <c r="P3669">
        <v>-5.0332653325275999E-2</v>
      </c>
      <c r="Q3669">
        <v>0</v>
      </c>
      <c r="R3669">
        <v>0.92335424735965899</v>
      </c>
      <c r="S3669" t="s">
        <v>9495</v>
      </c>
      <c r="T3669" t="s">
        <v>11650</v>
      </c>
      <c r="U3669" t="s">
        <v>11650</v>
      </c>
      <c r="V3669" t="s">
        <v>11650</v>
      </c>
      <c r="W3669" t="s">
        <v>15266</v>
      </c>
      <c r="X3669">
        <v>1</v>
      </c>
      <c r="Y3669" t="s">
        <v>20946</v>
      </c>
      <c r="Z3669" t="s">
        <v>26731</v>
      </c>
      <c r="AA3669">
        <v>0.39178146743008357</v>
      </c>
      <c r="AB3669" t="str">
        <f>HYPERLINK("Melting_Curves/meltCurve_Q6NTE8_C5orf45.pdf", "Melting_Curves/meltCurve_Q6NTE8_C5orf45.pdf")</f>
        <v>Melting_Curves/meltCurve_Q6NTE8_C5orf45.pdf</v>
      </c>
    </row>
    <row r="3670" spans="1:28" x14ac:dyDescent="0.25">
      <c r="A3670" t="s">
        <v>3674</v>
      </c>
      <c r="B3670">
        <v>0.99996721820229495</v>
      </c>
      <c r="C3670">
        <v>0.69634282454318397</v>
      </c>
      <c r="D3670">
        <v>0.93843293209909395</v>
      </c>
      <c r="E3670">
        <v>1.2302308557730299</v>
      </c>
      <c r="F3670">
        <v>1.72548581286764</v>
      </c>
      <c r="G3670">
        <v>1.6242104293111399</v>
      </c>
      <c r="H3670">
        <v>1.29249904533643</v>
      </c>
      <c r="I3670">
        <v>0.61076952315700594</v>
      </c>
      <c r="J3670">
        <v>0.20633301388429101</v>
      </c>
      <c r="K3670">
        <v>0.114190031130422</v>
      </c>
      <c r="L3670">
        <v>15000</v>
      </c>
      <c r="M3670">
        <v>234.228682426223</v>
      </c>
      <c r="N3670">
        <v>64.145793438773197</v>
      </c>
      <c r="O3670">
        <v>64.035287599492904</v>
      </c>
      <c r="P3670">
        <v>-0.76791513432031</v>
      </c>
      <c r="Q3670">
        <v>0.160244870699635</v>
      </c>
      <c r="R3670">
        <v>0.569926152427504</v>
      </c>
      <c r="S3670" t="s">
        <v>9496</v>
      </c>
      <c r="T3670" t="s">
        <v>11650</v>
      </c>
      <c r="U3670" t="s">
        <v>11650</v>
      </c>
      <c r="V3670" t="s">
        <v>11650</v>
      </c>
      <c r="W3670" t="s">
        <v>15267</v>
      </c>
      <c r="X3670">
        <v>17</v>
      </c>
      <c r="Y3670" t="s">
        <v>20947</v>
      </c>
      <c r="Z3670" t="s">
        <v>26732</v>
      </c>
      <c r="AA3670">
        <v>0.83327559157030329</v>
      </c>
      <c r="AB3670" t="str">
        <f>HYPERLINK("Melting_Curves/meltCurve_Q6NUK1_SLC25A24.pdf", "Melting_Curves/meltCurve_Q6NUK1_SLC25A24.pdf")</f>
        <v>Melting_Curves/meltCurve_Q6NUK1_SLC25A24.pdf</v>
      </c>
    </row>
    <row r="3671" spans="1:28" x14ac:dyDescent="0.25">
      <c r="A3671" t="s">
        <v>3675</v>
      </c>
      <c r="B3671">
        <v>0.99996721820229495</v>
      </c>
      <c r="C3671">
        <v>1.14276372717135</v>
      </c>
      <c r="D3671">
        <v>1.1224904030829399</v>
      </c>
      <c r="E3671">
        <v>1.0979896936867</v>
      </c>
      <c r="F3671">
        <v>1.2139323479848001</v>
      </c>
      <c r="G3671">
        <v>1.34169995603086</v>
      </c>
      <c r="H3671">
        <v>0.98501308536216603</v>
      </c>
      <c r="I3671">
        <v>0.77969150796516196</v>
      </c>
      <c r="J3671">
        <v>0.71322929664429302</v>
      </c>
      <c r="K3671">
        <v>0.55162377681063501</v>
      </c>
      <c r="L3671">
        <v>2520.7223813802202</v>
      </c>
      <c r="M3671">
        <v>38.9413977745549</v>
      </c>
      <c r="O3671">
        <v>64.561175012804597</v>
      </c>
      <c r="P3671">
        <v>-6.6056879060072599E-2</v>
      </c>
      <c r="Q3671">
        <v>0.56193664169218405</v>
      </c>
      <c r="R3671">
        <v>0.598554699514804</v>
      </c>
      <c r="S3671" t="s">
        <v>9497</v>
      </c>
      <c r="T3671" t="s">
        <v>11650</v>
      </c>
      <c r="U3671" t="s">
        <v>11650</v>
      </c>
      <c r="V3671" t="s">
        <v>11650</v>
      </c>
      <c r="W3671" t="s">
        <v>15268</v>
      </c>
      <c r="X3671">
        <v>4</v>
      </c>
      <c r="Y3671" t="s">
        <v>20948</v>
      </c>
      <c r="Z3671" t="s">
        <v>26733</v>
      </c>
      <c r="AA3671">
        <v>0.92356781471322169</v>
      </c>
      <c r="AB3671" t="str">
        <f>HYPERLINK("Melting_Curves/meltCurve_Q6NUK4_REEP3.pdf", "Melting_Curves/meltCurve_Q6NUK4_REEP3.pdf")</f>
        <v>Melting_Curves/meltCurve_Q6NUK4_REEP3.pdf</v>
      </c>
    </row>
    <row r="3672" spans="1:28" x14ac:dyDescent="0.25">
      <c r="A3672" t="s">
        <v>3676</v>
      </c>
      <c r="B3672">
        <v>0.99996721820229495</v>
      </c>
      <c r="C3672">
        <v>0.92169003649609105</v>
      </c>
      <c r="D3672">
        <v>0.82062874544887598</v>
      </c>
      <c r="E3672">
        <v>0.71469048572135996</v>
      </c>
      <c r="F3672">
        <v>0.62109387674829797</v>
      </c>
      <c r="G3672">
        <v>0.451619372442641</v>
      </c>
      <c r="H3672">
        <v>0.25582050007308998</v>
      </c>
      <c r="I3672">
        <v>0.14620755299205801</v>
      </c>
      <c r="J3672">
        <v>9.2862385141630505E-2</v>
      </c>
      <c r="K3672">
        <v>7.5720984169264302E-2</v>
      </c>
      <c r="L3672">
        <v>570.710146670619</v>
      </c>
      <c r="M3672">
        <v>10.421216418616201</v>
      </c>
      <c r="N3672">
        <v>54.7642543244717</v>
      </c>
      <c r="O3672">
        <v>52.862864091546903</v>
      </c>
      <c r="P3672">
        <v>-4.9304669035375899E-2</v>
      </c>
      <c r="Q3672">
        <v>0</v>
      </c>
      <c r="R3672">
        <v>0.98959908650995998</v>
      </c>
      <c r="S3672" t="s">
        <v>9498</v>
      </c>
      <c r="T3672" t="s">
        <v>11650</v>
      </c>
      <c r="U3672" t="s">
        <v>11650</v>
      </c>
      <c r="V3672" t="s">
        <v>11650</v>
      </c>
      <c r="W3672" t="s">
        <v>15269</v>
      </c>
      <c r="X3672">
        <v>23</v>
      </c>
      <c r="Y3672" t="s">
        <v>20949</v>
      </c>
      <c r="Z3672" t="s">
        <v>26734</v>
      </c>
      <c r="AA3672">
        <v>0.51852561091606142</v>
      </c>
      <c r="AB3672" t="str">
        <f>HYPERLINK("Melting_Curves/meltCurve_Q6NUM9_RETSAT.pdf", "Melting_Curves/meltCurve_Q6NUM9_RETSAT.pdf")</f>
        <v>Melting_Curves/meltCurve_Q6NUM9_RETSAT.pdf</v>
      </c>
    </row>
    <row r="3673" spans="1:28" x14ac:dyDescent="0.25">
      <c r="A3673" t="s">
        <v>3677</v>
      </c>
      <c r="B3673">
        <v>0.99996721820229495</v>
      </c>
      <c r="C3673">
        <v>0.99958914839719304</v>
      </c>
      <c r="D3673">
        <v>0.99689294034119502</v>
      </c>
      <c r="E3673">
        <v>0.37801794425339902</v>
      </c>
      <c r="F3673">
        <v>0.33591592191920999</v>
      </c>
      <c r="G3673">
        <v>0.247838390021343</v>
      </c>
      <c r="H3673">
        <v>0.210801525762634</v>
      </c>
      <c r="I3673">
        <v>8.5771636339056101E-2</v>
      </c>
      <c r="J3673">
        <v>2.3106907934051402E-2</v>
      </c>
      <c r="K3673">
        <v>3.1585477825815701E-2</v>
      </c>
      <c r="L3673">
        <v>1338.0858277212701</v>
      </c>
      <c r="M3673">
        <v>27.112863013012898</v>
      </c>
      <c r="N3673">
        <v>49.8584675845552</v>
      </c>
      <c r="O3673">
        <v>49.086307442399701</v>
      </c>
      <c r="P3673">
        <v>-0.12148016142288</v>
      </c>
      <c r="Q3673">
        <v>0.120276805885122</v>
      </c>
      <c r="R3673">
        <v>0.95425182319919399</v>
      </c>
      <c r="S3673" t="s">
        <v>9499</v>
      </c>
      <c r="T3673" t="s">
        <v>11650</v>
      </c>
      <c r="U3673" t="s">
        <v>11650</v>
      </c>
      <c r="V3673" t="s">
        <v>11650</v>
      </c>
      <c r="W3673" t="s">
        <v>15270</v>
      </c>
      <c r="X3673">
        <v>1</v>
      </c>
      <c r="Y3673" t="s">
        <v>20950</v>
      </c>
      <c r="Z3673" t="s">
        <v>26735</v>
      </c>
      <c r="AA3673">
        <v>0.40115059830107241</v>
      </c>
      <c r="AB3673" t="str">
        <f>HYPERLINK("Melting_Curves/meltCurve_Q6NUQ1_RINT1.pdf", "Melting_Curves/meltCurve_Q6NUQ1_RINT1.pdf")</f>
        <v>Melting_Curves/meltCurve_Q6NUQ1_RINT1.pdf</v>
      </c>
    </row>
    <row r="3674" spans="1:28" x14ac:dyDescent="0.25">
      <c r="A3674" t="s">
        <v>3678</v>
      </c>
      <c r="B3674">
        <v>0.99996721820229495</v>
      </c>
      <c r="C3674">
        <v>1.0884313724791499</v>
      </c>
      <c r="D3674">
        <v>1.0350256508856499</v>
      </c>
      <c r="E3674">
        <v>0.88042134140088801</v>
      </c>
      <c r="F3674">
        <v>0.307934641019178</v>
      </c>
      <c r="G3674">
        <v>0.26970828538532299</v>
      </c>
      <c r="H3674">
        <v>0.15480310247555301</v>
      </c>
      <c r="I3674">
        <v>9.9436426212770199E-2</v>
      </c>
      <c r="J3674">
        <v>8.4021584773170802E-2</v>
      </c>
      <c r="K3674">
        <v>6.5197202903529594E-2</v>
      </c>
      <c r="L3674">
        <v>2677.6019364212002</v>
      </c>
      <c r="M3674">
        <v>51.797352312250602</v>
      </c>
      <c r="N3674">
        <v>51.999401300885403</v>
      </c>
      <c r="O3674">
        <v>51.616922322060397</v>
      </c>
      <c r="P3674">
        <v>-0.217953770420591</v>
      </c>
      <c r="Q3674">
        <v>0.13122245321794301</v>
      </c>
      <c r="R3674">
        <v>0.98019351894245099</v>
      </c>
      <c r="S3674" t="s">
        <v>9500</v>
      </c>
      <c r="T3674" t="s">
        <v>11650</v>
      </c>
      <c r="U3674" t="s">
        <v>11650</v>
      </c>
      <c r="V3674" t="s">
        <v>11650</v>
      </c>
      <c r="W3674" t="s">
        <v>15271</v>
      </c>
      <c r="X3674">
        <v>20</v>
      </c>
      <c r="Y3674" t="s">
        <v>20951</v>
      </c>
      <c r="Z3674" t="s">
        <v>26736</v>
      </c>
      <c r="AA3674">
        <v>0.47171127396226031</v>
      </c>
      <c r="AB3674" t="str">
        <f>HYPERLINK("Melting_Curves/meltCurve_Q6NUQ4_2_TMEM214.pdf", "Melting_Curves/meltCurve_Q6NUQ4_2_TMEM214.pdf")</f>
        <v>Melting_Curves/meltCurve_Q6NUQ4_2_TMEM214.pdf</v>
      </c>
    </row>
    <row r="3675" spans="1:28" x14ac:dyDescent="0.25">
      <c r="A3675" t="s">
        <v>3679</v>
      </c>
      <c r="B3675">
        <v>0.99996721820229495</v>
      </c>
      <c r="C3675">
        <v>1.0487569606372</v>
      </c>
      <c r="D3675">
        <v>1.00263610445621</v>
      </c>
      <c r="E3675">
        <v>0.92543148148103505</v>
      </c>
      <c r="F3675">
        <v>0.70937676785847503</v>
      </c>
      <c r="G3675">
        <v>0.39904150376550601</v>
      </c>
      <c r="H3675">
        <v>0.24075328270379301</v>
      </c>
      <c r="I3675">
        <v>0.122750543127465</v>
      </c>
      <c r="J3675">
        <v>0.10752536344725799</v>
      </c>
      <c r="K3675">
        <v>0.109922923110308</v>
      </c>
      <c r="L3675">
        <v>1134.4792384309501</v>
      </c>
      <c r="M3675">
        <v>20.557796409284698</v>
      </c>
      <c r="N3675">
        <v>55.7473821727325</v>
      </c>
      <c r="O3675">
        <v>54.670651220319101</v>
      </c>
      <c r="P3675">
        <v>-8.5204491485279907E-2</v>
      </c>
      <c r="Q3675">
        <v>9.3667659559627997E-2</v>
      </c>
      <c r="R3675">
        <v>0.99630939778746497</v>
      </c>
      <c r="S3675" t="s">
        <v>9501</v>
      </c>
      <c r="T3675" t="s">
        <v>11650</v>
      </c>
      <c r="U3675" t="s">
        <v>11650</v>
      </c>
      <c r="V3675" t="s">
        <v>11650</v>
      </c>
      <c r="W3675" t="s">
        <v>15272</v>
      </c>
      <c r="X3675">
        <v>3</v>
      </c>
      <c r="Y3675" t="s">
        <v>20952</v>
      </c>
      <c r="Z3675" t="s">
        <v>26737</v>
      </c>
      <c r="AA3675">
        <v>0.56394277713228946</v>
      </c>
      <c r="AB3675" t="str">
        <f>HYPERLINK("Melting_Curves/meltCurve_Q6NUS6_TCTN3.pdf", "Melting_Curves/meltCurve_Q6NUS6_TCTN3.pdf")</f>
        <v>Melting_Curves/meltCurve_Q6NUS6_TCTN3.pdf</v>
      </c>
    </row>
    <row r="3676" spans="1:28" x14ac:dyDescent="0.25">
      <c r="A3676" t="s">
        <v>3680</v>
      </c>
      <c r="B3676">
        <v>0.99996721820229495</v>
      </c>
      <c r="C3676">
        <v>0.91935587750028802</v>
      </c>
      <c r="D3676">
        <v>0.849420834996236</v>
      </c>
      <c r="E3676">
        <v>0.830491226205468</v>
      </c>
      <c r="F3676">
        <v>0.69283157531566197</v>
      </c>
      <c r="G3676">
        <v>0.352023056578329</v>
      </c>
      <c r="H3676">
        <v>0.220305096153049</v>
      </c>
      <c r="I3676">
        <v>0.21447540284503899</v>
      </c>
      <c r="J3676">
        <v>0.14729285363765199</v>
      </c>
      <c r="K3676">
        <v>0.168700978979758</v>
      </c>
      <c r="L3676">
        <v>824.17334057928997</v>
      </c>
      <c r="M3676">
        <v>15.2087024700309</v>
      </c>
      <c r="N3676">
        <v>55.1294482021707</v>
      </c>
      <c r="O3676">
        <v>53.2799135320952</v>
      </c>
      <c r="P3676">
        <v>-6.32289523473996E-2</v>
      </c>
      <c r="Q3676">
        <v>0.11405703601618</v>
      </c>
      <c r="R3676">
        <v>0.97987950841418403</v>
      </c>
      <c r="S3676" t="s">
        <v>9502</v>
      </c>
      <c r="T3676" t="s">
        <v>11650</v>
      </c>
      <c r="U3676" t="s">
        <v>11650</v>
      </c>
      <c r="V3676" t="s">
        <v>11650</v>
      </c>
      <c r="W3676" t="s">
        <v>15273</v>
      </c>
      <c r="X3676">
        <v>2</v>
      </c>
      <c r="Y3676" t="s">
        <v>20953</v>
      </c>
      <c r="Z3676" t="s">
        <v>26738</v>
      </c>
      <c r="AA3676">
        <v>0.55082099535522877</v>
      </c>
      <c r="AB3676" t="str">
        <f>HYPERLINK("Melting_Curves/meltCurve_Q6NVU6_UFSP1.pdf", "Melting_Curves/meltCurve_Q6NVU6_UFSP1.pdf")</f>
        <v>Melting_Curves/meltCurve_Q6NVU6_UFSP1.pdf</v>
      </c>
    </row>
    <row r="3677" spans="1:28" x14ac:dyDescent="0.25">
      <c r="A3677" t="s">
        <v>3681</v>
      </c>
      <c r="B3677">
        <v>0.99996721820229495</v>
      </c>
      <c r="C3677">
        <v>0.92582710451029204</v>
      </c>
      <c r="D3677">
        <v>0.80516923061184498</v>
      </c>
      <c r="E3677">
        <v>0.50229894150032595</v>
      </c>
      <c r="F3677">
        <v>0.22550209018377201</v>
      </c>
      <c r="G3677">
        <v>0.15899560515039901</v>
      </c>
      <c r="H3677">
        <v>9.3045183008570106E-2</v>
      </c>
      <c r="I3677">
        <v>7.0442212976997307E-2</v>
      </c>
      <c r="J3677">
        <v>4.3892354151944799E-2</v>
      </c>
      <c r="K3677">
        <v>4.0818976387424301E-2</v>
      </c>
      <c r="L3677">
        <v>888.12026361906806</v>
      </c>
      <c r="M3677">
        <v>17.953335955778101</v>
      </c>
      <c r="N3677">
        <v>49.749642160205802</v>
      </c>
      <c r="O3677">
        <v>48.866748692372902</v>
      </c>
      <c r="P3677">
        <v>-8.7418386379216798E-2</v>
      </c>
      <c r="Q3677">
        <v>4.8279245257089203E-2</v>
      </c>
      <c r="R3677">
        <v>0.996794411433781</v>
      </c>
      <c r="S3677" t="s">
        <v>9503</v>
      </c>
      <c r="T3677" t="s">
        <v>11650</v>
      </c>
      <c r="U3677" t="s">
        <v>11650</v>
      </c>
      <c r="V3677" t="s">
        <v>11650</v>
      </c>
      <c r="W3677" t="s">
        <v>15274</v>
      </c>
      <c r="X3677">
        <v>13</v>
      </c>
      <c r="Y3677" t="s">
        <v>20954</v>
      </c>
      <c r="Z3677" t="s">
        <v>26739</v>
      </c>
      <c r="AA3677">
        <v>0.36508658933081412</v>
      </c>
      <c r="AB3677" t="str">
        <f>HYPERLINK("Melting_Curves/meltCurve_Q6NVY1_HIBCH.pdf", "Melting_Curves/meltCurve_Q6NVY1_HIBCH.pdf")</f>
        <v>Melting_Curves/meltCurve_Q6NVY1_HIBCH.pdf</v>
      </c>
    </row>
    <row r="3678" spans="1:28" x14ac:dyDescent="0.25">
      <c r="A3678" t="s">
        <v>3682</v>
      </c>
      <c r="B3678">
        <v>0.99996721820229495</v>
      </c>
      <c r="C3678">
        <v>0.86353465082877001</v>
      </c>
      <c r="D3678">
        <v>0.820236239646989</v>
      </c>
      <c r="E3678">
        <v>0.803501653952302</v>
      </c>
      <c r="F3678">
        <v>1.0018338227438</v>
      </c>
      <c r="G3678">
        <v>0.89545612103169603</v>
      </c>
      <c r="H3678">
        <v>0.63488400518055299</v>
      </c>
      <c r="I3678">
        <v>0.43173560722146798</v>
      </c>
      <c r="J3678">
        <v>0.39044300517311398</v>
      </c>
      <c r="K3678">
        <v>0.27771254155244102</v>
      </c>
      <c r="L3678">
        <v>756.28856377069303</v>
      </c>
      <c r="M3678">
        <v>11.8179617074319</v>
      </c>
      <c r="N3678">
        <v>63.994845430526198</v>
      </c>
      <c r="O3678">
        <v>62.244979958831003</v>
      </c>
      <c r="P3678">
        <v>-4.7477674963376702E-2</v>
      </c>
      <c r="Q3678">
        <v>0</v>
      </c>
      <c r="R3678">
        <v>0.85198098297817404</v>
      </c>
      <c r="S3678" t="s">
        <v>9504</v>
      </c>
      <c r="T3678" t="s">
        <v>11650</v>
      </c>
      <c r="U3678" t="s">
        <v>11650</v>
      </c>
      <c r="V3678" t="s">
        <v>11650</v>
      </c>
      <c r="W3678" t="s">
        <v>15275</v>
      </c>
      <c r="X3678">
        <v>3</v>
      </c>
      <c r="Y3678" t="s">
        <v>20955</v>
      </c>
      <c r="Z3678" t="s">
        <v>26740</v>
      </c>
      <c r="AA3678">
        <v>0.7696929296806575</v>
      </c>
      <c r="AB3678" t="str">
        <f>HYPERLINK("Melting_Curves/meltCurve_Q6NXT1_ANKRD54.pdf", "Melting_Curves/meltCurve_Q6NXT1_ANKRD54.pdf")</f>
        <v>Melting_Curves/meltCurve_Q6NXT1_ANKRD54.pdf</v>
      </c>
    </row>
    <row r="3679" spans="1:28" x14ac:dyDescent="0.25">
      <c r="A3679" t="s">
        <v>3683</v>
      </c>
      <c r="B3679">
        <v>0.99996721820229495</v>
      </c>
      <c r="C3679">
        <v>1.02151516329323</v>
      </c>
      <c r="D3679">
        <v>0.963243569603768</v>
      </c>
      <c r="E3679">
        <v>1.15115011479256</v>
      </c>
      <c r="F3679">
        <v>1.5982912193587</v>
      </c>
      <c r="G3679">
        <v>1.84726520424916</v>
      </c>
      <c r="H3679">
        <v>1.17976479638498</v>
      </c>
      <c r="I3679">
        <v>0.43283557422158903</v>
      </c>
      <c r="J3679">
        <v>0.19412584847008599</v>
      </c>
      <c r="K3679">
        <v>0.12816081266024101</v>
      </c>
      <c r="L3679">
        <v>15000</v>
      </c>
      <c r="M3679">
        <v>235.11083841643</v>
      </c>
      <c r="N3679">
        <v>63.905449690817697</v>
      </c>
      <c r="O3679">
        <v>63.795061542448103</v>
      </c>
      <c r="P3679">
        <v>-0.772891587554146</v>
      </c>
      <c r="Q3679">
        <v>0.161133008074622</v>
      </c>
      <c r="R3679">
        <v>0.60044849886762797</v>
      </c>
      <c r="S3679" t="s">
        <v>9505</v>
      </c>
      <c r="T3679" t="s">
        <v>11650</v>
      </c>
      <c r="U3679" t="s">
        <v>11650</v>
      </c>
      <c r="V3679" t="s">
        <v>11650</v>
      </c>
      <c r="W3679" t="s">
        <v>15276</v>
      </c>
      <c r="X3679">
        <v>4</v>
      </c>
      <c r="Y3679" t="s">
        <v>20956</v>
      </c>
      <c r="Z3679" t="s">
        <v>26741</v>
      </c>
      <c r="AA3679">
        <v>0.82673185431341734</v>
      </c>
      <c r="AB3679" t="str">
        <f>HYPERLINK("Melting_Curves/meltCurve_Q6NXT6_TAPT1.pdf", "Melting_Curves/meltCurve_Q6NXT6_TAPT1.pdf")</f>
        <v>Melting_Curves/meltCurve_Q6NXT6_TAPT1.pdf</v>
      </c>
    </row>
    <row r="3680" spans="1:28" x14ac:dyDescent="0.25">
      <c r="A3680" t="s">
        <v>3684</v>
      </c>
      <c r="B3680">
        <v>0.99996721820229495</v>
      </c>
      <c r="C3680">
        <v>0.90943218100123802</v>
      </c>
      <c r="D3680">
        <v>0.77712409523383197</v>
      </c>
      <c r="E3680">
        <v>0.84006896952304599</v>
      </c>
      <c r="F3680">
        <v>0.80330831340363296</v>
      </c>
      <c r="G3680">
        <v>0.64327298428224799</v>
      </c>
      <c r="H3680">
        <v>0.45387308647521002</v>
      </c>
      <c r="I3680">
        <v>0.42434705827833302</v>
      </c>
      <c r="J3680">
        <v>0.42379000448058901</v>
      </c>
      <c r="K3680">
        <v>0.31531673788454001</v>
      </c>
      <c r="L3680">
        <v>372.53198636200398</v>
      </c>
      <c r="M3680">
        <v>6.0387242900365301</v>
      </c>
      <c r="N3680">
        <v>61.690510911430103</v>
      </c>
      <c r="O3680">
        <v>55.947782148387802</v>
      </c>
      <c r="P3680">
        <v>-2.7069150728421702E-2</v>
      </c>
      <c r="Q3680">
        <v>0</v>
      </c>
      <c r="R3680">
        <v>0.94674952159182502</v>
      </c>
      <c r="S3680" t="s">
        <v>9506</v>
      </c>
      <c r="T3680" t="s">
        <v>11650</v>
      </c>
      <c r="U3680" t="s">
        <v>11650</v>
      </c>
      <c r="V3680" t="s">
        <v>11650</v>
      </c>
      <c r="W3680" t="s">
        <v>15277</v>
      </c>
      <c r="X3680">
        <v>25</v>
      </c>
      <c r="Y3680" t="s">
        <v>20957</v>
      </c>
      <c r="Z3680" t="s">
        <v>26742</v>
      </c>
      <c r="AA3680">
        <v>0.66653652136784891</v>
      </c>
      <c r="AB3680" t="str">
        <f>HYPERLINK("Melting_Curves/meltCurve_Q6NYC8_PPP1R18.pdf", "Melting_Curves/meltCurve_Q6NYC8_PPP1R18.pdf")</f>
        <v>Melting_Curves/meltCurve_Q6NYC8_PPP1R18.pdf</v>
      </c>
    </row>
    <row r="3681" spans="1:28" x14ac:dyDescent="0.25">
      <c r="A3681" t="s">
        <v>3685</v>
      </c>
      <c r="B3681">
        <v>0.99996721820229495</v>
      </c>
      <c r="C3681">
        <v>0.87483426067162895</v>
      </c>
      <c r="D3681">
        <v>0.78804706948788406</v>
      </c>
      <c r="E3681">
        <v>0.73399624500514904</v>
      </c>
      <c r="F3681">
        <v>0.56483743133800401</v>
      </c>
      <c r="G3681">
        <v>0.37713386750418898</v>
      </c>
      <c r="H3681">
        <v>0.203142539219935</v>
      </c>
      <c r="I3681">
        <v>0.14359671528847401</v>
      </c>
      <c r="J3681">
        <v>0.100378849207803</v>
      </c>
      <c r="K3681">
        <v>6.8796458466722096E-2</v>
      </c>
      <c r="L3681">
        <v>557.54249409850797</v>
      </c>
      <c r="M3681">
        <v>10.3612062335804</v>
      </c>
      <c r="N3681">
        <v>53.810577414780703</v>
      </c>
      <c r="O3681">
        <v>51.921843278518999</v>
      </c>
      <c r="P3681">
        <v>-4.9909657124325602E-2</v>
      </c>
      <c r="Q3681">
        <v>0</v>
      </c>
      <c r="R3681">
        <v>0.98841218636888994</v>
      </c>
      <c r="S3681" t="s">
        <v>9507</v>
      </c>
      <c r="T3681" t="s">
        <v>11650</v>
      </c>
      <c r="U3681" t="s">
        <v>11650</v>
      </c>
      <c r="V3681" t="s">
        <v>11650</v>
      </c>
      <c r="W3681" t="s">
        <v>15278</v>
      </c>
      <c r="X3681">
        <v>5</v>
      </c>
      <c r="Y3681" t="s">
        <v>20958</v>
      </c>
      <c r="Z3681" t="s">
        <v>26743</v>
      </c>
      <c r="AA3681">
        <v>0.49053472669960319</v>
      </c>
      <c r="AB3681" t="str">
        <f>HYPERLINK("Melting_Curves/meltCurve_Q6NZ53_THOC3.pdf", "Melting_Curves/meltCurve_Q6NZ53_THOC3.pdf")</f>
        <v>Melting_Curves/meltCurve_Q6NZ53_THOC3.pdf</v>
      </c>
    </row>
    <row r="3682" spans="1:28" x14ac:dyDescent="0.25">
      <c r="A3682" t="s">
        <v>3686</v>
      </c>
      <c r="B3682">
        <v>0.99996721820229495</v>
      </c>
      <c r="C3682">
        <v>1.0307379739747</v>
      </c>
      <c r="D3682">
        <v>1.0114094906643201</v>
      </c>
      <c r="E3682">
        <v>1.20852041840638</v>
      </c>
      <c r="F3682">
        <v>1.6471235713841801</v>
      </c>
      <c r="G3682">
        <v>1.82618985907233</v>
      </c>
      <c r="H3682">
        <v>1.35595940938033</v>
      </c>
      <c r="I3682">
        <v>1.06049938313283</v>
      </c>
      <c r="J3682">
        <v>0.98736169115065398</v>
      </c>
      <c r="K3682">
        <v>0.74359684950845495</v>
      </c>
      <c r="L3682">
        <v>5605.8269923458502</v>
      </c>
      <c r="M3682">
        <v>79.350369065379695</v>
      </c>
      <c r="Q3682">
        <v>0.21356151537847801</v>
      </c>
      <c r="R3682">
        <v>-0.28663041283033402</v>
      </c>
      <c r="S3682" t="s">
        <v>9508</v>
      </c>
      <c r="T3682" t="s">
        <v>11650</v>
      </c>
      <c r="U3682" t="s">
        <v>11650</v>
      </c>
      <c r="V3682" t="s">
        <v>11650</v>
      </c>
      <c r="W3682" t="s">
        <v>15279</v>
      </c>
      <c r="X3682">
        <v>19</v>
      </c>
      <c r="Y3682" t="s">
        <v>20959</v>
      </c>
      <c r="Z3682" t="s">
        <v>26744</v>
      </c>
      <c r="AA3682">
        <v>0.99124687717862847</v>
      </c>
      <c r="AB3682" t="str">
        <f>HYPERLINK("Melting_Curves/meltCurve_Q6NZI2_PTRF.pdf", "Melting_Curves/meltCurve_Q6NZI2_PTRF.pdf")</f>
        <v>Melting_Curves/meltCurve_Q6NZI2_PTRF.pdf</v>
      </c>
    </row>
    <row r="3683" spans="1:28" x14ac:dyDescent="0.25">
      <c r="A3683" t="s">
        <v>3687</v>
      </c>
      <c r="B3683">
        <v>0.99996721820229495</v>
      </c>
      <c r="C3683">
        <v>0.91356884320523501</v>
      </c>
      <c r="D3683">
        <v>0.800418598606501</v>
      </c>
      <c r="E3683">
        <v>0.86086273274081704</v>
      </c>
      <c r="F3683">
        <v>1.14304825689469</v>
      </c>
      <c r="G3683">
        <v>1.0350226078121501</v>
      </c>
      <c r="H3683">
        <v>0.87041056520036097</v>
      </c>
      <c r="I3683">
        <v>1.1064206854962999</v>
      </c>
      <c r="J3683">
        <v>1.0877425330513999</v>
      </c>
      <c r="K3683">
        <v>0.71171947258017698</v>
      </c>
      <c r="L3683">
        <v>15000</v>
      </c>
      <c r="M3683">
        <v>213.381907022174</v>
      </c>
      <c r="Q3683">
        <v>0</v>
      </c>
      <c r="R3683">
        <v>0.32918010274634202</v>
      </c>
      <c r="S3683" t="s">
        <v>9509</v>
      </c>
      <c r="T3683" t="s">
        <v>11650</v>
      </c>
      <c r="U3683" t="s">
        <v>11650</v>
      </c>
      <c r="V3683" t="s">
        <v>11650</v>
      </c>
      <c r="W3683" t="s">
        <v>15280</v>
      </c>
      <c r="X3683">
        <v>5</v>
      </c>
      <c r="Y3683" t="s">
        <v>20960</v>
      </c>
      <c r="Z3683" t="s">
        <v>26745</v>
      </c>
      <c r="AA3683">
        <v>0.9963342490210958</v>
      </c>
      <c r="AB3683" t="str">
        <f>HYPERLINK("Melting_Curves/meltCurve_Q6NZY7_CDC42EP5.pdf", "Melting_Curves/meltCurve_Q6NZY7_CDC42EP5.pdf")</f>
        <v>Melting_Curves/meltCurve_Q6NZY7_CDC42EP5.pdf</v>
      </c>
    </row>
    <row r="3684" spans="1:28" x14ac:dyDescent="0.25">
      <c r="A3684" t="s">
        <v>3688</v>
      </c>
      <c r="B3684">
        <v>0.99996721820229495</v>
      </c>
      <c r="C3684">
        <v>1.12485902312471</v>
      </c>
      <c r="D3684">
        <v>1.24429834195864</v>
      </c>
      <c r="E3684">
        <v>1.3793227358159199</v>
      </c>
      <c r="F3684">
        <v>1.5458714822933599</v>
      </c>
      <c r="G3684">
        <v>0.901172489043782</v>
      </c>
      <c r="H3684">
        <v>0.33675228263062501</v>
      </c>
      <c r="I3684">
        <v>0.17411699564647301</v>
      </c>
      <c r="J3684">
        <v>0.123809636978779</v>
      </c>
      <c r="K3684">
        <v>9.8163992193574606E-2</v>
      </c>
      <c r="L3684">
        <v>3003.2185285262499</v>
      </c>
      <c r="M3684">
        <v>50.3530611782123</v>
      </c>
      <c r="N3684">
        <v>59.972728311644701</v>
      </c>
      <c r="O3684">
        <v>59.549368379027797</v>
      </c>
      <c r="P3684">
        <v>-0.185846970518769</v>
      </c>
      <c r="Q3684">
        <v>0.120843090694687</v>
      </c>
      <c r="R3684">
        <v>0.81413295095467597</v>
      </c>
      <c r="S3684" t="s">
        <v>9510</v>
      </c>
      <c r="T3684" t="s">
        <v>11650</v>
      </c>
      <c r="U3684" t="s">
        <v>11650</v>
      </c>
      <c r="V3684" t="s">
        <v>11650</v>
      </c>
      <c r="W3684" t="s">
        <v>15281</v>
      </c>
      <c r="X3684">
        <v>24</v>
      </c>
      <c r="Y3684" t="s">
        <v>20961</v>
      </c>
      <c r="Z3684" t="s">
        <v>26746</v>
      </c>
      <c r="AA3684">
        <v>0.69874334570427643</v>
      </c>
      <c r="AB3684" t="str">
        <f>HYPERLINK("Melting_Curves/meltCurve_Q6P179_ERAP2.pdf", "Melting_Curves/meltCurve_Q6P179_ERAP2.pdf")</f>
        <v>Melting_Curves/meltCurve_Q6P179_ERAP2.pdf</v>
      </c>
    </row>
    <row r="3685" spans="1:28" x14ac:dyDescent="0.25">
      <c r="A3685" t="s">
        <v>3689</v>
      </c>
      <c r="B3685">
        <v>0.99996721820229495</v>
      </c>
      <c r="C3685">
        <v>0.64516500529554199</v>
      </c>
      <c r="D3685">
        <v>0.81314025240694299</v>
      </c>
      <c r="E3685">
        <v>1.1663346794520599</v>
      </c>
      <c r="F3685">
        <v>1.4069412120822</v>
      </c>
      <c r="G3685">
        <v>1.6483338823031799</v>
      </c>
      <c r="H3685">
        <v>1.3595958244622599</v>
      </c>
      <c r="I3685">
        <v>0.448223821520572</v>
      </c>
      <c r="J3685">
        <v>0.16194340287493</v>
      </c>
      <c r="K3685">
        <v>0.49103344402582699</v>
      </c>
      <c r="L3685">
        <v>15000</v>
      </c>
      <c r="M3685">
        <v>235.88498680719701</v>
      </c>
      <c r="N3685">
        <v>63.8768600231421</v>
      </c>
      <c r="O3685">
        <v>63.585741263819799</v>
      </c>
      <c r="P3685">
        <v>-0.62466658031354705</v>
      </c>
      <c r="Q3685">
        <v>0.32645331630437802</v>
      </c>
      <c r="R3685">
        <v>0.54292387611543402</v>
      </c>
      <c r="S3685" t="s">
        <v>9511</v>
      </c>
      <c r="T3685" t="s">
        <v>11650</v>
      </c>
      <c r="U3685" t="s">
        <v>11650</v>
      </c>
      <c r="V3685" t="s">
        <v>11650</v>
      </c>
      <c r="W3685" t="s">
        <v>15282</v>
      </c>
      <c r="X3685">
        <v>2</v>
      </c>
      <c r="Y3685" t="s">
        <v>20962</v>
      </c>
      <c r="Z3685" t="s">
        <v>26747</v>
      </c>
      <c r="AA3685">
        <v>0.85617697409963689</v>
      </c>
      <c r="AB3685" t="str">
        <f>HYPERLINK("Melting_Curves/meltCurve_Q6P1J9_CDC73.pdf", "Melting_Curves/meltCurve_Q6P1J9_CDC73.pdf")</f>
        <v>Melting_Curves/meltCurve_Q6P1J9_CDC73.pdf</v>
      </c>
    </row>
    <row r="3686" spans="1:28" x14ac:dyDescent="0.25">
      <c r="A3686" t="s">
        <v>3690</v>
      </c>
      <c r="B3686">
        <v>0.99996721820229495</v>
      </c>
      <c r="C3686">
        <v>1.067386090861</v>
      </c>
      <c r="D3686">
        <v>0.97030244693366696</v>
      </c>
      <c r="E3686">
        <v>0.88629328411731501</v>
      </c>
      <c r="F3686">
        <v>0.599462437322826</v>
      </c>
      <c r="G3686">
        <v>0.42319139284388901</v>
      </c>
      <c r="H3686">
        <v>0.230844281630328</v>
      </c>
      <c r="I3686">
        <v>0.131040059539479</v>
      </c>
      <c r="J3686">
        <v>7.2618108222429006E-2</v>
      </c>
      <c r="K3686">
        <v>6.7507347344492805E-2</v>
      </c>
      <c r="L3686">
        <v>873.06622088950701</v>
      </c>
      <c r="M3686">
        <v>15.828813558580199</v>
      </c>
      <c r="N3686">
        <v>55.414183661173603</v>
      </c>
      <c r="O3686">
        <v>54.298939284688302</v>
      </c>
      <c r="P3686">
        <v>-7.0300737571690197E-2</v>
      </c>
      <c r="Q3686">
        <v>3.54442990799132E-2</v>
      </c>
      <c r="R3686">
        <v>0.99059156454474295</v>
      </c>
      <c r="S3686" t="s">
        <v>9512</v>
      </c>
      <c r="T3686" t="s">
        <v>11650</v>
      </c>
      <c r="U3686" t="s">
        <v>11650</v>
      </c>
      <c r="V3686" t="s">
        <v>11650</v>
      </c>
      <c r="W3686" t="s">
        <v>15283</v>
      </c>
      <c r="X3686">
        <v>2</v>
      </c>
      <c r="Y3686" t="s">
        <v>20963</v>
      </c>
      <c r="Z3686" t="s">
        <v>26748</v>
      </c>
      <c r="AA3686">
        <v>0.5401151515964846</v>
      </c>
      <c r="AB3686" t="str">
        <f>HYPERLINK("Melting_Curves/meltCurve_Q6P1L8_MRPL14.pdf", "Melting_Curves/meltCurve_Q6P1L8_MRPL14.pdf")</f>
        <v>Melting_Curves/meltCurve_Q6P1L8_MRPL14.pdf</v>
      </c>
    </row>
    <row r="3687" spans="1:28" x14ac:dyDescent="0.25">
      <c r="A3687" t="s">
        <v>3691</v>
      </c>
      <c r="B3687">
        <v>0.99996721820229495</v>
      </c>
      <c r="C3687">
        <v>0.79669304270360097</v>
      </c>
      <c r="D3687">
        <v>0.78663668815283505</v>
      </c>
      <c r="E3687">
        <v>0.46287441940148299</v>
      </c>
      <c r="F3687">
        <v>0.35024068617993098</v>
      </c>
      <c r="G3687">
        <v>0.246487679260877</v>
      </c>
      <c r="H3687">
        <v>0.15981487128014699</v>
      </c>
      <c r="I3687">
        <v>0.119576400042768</v>
      </c>
      <c r="J3687">
        <v>0.14313634197184899</v>
      </c>
      <c r="K3687">
        <v>0.11543387490094401</v>
      </c>
      <c r="L3687">
        <v>624.81416167048496</v>
      </c>
      <c r="M3687">
        <v>12.743855680654001</v>
      </c>
      <c r="N3687">
        <v>49.876012910013301</v>
      </c>
      <c r="O3687">
        <v>47.868438096746999</v>
      </c>
      <c r="P3687">
        <v>-6.0089720035095599E-2</v>
      </c>
      <c r="Q3687">
        <v>9.7336881560082203E-2</v>
      </c>
      <c r="R3687">
        <v>0.98579833200628397</v>
      </c>
      <c r="S3687" t="s">
        <v>9513</v>
      </c>
      <c r="T3687" t="s">
        <v>11650</v>
      </c>
      <c r="U3687" t="s">
        <v>11650</v>
      </c>
      <c r="V3687" t="s">
        <v>11650</v>
      </c>
      <c r="W3687" t="s">
        <v>15284</v>
      </c>
      <c r="X3687">
        <v>7</v>
      </c>
      <c r="Y3687" t="s">
        <v>20964</v>
      </c>
      <c r="Z3687" t="s">
        <v>26749</v>
      </c>
      <c r="AA3687">
        <v>0.39888131886101907</v>
      </c>
      <c r="AB3687" t="str">
        <f>HYPERLINK("Melting_Curves/meltCurve_Q6P1M0_SLC27A4.pdf", "Melting_Curves/meltCurve_Q6P1M0_SLC27A4.pdf")</f>
        <v>Melting_Curves/meltCurve_Q6P1M0_SLC27A4.pdf</v>
      </c>
    </row>
    <row r="3688" spans="1:28" x14ac:dyDescent="0.25">
      <c r="A3688" t="s">
        <v>3692</v>
      </c>
      <c r="B3688">
        <v>0.99996721820229495</v>
      </c>
      <c r="C3688">
        <v>0.96776698820856</v>
      </c>
      <c r="D3688">
        <v>0.84657027703461296</v>
      </c>
      <c r="E3688">
        <v>0.55373711377120705</v>
      </c>
      <c r="F3688">
        <v>0.38609715147409401</v>
      </c>
      <c r="G3688">
        <v>0.34671632698506799</v>
      </c>
      <c r="H3688">
        <v>0.24195163431599401</v>
      </c>
      <c r="I3688">
        <v>0.222890148813087</v>
      </c>
      <c r="J3688">
        <v>0.175524742290177</v>
      </c>
      <c r="K3688">
        <v>0.13714690582863601</v>
      </c>
      <c r="L3688">
        <v>780.88831257471304</v>
      </c>
      <c r="M3688">
        <v>15.643784722412001</v>
      </c>
      <c r="N3688">
        <v>51.3588235134144</v>
      </c>
      <c r="O3688">
        <v>49.122516734637401</v>
      </c>
      <c r="P3688">
        <v>-6.5471526439125793E-2</v>
      </c>
      <c r="Q3688">
        <v>0.17773079250715401</v>
      </c>
      <c r="R3688">
        <v>0.98922365448846294</v>
      </c>
      <c r="S3688" t="s">
        <v>9514</v>
      </c>
      <c r="T3688" t="s">
        <v>11650</v>
      </c>
      <c r="U3688" t="s">
        <v>11650</v>
      </c>
      <c r="V3688" t="s">
        <v>11650</v>
      </c>
      <c r="W3688" t="s">
        <v>15285</v>
      </c>
      <c r="X3688">
        <v>9</v>
      </c>
      <c r="Y3688" t="s">
        <v>20965</v>
      </c>
      <c r="Z3688" t="s">
        <v>26750</v>
      </c>
      <c r="AA3688">
        <v>0.46777176370347012</v>
      </c>
      <c r="AB3688" t="str">
        <f>HYPERLINK("Melting_Curves/meltCurve_Q6P1N0_2_CC2D1A.pdf", "Melting_Curves/meltCurve_Q6P1N0_2_CC2D1A.pdf")</f>
        <v>Melting_Curves/meltCurve_Q6P1N0_2_CC2D1A.pdf</v>
      </c>
    </row>
    <row r="3689" spans="1:28" x14ac:dyDescent="0.25">
      <c r="A3689" t="s">
        <v>3693</v>
      </c>
      <c r="B3689">
        <v>0.99996721820229495</v>
      </c>
      <c r="C3689">
        <v>0.96776897662382499</v>
      </c>
      <c r="D3689">
        <v>0.78852199994015704</v>
      </c>
      <c r="E3689">
        <v>0.60879898004915201</v>
      </c>
      <c r="F3689">
        <v>0.70077136787985905</v>
      </c>
      <c r="G3689">
        <v>0.67012487441033897</v>
      </c>
      <c r="H3689">
        <v>0.41670513265590198</v>
      </c>
      <c r="I3689">
        <v>0.29264691092897499</v>
      </c>
      <c r="J3689">
        <v>0.201987457028625</v>
      </c>
      <c r="K3689">
        <v>0.171647838763962</v>
      </c>
      <c r="L3689">
        <v>421.94093694867797</v>
      </c>
      <c r="M3689">
        <v>7.3400544247176596</v>
      </c>
      <c r="N3689">
        <v>57.484694976855003</v>
      </c>
      <c r="O3689">
        <v>53.679555677981902</v>
      </c>
      <c r="P3689">
        <v>-3.4237818315841599E-2</v>
      </c>
      <c r="Q3689">
        <v>0</v>
      </c>
      <c r="R3689">
        <v>0.924258099479637</v>
      </c>
      <c r="S3689" t="s">
        <v>9515</v>
      </c>
      <c r="T3689" t="s">
        <v>11650</v>
      </c>
      <c r="U3689" t="s">
        <v>11650</v>
      </c>
      <c r="V3689" t="s">
        <v>11650</v>
      </c>
      <c r="W3689" t="s">
        <v>15286</v>
      </c>
      <c r="X3689">
        <v>4</v>
      </c>
      <c r="Y3689" t="s">
        <v>20966</v>
      </c>
      <c r="Z3689" t="s">
        <v>26751</v>
      </c>
      <c r="AA3689">
        <v>0.58811261872204712</v>
      </c>
      <c r="AB3689" t="str">
        <f>HYPERLINK("Melting_Curves/meltCurve_Q6P1R4_DUS1L.pdf", "Melting_Curves/meltCurve_Q6P1R4_DUS1L.pdf")</f>
        <v>Melting_Curves/meltCurve_Q6P1R4_DUS1L.pdf</v>
      </c>
    </row>
    <row r="3690" spans="1:28" x14ac:dyDescent="0.25">
      <c r="A3690" t="s">
        <v>3694</v>
      </c>
      <c r="B3690">
        <v>0.99996721820229495</v>
      </c>
      <c r="C3690">
        <v>1.0163505342866801</v>
      </c>
      <c r="D3690">
        <v>0.95692818113022704</v>
      </c>
      <c r="E3690">
        <v>0.876830601415303</v>
      </c>
      <c r="F3690">
        <v>1.0106697453235001</v>
      </c>
      <c r="G3690">
        <v>0.73029108782042396</v>
      </c>
      <c r="H3690">
        <v>0.21525980977230699</v>
      </c>
      <c r="I3690">
        <v>0.12732164703444801</v>
      </c>
      <c r="J3690">
        <v>0.10765860305958901</v>
      </c>
      <c r="K3690">
        <v>0.100113641623573</v>
      </c>
      <c r="L3690">
        <v>2444.3239632392501</v>
      </c>
      <c r="M3690">
        <v>42.0296099151901</v>
      </c>
      <c r="N3690">
        <v>58.481678859848103</v>
      </c>
      <c r="O3690">
        <v>58.025998264072101</v>
      </c>
      <c r="P3690">
        <v>-0.16224807551617901</v>
      </c>
      <c r="Q3690">
        <v>0.10400407372536</v>
      </c>
      <c r="R3690">
        <v>0.98879760070346101</v>
      </c>
      <c r="S3690" t="s">
        <v>9516</v>
      </c>
      <c r="T3690" t="s">
        <v>11650</v>
      </c>
      <c r="U3690" t="s">
        <v>11650</v>
      </c>
      <c r="V3690" t="s">
        <v>11650</v>
      </c>
      <c r="W3690" t="s">
        <v>15287</v>
      </c>
      <c r="X3690">
        <v>6</v>
      </c>
      <c r="Y3690" t="s">
        <v>20967</v>
      </c>
      <c r="Z3690" t="s">
        <v>26752</v>
      </c>
      <c r="AA3690">
        <v>0.64950501903476987</v>
      </c>
      <c r="AB3690" t="str">
        <f>HYPERLINK("Melting_Curves/meltCurve_Q6P1X6_C8orf82.pdf", "Melting_Curves/meltCurve_Q6P1X6_C8orf82.pdf")</f>
        <v>Melting_Curves/meltCurve_Q6P1X6_C8orf82.pdf</v>
      </c>
    </row>
    <row r="3691" spans="1:28" x14ac:dyDescent="0.25">
      <c r="A3691" t="s">
        <v>3695</v>
      </c>
      <c r="B3691">
        <v>0.99996721820229495</v>
      </c>
      <c r="C3691">
        <v>0.88795732627191504</v>
      </c>
      <c r="D3691">
        <v>0.94542607825872504</v>
      </c>
      <c r="E3691">
        <v>0.84184216664461697</v>
      </c>
      <c r="F3691">
        <v>0.49012938933503802</v>
      </c>
      <c r="G3691">
        <v>0.323637600470775</v>
      </c>
      <c r="H3691">
        <v>0.19066488270868401</v>
      </c>
      <c r="I3691">
        <v>0.146772183120599</v>
      </c>
      <c r="J3691">
        <v>0.111498204216867</v>
      </c>
      <c r="K3691">
        <v>9.6284640665779006E-2</v>
      </c>
      <c r="L3691">
        <v>959.49409620239203</v>
      </c>
      <c r="M3691">
        <v>18.083253664770599</v>
      </c>
      <c r="N3691">
        <v>53.716735989170203</v>
      </c>
      <c r="O3691">
        <v>52.4237052468226</v>
      </c>
      <c r="P3691">
        <v>-7.7685176034310896E-2</v>
      </c>
      <c r="Q3691">
        <v>9.9200329225049996E-2</v>
      </c>
      <c r="R3691">
        <v>0.98480738241441201</v>
      </c>
      <c r="S3691" t="s">
        <v>9517</v>
      </c>
      <c r="T3691" t="s">
        <v>11650</v>
      </c>
      <c r="U3691" t="s">
        <v>11650</v>
      </c>
      <c r="V3691" t="s">
        <v>11650</v>
      </c>
      <c r="W3691" t="s">
        <v>15288</v>
      </c>
      <c r="X3691">
        <v>20</v>
      </c>
      <c r="Y3691" t="s">
        <v>20968</v>
      </c>
      <c r="Z3691" t="s">
        <v>26753</v>
      </c>
      <c r="AA3691">
        <v>0.50596734599817406</v>
      </c>
      <c r="AB3691" t="str">
        <f>HYPERLINK("Melting_Curves/meltCurve_Q6P2E9_EDC4.pdf", "Melting_Curves/meltCurve_Q6P2E9_EDC4.pdf")</f>
        <v>Melting_Curves/meltCurve_Q6P2E9_EDC4.pdf</v>
      </c>
    </row>
    <row r="3692" spans="1:28" x14ac:dyDescent="0.25">
      <c r="A3692" t="s">
        <v>3696</v>
      </c>
      <c r="B3692">
        <v>0.99996721820229495</v>
      </c>
      <c r="C3692">
        <v>0.94851330488920205</v>
      </c>
      <c r="D3692">
        <v>0.97026103246346596</v>
      </c>
      <c r="E3692">
        <v>1.03318710246851</v>
      </c>
      <c r="F3692">
        <v>0.77743597568228795</v>
      </c>
      <c r="G3692">
        <v>0.591926404427779</v>
      </c>
      <c r="H3692">
        <v>0.40630109040020002</v>
      </c>
      <c r="I3692">
        <v>0.25485726510803902</v>
      </c>
      <c r="J3692">
        <v>0.18829990023780099</v>
      </c>
      <c r="K3692">
        <v>0.20350461278158699</v>
      </c>
      <c r="L3692">
        <v>998.18968637386502</v>
      </c>
      <c r="M3692">
        <v>17.416145469246899</v>
      </c>
      <c r="N3692">
        <v>58.523200962566499</v>
      </c>
      <c r="O3692">
        <v>56.574428274241001</v>
      </c>
      <c r="P3692">
        <v>-6.5335643012521205E-2</v>
      </c>
      <c r="Q3692">
        <v>0.15110519202102601</v>
      </c>
      <c r="R3692">
        <v>0.98422373980033895</v>
      </c>
      <c r="S3692" t="s">
        <v>9518</v>
      </c>
      <c r="T3692" t="s">
        <v>11650</v>
      </c>
      <c r="U3692" t="s">
        <v>11650</v>
      </c>
      <c r="V3692" t="s">
        <v>11650</v>
      </c>
      <c r="W3692" t="s">
        <v>15289</v>
      </c>
      <c r="X3692">
        <v>12</v>
      </c>
      <c r="Y3692" t="s">
        <v>20969</v>
      </c>
      <c r="Z3692" t="s">
        <v>26754</v>
      </c>
      <c r="AA3692">
        <v>0.65268236269044377</v>
      </c>
      <c r="AB3692" t="str">
        <f>HYPERLINK("Melting_Curves/meltCurve_Q6P2P2_PRMT10.pdf", "Melting_Curves/meltCurve_Q6P2P2_PRMT10.pdf")</f>
        <v>Melting_Curves/meltCurve_Q6P2P2_PRMT10.pdf</v>
      </c>
    </row>
    <row r="3693" spans="1:28" x14ac:dyDescent="0.25">
      <c r="A3693" t="s">
        <v>3697</v>
      </c>
      <c r="B3693">
        <v>0.99996721820229495</v>
      </c>
      <c r="C3693">
        <v>0.98149369291931698</v>
      </c>
      <c r="D3693">
        <v>0.97509679847308295</v>
      </c>
      <c r="E3693">
        <v>1.12901321727502</v>
      </c>
      <c r="F3693">
        <v>0.75705913813633396</v>
      </c>
      <c r="G3693">
        <v>0.42611389945616901</v>
      </c>
      <c r="H3693">
        <v>0.21508021707501401</v>
      </c>
      <c r="I3693">
        <v>0.12386565532659199</v>
      </c>
      <c r="J3693">
        <v>8.5354574460909896E-2</v>
      </c>
      <c r="K3693">
        <v>7.0250036789102702E-2</v>
      </c>
      <c r="L3693">
        <v>1469.1360804016099</v>
      </c>
      <c r="M3693">
        <v>26.299435288739499</v>
      </c>
      <c r="N3693">
        <v>56.271556663805903</v>
      </c>
      <c r="O3693">
        <v>55.541907011225803</v>
      </c>
      <c r="P3693">
        <v>-0.108063744089458</v>
      </c>
      <c r="Q3693">
        <v>8.7128623648002904E-2</v>
      </c>
      <c r="R3693">
        <v>0.97892693420097598</v>
      </c>
      <c r="S3693" t="s">
        <v>9519</v>
      </c>
      <c r="T3693" t="s">
        <v>11650</v>
      </c>
      <c r="U3693" t="s">
        <v>11650</v>
      </c>
      <c r="V3693" t="s">
        <v>11650</v>
      </c>
      <c r="W3693" t="s">
        <v>15290</v>
      </c>
      <c r="X3693">
        <v>12</v>
      </c>
      <c r="Y3693" t="s">
        <v>20970</v>
      </c>
      <c r="Z3693" t="s">
        <v>26755</v>
      </c>
      <c r="AA3693">
        <v>0.57749067318756453</v>
      </c>
      <c r="AB3693" t="str">
        <f>HYPERLINK("Melting_Curves/meltCurve_Q6P3W7_SCYL2.pdf", "Melting_Curves/meltCurve_Q6P3W7_SCYL2.pdf")</f>
        <v>Melting_Curves/meltCurve_Q6P3W7_SCYL2.pdf</v>
      </c>
    </row>
    <row r="3694" spans="1:28" x14ac:dyDescent="0.25">
      <c r="A3694" t="s">
        <v>3698</v>
      </c>
      <c r="B3694">
        <v>0.99996721820229495</v>
      </c>
      <c r="C3694">
        <v>1.09201810364901</v>
      </c>
      <c r="D3694">
        <v>0.79585717909626696</v>
      </c>
      <c r="E3694">
        <v>0.23738454467384501</v>
      </c>
      <c r="F3694">
        <v>0.28705593664780399</v>
      </c>
      <c r="G3694">
        <v>0.21424407103975199</v>
      </c>
      <c r="H3694">
        <v>0.12997660413333001</v>
      </c>
      <c r="I3694">
        <v>9.0287297743143605E-2</v>
      </c>
      <c r="J3694">
        <v>7.4781740706108296E-2</v>
      </c>
      <c r="K3694">
        <v>5.3819351622457802E-2</v>
      </c>
      <c r="L3694">
        <v>1667.8064722668701</v>
      </c>
      <c r="M3694">
        <v>35.017613527411797</v>
      </c>
      <c r="N3694">
        <v>48.047734302171897</v>
      </c>
      <c r="O3694">
        <v>47.473123285169201</v>
      </c>
      <c r="P3694">
        <v>-0.16009094229785101</v>
      </c>
      <c r="Q3694">
        <v>0.131866584023416</v>
      </c>
      <c r="R3694">
        <v>0.96730729910793001</v>
      </c>
      <c r="S3694" t="s">
        <v>9520</v>
      </c>
      <c r="T3694" t="s">
        <v>11650</v>
      </c>
      <c r="U3694" t="s">
        <v>11650</v>
      </c>
      <c r="V3694" t="s">
        <v>11650</v>
      </c>
      <c r="W3694" t="s">
        <v>15291</v>
      </c>
      <c r="X3694">
        <v>7</v>
      </c>
      <c r="Y3694" t="s">
        <v>20971</v>
      </c>
      <c r="Z3694" t="s">
        <v>26756</v>
      </c>
      <c r="AA3694">
        <v>0.35636624434956959</v>
      </c>
      <c r="AB3694" t="str">
        <f>HYPERLINK("Melting_Curves/meltCurve_Q6P3X3_TTC27.pdf", "Melting_Curves/meltCurve_Q6P3X3_TTC27.pdf")</f>
        <v>Melting_Curves/meltCurve_Q6P3X3_TTC27.pdf</v>
      </c>
    </row>
    <row r="3695" spans="1:28" x14ac:dyDescent="0.25">
      <c r="A3695" t="s">
        <v>3699</v>
      </c>
      <c r="B3695">
        <v>0.99996721820229495</v>
      </c>
      <c r="C3695">
        <v>1.0391106548265301</v>
      </c>
      <c r="D3695">
        <v>1.0518514707926301</v>
      </c>
      <c r="E3695">
        <v>1.1634426524402901</v>
      </c>
      <c r="F3695">
        <v>1.7770951837490201</v>
      </c>
      <c r="G3695">
        <v>1.6307563253434401</v>
      </c>
      <c r="H3695">
        <v>1.1991721744605199</v>
      </c>
      <c r="I3695">
        <v>0.69672362528993104</v>
      </c>
      <c r="J3695">
        <v>0.63518706765043997</v>
      </c>
      <c r="K3695">
        <v>0.48191204273175098</v>
      </c>
      <c r="L3695">
        <v>15000</v>
      </c>
      <c r="M3695">
        <v>235.16080268635901</v>
      </c>
      <c r="O3695">
        <v>63.781525699260001</v>
      </c>
      <c r="P3695">
        <v>-0.40691282226992098</v>
      </c>
      <c r="Q3695">
        <v>0.55854001291794297</v>
      </c>
      <c r="R3695">
        <v>0.28689178536571103</v>
      </c>
      <c r="S3695" t="s">
        <v>9521</v>
      </c>
      <c r="T3695" t="s">
        <v>11650</v>
      </c>
      <c r="U3695" t="s">
        <v>11650</v>
      </c>
      <c r="V3695" t="s">
        <v>11650</v>
      </c>
      <c r="W3695" t="s">
        <v>15292</v>
      </c>
      <c r="X3695">
        <v>14</v>
      </c>
      <c r="Y3695" t="s">
        <v>20972</v>
      </c>
      <c r="Z3695" t="s">
        <v>26757</v>
      </c>
      <c r="AA3695">
        <v>0.90861684273968812</v>
      </c>
      <c r="AB3695" t="str">
        <f>HYPERLINK("Melting_Curves/meltCurve_Q6P4E1_CASC4.pdf", "Melting_Curves/meltCurve_Q6P4E1_CASC4.pdf")</f>
        <v>Melting_Curves/meltCurve_Q6P4E1_CASC4.pdf</v>
      </c>
    </row>
    <row r="3696" spans="1:28" x14ac:dyDescent="0.25">
      <c r="A3696" t="s">
        <v>3700</v>
      </c>
      <c r="B3696">
        <v>0.99996721820229495</v>
      </c>
      <c r="C3696">
        <v>0.86414237474376199</v>
      </c>
      <c r="D3696">
        <v>0.88025045249456002</v>
      </c>
      <c r="E3696">
        <v>0.91285272272956197</v>
      </c>
      <c r="F3696">
        <v>1.1727043949371301</v>
      </c>
      <c r="G3696">
        <v>1.3200514179432301</v>
      </c>
      <c r="H3696">
        <v>1.1335953624855499</v>
      </c>
      <c r="I3696">
        <v>1.3691795738830601</v>
      </c>
      <c r="J3696">
        <v>1.2865089657334701</v>
      </c>
      <c r="K3696">
        <v>0.72244079506238901</v>
      </c>
      <c r="L3696">
        <v>12936.021603094699</v>
      </c>
      <c r="M3696">
        <v>250</v>
      </c>
      <c r="O3696">
        <v>51.740779777025502</v>
      </c>
      <c r="P3696">
        <v>0.20231018765759401</v>
      </c>
      <c r="Q3696">
        <v>1.1674829746554101</v>
      </c>
      <c r="R3696">
        <v>0.28129392943932702</v>
      </c>
      <c r="S3696" t="s">
        <v>9522</v>
      </c>
      <c r="T3696" t="s">
        <v>11650</v>
      </c>
      <c r="U3696" t="s">
        <v>11650</v>
      </c>
      <c r="V3696" t="s">
        <v>11650</v>
      </c>
      <c r="W3696" t="s">
        <v>15293</v>
      </c>
      <c r="X3696">
        <v>3</v>
      </c>
      <c r="Y3696" t="s">
        <v>20973</v>
      </c>
      <c r="Z3696" t="s">
        <v>26758</v>
      </c>
      <c r="AA3696">
        <v>1.101903281283525</v>
      </c>
      <c r="AB3696" t="str">
        <f>HYPERLINK("Melting_Curves/meltCurve_Q6P4F2_FDX1L.pdf", "Melting_Curves/meltCurve_Q6P4F2_FDX1L.pdf")</f>
        <v>Melting_Curves/meltCurve_Q6P4F2_FDX1L.pdf</v>
      </c>
    </row>
    <row r="3697" spans="1:28" x14ac:dyDescent="0.25">
      <c r="A3697" t="s">
        <v>3701</v>
      </c>
      <c r="B3697">
        <v>0.99996721820229495</v>
      </c>
      <c r="C3697">
        <v>1.0096569850817101</v>
      </c>
      <c r="D3697">
        <v>1.0084461306277099</v>
      </c>
      <c r="E3697">
        <v>0.89138873847053901</v>
      </c>
      <c r="F3697">
        <v>0.93097942806957501</v>
      </c>
      <c r="G3697">
        <v>0.73228123615347596</v>
      </c>
      <c r="H3697">
        <v>0.30208247257679199</v>
      </c>
      <c r="I3697">
        <v>0.178592598948178</v>
      </c>
      <c r="J3697">
        <v>0.119276937046985</v>
      </c>
      <c r="K3697">
        <v>7.4490566103898703E-2</v>
      </c>
      <c r="L3697">
        <v>1484.012147354</v>
      </c>
      <c r="M3697">
        <v>25.266503058556602</v>
      </c>
      <c r="N3697">
        <v>59.068030752376998</v>
      </c>
      <c r="O3697">
        <v>58.3701549593995</v>
      </c>
      <c r="P3697">
        <v>-0.101021228880265</v>
      </c>
      <c r="Q3697">
        <v>6.6503373714877898E-2</v>
      </c>
      <c r="R3697">
        <v>0.99210896128121995</v>
      </c>
      <c r="S3697" t="s">
        <v>9523</v>
      </c>
      <c r="T3697" t="s">
        <v>11650</v>
      </c>
      <c r="U3697" t="s">
        <v>11650</v>
      </c>
      <c r="V3697" t="s">
        <v>11650</v>
      </c>
      <c r="W3697" t="s">
        <v>15294</v>
      </c>
      <c r="X3697">
        <v>3</v>
      </c>
      <c r="Y3697" t="s">
        <v>20974</v>
      </c>
      <c r="Z3697" t="s">
        <v>26759</v>
      </c>
      <c r="AA3697">
        <v>0.65714488042856034</v>
      </c>
      <c r="AB3697" t="str">
        <f>HYPERLINK("Melting_Curves/meltCurve_Q6P4I2_WDR73.pdf", "Melting_Curves/meltCurve_Q6P4I2_WDR73.pdf")</f>
        <v>Melting_Curves/meltCurve_Q6P4I2_WDR73.pdf</v>
      </c>
    </row>
    <row r="3698" spans="1:28" x14ac:dyDescent="0.25">
      <c r="A3698" t="s">
        <v>3702</v>
      </c>
      <c r="B3698">
        <v>0.99996721820229495</v>
      </c>
      <c r="C3698">
        <v>0.99164240574505502</v>
      </c>
      <c r="D3698">
        <v>0.90358819785589495</v>
      </c>
      <c r="E3698">
        <v>1.1371496101954699</v>
      </c>
      <c r="F3698">
        <v>1.34706731896668</v>
      </c>
      <c r="G3698">
        <v>1.42843974012196</v>
      </c>
      <c r="H3698">
        <v>0.90293142881249799</v>
      </c>
      <c r="I3698">
        <v>0.69185037716332198</v>
      </c>
      <c r="J3698">
        <v>0.62228851387202999</v>
      </c>
      <c r="K3698">
        <v>0.51778528139251301</v>
      </c>
      <c r="L3698">
        <v>3244.0193633895801</v>
      </c>
      <c r="M3698">
        <v>51.512624364129898</v>
      </c>
      <c r="O3698">
        <v>62.880540374996002</v>
      </c>
      <c r="P3698">
        <v>-9.0709944270749604E-2</v>
      </c>
      <c r="Q3698">
        <v>0.55708831683723703</v>
      </c>
      <c r="R3698">
        <v>0.57197901388377304</v>
      </c>
      <c r="S3698" t="s">
        <v>9524</v>
      </c>
      <c r="T3698" t="s">
        <v>11650</v>
      </c>
      <c r="U3698" t="s">
        <v>11650</v>
      </c>
      <c r="V3698" t="s">
        <v>11650</v>
      </c>
      <c r="W3698" t="s">
        <v>15295</v>
      </c>
      <c r="X3698">
        <v>2</v>
      </c>
      <c r="Y3698" t="s">
        <v>20975</v>
      </c>
      <c r="Z3698" t="s">
        <v>26760</v>
      </c>
      <c r="AA3698">
        <v>0.89731469134236952</v>
      </c>
      <c r="AB3698" t="str">
        <f>HYPERLINK("Melting_Curves/meltCurve_Q6P582_MZT2A.pdf", "Melting_Curves/meltCurve_Q6P582_MZT2A.pdf")</f>
        <v>Melting_Curves/meltCurve_Q6P582_MZT2A.pdf</v>
      </c>
    </row>
    <row r="3699" spans="1:28" x14ac:dyDescent="0.25">
      <c r="A3699" t="s">
        <v>3703</v>
      </c>
      <c r="B3699">
        <v>0.99996721820229495</v>
      </c>
      <c r="C3699">
        <v>0.94253945273041395</v>
      </c>
      <c r="D3699">
        <v>0.92592730437242099</v>
      </c>
      <c r="E3699">
        <v>1.0204775584249</v>
      </c>
      <c r="F3699">
        <v>1.2862747274856601</v>
      </c>
      <c r="G3699">
        <v>1.24032394284434</v>
      </c>
      <c r="H3699">
        <v>0.98951540028206197</v>
      </c>
      <c r="I3699">
        <v>0.858926946485986</v>
      </c>
      <c r="J3699">
        <v>0.67930699432770303</v>
      </c>
      <c r="K3699">
        <v>0.43995282287750198</v>
      </c>
      <c r="L3699">
        <v>2247.9859061064799</v>
      </c>
      <c r="M3699">
        <v>33.464921159041097</v>
      </c>
      <c r="N3699">
        <v>69.064167441010994</v>
      </c>
      <c r="O3699">
        <v>66.935887801821096</v>
      </c>
      <c r="P3699">
        <v>-8.7507621263934507E-2</v>
      </c>
      <c r="Q3699">
        <v>0.29987876745009301</v>
      </c>
      <c r="R3699">
        <v>0.72405240992722497</v>
      </c>
      <c r="S3699" t="s">
        <v>9525</v>
      </c>
      <c r="T3699" t="s">
        <v>11650</v>
      </c>
      <c r="U3699" t="s">
        <v>11650</v>
      </c>
      <c r="V3699" t="s">
        <v>11650</v>
      </c>
      <c r="W3699" t="s">
        <v>15296</v>
      </c>
      <c r="X3699">
        <v>15</v>
      </c>
      <c r="Y3699" t="s">
        <v>20976</v>
      </c>
      <c r="Z3699" t="s">
        <v>26761</v>
      </c>
      <c r="AA3699">
        <v>0.9261462031065425</v>
      </c>
      <c r="AB3699" t="str">
        <f>HYPERLINK("Melting_Curves/meltCurve_Q6P587_FAHD1.pdf", "Melting_Curves/meltCurve_Q6P587_FAHD1.pdf")</f>
        <v>Melting_Curves/meltCurve_Q6P587_FAHD1.pdf</v>
      </c>
    </row>
    <row r="3700" spans="1:28" x14ac:dyDescent="0.25">
      <c r="A3700" t="s">
        <v>3704</v>
      </c>
      <c r="B3700">
        <v>0.99996721820229495</v>
      </c>
      <c r="C3700">
        <v>0.88446832196977399</v>
      </c>
      <c r="D3700">
        <v>0.85207338378063402</v>
      </c>
      <c r="E3700">
        <v>0.85255926417516403</v>
      </c>
      <c r="F3700">
        <v>0.957928299227361</v>
      </c>
      <c r="G3700">
        <v>1.06695088783199</v>
      </c>
      <c r="H3700">
        <v>0.75890290440446395</v>
      </c>
      <c r="I3700">
        <v>0.59670650177318996</v>
      </c>
      <c r="J3700">
        <v>0.50267798918978601</v>
      </c>
      <c r="K3700">
        <v>0.42705290648861299</v>
      </c>
      <c r="L3700">
        <v>2254.2848570819001</v>
      </c>
      <c r="M3700">
        <v>36.435683846640003</v>
      </c>
      <c r="N3700">
        <v>65.9772042121336</v>
      </c>
      <c r="O3700">
        <v>61.684763352687298</v>
      </c>
      <c r="P3700">
        <v>-8.1477627988525203E-2</v>
      </c>
      <c r="Q3700">
        <v>0.44824276742031699</v>
      </c>
      <c r="R3700">
        <v>0.83296298862425999</v>
      </c>
      <c r="S3700" t="s">
        <v>9526</v>
      </c>
      <c r="T3700" t="s">
        <v>11650</v>
      </c>
      <c r="U3700" t="s">
        <v>11650</v>
      </c>
      <c r="V3700" t="s">
        <v>11650</v>
      </c>
      <c r="W3700" t="s">
        <v>15297</v>
      </c>
      <c r="X3700">
        <v>3</v>
      </c>
      <c r="Y3700" t="s">
        <v>20977</v>
      </c>
      <c r="Z3700" t="s">
        <v>26762</v>
      </c>
      <c r="AA3700">
        <v>0.85271190955959575</v>
      </c>
      <c r="AB3700" t="str">
        <f>HYPERLINK("Melting_Curves/meltCurve_Q6P6B1_C8orf47.pdf", "Melting_Curves/meltCurve_Q6P6B1_C8orf47.pdf")</f>
        <v>Melting_Curves/meltCurve_Q6P6B1_C8orf47.pdf</v>
      </c>
    </row>
    <row r="3701" spans="1:28" x14ac:dyDescent="0.25">
      <c r="A3701" t="s">
        <v>3705</v>
      </c>
      <c r="B3701">
        <v>0.99996721820229495</v>
      </c>
      <c r="C3701">
        <v>0.88171159805987898</v>
      </c>
      <c r="D3701">
        <v>0.83614961370080698</v>
      </c>
      <c r="E3701">
        <v>0.88867617033059798</v>
      </c>
      <c r="F3701">
        <v>1.1778513927179699</v>
      </c>
      <c r="G3701">
        <v>1.03634437236038</v>
      </c>
      <c r="H3701">
        <v>0.87567473352857705</v>
      </c>
      <c r="I3701">
        <v>0.74797034018252895</v>
      </c>
      <c r="J3701">
        <v>0.69184548589254202</v>
      </c>
      <c r="K3701">
        <v>0.52372922358931695</v>
      </c>
      <c r="L3701">
        <v>1498.50192607899</v>
      </c>
      <c r="M3701">
        <v>23.063669435931899</v>
      </c>
      <c r="O3701">
        <v>64.489880008663704</v>
      </c>
      <c r="P3701">
        <v>-4.8133667024505701E-2</v>
      </c>
      <c r="Q3701">
        <v>0.46165098548091599</v>
      </c>
      <c r="R3701">
        <v>0.69483517003117501</v>
      </c>
      <c r="S3701" t="s">
        <v>9527</v>
      </c>
      <c r="T3701" t="s">
        <v>11650</v>
      </c>
      <c r="U3701" t="s">
        <v>11650</v>
      </c>
      <c r="V3701" t="s">
        <v>11650</v>
      </c>
      <c r="W3701" t="s">
        <v>15298</v>
      </c>
      <c r="X3701">
        <v>1</v>
      </c>
      <c r="Y3701" t="s">
        <v>20978</v>
      </c>
      <c r="Z3701" t="s">
        <v>26763</v>
      </c>
      <c r="AA3701">
        <v>0.90576403257023486</v>
      </c>
      <c r="AB3701" t="str">
        <f>HYPERLINK("Melting_Curves/meltCurve_Q6P995_FAM171B.pdf", "Melting_Curves/meltCurve_Q6P995_FAM171B.pdf")</f>
        <v>Melting_Curves/meltCurve_Q6P995_FAM171B.pdf</v>
      </c>
    </row>
    <row r="3702" spans="1:28" x14ac:dyDescent="0.25">
      <c r="A3702" t="s">
        <v>3706</v>
      </c>
      <c r="B3702">
        <v>0.99996721820229495</v>
      </c>
      <c r="C3702">
        <v>0.95363884712019598</v>
      </c>
      <c r="D3702">
        <v>1.0109385883000599</v>
      </c>
      <c r="E3702">
        <v>1.0259658965802001</v>
      </c>
      <c r="F3702">
        <v>0.65932366736127501</v>
      </c>
      <c r="G3702">
        <v>0.50744761846231501</v>
      </c>
      <c r="H3702">
        <v>0.27081041246711901</v>
      </c>
      <c r="I3702">
        <v>0.174502902247753</v>
      </c>
      <c r="J3702">
        <v>0.110830747184513</v>
      </c>
      <c r="K3702">
        <v>8.8712040629801203E-2</v>
      </c>
      <c r="L3702">
        <v>988.47280479405003</v>
      </c>
      <c r="M3702">
        <v>17.572397010953001</v>
      </c>
      <c r="N3702">
        <v>56.726520810543697</v>
      </c>
      <c r="O3702">
        <v>55.5381289756032</v>
      </c>
      <c r="P3702">
        <v>-7.3692232024514706E-2</v>
      </c>
      <c r="Q3702">
        <v>6.8423805182599995E-2</v>
      </c>
      <c r="R3702">
        <v>0.97990647942670295</v>
      </c>
      <c r="S3702" t="s">
        <v>9528</v>
      </c>
      <c r="T3702" t="s">
        <v>11650</v>
      </c>
      <c r="U3702" t="s">
        <v>11650</v>
      </c>
      <c r="V3702" t="s">
        <v>11650</v>
      </c>
      <c r="W3702" t="s">
        <v>15299</v>
      </c>
      <c r="X3702">
        <v>10</v>
      </c>
      <c r="Y3702" t="s">
        <v>20979</v>
      </c>
      <c r="Z3702" t="s">
        <v>26764</v>
      </c>
      <c r="AA3702">
        <v>0.58695323582255332</v>
      </c>
      <c r="AB3702" t="str">
        <f>HYPERLINK("Melting_Curves/meltCurve_Q6P9B6_KIAA1609.pdf", "Melting_Curves/meltCurve_Q6P9B6_KIAA1609.pdf")</f>
        <v>Melting_Curves/meltCurve_Q6P9B6_KIAA1609.pdf</v>
      </c>
    </row>
    <row r="3703" spans="1:28" x14ac:dyDescent="0.25">
      <c r="A3703" t="s">
        <v>3707</v>
      </c>
      <c r="B3703">
        <v>0.99996721820229495</v>
      </c>
      <c r="C3703">
        <v>1.0061570251785601</v>
      </c>
      <c r="D3703">
        <v>0.96261032232408195</v>
      </c>
      <c r="E3703">
        <v>0.94418081427471801</v>
      </c>
      <c r="F3703">
        <v>1.0628873797610401</v>
      </c>
      <c r="G3703">
        <v>0.57514713912459103</v>
      </c>
      <c r="H3703">
        <v>0.32972245558261898</v>
      </c>
      <c r="I3703">
        <v>0.22633753919027999</v>
      </c>
      <c r="J3703">
        <v>0.18081661819748299</v>
      </c>
      <c r="K3703">
        <v>0.122308593857428</v>
      </c>
      <c r="L3703">
        <v>1926.3723556651501</v>
      </c>
      <c r="M3703">
        <v>33.614273068233402</v>
      </c>
      <c r="N3703">
        <v>58.063407402632798</v>
      </c>
      <c r="O3703">
        <v>57.106479465385902</v>
      </c>
      <c r="P3703">
        <v>-0.121097458064197</v>
      </c>
      <c r="Q3703">
        <v>0.17708517202865301</v>
      </c>
      <c r="R3703">
        <v>0.98097106073160201</v>
      </c>
      <c r="S3703" t="s">
        <v>9529</v>
      </c>
      <c r="T3703" t="s">
        <v>11650</v>
      </c>
      <c r="U3703" t="s">
        <v>11650</v>
      </c>
      <c r="V3703" t="s">
        <v>11650</v>
      </c>
      <c r="W3703" t="s">
        <v>15300</v>
      </c>
      <c r="X3703">
        <v>20</v>
      </c>
      <c r="Y3703" t="s">
        <v>20980</v>
      </c>
      <c r="Z3703" t="s">
        <v>26765</v>
      </c>
      <c r="AA3703">
        <v>0.65632129816182305</v>
      </c>
      <c r="AB3703" t="str">
        <f>HYPERLINK("Melting_Curves/meltCurve_Q6PCE3_PGM2L1.pdf", "Melting_Curves/meltCurve_Q6PCE3_PGM2L1.pdf")</f>
        <v>Melting_Curves/meltCurve_Q6PCE3_PGM2L1.pdf</v>
      </c>
    </row>
    <row r="3704" spans="1:28" x14ac:dyDescent="0.25">
      <c r="A3704" t="s">
        <v>3708</v>
      </c>
      <c r="B3704">
        <v>0.99996721820229495</v>
      </c>
      <c r="C3704">
        <v>0.98032037045053699</v>
      </c>
      <c r="D3704">
        <v>0.84956745810247902</v>
      </c>
      <c r="E3704">
        <v>0.44125100737308498</v>
      </c>
      <c r="F3704">
        <v>0.27303973274622501</v>
      </c>
      <c r="G3704">
        <v>0.183915475009194</v>
      </c>
      <c r="H3704">
        <v>9.7517201282675006E-2</v>
      </c>
      <c r="I3704">
        <v>7.3847572306808301E-2</v>
      </c>
      <c r="J3704">
        <v>4.1167306911332802E-2</v>
      </c>
      <c r="K3704">
        <v>4.6870911221591698E-2</v>
      </c>
      <c r="L3704">
        <v>975.27454229494106</v>
      </c>
      <c r="M3704">
        <v>19.724868211982098</v>
      </c>
      <c r="N3704">
        <v>49.798348081198696</v>
      </c>
      <c r="O3704">
        <v>48.944098140678797</v>
      </c>
      <c r="P3704">
        <v>-9.4156836775565203E-2</v>
      </c>
      <c r="Q3704">
        <v>6.5491337438274302E-2</v>
      </c>
      <c r="R3704">
        <v>0.99476425789186396</v>
      </c>
      <c r="S3704" t="s">
        <v>9530</v>
      </c>
      <c r="T3704" t="s">
        <v>11650</v>
      </c>
      <c r="U3704" t="s">
        <v>11650</v>
      </c>
      <c r="V3704" t="s">
        <v>11650</v>
      </c>
      <c r="W3704" t="s">
        <v>15301</v>
      </c>
      <c r="X3704">
        <v>6</v>
      </c>
      <c r="Y3704" t="s">
        <v>20981</v>
      </c>
      <c r="Z3704" t="s">
        <v>26766</v>
      </c>
      <c r="AA3704">
        <v>0.37308247982798393</v>
      </c>
      <c r="AB3704" t="str">
        <f>HYPERLINK("Melting_Curves/meltCurve_Q6PD74_AAGAB.pdf", "Melting_Curves/meltCurve_Q6PD74_AAGAB.pdf")</f>
        <v>Melting_Curves/meltCurve_Q6PD74_AAGAB.pdf</v>
      </c>
    </row>
    <row r="3705" spans="1:28" x14ac:dyDescent="0.25">
      <c r="A3705" t="s">
        <v>3709</v>
      </c>
      <c r="B3705">
        <v>0.99996721820229495</v>
      </c>
      <c r="C3705">
        <v>1.17530076224892</v>
      </c>
      <c r="D3705">
        <v>0.77784668810941804</v>
      </c>
      <c r="E3705">
        <v>0.441618591437824</v>
      </c>
      <c r="F3705">
        <v>0.51781056309034001</v>
      </c>
      <c r="G3705">
        <v>0.369668069601366</v>
      </c>
      <c r="H3705">
        <v>0.204160093091593</v>
      </c>
      <c r="I3705">
        <v>0.12808812266629799</v>
      </c>
      <c r="J3705">
        <v>0.106911015663643</v>
      </c>
      <c r="K3705">
        <v>9.6389280235498795E-2</v>
      </c>
      <c r="L3705">
        <v>670.83229037829801</v>
      </c>
      <c r="M3705">
        <v>13.137568755759</v>
      </c>
      <c r="N3705">
        <v>51.888028906578697</v>
      </c>
      <c r="O3705">
        <v>49.922486799136898</v>
      </c>
      <c r="P3705">
        <v>-5.9592866699647098E-2</v>
      </c>
      <c r="Q3705">
        <v>9.4346585647919395E-2</v>
      </c>
      <c r="R3705">
        <v>0.92014489313633996</v>
      </c>
      <c r="S3705" t="s">
        <v>9531</v>
      </c>
      <c r="T3705" t="s">
        <v>11650</v>
      </c>
      <c r="U3705" t="s">
        <v>11650</v>
      </c>
      <c r="V3705" t="s">
        <v>11650</v>
      </c>
      <c r="W3705" t="s">
        <v>15302</v>
      </c>
      <c r="X3705">
        <v>3</v>
      </c>
      <c r="Y3705" t="s">
        <v>20982</v>
      </c>
      <c r="Z3705" t="s">
        <v>26767</v>
      </c>
      <c r="AA3705">
        <v>0.45405360749858581</v>
      </c>
      <c r="AB3705" t="str">
        <f>HYPERLINK("Melting_Curves/meltCurve_Q6PGP7_TTC37.pdf", "Melting_Curves/meltCurve_Q6PGP7_TTC37.pdf")</f>
        <v>Melting_Curves/meltCurve_Q6PGP7_TTC37.pdf</v>
      </c>
    </row>
    <row r="3706" spans="1:28" x14ac:dyDescent="0.25">
      <c r="A3706" t="s">
        <v>3710</v>
      </c>
      <c r="B3706">
        <v>0.99996721820229495</v>
      </c>
      <c r="C3706">
        <v>0.96502692287719005</v>
      </c>
      <c r="D3706">
        <v>1.02780867249107</v>
      </c>
      <c r="E3706">
        <v>1.01104274572305</v>
      </c>
      <c r="F3706">
        <v>1.0528507817987001</v>
      </c>
      <c r="G3706">
        <v>0.76785891798290795</v>
      </c>
      <c r="H3706">
        <v>0.55995137253011096</v>
      </c>
      <c r="I3706">
        <v>0.18221134547676501</v>
      </c>
      <c r="J3706">
        <v>0.119871188522432</v>
      </c>
      <c r="K3706">
        <v>0.14236114523746901</v>
      </c>
      <c r="L3706">
        <v>1591.29164185848</v>
      </c>
      <c r="M3706">
        <v>26.329884757431099</v>
      </c>
      <c r="N3706">
        <v>60.815748237637301</v>
      </c>
      <c r="O3706">
        <v>60.0913270954387</v>
      </c>
      <c r="P3706">
        <v>-0.10125305826495901</v>
      </c>
      <c r="Q3706">
        <v>7.5671877975490104E-2</v>
      </c>
      <c r="R3706">
        <v>0.98154325904073902</v>
      </c>
      <c r="S3706" t="s">
        <v>9532</v>
      </c>
      <c r="T3706" t="s">
        <v>11650</v>
      </c>
      <c r="U3706" t="s">
        <v>11650</v>
      </c>
      <c r="V3706" t="s">
        <v>11650</v>
      </c>
      <c r="W3706" t="s">
        <v>15303</v>
      </c>
      <c r="X3706">
        <v>5</v>
      </c>
      <c r="Y3706" t="s">
        <v>20983</v>
      </c>
      <c r="Z3706" t="s">
        <v>26768</v>
      </c>
      <c r="AA3706">
        <v>0.71153863576300469</v>
      </c>
      <c r="AB3706" t="str">
        <f>HYPERLINK("Melting_Curves/meltCurve_Q6PI48_DARS2.pdf", "Melting_Curves/meltCurve_Q6PI48_DARS2.pdf")</f>
        <v>Melting_Curves/meltCurve_Q6PI48_DARS2.pdf</v>
      </c>
    </row>
    <row r="3707" spans="1:28" x14ac:dyDescent="0.25">
      <c r="A3707" t="s">
        <v>3711</v>
      </c>
      <c r="B3707">
        <v>0.99996721820229495</v>
      </c>
      <c r="C3707">
        <v>0.98937097405708596</v>
      </c>
      <c r="D3707">
        <v>1.1191464124019299</v>
      </c>
      <c r="E3707">
        <v>1.31963349769241</v>
      </c>
      <c r="F3707">
        <v>1.51510133214549</v>
      </c>
      <c r="G3707">
        <v>1.42839854722225</v>
      </c>
      <c r="H3707">
        <v>0.72057189269019195</v>
      </c>
      <c r="I3707">
        <v>0.41003410063047402</v>
      </c>
      <c r="J3707">
        <v>0.25563485051310603</v>
      </c>
      <c r="K3707">
        <v>0.24043801396756501</v>
      </c>
      <c r="L3707">
        <v>3483.7839730037899</v>
      </c>
      <c r="M3707">
        <v>56.353474730789799</v>
      </c>
      <c r="N3707">
        <v>62.642790740395597</v>
      </c>
      <c r="O3707">
        <v>61.742513260932803</v>
      </c>
      <c r="P3707">
        <v>-0.168524846984141</v>
      </c>
      <c r="Q3707">
        <v>0.26143741291942801</v>
      </c>
      <c r="R3707">
        <v>0.71498934208695597</v>
      </c>
      <c r="S3707" t="s">
        <v>9533</v>
      </c>
      <c r="T3707" t="s">
        <v>11650</v>
      </c>
      <c r="U3707" t="s">
        <v>11650</v>
      </c>
      <c r="V3707" t="s">
        <v>11650</v>
      </c>
      <c r="W3707" t="s">
        <v>15304</v>
      </c>
      <c r="X3707">
        <v>4</v>
      </c>
      <c r="Y3707" t="s">
        <v>20984</v>
      </c>
      <c r="Z3707" t="s">
        <v>26769</v>
      </c>
      <c r="AA3707">
        <v>0.80015766395888799</v>
      </c>
      <c r="AB3707" t="str">
        <f>HYPERLINK("Melting_Curves/meltCurve_Q6PI78_TMEM65.pdf", "Melting_Curves/meltCurve_Q6PI78_TMEM65.pdf")</f>
        <v>Melting_Curves/meltCurve_Q6PI78_TMEM65.pdf</v>
      </c>
    </row>
    <row r="3708" spans="1:28" x14ac:dyDescent="0.25">
      <c r="A3708" t="s">
        <v>3712</v>
      </c>
      <c r="B3708">
        <v>0.99996721820229495</v>
      </c>
      <c r="C3708">
        <v>0.98828064240045799</v>
      </c>
      <c r="D3708">
        <v>0.99994488196573905</v>
      </c>
      <c r="E3708">
        <v>0.83337757055153605</v>
      </c>
      <c r="F3708">
        <v>0.51719704094478003</v>
      </c>
      <c r="G3708">
        <v>0.3825752940137</v>
      </c>
      <c r="H3708">
        <v>0.32372720065098298</v>
      </c>
      <c r="I3708">
        <v>0.65949598521672304</v>
      </c>
      <c r="J3708">
        <v>0.67781642323451397</v>
      </c>
      <c r="K3708">
        <v>0.493869593454074</v>
      </c>
      <c r="L3708">
        <v>4178.21460750598</v>
      </c>
      <c r="M3708">
        <v>82.893732947661107</v>
      </c>
      <c r="O3708">
        <v>50.375157738489001</v>
      </c>
      <c r="P3708">
        <v>-0.20251859956415899</v>
      </c>
      <c r="Q3708">
        <v>0.50771164428659399</v>
      </c>
      <c r="R3708">
        <v>0.83020857350044397</v>
      </c>
      <c r="S3708" t="s">
        <v>9534</v>
      </c>
      <c r="T3708" t="s">
        <v>11650</v>
      </c>
      <c r="U3708" t="s">
        <v>11650</v>
      </c>
      <c r="V3708" t="s">
        <v>11650</v>
      </c>
      <c r="W3708" t="s">
        <v>15305</v>
      </c>
      <c r="X3708">
        <v>2</v>
      </c>
      <c r="Y3708" t="s">
        <v>20985</v>
      </c>
      <c r="Z3708" t="s">
        <v>26770</v>
      </c>
      <c r="AA3708">
        <v>0.67884175168692518</v>
      </c>
      <c r="AB3708" t="str">
        <f>HYPERLINK("Melting_Curves/meltCurve_Q6PII3_CCDC174.pdf", "Melting_Curves/meltCurve_Q6PII3_CCDC174.pdf")</f>
        <v>Melting_Curves/meltCurve_Q6PII3_CCDC174.pdf</v>
      </c>
    </row>
    <row r="3709" spans="1:28" x14ac:dyDescent="0.25">
      <c r="A3709" t="s">
        <v>3713</v>
      </c>
      <c r="B3709">
        <v>0.99996721820229495</v>
      </c>
      <c r="C3709">
        <v>0.95431926380252596</v>
      </c>
      <c r="D3709">
        <v>1.03617818140828</v>
      </c>
      <c r="E3709">
        <v>1.0733368378046999</v>
      </c>
      <c r="F3709">
        <v>1.27164017362169</v>
      </c>
      <c r="G3709">
        <v>1.27251540219199</v>
      </c>
      <c r="H3709">
        <v>0.81421170138201304</v>
      </c>
      <c r="I3709">
        <v>0.619395411225655</v>
      </c>
      <c r="J3709">
        <v>0.35540133298828702</v>
      </c>
      <c r="K3709">
        <v>0.18253414781169799</v>
      </c>
      <c r="L3709">
        <v>2135.1919888757702</v>
      </c>
      <c r="M3709">
        <v>33.155956262422599</v>
      </c>
      <c r="N3709">
        <v>65.065240621745602</v>
      </c>
      <c r="O3709">
        <v>64.165528188921797</v>
      </c>
      <c r="P3709">
        <v>-0.110574689699175</v>
      </c>
      <c r="Q3709">
        <v>0.14403881367626101</v>
      </c>
      <c r="R3709">
        <v>0.86096638196014097</v>
      </c>
      <c r="S3709" t="s">
        <v>9535</v>
      </c>
      <c r="T3709" t="s">
        <v>11650</v>
      </c>
      <c r="U3709" t="s">
        <v>11650</v>
      </c>
      <c r="V3709" t="s">
        <v>11650</v>
      </c>
      <c r="W3709" t="s">
        <v>15306</v>
      </c>
      <c r="X3709">
        <v>6</v>
      </c>
      <c r="Y3709" t="s">
        <v>20986</v>
      </c>
      <c r="Z3709" t="s">
        <v>26771</v>
      </c>
      <c r="AA3709">
        <v>0.84095866943305664</v>
      </c>
      <c r="AB3709" t="str">
        <f>HYPERLINK("Melting_Curves/meltCurve_Q6PII5_2_HAGHL.pdf", "Melting_Curves/meltCurve_Q6PII5_2_HAGHL.pdf")</f>
        <v>Melting_Curves/meltCurve_Q6PII5_2_HAGHL.pdf</v>
      </c>
    </row>
    <row r="3710" spans="1:28" x14ac:dyDescent="0.25">
      <c r="A3710" t="s">
        <v>3714</v>
      </c>
      <c r="B3710">
        <v>0.99996721820229495</v>
      </c>
      <c r="C3710">
        <v>0.73919585375985997</v>
      </c>
      <c r="D3710">
        <v>0.46449344164316603</v>
      </c>
      <c r="E3710">
        <v>0.38406783525173399</v>
      </c>
      <c r="F3710">
        <v>0.428781904857296</v>
      </c>
      <c r="G3710">
        <v>0.300178495684154</v>
      </c>
      <c r="H3710">
        <v>0.29490472483634</v>
      </c>
      <c r="I3710">
        <v>0.20801727675569401</v>
      </c>
      <c r="J3710">
        <v>0.197437065236646</v>
      </c>
      <c r="K3710">
        <v>0.15877043176391301</v>
      </c>
      <c r="L3710">
        <v>656.96781714136102</v>
      </c>
      <c r="M3710">
        <v>14.580151396707601</v>
      </c>
      <c r="N3710">
        <v>47.0599874321518</v>
      </c>
      <c r="O3710">
        <v>44.236894231075702</v>
      </c>
      <c r="P3710">
        <v>-6.3370610771998404E-2</v>
      </c>
      <c r="Q3710">
        <v>0.23100909609946199</v>
      </c>
      <c r="R3710">
        <v>0.92682644711291795</v>
      </c>
      <c r="S3710" t="s">
        <v>9536</v>
      </c>
      <c r="T3710" t="s">
        <v>11650</v>
      </c>
      <c r="U3710" t="s">
        <v>11650</v>
      </c>
      <c r="V3710" t="s">
        <v>11650</v>
      </c>
      <c r="W3710" t="s">
        <v>15307</v>
      </c>
      <c r="X3710">
        <v>3</v>
      </c>
      <c r="Y3710" t="s">
        <v>20987</v>
      </c>
      <c r="Z3710" t="s">
        <v>26772</v>
      </c>
      <c r="AA3710">
        <v>0.38673203776153181</v>
      </c>
      <c r="AB3710" t="str">
        <f>HYPERLINK("Melting_Curves/meltCurve_Q6PJ69_TRIM65.pdf", "Melting_Curves/meltCurve_Q6PJ69_TRIM65.pdf")</f>
        <v>Melting_Curves/meltCurve_Q6PJ69_TRIM65.pdf</v>
      </c>
    </row>
    <row r="3711" spans="1:28" x14ac:dyDescent="0.25">
      <c r="A3711" t="s">
        <v>3715</v>
      </c>
      <c r="B3711">
        <v>0.99996721820229495</v>
      </c>
      <c r="C3711">
        <v>1.02439191766867</v>
      </c>
      <c r="D3711">
        <v>0.94169345110212499</v>
      </c>
      <c r="E3711">
        <v>0.75858245933267998</v>
      </c>
      <c r="F3711">
        <v>0.75145210696201903</v>
      </c>
      <c r="G3711">
        <v>0.70503704786116395</v>
      </c>
      <c r="H3711">
        <v>0.47238908112515599</v>
      </c>
      <c r="I3711">
        <v>0.45434177817315402</v>
      </c>
      <c r="J3711">
        <v>0.373244673472794</v>
      </c>
      <c r="K3711">
        <v>0.299540767584212</v>
      </c>
      <c r="L3711">
        <v>458.98897271834301</v>
      </c>
      <c r="M3711">
        <v>7.5902473370185799</v>
      </c>
      <c r="N3711">
        <v>61.581377172629097</v>
      </c>
      <c r="O3711">
        <v>56.701497472603698</v>
      </c>
      <c r="P3711">
        <v>-3.1368401982550302E-2</v>
      </c>
      <c r="Q3711">
        <v>6.3960783065560994E-2</v>
      </c>
      <c r="R3711">
        <v>0.97038080781332403</v>
      </c>
      <c r="S3711" t="s">
        <v>9537</v>
      </c>
      <c r="T3711" t="s">
        <v>11650</v>
      </c>
      <c r="U3711" t="s">
        <v>11650</v>
      </c>
      <c r="V3711" t="s">
        <v>11650</v>
      </c>
      <c r="W3711" t="s">
        <v>15308</v>
      </c>
      <c r="X3711">
        <v>10</v>
      </c>
      <c r="Y3711" t="s">
        <v>20988</v>
      </c>
      <c r="Z3711" t="s">
        <v>26773</v>
      </c>
      <c r="AA3711">
        <v>0.6808619682489131</v>
      </c>
      <c r="AB3711" t="str">
        <f>HYPERLINK("Melting_Curves/meltCurve_Q6PJT7_5_ZC3H14.pdf", "Melting_Curves/meltCurve_Q6PJT7_5_ZC3H14.pdf")</f>
        <v>Melting_Curves/meltCurve_Q6PJT7_5_ZC3H14.pdf</v>
      </c>
    </row>
    <row r="3712" spans="1:28" x14ac:dyDescent="0.25">
      <c r="A3712" t="s">
        <v>3716</v>
      </c>
      <c r="B3712">
        <v>0.99996721820229495</v>
      </c>
      <c r="C3712">
        <v>1.0040953823235399</v>
      </c>
      <c r="D3712">
        <v>0.974112908776535</v>
      </c>
      <c r="E3712">
        <v>0.98673275936632798</v>
      </c>
      <c r="F3712">
        <v>1.0871791546101</v>
      </c>
      <c r="G3712">
        <v>1.0503610667081</v>
      </c>
      <c r="H3712">
        <v>0.706023935567063</v>
      </c>
      <c r="I3712">
        <v>0.55045550706851698</v>
      </c>
      <c r="J3712">
        <v>0.45473664832592697</v>
      </c>
      <c r="K3712">
        <v>0.43713294954110499</v>
      </c>
      <c r="L3712">
        <v>2972.28822838212</v>
      </c>
      <c r="M3712">
        <v>48.7273954715724</v>
      </c>
      <c r="N3712">
        <v>64.238089537033702</v>
      </c>
      <c r="O3712">
        <v>60.8958248816908</v>
      </c>
      <c r="P3712">
        <v>-0.10858868153105</v>
      </c>
      <c r="Q3712">
        <v>0.45717672624370798</v>
      </c>
      <c r="R3712">
        <v>0.97369524681647102</v>
      </c>
      <c r="S3712" t="s">
        <v>9538</v>
      </c>
      <c r="T3712" t="s">
        <v>11650</v>
      </c>
      <c r="U3712" t="s">
        <v>11650</v>
      </c>
      <c r="V3712" t="s">
        <v>11650</v>
      </c>
      <c r="W3712" t="s">
        <v>15309</v>
      </c>
      <c r="X3712">
        <v>8</v>
      </c>
      <c r="Y3712" t="s">
        <v>20989</v>
      </c>
      <c r="Z3712" t="s">
        <v>26774</v>
      </c>
      <c r="AA3712">
        <v>0.83860105062720203</v>
      </c>
      <c r="AB3712" t="str">
        <f>HYPERLINK("Melting_Curves/meltCurve_Q6PJW8_CNST.pdf", "Melting_Curves/meltCurve_Q6PJW8_CNST.pdf")</f>
        <v>Melting_Curves/meltCurve_Q6PJW8_CNST.pdf</v>
      </c>
    </row>
    <row r="3713" spans="1:28" x14ac:dyDescent="0.25">
      <c r="A3713" t="s">
        <v>3717</v>
      </c>
      <c r="B3713">
        <v>0.99996721820229495</v>
      </c>
      <c r="C3713">
        <v>0.69735668405020701</v>
      </c>
      <c r="D3713">
        <v>0.69438880373860301</v>
      </c>
      <c r="E3713">
        <v>0.95454004555477301</v>
      </c>
      <c r="F3713">
        <v>0.95659468371511203</v>
      </c>
      <c r="G3713">
        <v>0.64047348659231196</v>
      </c>
      <c r="H3713">
        <v>0.44311370609423201</v>
      </c>
      <c r="I3713">
        <v>0.25351323745424198</v>
      </c>
      <c r="J3713">
        <v>0.15317987631141</v>
      </c>
      <c r="K3713">
        <v>0.18323136019193101</v>
      </c>
      <c r="L3713">
        <v>967.57554195761804</v>
      </c>
      <c r="M3713">
        <v>16.395487853848799</v>
      </c>
      <c r="N3713">
        <v>59.616551345468999</v>
      </c>
      <c r="O3713">
        <v>58.157764139413601</v>
      </c>
      <c r="P3713">
        <v>-6.51079284644559E-2</v>
      </c>
      <c r="Q3713">
        <v>7.6267380089913503E-2</v>
      </c>
      <c r="R3713">
        <v>0.79997401373799704</v>
      </c>
      <c r="S3713" t="s">
        <v>9539</v>
      </c>
      <c r="T3713" t="s">
        <v>11650</v>
      </c>
      <c r="U3713" t="s">
        <v>11650</v>
      </c>
      <c r="V3713" t="s">
        <v>11650</v>
      </c>
      <c r="W3713" t="s">
        <v>15310</v>
      </c>
      <c r="X3713">
        <v>2</v>
      </c>
      <c r="Y3713" t="s">
        <v>20990</v>
      </c>
      <c r="Z3713" t="s">
        <v>26775</v>
      </c>
      <c r="AA3713">
        <v>0.67161848842525329</v>
      </c>
      <c r="AB3713" t="str">
        <f>HYPERLINK("Melting_Curves/meltCurve_Q6PK18_OGFOD3.pdf", "Melting_Curves/meltCurve_Q6PK18_OGFOD3.pdf")</f>
        <v>Melting_Curves/meltCurve_Q6PK18_OGFOD3.pdf</v>
      </c>
    </row>
    <row r="3714" spans="1:28" x14ac:dyDescent="0.25">
      <c r="A3714" t="s">
        <v>3718</v>
      </c>
      <c r="B3714">
        <v>0.99996721820229495</v>
      </c>
      <c r="C3714">
        <v>0.96324512916050498</v>
      </c>
      <c r="D3714">
        <v>0.88669690128378698</v>
      </c>
      <c r="E3714">
        <v>1.03935289679349</v>
      </c>
      <c r="F3714">
        <v>1.12378439564773</v>
      </c>
      <c r="G3714">
        <v>1.1456454364386599</v>
      </c>
      <c r="H3714">
        <v>0.84916369209999498</v>
      </c>
      <c r="I3714">
        <v>0.720368067324339</v>
      </c>
      <c r="J3714">
        <v>0.59068436156505999</v>
      </c>
      <c r="K3714">
        <v>0.46991820215617602</v>
      </c>
      <c r="L3714">
        <v>2002.7127996783299</v>
      </c>
      <c r="M3714">
        <v>31.3715258736107</v>
      </c>
      <c r="N3714">
        <v>69.400193351609104</v>
      </c>
      <c r="O3714">
        <v>63.580844503584103</v>
      </c>
      <c r="P3714">
        <v>-6.6668785547613005E-2</v>
      </c>
      <c r="Q3714">
        <v>0.45953104141783702</v>
      </c>
      <c r="R3714">
        <v>0.86804189848425894</v>
      </c>
      <c r="S3714" t="s">
        <v>9540</v>
      </c>
      <c r="T3714" t="s">
        <v>11650</v>
      </c>
      <c r="U3714" t="s">
        <v>11650</v>
      </c>
      <c r="V3714" t="s">
        <v>11650</v>
      </c>
      <c r="W3714" t="s">
        <v>15311</v>
      </c>
      <c r="X3714">
        <v>7</v>
      </c>
      <c r="Y3714" t="s">
        <v>20991</v>
      </c>
      <c r="Z3714" t="s">
        <v>26776</v>
      </c>
      <c r="AA3714">
        <v>0.88998085503267255</v>
      </c>
      <c r="AB3714" t="str">
        <f>HYPERLINK("Melting_Curves/meltCurve_Q6PKG0_LARP1.pdf", "Melting_Curves/meltCurve_Q6PKG0_LARP1.pdf")</f>
        <v>Melting_Curves/meltCurve_Q6PKG0_LARP1.pdf</v>
      </c>
    </row>
    <row r="3715" spans="1:28" x14ac:dyDescent="0.25">
      <c r="A3715" t="s">
        <v>3719</v>
      </c>
      <c r="B3715">
        <v>0.99996721820229495</v>
      </c>
      <c r="C3715">
        <v>0.81208532203899098</v>
      </c>
      <c r="D3715">
        <v>0.87375544163596897</v>
      </c>
      <c r="E3715">
        <v>1.08213157177354</v>
      </c>
      <c r="F3715">
        <v>0.50593566807420298</v>
      </c>
      <c r="G3715">
        <v>0.40741945573517502</v>
      </c>
      <c r="H3715">
        <v>0.297961929399087</v>
      </c>
      <c r="I3715">
        <v>0.18822500956291599</v>
      </c>
      <c r="J3715">
        <v>0.13423426350392501</v>
      </c>
      <c r="K3715">
        <v>0.126899370392448</v>
      </c>
      <c r="L3715">
        <v>1143.68038949379</v>
      </c>
      <c r="M3715">
        <v>21.1779707001477</v>
      </c>
      <c r="N3715">
        <v>54.972645152300998</v>
      </c>
      <c r="O3715">
        <v>53.528714761083798</v>
      </c>
      <c r="P3715">
        <v>-8.3499817453228001E-2</v>
      </c>
      <c r="Q3715">
        <v>0.15581677706084199</v>
      </c>
      <c r="R3715">
        <v>0.89855453463962498</v>
      </c>
      <c r="S3715" t="s">
        <v>9541</v>
      </c>
      <c r="T3715" t="s">
        <v>11650</v>
      </c>
      <c r="U3715" t="s">
        <v>11650</v>
      </c>
      <c r="V3715" t="s">
        <v>11650</v>
      </c>
      <c r="W3715" t="s">
        <v>15312</v>
      </c>
      <c r="X3715">
        <v>9</v>
      </c>
      <c r="Y3715" t="s">
        <v>20992</v>
      </c>
      <c r="Z3715" t="s">
        <v>26777</v>
      </c>
      <c r="AA3715">
        <v>0.56030631143290321</v>
      </c>
      <c r="AB3715" t="str">
        <f>HYPERLINK("Melting_Curves/meltCurve_Q6PML9_SLC30A9.pdf", "Melting_Curves/meltCurve_Q6PML9_SLC30A9.pdf")</f>
        <v>Melting_Curves/meltCurve_Q6PML9_SLC30A9.pdf</v>
      </c>
    </row>
    <row r="3716" spans="1:28" x14ac:dyDescent="0.25">
      <c r="A3716" t="s">
        <v>3720</v>
      </c>
      <c r="B3716">
        <v>0.99996721820229495</v>
      </c>
      <c r="C3716">
        <v>0.94651692538502996</v>
      </c>
      <c r="D3716">
        <v>0.94416947428265197</v>
      </c>
      <c r="E3716">
        <v>0.97560513998471399</v>
      </c>
      <c r="F3716">
        <v>0.91877978338953803</v>
      </c>
      <c r="G3716">
        <v>0.64951085153411503</v>
      </c>
      <c r="H3716">
        <v>0.33440078172283499</v>
      </c>
      <c r="I3716">
        <v>0.245990427773814</v>
      </c>
      <c r="J3716">
        <v>0.15509420153607101</v>
      </c>
      <c r="K3716">
        <v>0.131580928998484</v>
      </c>
      <c r="L3716">
        <v>1281.02135812295</v>
      </c>
      <c r="M3716">
        <v>22.0435293212178</v>
      </c>
      <c r="N3716">
        <v>58.8282570018755</v>
      </c>
      <c r="O3716">
        <v>57.641323411346796</v>
      </c>
      <c r="P3716">
        <v>-8.4373091178201798E-2</v>
      </c>
      <c r="Q3716">
        <v>0.117515098111883</v>
      </c>
      <c r="R3716">
        <v>0.99458763695799701</v>
      </c>
      <c r="S3716" t="s">
        <v>9542</v>
      </c>
      <c r="T3716" t="s">
        <v>11650</v>
      </c>
      <c r="U3716" t="s">
        <v>11650</v>
      </c>
      <c r="V3716" t="s">
        <v>11650</v>
      </c>
      <c r="W3716" t="s">
        <v>15313</v>
      </c>
      <c r="X3716">
        <v>4</v>
      </c>
      <c r="Y3716" t="s">
        <v>20993</v>
      </c>
      <c r="Z3716" t="s">
        <v>26778</v>
      </c>
      <c r="AA3716">
        <v>0.65928147016009908</v>
      </c>
      <c r="AB3716" t="str">
        <f>HYPERLINK("Melting_Curves/meltCurve_Q6QHF9_2_PAOX.pdf", "Melting_Curves/meltCurve_Q6QHF9_2_PAOX.pdf")</f>
        <v>Melting_Curves/meltCurve_Q6QHF9_2_PAOX.pdf</v>
      </c>
    </row>
    <row r="3717" spans="1:28" x14ac:dyDescent="0.25">
      <c r="A3717" t="s">
        <v>3721</v>
      </c>
      <c r="B3717">
        <v>0.99996721820229495</v>
      </c>
      <c r="C3717">
        <v>0.86927707952043098</v>
      </c>
      <c r="D3717">
        <v>0.85570823625070402</v>
      </c>
      <c r="E3717">
        <v>0.91478294961616202</v>
      </c>
      <c r="F3717">
        <v>1.0808853265323</v>
      </c>
      <c r="G3717">
        <v>1.12163036715509</v>
      </c>
      <c r="H3717">
        <v>0.71549093841353395</v>
      </c>
      <c r="I3717">
        <v>0.58093126968748099</v>
      </c>
      <c r="J3717">
        <v>0.69163170793958795</v>
      </c>
      <c r="K3717">
        <v>0.40755900449050703</v>
      </c>
      <c r="L3717">
        <v>8775.5342955329907</v>
      </c>
      <c r="M3717">
        <v>144.463918560812</v>
      </c>
      <c r="O3717">
        <v>60.733880485222898</v>
      </c>
      <c r="P3717">
        <v>-0.26169593783155198</v>
      </c>
      <c r="Q3717">
        <v>0.55992313978557895</v>
      </c>
      <c r="R3717">
        <v>0.76559552653509499</v>
      </c>
      <c r="S3717" t="s">
        <v>9543</v>
      </c>
      <c r="T3717" t="s">
        <v>11650</v>
      </c>
      <c r="U3717" t="s">
        <v>11650</v>
      </c>
      <c r="V3717" t="s">
        <v>11650</v>
      </c>
      <c r="W3717" t="s">
        <v>15314</v>
      </c>
      <c r="X3717">
        <v>14</v>
      </c>
      <c r="Y3717" t="s">
        <v>20994</v>
      </c>
      <c r="Z3717" t="s">
        <v>26779</v>
      </c>
      <c r="AA3717">
        <v>0.86438432066715676</v>
      </c>
      <c r="AB3717" t="str">
        <f>HYPERLINK("Melting_Curves/meltCurve_Q6QNY0_BLOC1S3.pdf", "Melting_Curves/meltCurve_Q6QNY0_BLOC1S3.pdf")</f>
        <v>Melting_Curves/meltCurve_Q6QNY0_BLOC1S3.pdf</v>
      </c>
    </row>
    <row r="3718" spans="1:28" x14ac:dyDescent="0.25">
      <c r="A3718" t="s">
        <v>3722</v>
      </c>
      <c r="B3718">
        <v>0.99996721820229495</v>
      </c>
      <c r="C3718">
        <v>0.95594269419041999</v>
      </c>
      <c r="D3718">
        <v>0.96295154498339797</v>
      </c>
      <c r="E3718">
        <v>1.09360654720619</v>
      </c>
      <c r="F3718">
        <v>1.35691471311159</v>
      </c>
      <c r="G3718">
        <v>1.6360557024203399</v>
      </c>
      <c r="H3718">
        <v>0.94723340566251601</v>
      </c>
      <c r="I3718">
        <v>0.70086394839480104</v>
      </c>
      <c r="J3718">
        <v>0.62902856873942903</v>
      </c>
      <c r="K3718">
        <v>0.33507267744819702</v>
      </c>
      <c r="L3718">
        <v>2098.8993979387801</v>
      </c>
      <c r="M3718">
        <v>31.804057097821001</v>
      </c>
      <c r="N3718">
        <v>67.600655898088505</v>
      </c>
      <c r="O3718">
        <v>65.735437952962798</v>
      </c>
      <c r="P3718">
        <v>-8.8887206153711096E-2</v>
      </c>
      <c r="Q3718">
        <v>0.26512407189127402</v>
      </c>
      <c r="R3718">
        <v>0.526950708041106</v>
      </c>
      <c r="S3718" t="s">
        <v>9544</v>
      </c>
      <c r="T3718" t="s">
        <v>11650</v>
      </c>
      <c r="U3718" t="s">
        <v>11650</v>
      </c>
      <c r="V3718" t="s">
        <v>11650</v>
      </c>
      <c r="W3718" t="s">
        <v>15315</v>
      </c>
      <c r="X3718">
        <v>4</v>
      </c>
      <c r="Y3718" t="s">
        <v>20995</v>
      </c>
      <c r="Z3718" t="s">
        <v>26780</v>
      </c>
      <c r="AA3718">
        <v>0.89796440577756653</v>
      </c>
      <c r="AB3718" t="str">
        <f>HYPERLINK("Melting_Curves/meltCurve_Q6QNY1_BLOC1S2.pdf", "Melting_Curves/meltCurve_Q6QNY1_BLOC1S2.pdf")</f>
        <v>Melting_Curves/meltCurve_Q6QNY1_BLOC1S2.pdf</v>
      </c>
    </row>
    <row r="3719" spans="1:28" x14ac:dyDescent="0.25">
      <c r="A3719" t="s">
        <v>3723</v>
      </c>
      <c r="B3719">
        <v>0.99996721820229495</v>
      </c>
      <c r="C3719">
        <v>0.60674347249540495</v>
      </c>
      <c r="D3719">
        <v>0.872078103267375</v>
      </c>
      <c r="E3719">
        <v>1.0506253945947499</v>
      </c>
      <c r="F3719">
        <v>1.2604446268738201</v>
      </c>
      <c r="G3719">
        <v>1.1842437317136201</v>
      </c>
      <c r="H3719">
        <v>0.93306068678675202</v>
      </c>
      <c r="I3719">
        <v>0.59252211749482697</v>
      </c>
      <c r="J3719">
        <v>0.33164512067853003</v>
      </c>
      <c r="K3719">
        <v>0.43550903521092699</v>
      </c>
      <c r="L3719">
        <v>4257.4094675199904</v>
      </c>
      <c r="M3719">
        <v>67.262516563044102</v>
      </c>
      <c r="N3719">
        <v>64.666748218941507</v>
      </c>
      <c r="O3719">
        <v>63.239544772471902</v>
      </c>
      <c r="P3719">
        <v>-0.16488427611411199</v>
      </c>
      <c r="Q3719">
        <v>0.37990997848486702</v>
      </c>
      <c r="R3719">
        <v>0.68925221181177798</v>
      </c>
      <c r="S3719" t="s">
        <v>9545</v>
      </c>
      <c r="T3719" t="s">
        <v>11650</v>
      </c>
      <c r="U3719" t="s">
        <v>11650</v>
      </c>
      <c r="V3719" t="s">
        <v>11650</v>
      </c>
      <c r="W3719" t="s">
        <v>15316</v>
      </c>
      <c r="X3719">
        <v>2</v>
      </c>
      <c r="Y3719" t="s">
        <v>20996</v>
      </c>
      <c r="Z3719" t="s">
        <v>26781</v>
      </c>
      <c r="AA3719">
        <v>0.86233373502849386</v>
      </c>
      <c r="AB3719" t="str">
        <f>HYPERLINK("Melting_Curves/meltCurve_Q6RW13_2_AGTRAP.pdf", "Melting_Curves/meltCurve_Q6RW13_2_AGTRAP.pdf")</f>
        <v>Melting_Curves/meltCurve_Q6RW13_2_AGTRAP.pdf</v>
      </c>
    </row>
    <row r="3720" spans="1:28" x14ac:dyDescent="0.25">
      <c r="A3720" t="s">
        <v>3724</v>
      </c>
      <c r="B3720">
        <v>0.99996721820229495</v>
      </c>
      <c r="C3720">
        <v>1.00289498586617</v>
      </c>
      <c r="D3720">
        <v>0.94720735220165397</v>
      </c>
      <c r="E3720">
        <v>0.77504807510477502</v>
      </c>
      <c r="F3720">
        <v>0.62504261685939899</v>
      </c>
      <c r="G3720">
        <v>0.28937723557457001</v>
      </c>
      <c r="H3720">
        <v>0.126268996270923</v>
      </c>
      <c r="I3720">
        <v>6.0715913322371202E-2</v>
      </c>
      <c r="J3720">
        <v>2.40354305553802E-2</v>
      </c>
      <c r="K3720">
        <v>1.24340656043132E-2</v>
      </c>
      <c r="L3720">
        <v>931.242404155038</v>
      </c>
      <c r="M3720">
        <v>17.1956855432182</v>
      </c>
      <c r="N3720">
        <v>54.155584836422499</v>
      </c>
      <c r="O3720">
        <v>53.439088800595798</v>
      </c>
      <c r="P3720">
        <v>-8.0450012292365397E-2</v>
      </c>
      <c r="Q3720">
        <v>0</v>
      </c>
      <c r="R3720">
        <v>0.99840790139956703</v>
      </c>
      <c r="S3720" t="s">
        <v>9546</v>
      </c>
      <c r="T3720" t="s">
        <v>11650</v>
      </c>
      <c r="U3720" t="s">
        <v>11650</v>
      </c>
      <c r="V3720" t="s">
        <v>11650</v>
      </c>
      <c r="W3720" t="s">
        <v>15317</v>
      </c>
      <c r="X3720">
        <v>2</v>
      </c>
      <c r="Y3720" t="s">
        <v>20997</v>
      </c>
      <c r="Z3720" t="s">
        <v>26782</v>
      </c>
      <c r="AA3720">
        <v>0.4888614868172933</v>
      </c>
      <c r="AB3720" t="str">
        <f>HYPERLINK("Melting_Curves/meltCurve_Q6UB28_METAP1D.pdf", "Melting_Curves/meltCurve_Q6UB28_METAP1D.pdf")</f>
        <v>Melting_Curves/meltCurve_Q6UB28_METAP1D.pdf</v>
      </c>
    </row>
    <row r="3721" spans="1:28" x14ac:dyDescent="0.25">
      <c r="A3721" t="s">
        <v>3725</v>
      </c>
      <c r="B3721">
        <v>0.99996721820229495</v>
      </c>
      <c r="C3721">
        <v>0.92483969139337097</v>
      </c>
      <c r="D3721">
        <v>0.91139062417449002</v>
      </c>
      <c r="E3721">
        <v>1.1249951247115999</v>
      </c>
      <c r="F3721">
        <v>0.279534254558995</v>
      </c>
      <c r="G3721">
        <v>0.21439083696132899</v>
      </c>
      <c r="H3721">
        <v>0.12448023609044501</v>
      </c>
      <c r="I3721">
        <v>8.8042906680451005E-2</v>
      </c>
      <c r="J3721">
        <v>6.5704614869930594E-2</v>
      </c>
      <c r="K3721">
        <v>6.0564162358469002E-2</v>
      </c>
      <c r="L3721">
        <v>13173.118481462599</v>
      </c>
      <c r="M3721">
        <v>250</v>
      </c>
      <c r="N3721">
        <v>52.745239727270999</v>
      </c>
      <c r="O3721">
        <v>52.689102117213899</v>
      </c>
      <c r="P3721">
        <v>-1.05496627876034</v>
      </c>
      <c r="Q3721">
        <v>0.11063638787718701</v>
      </c>
      <c r="R3721">
        <v>0.97505484881021598</v>
      </c>
      <c r="S3721" t="s">
        <v>9547</v>
      </c>
      <c r="T3721" t="s">
        <v>11650</v>
      </c>
      <c r="U3721" t="s">
        <v>11650</v>
      </c>
      <c r="V3721" t="s">
        <v>11650</v>
      </c>
      <c r="W3721" t="s">
        <v>15318</v>
      </c>
      <c r="X3721">
        <v>27</v>
      </c>
      <c r="Y3721" t="s">
        <v>18198</v>
      </c>
      <c r="Z3721" t="s">
        <v>26783</v>
      </c>
      <c r="AA3721">
        <v>0.48699277988963269</v>
      </c>
      <c r="AB3721" t="str">
        <f>HYPERLINK("Melting_Curves/meltCurve_Q6UB35_MTHFD1L.pdf", "Melting_Curves/meltCurve_Q6UB35_MTHFD1L.pdf")</f>
        <v>Melting_Curves/meltCurve_Q6UB35_MTHFD1L.pdf</v>
      </c>
    </row>
    <row r="3722" spans="1:28" x14ac:dyDescent="0.25">
      <c r="A3722" t="s">
        <v>3726</v>
      </c>
      <c r="B3722">
        <v>0.99996721820229495</v>
      </c>
      <c r="C3722">
        <v>1.21157801528113</v>
      </c>
      <c r="D3722">
        <v>1.0953509156971799</v>
      </c>
      <c r="E3722">
        <v>1.73357162483718</v>
      </c>
      <c r="F3722">
        <v>1.7392228903925799</v>
      </c>
      <c r="G3722">
        <v>2.2208064163556398</v>
      </c>
      <c r="H3722">
        <v>1.6214059968183501</v>
      </c>
      <c r="I3722">
        <v>1.26060102357923</v>
      </c>
      <c r="J3722">
        <v>1.55276520700865</v>
      </c>
      <c r="K3722">
        <v>1.13880398786203</v>
      </c>
      <c r="L3722">
        <v>11566.4909805442</v>
      </c>
      <c r="M3722">
        <v>250</v>
      </c>
      <c r="O3722">
        <v>46.263020398405402</v>
      </c>
      <c r="P3722">
        <v>0.67548576189916298</v>
      </c>
      <c r="Q3722">
        <v>1.5</v>
      </c>
      <c r="R3722">
        <v>0.32996319507077998</v>
      </c>
      <c r="S3722" t="s">
        <v>9548</v>
      </c>
      <c r="T3722" t="s">
        <v>11650</v>
      </c>
      <c r="U3722" t="s">
        <v>11650</v>
      </c>
      <c r="V3722" t="s">
        <v>11650</v>
      </c>
      <c r="W3722" t="s">
        <v>15319</v>
      </c>
      <c r="X3722">
        <v>2</v>
      </c>
      <c r="Y3722" t="s">
        <v>20998</v>
      </c>
      <c r="Z3722" t="s">
        <v>26784</v>
      </c>
      <c r="AA3722">
        <v>1.395526669940407</v>
      </c>
      <c r="AB3722" t="str">
        <f>HYPERLINK("Melting_Curves/meltCurve_Q6ULP2_3_AFTPH.pdf", "Melting_Curves/meltCurve_Q6ULP2_3_AFTPH.pdf")</f>
        <v>Melting_Curves/meltCurve_Q6ULP2_3_AFTPH.pdf</v>
      </c>
    </row>
    <row r="3723" spans="1:28" x14ac:dyDescent="0.25">
      <c r="A3723" t="s">
        <v>3727</v>
      </c>
      <c r="B3723">
        <v>0.99996721820229495</v>
      </c>
      <c r="C3723">
        <v>0.92970288381186705</v>
      </c>
      <c r="D3723">
        <v>0.92019215503940199</v>
      </c>
      <c r="E3723">
        <v>1.01378275452196</v>
      </c>
      <c r="F3723">
        <v>1.6595967718637199</v>
      </c>
      <c r="G3723">
        <v>2.0837466871775598</v>
      </c>
      <c r="H3723">
        <v>1.67624078575351</v>
      </c>
      <c r="I3723">
        <v>1.61062885036606</v>
      </c>
      <c r="J3723">
        <v>1.87857093575669</v>
      </c>
      <c r="K3723">
        <v>1.8318661117780199</v>
      </c>
      <c r="L3723">
        <v>12677.7383577077</v>
      </c>
      <c r="M3723">
        <v>250</v>
      </c>
      <c r="O3723">
        <v>50.707708299615597</v>
      </c>
      <c r="P3723">
        <v>0.61627711259588203</v>
      </c>
      <c r="Q3723">
        <v>1.5</v>
      </c>
      <c r="R3723">
        <v>0.62438511022243703</v>
      </c>
      <c r="S3723" t="s">
        <v>9549</v>
      </c>
      <c r="T3723" t="s">
        <v>11650</v>
      </c>
      <c r="U3723" t="s">
        <v>11650</v>
      </c>
      <c r="V3723" t="s">
        <v>11650</v>
      </c>
      <c r="W3723" t="s">
        <v>15320</v>
      </c>
      <c r="X3723">
        <v>9</v>
      </c>
      <c r="Y3723" t="s">
        <v>20999</v>
      </c>
      <c r="Z3723" t="s">
        <v>26785</v>
      </c>
      <c r="AA3723">
        <v>1.3214396110191371</v>
      </c>
      <c r="AB3723" t="str">
        <f>HYPERLINK("Melting_Curves/meltCurve_Q6UN15_3_FIP1L1.pdf", "Melting_Curves/meltCurve_Q6UN15_3_FIP1L1.pdf")</f>
        <v>Melting_Curves/meltCurve_Q6UN15_3_FIP1L1.pdf</v>
      </c>
    </row>
    <row r="3724" spans="1:28" x14ac:dyDescent="0.25">
      <c r="A3724" t="s">
        <v>3728</v>
      </c>
      <c r="B3724">
        <v>0.99996721820229495</v>
      </c>
      <c r="C3724">
        <v>1.15767387043064</v>
      </c>
      <c r="D3724">
        <v>1.09049749691238</v>
      </c>
      <c r="E3724">
        <v>1.0384053566656599</v>
      </c>
      <c r="F3724">
        <v>1.39926788445883</v>
      </c>
      <c r="G3724">
        <v>1.3283265213683499</v>
      </c>
      <c r="H3724">
        <v>0.86202872939856601</v>
      </c>
      <c r="I3724">
        <v>0.63781934751911795</v>
      </c>
      <c r="J3724">
        <v>0.588657092443023</v>
      </c>
      <c r="K3724">
        <v>0.43385876141089702</v>
      </c>
      <c r="L3724">
        <v>2915.9506255552001</v>
      </c>
      <c r="M3724">
        <v>46.450643702530201</v>
      </c>
      <c r="N3724">
        <v>68.918368427574805</v>
      </c>
      <c r="O3724">
        <v>62.659229829363802</v>
      </c>
      <c r="P3724">
        <v>-9.4140171740708503E-2</v>
      </c>
      <c r="Q3724">
        <v>0.49204201631914302</v>
      </c>
      <c r="R3724">
        <v>0.65782833293850496</v>
      </c>
      <c r="S3724" t="s">
        <v>9550</v>
      </c>
      <c r="T3724" t="s">
        <v>11650</v>
      </c>
      <c r="U3724" t="s">
        <v>11650</v>
      </c>
      <c r="V3724" t="s">
        <v>11650</v>
      </c>
      <c r="W3724" t="s">
        <v>15321</v>
      </c>
      <c r="X3724">
        <v>5</v>
      </c>
      <c r="Y3724" t="s">
        <v>21000</v>
      </c>
      <c r="Z3724" t="s">
        <v>26786</v>
      </c>
      <c r="AA3724">
        <v>0.87905541491092165</v>
      </c>
      <c r="AB3724" t="str">
        <f>HYPERLINK("Melting_Curves/meltCurve_Q6UUV9_3_CRTC1.pdf", "Melting_Curves/meltCurve_Q6UUV9_3_CRTC1.pdf")</f>
        <v>Melting_Curves/meltCurve_Q6UUV9_3_CRTC1.pdf</v>
      </c>
    </row>
    <row r="3725" spans="1:28" x14ac:dyDescent="0.25">
      <c r="A3725" t="s">
        <v>3729</v>
      </c>
      <c r="B3725">
        <v>0.99996721820229495</v>
      </c>
      <c r="C3725">
        <v>0.84732425212302998</v>
      </c>
      <c r="D3725">
        <v>0.90364108282113198</v>
      </c>
      <c r="E3725">
        <v>0.96284467622051295</v>
      </c>
      <c r="F3725">
        <v>1.16844938301774</v>
      </c>
      <c r="G3725">
        <v>1.1893526484514301</v>
      </c>
      <c r="H3725">
        <v>0.88131722200806994</v>
      </c>
      <c r="I3725">
        <v>0.87364647232723103</v>
      </c>
      <c r="J3725">
        <v>0.80293749486516097</v>
      </c>
      <c r="K3725">
        <v>0.56901554215940997</v>
      </c>
      <c r="L3725">
        <v>1404.76741314632</v>
      </c>
      <c r="M3725">
        <v>19.754862786403301</v>
      </c>
      <c r="Q3725">
        <v>0</v>
      </c>
      <c r="R3725">
        <v>0.61877208758720803</v>
      </c>
      <c r="S3725" t="s">
        <v>9551</v>
      </c>
      <c r="T3725" t="s">
        <v>11650</v>
      </c>
      <c r="U3725" t="s">
        <v>11650</v>
      </c>
      <c r="V3725" t="s">
        <v>11650</v>
      </c>
      <c r="W3725" t="s">
        <v>15322</v>
      </c>
      <c r="X3725">
        <v>23</v>
      </c>
      <c r="Y3725" t="s">
        <v>21001</v>
      </c>
      <c r="Z3725" t="s">
        <v>26787</v>
      </c>
      <c r="AA3725">
        <v>0.94250594735404747</v>
      </c>
      <c r="AB3725" t="str">
        <f>HYPERLINK("Melting_Curves/meltCurve_Q6UVK1_CSPG4.pdf", "Melting_Curves/meltCurve_Q6UVK1_CSPG4.pdf")</f>
        <v>Melting_Curves/meltCurve_Q6UVK1_CSPG4.pdf</v>
      </c>
    </row>
    <row r="3726" spans="1:28" x14ac:dyDescent="0.25">
      <c r="A3726" t="s">
        <v>3730</v>
      </c>
      <c r="B3726">
        <v>0.99996721820229495</v>
      </c>
      <c r="C3726">
        <v>1.0094806012163799</v>
      </c>
      <c r="D3726">
        <v>1.03628337270478</v>
      </c>
      <c r="E3726">
        <v>1.05885225334859</v>
      </c>
      <c r="F3726">
        <v>1.3445632822008</v>
      </c>
      <c r="G3726">
        <v>1.22561975250622</v>
      </c>
      <c r="H3726">
        <v>0.77591157242353803</v>
      </c>
      <c r="I3726">
        <v>0.57956372129758205</v>
      </c>
      <c r="J3726">
        <v>0.38509698239208301</v>
      </c>
      <c r="K3726">
        <v>0.34445111612635898</v>
      </c>
      <c r="L3726">
        <v>2539.7925743143901</v>
      </c>
      <c r="M3726">
        <v>40.524276678663597</v>
      </c>
      <c r="N3726">
        <v>64.543072828323702</v>
      </c>
      <c r="O3726">
        <v>62.521341446237102</v>
      </c>
      <c r="P3726">
        <v>-0.106068614665926</v>
      </c>
      <c r="Q3726">
        <v>0.345425761580057</v>
      </c>
      <c r="R3726">
        <v>0.82437281931376405</v>
      </c>
      <c r="S3726" t="s">
        <v>9552</v>
      </c>
      <c r="T3726" t="s">
        <v>11650</v>
      </c>
      <c r="U3726" t="s">
        <v>11650</v>
      </c>
      <c r="V3726" t="s">
        <v>11650</v>
      </c>
      <c r="W3726" t="s">
        <v>15323</v>
      </c>
      <c r="X3726">
        <v>13</v>
      </c>
      <c r="Y3726" t="s">
        <v>21002</v>
      </c>
      <c r="Z3726" t="s">
        <v>26788</v>
      </c>
      <c r="AA3726">
        <v>0.84226436334036658</v>
      </c>
      <c r="AB3726" t="str">
        <f>HYPERLINK("Melting_Curves/meltCurve_Q6UVY6_2_MOXD1.pdf", "Melting_Curves/meltCurve_Q6UVY6_2_MOXD1.pdf")</f>
        <v>Melting_Curves/meltCurve_Q6UVY6_2_MOXD1.pdf</v>
      </c>
    </row>
    <row r="3727" spans="1:28" x14ac:dyDescent="0.25">
      <c r="A3727" t="s">
        <v>3731</v>
      </c>
      <c r="B3727">
        <v>0.99996721820229495</v>
      </c>
      <c r="C3727">
        <v>0.73616083845565605</v>
      </c>
      <c r="D3727">
        <v>0.83916105176043199</v>
      </c>
      <c r="E3727">
        <v>1.02590303350345</v>
      </c>
      <c r="F3727">
        <v>1.31827776450014</v>
      </c>
      <c r="G3727">
        <v>1.0928524880417001</v>
      </c>
      <c r="H3727">
        <v>0.87010410077502498</v>
      </c>
      <c r="I3727">
        <v>0.67508604104108505</v>
      </c>
      <c r="J3727">
        <v>0.38711249716638002</v>
      </c>
      <c r="K3727">
        <v>0.48534493178864702</v>
      </c>
      <c r="L3727">
        <v>2909.4755979418501</v>
      </c>
      <c r="M3727">
        <v>46.005879133472497</v>
      </c>
      <c r="N3727">
        <v>65.955393458196497</v>
      </c>
      <c r="O3727">
        <v>63.122244160571498</v>
      </c>
      <c r="P3727">
        <v>-0.10482552317003301</v>
      </c>
      <c r="Q3727">
        <v>0.42469836603197397</v>
      </c>
      <c r="R3727">
        <v>0.69689108261322796</v>
      </c>
      <c r="S3727" t="s">
        <v>9553</v>
      </c>
      <c r="T3727" t="s">
        <v>11650</v>
      </c>
      <c r="U3727" t="s">
        <v>11650</v>
      </c>
      <c r="V3727" t="s">
        <v>11650</v>
      </c>
      <c r="W3727" t="s">
        <v>15324</v>
      </c>
      <c r="X3727">
        <v>2</v>
      </c>
      <c r="Y3727" t="s">
        <v>21003</v>
      </c>
      <c r="Z3727" t="s">
        <v>26789</v>
      </c>
      <c r="AA3727">
        <v>0.8718918090346649</v>
      </c>
      <c r="AB3727" t="str">
        <f>HYPERLINK("Melting_Curves/meltCurve_Q6UW56_ATRAID.pdf", "Melting_Curves/meltCurve_Q6UW56_ATRAID.pdf")</f>
        <v>Melting_Curves/meltCurve_Q6UW56_ATRAID.pdf</v>
      </c>
    </row>
    <row r="3728" spans="1:28" x14ac:dyDescent="0.25">
      <c r="A3728" t="s">
        <v>3732</v>
      </c>
      <c r="B3728">
        <v>0.99996721820229495</v>
      </c>
      <c r="C3728">
        <v>1.09339264247449</v>
      </c>
      <c r="D3728">
        <v>0.99228757390578703</v>
      </c>
      <c r="E3728">
        <v>0.64823711282250696</v>
      </c>
      <c r="F3728">
        <v>0.52583484495699895</v>
      </c>
      <c r="G3728">
        <v>0.61083571111452994</v>
      </c>
      <c r="H3728">
        <v>0.38139608163146699</v>
      </c>
      <c r="I3728">
        <v>0.24804922436059301</v>
      </c>
      <c r="J3728">
        <v>0.152713682286929</v>
      </c>
      <c r="K3728">
        <v>0.15865672951477799</v>
      </c>
      <c r="L3728">
        <v>536.48412771129199</v>
      </c>
      <c r="M3728">
        <v>9.5601280031032694</v>
      </c>
      <c r="N3728">
        <v>56.484905855791503</v>
      </c>
      <c r="O3728">
        <v>53.826180590605702</v>
      </c>
      <c r="P3728">
        <v>-4.3086780148826199E-2</v>
      </c>
      <c r="Q3728">
        <v>3.01977953423474E-2</v>
      </c>
      <c r="R3728">
        <v>0.92786222115114803</v>
      </c>
      <c r="S3728" t="s">
        <v>9554</v>
      </c>
      <c r="T3728" t="s">
        <v>11650</v>
      </c>
      <c r="U3728" t="s">
        <v>11650</v>
      </c>
      <c r="V3728" t="s">
        <v>11650</v>
      </c>
      <c r="W3728" t="s">
        <v>15325</v>
      </c>
      <c r="X3728">
        <v>13</v>
      </c>
      <c r="Y3728" t="s">
        <v>21004</v>
      </c>
      <c r="Z3728" t="s">
        <v>26790</v>
      </c>
      <c r="AA3728">
        <v>0.57097561957874354</v>
      </c>
      <c r="AB3728" t="str">
        <f>HYPERLINK("Melting_Curves/meltCurve_Q6UW63_KDELC1.pdf", "Melting_Curves/meltCurve_Q6UW63_KDELC1.pdf")</f>
        <v>Melting_Curves/meltCurve_Q6UW63_KDELC1.pdf</v>
      </c>
    </row>
    <row r="3729" spans="1:28" x14ac:dyDescent="0.25">
      <c r="A3729" t="s">
        <v>3733</v>
      </c>
      <c r="B3729">
        <v>0.99996721820229495</v>
      </c>
      <c r="C3729">
        <v>0.961919649394258</v>
      </c>
      <c r="D3729">
        <v>0.92040327518056197</v>
      </c>
      <c r="E3729">
        <v>0.99355975784445805</v>
      </c>
      <c r="F3729">
        <v>0.450619205730657</v>
      </c>
      <c r="G3729">
        <v>0.33430238791610301</v>
      </c>
      <c r="H3729">
        <v>0.184370266056745</v>
      </c>
      <c r="I3729">
        <v>0.11181426637179701</v>
      </c>
      <c r="J3729">
        <v>8.8863940579338899E-2</v>
      </c>
      <c r="K3729">
        <v>8.9985598332869302E-2</v>
      </c>
      <c r="S3729" t="s">
        <v>9555</v>
      </c>
      <c r="T3729" t="s">
        <v>11650</v>
      </c>
      <c r="U3729" t="s">
        <v>11651</v>
      </c>
      <c r="V3729" t="s">
        <v>11650</v>
      </c>
      <c r="W3729" t="s">
        <v>15326</v>
      </c>
      <c r="X3729">
        <v>27</v>
      </c>
      <c r="Y3729" t="s">
        <v>21005</v>
      </c>
      <c r="Z3729" t="s">
        <v>26791</v>
      </c>
      <c r="AB3729" t="str">
        <f>HYPERLINK("Melting_Curves/meltCurve_Q6UWE0_LRSAM1.pdf", "Melting_Curves/meltCurve_Q6UWE0_LRSAM1.pdf")</f>
        <v>Melting_Curves/meltCurve_Q6UWE0_LRSAM1.pdf</v>
      </c>
    </row>
    <row r="3730" spans="1:28" x14ac:dyDescent="0.25">
      <c r="A3730" t="s">
        <v>3734</v>
      </c>
      <c r="B3730">
        <v>0.99996721820229495</v>
      </c>
      <c r="C3730">
        <v>0.91269143582333101</v>
      </c>
      <c r="D3730">
        <v>0.88234188786401102</v>
      </c>
      <c r="E3730">
        <v>0.82467206046764796</v>
      </c>
      <c r="F3730">
        <v>0.49888432927448501</v>
      </c>
      <c r="G3730">
        <v>0.32032133890131997</v>
      </c>
      <c r="H3730">
        <v>0.16596102070027</v>
      </c>
      <c r="I3730">
        <v>0.16123549073833199</v>
      </c>
      <c r="J3730">
        <v>0.135544947650315</v>
      </c>
      <c r="K3730">
        <v>0.12744547295891501</v>
      </c>
      <c r="L3730">
        <v>901.29363545410695</v>
      </c>
      <c r="M3730">
        <v>17.066110950929101</v>
      </c>
      <c r="N3730">
        <v>53.580130824700497</v>
      </c>
      <c r="O3730">
        <v>52.102761498438397</v>
      </c>
      <c r="P3730">
        <v>-7.3004186702749496E-2</v>
      </c>
      <c r="Q3730">
        <v>0.108528414097283</v>
      </c>
      <c r="R3730">
        <v>0.98715335966933504</v>
      </c>
      <c r="S3730" t="s">
        <v>9556</v>
      </c>
      <c r="T3730" t="s">
        <v>11650</v>
      </c>
      <c r="U3730" t="s">
        <v>11650</v>
      </c>
      <c r="V3730" t="s">
        <v>11650</v>
      </c>
      <c r="W3730" t="s">
        <v>15327</v>
      </c>
      <c r="X3730">
        <v>4</v>
      </c>
      <c r="Y3730" t="s">
        <v>21006</v>
      </c>
      <c r="Z3730" t="s">
        <v>26792</v>
      </c>
      <c r="AA3730">
        <v>0.50518858614487938</v>
      </c>
      <c r="AB3730" t="str">
        <f>HYPERLINK("Melting_Curves/meltCurve_Q6UWH4_FAM198B.pdf", "Melting_Curves/meltCurve_Q6UWH4_FAM198B.pdf")</f>
        <v>Melting_Curves/meltCurve_Q6UWH4_FAM198B.pdf</v>
      </c>
    </row>
    <row r="3731" spans="1:28" x14ac:dyDescent="0.25">
      <c r="A3731" t="s">
        <v>3735</v>
      </c>
      <c r="B3731">
        <v>0.99996721820229495</v>
      </c>
      <c r="C3731">
        <v>0.91029002368635703</v>
      </c>
      <c r="D3731">
        <v>1.19301245035656</v>
      </c>
      <c r="E3731">
        <v>1.4990320868068601</v>
      </c>
      <c r="F3731">
        <v>2.1229161949157902</v>
      </c>
      <c r="G3731">
        <v>2.28465300173997</v>
      </c>
      <c r="H3731">
        <v>1.6505433223420001</v>
      </c>
      <c r="I3731">
        <v>1.00621327947593</v>
      </c>
      <c r="J3731">
        <v>0.63031334647706005</v>
      </c>
      <c r="K3731">
        <v>0.96397809237180299</v>
      </c>
      <c r="L3731">
        <v>1760.98665473594</v>
      </c>
      <c r="M3731">
        <v>25.937188873964001</v>
      </c>
      <c r="O3731">
        <v>67.494541750454005</v>
      </c>
      <c r="P3731">
        <v>-1.85411542969772E-2</v>
      </c>
      <c r="Q3731">
        <v>0.80700881977051497</v>
      </c>
      <c r="R3731">
        <v>-0.38347080148667201</v>
      </c>
      <c r="S3731" t="s">
        <v>9557</v>
      </c>
      <c r="T3731" t="s">
        <v>11650</v>
      </c>
      <c r="U3731" t="s">
        <v>11650</v>
      </c>
      <c r="V3731" t="s">
        <v>11650</v>
      </c>
      <c r="W3731" t="s">
        <v>15328</v>
      </c>
      <c r="X3731">
        <v>1</v>
      </c>
      <c r="Y3731" t="s">
        <v>21007</v>
      </c>
      <c r="Z3731" t="s">
        <v>26793</v>
      </c>
      <c r="AA3731">
        <v>0.98120386456925701</v>
      </c>
      <c r="AB3731" t="str">
        <f>HYPERLINK("Melting_Curves/meltCurve_Q6UWJ1_3_TMCO3.pdf", "Melting_Curves/meltCurve_Q6UWJ1_3_TMCO3.pdf")</f>
        <v>Melting_Curves/meltCurve_Q6UWJ1_3_TMCO3.pdf</v>
      </c>
    </row>
    <row r="3732" spans="1:28" x14ac:dyDescent="0.25">
      <c r="A3732" t="s">
        <v>3736</v>
      </c>
      <c r="B3732">
        <v>0.99996721820229495</v>
      </c>
      <c r="C3732">
        <v>1.0578240476316301</v>
      </c>
      <c r="D3732">
        <v>1.1385249221177001</v>
      </c>
      <c r="E3732">
        <v>1.1464100252121601</v>
      </c>
      <c r="F3732">
        <v>0.60656116385630898</v>
      </c>
      <c r="G3732">
        <v>0.41105411823094901</v>
      </c>
      <c r="H3732">
        <v>0.21247275683809599</v>
      </c>
      <c r="I3732">
        <v>0.12956541336162999</v>
      </c>
      <c r="J3732">
        <v>8.3573247208291596E-2</v>
      </c>
      <c r="K3732">
        <v>6.1222851039033702E-2</v>
      </c>
      <c r="L3732">
        <v>1373.2993098105601</v>
      </c>
      <c r="M3732">
        <v>24.9476695710242</v>
      </c>
      <c r="N3732">
        <v>55.5143442628546</v>
      </c>
      <c r="O3732">
        <v>54.697142592330103</v>
      </c>
      <c r="P3732">
        <v>-0.103231788626848</v>
      </c>
      <c r="Q3732">
        <v>9.4679513259987205E-2</v>
      </c>
      <c r="R3732">
        <v>0.94950368611916303</v>
      </c>
      <c r="S3732" t="s">
        <v>9558</v>
      </c>
      <c r="T3732" t="s">
        <v>11650</v>
      </c>
      <c r="U3732" t="s">
        <v>11650</v>
      </c>
      <c r="V3732" t="s">
        <v>11650</v>
      </c>
      <c r="W3732" t="s">
        <v>15329</v>
      </c>
      <c r="X3732">
        <v>3</v>
      </c>
      <c r="Y3732" t="s">
        <v>21008</v>
      </c>
      <c r="Z3732" t="s">
        <v>26794</v>
      </c>
      <c r="AA3732">
        <v>0.55716908961492995</v>
      </c>
      <c r="AB3732" t="str">
        <f>HYPERLINK("Melting_Curves/meltCurve_Q6UWP2_DHRS11.pdf", "Melting_Curves/meltCurve_Q6UWP2_DHRS11.pdf")</f>
        <v>Melting_Curves/meltCurve_Q6UWP2_DHRS11.pdf</v>
      </c>
    </row>
    <row r="3733" spans="1:28" x14ac:dyDescent="0.25">
      <c r="A3733" t="s">
        <v>3737</v>
      </c>
      <c r="B3733">
        <v>0.99996721820229495</v>
      </c>
      <c r="C3733">
        <v>0.74808217866113402</v>
      </c>
      <c r="D3733">
        <v>0.83891636165194305</v>
      </c>
      <c r="E3733">
        <v>1.0661935954883099</v>
      </c>
      <c r="F3733">
        <v>0.99569331708319997</v>
      </c>
      <c r="G3733">
        <v>0.620932591083313</v>
      </c>
      <c r="H3733">
        <v>0.30487854974617301</v>
      </c>
      <c r="I3733">
        <v>0.15914222925244301</v>
      </c>
      <c r="J3733">
        <v>0.117492578634875</v>
      </c>
      <c r="K3733">
        <v>0.121736786300555</v>
      </c>
      <c r="L3733">
        <v>1753.75518383342</v>
      </c>
      <c r="M3733">
        <v>30.3312674263159</v>
      </c>
      <c r="N3733">
        <v>58.341467158816599</v>
      </c>
      <c r="O3733">
        <v>57.570456573709599</v>
      </c>
      <c r="P3733">
        <v>-0.11607715544467299</v>
      </c>
      <c r="Q3733">
        <v>0.11872157648209</v>
      </c>
      <c r="R3733">
        <v>0.92651181842242303</v>
      </c>
      <c r="S3733" t="s">
        <v>9559</v>
      </c>
      <c r="T3733" t="s">
        <v>11650</v>
      </c>
      <c r="U3733" t="s">
        <v>11650</v>
      </c>
      <c r="V3733" t="s">
        <v>11650</v>
      </c>
      <c r="W3733" t="s">
        <v>15330</v>
      </c>
      <c r="X3733">
        <v>12</v>
      </c>
      <c r="Y3733" t="s">
        <v>21009</v>
      </c>
      <c r="Z3733" t="s">
        <v>26795</v>
      </c>
      <c r="AA3733">
        <v>0.64791457499094451</v>
      </c>
      <c r="AB3733" t="str">
        <f>HYPERLINK("Melting_Curves/meltCurve_Q6UWP7_3_LCLAT1.pdf", "Melting_Curves/meltCurve_Q6UWP7_3_LCLAT1.pdf")</f>
        <v>Melting_Curves/meltCurve_Q6UWP7_3_LCLAT1.pdf</v>
      </c>
    </row>
    <row r="3734" spans="1:28" x14ac:dyDescent="0.25">
      <c r="A3734" t="s">
        <v>3738</v>
      </c>
      <c r="B3734">
        <v>0.99996721820229495</v>
      </c>
      <c r="C3734">
        <v>0.62041947684356702</v>
      </c>
      <c r="D3734">
        <v>0.55045684183983601</v>
      </c>
      <c r="E3734">
        <v>0.827106930540775</v>
      </c>
      <c r="F3734">
        <v>1.0987309222582</v>
      </c>
      <c r="G3734">
        <v>0.69232100121977003</v>
      </c>
      <c r="H3734">
        <v>0.40304374547407901</v>
      </c>
      <c r="I3734">
        <v>0.60437581510435301</v>
      </c>
      <c r="J3734">
        <v>0.387757356302185</v>
      </c>
      <c r="K3734">
        <v>0.31415766203343298</v>
      </c>
      <c r="L3734">
        <v>248.07781729443801</v>
      </c>
      <c r="M3734">
        <v>3.8593552099682</v>
      </c>
      <c r="N3734">
        <v>64.279602935047293</v>
      </c>
      <c r="O3734">
        <v>52.160969587367298</v>
      </c>
      <c r="P3734">
        <v>-1.8763852057810899E-2</v>
      </c>
      <c r="Q3734">
        <v>0</v>
      </c>
      <c r="R3734">
        <v>0.39801025597989798</v>
      </c>
      <c r="S3734" t="s">
        <v>9560</v>
      </c>
      <c r="T3734" t="s">
        <v>11650</v>
      </c>
      <c r="U3734" t="s">
        <v>11650</v>
      </c>
      <c r="V3734" t="s">
        <v>11650</v>
      </c>
      <c r="W3734" t="s">
        <v>15331</v>
      </c>
      <c r="X3734">
        <v>2</v>
      </c>
      <c r="Y3734" t="s">
        <v>21010</v>
      </c>
      <c r="Z3734" t="s">
        <v>26796</v>
      </c>
      <c r="AA3734">
        <v>0.66200692034419406</v>
      </c>
      <c r="AB3734" t="str">
        <f>HYPERLINK("Melting_Curves/meltCurve_Q6UWS5_PET117.pdf", "Melting_Curves/meltCurve_Q6UWS5_PET117.pdf")</f>
        <v>Melting_Curves/meltCurve_Q6UWS5_PET117.pdf</v>
      </c>
    </row>
    <row r="3735" spans="1:28" x14ac:dyDescent="0.25">
      <c r="A3735" t="s">
        <v>3739</v>
      </c>
      <c r="B3735">
        <v>0.99996721820229495</v>
      </c>
      <c r="C3735">
        <v>0.95682540740763899</v>
      </c>
      <c r="D3735">
        <v>1.0284319485192599</v>
      </c>
      <c r="E3735">
        <v>0.95718486597182095</v>
      </c>
      <c r="F3735">
        <v>1.13102565603481</v>
      </c>
      <c r="G3735">
        <v>0.82106009101582</v>
      </c>
      <c r="H3735">
        <v>0.52309857121768899</v>
      </c>
      <c r="I3735">
        <v>0.30987839539487999</v>
      </c>
      <c r="J3735">
        <v>0.24559890291822001</v>
      </c>
      <c r="K3735">
        <v>0.18289931048664201</v>
      </c>
      <c r="L3735">
        <v>1718.2563197664599</v>
      </c>
      <c r="M3735">
        <v>28.566076547382998</v>
      </c>
      <c r="N3735">
        <v>61.150959349040001</v>
      </c>
      <c r="O3735">
        <v>59.857792481433997</v>
      </c>
      <c r="P3735">
        <v>-9.7033008200746396E-2</v>
      </c>
      <c r="Q3735">
        <v>0.18670884906603499</v>
      </c>
      <c r="R3735">
        <v>0.97595855520145802</v>
      </c>
      <c r="S3735" t="s">
        <v>9561</v>
      </c>
      <c r="T3735" t="s">
        <v>11650</v>
      </c>
      <c r="U3735" t="s">
        <v>11650</v>
      </c>
      <c r="V3735" t="s">
        <v>11650</v>
      </c>
      <c r="W3735" t="s">
        <v>15332</v>
      </c>
      <c r="X3735">
        <v>2</v>
      </c>
      <c r="Y3735" t="s">
        <v>21011</v>
      </c>
      <c r="Z3735" t="s">
        <v>26797</v>
      </c>
      <c r="AA3735">
        <v>0.73816042105444479</v>
      </c>
      <c r="AB3735" t="str">
        <f>HYPERLINK("Melting_Curves/meltCurve_Q6UWU4_C6orf89.pdf", "Melting_Curves/meltCurve_Q6UWU4_C6orf89.pdf")</f>
        <v>Melting_Curves/meltCurve_Q6UWU4_C6orf89.pdf</v>
      </c>
    </row>
    <row r="3736" spans="1:28" x14ac:dyDescent="0.25">
      <c r="A3736" t="s">
        <v>3740</v>
      </c>
      <c r="B3736">
        <v>0.99996721820229495</v>
      </c>
      <c r="C3736">
        <v>1.00928472877362</v>
      </c>
      <c r="D3736">
        <v>1.01480429997854</v>
      </c>
      <c r="E3736">
        <v>0.50789117072809198</v>
      </c>
      <c r="F3736">
        <v>0.45057260484020101</v>
      </c>
      <c r="G3736">
        <v>0.41791320490258799</v>
      </c>
      <c r="H3736">
        <v>0.28392538516270599</v>
      </c>
      <c r="I3736">
        <v>0.21151452252737199</v>
      </c>
      <c r="J3736">
        <v>0.175622769227994</v>
      </c>
      <c r="K3736">
        <v>0.193509438548463</v>
      </c>
      <c r="L3736">
        <v>1043.5442389831201</v>
      </c>
      <c r="M3736">
        <v>20.827752778406101</v>
      </c>
      <c r="N3736">
        <v>51.6629594889095</v>
      </c>
      <c r="O3736">
        <v>49.6485195229562</v>
      </c>
      <c r="P3736">
        <v>-8.0405367462156402E-2</v>
      </c>
      <c r="Q3736">
        <v>0.23335045933113699</v>
      </c>
      <c r="R3736">
        <v>0.95165223925666798</v>
      </c>
      <c r="S3736" t="s">
        <v>9562</v>
      </c>
      <c r="T3736" t="s">
        <v>11650</v>
      </c>
      <c r="U3736" t="s">
        <v>11650</v>
      </c>
      <c r="V3736" t="s">
        <v>11650</v>
      </c>
      <c r="W3736" t="s">
        <v>15333</v>
      </c>
      <c r="X3736">
        <v>6</v>
      </c>
      <c r="Y3736" t="s">
        <v>21012</v>
      </c>
      <c r="Z3736" t="s">
        <v>26798</v>
      </c>
      <c r="AA3736">
        <v>0.50140357987821171</v>
      </c>
      <c r="AB3736" t="str">
        <f>HYPERLINK("Melting_Curves/meltCurve_Q6UX04_CWC27.pdf", "Melting_Curves/meltCurve_Q6UX04_CWC27.pdf")</f>
        <v>Melting_Curves/meltCurve_Q6UX04_CWC27.pdf</v>
      </c>
    </row>
    <row r="3737" spans="1:28" x14ac:dyDescent="0.25">
      <c r="A3737" t="s">
        <v>3741</v>
      </c>
      <c r="B3737">
        <v>0.99996721820229495</v>
      </c>
      <c r="C3737">
        <v>0.83358063863722398</v>
      </c>
      <c r="D3737">
        <v>0.85453207213388704</v>
      </c>
      <c r="E3737">
        <v>0.984869410219393</v>
      </c>
      <c r="F3737">
        <v>1.13061126302314</v>
      </c>
      <c r="G3737">
        <v>1.2248647305371101</v>
      </c>
      <c r="H3737">
        <v>1.0008410052697401</v>
      </c>
      <c r="I3737">
        <v>0.70154444598223997</v>
      </c>
      <c r="J3737">
        <v>0.51764328858667696</v>
      </c>
      <c r="K3737">
        <v>0.45234243472473001</v>
      </c>
      <c r="L3737">
        <v>4776.7349233660198</v>
      </c>
      <c r="M3737">
        <v>74.877758482158796</v>
      </c>
      <c r="N3737">
        <v>66.493526258478994</v>
      </c>
      <c r="O3737">
        <v>63.7483184362925</v>
      </c>
      <c r="P3737">
        <v>-0.153845141705865</v>
      </c>
      <c r="Q3737">
        <v>0.47608649651764101</v>
      </c>
      <c r="R3737">
        <v>0.79211053320991698</v>
      </c>
      <c r="S3737" t="s">
        <v>9563</v>
      </c>
      <c r="T3737" t="s">
        <v>11650</v>
      </c>
      <c r="U3737" t="s">
        <v>11650</v>
      </c>
      <c r="V3737" t="s">
        <v>11650</v>
      </c>
      <c r="W3737" t="s">
        <v>15334</v>
      </c>
      <c r="X3737">
        <v>5</v>
      </c>
      <c r="Y3737" t="s">
        <v>21013</v>
      </c>
      <c r="Z3737" t="s">
        <v>26799</v>
      </c>
      <c r="AA3737">
        <v>0.89224702887914298</v>
      </c>
      <c r="AB3737" t="str">
        <f>HYPERLINK("Melting_Curves/meltCurve_Q6UX15_2_LAYN.pdf", "Melting_Curves/meltCurve_Q6UX15_2_LAYN.pdf")</f>
        <v>Melting_Curves/meltCurve_Q6UX15_2_LAYN.pdf</v>
      </c>
    </row>
    <row r="3738" spans="1:28" x14ac:dyDescent="0.25">
      <c r="A3738" t="s">
        <v>3742</v>
      </c>
      <c r="B3738">
        <v>0.99996721820229495</v>
      </c>
      <c r="C3738">
        <v>1.0905091663873601</v>
      </c>
      <c r="D3738">
        <v>1.0219639635972899</v>
      </c>
      <c r="E3738">
        <v>0.95892247883659198</v>
      </c>
      <c r="F3738">
        <v>0.81053929236965105</v>
      </c>
      <c r="G3738">
        <v>0.61573495394467104</v>
      </c>
      <c r="H3738">
        <v>0.41673828431105903</v>
      </c>
      <c r="I3738">
        <v>0.25934311918785202</v>
      </c>
      <c r="J3738">
        <v>0.23520173011367801</v>
      </c>
      <c r="K3738">
        <v>0.13972079927014999</v>
      </c>
      <c r="L3738">
        <v>902.26913806892105</v>
      </c>
      <c r="M3738">
        <v>15.503495468179</v>
      </c>
      <c r="N3738">
        <v>59.053351608861597</v>
      </c>
      <c r="O3738">
        <v>57.255303771787901</v>
      </c>
      <c r="P3738">
        <v>-6.0890732467601898E-2</v>
      </c>
      <c r="Q3738">
        <v>0.10058787199300299</v>
      </c>
      <c r="R3738">
        <v>0.98864566399319498</v>
      </c>
      <c r="S3738" t="s">
        <v>9564</v>
      </c>
      <c r="T3738" t="s">
        <v>11650</v>
      </c>
      <c r="U3738" t="s">
        <v>11650</v>
      </c>
      <c r="V3738" t="s">
        <v>11650</v>
      </c>
      <c r="W3738" t="s">
        <v>15335</v>
      </c>
      <c r="X3738">
        <v>1</v>
      </c>
      <c r="Y3738" t="s">
        <v>21014</v>
      </c>
      <c r="Z3738" t="s">
        <v>26800</v>
      </c>
      <c r="AA3738">
        <v>0.65771259471591015</v>
      </c>
      <c r="AB3738" t="str">
        <f>HYPERLINK("Melting_Curves/meltCurve_Q6UX53_METTL7B.pdf", "Melting_Curves/meltCurve_Q6UX53_METTL7B.pdf")</f>
        <v>Melting_Curves/meltCurve_Q6UX53_METTL7B.pdf</v>
      </c>
    </row>
    <row r="3739" spans="1:28" x14ac:dyDescent="0.25">
      <c r="A3739" t="s">
        <v>3743</v>
      </c>
      <c r="B3739">
        <v>0.99996721820229495</v>
      </c>
      <c r="C3739">
        <v>0.98478475603551396</v>
      </c>
      <c r="D3739">
        <v>0.97831936022511001</v>
      </c>
      <c r="E3739">
        <v>1.0861115983593399</v>
      </c>
      <c r="F3739">
        <v>1.4284590857969599</v>
      </c>
      <c r="G3739">
        <v>1.09490925895202</v>
      </c>
      <c r="H3739">
        <v>0.74930861195965104</v>
      </c>
      <c r="I3739">
        <v>0.48562329793558101</v>
      </c>
      <c r="J3739">
        <v>0.28174763732698699</v>
      </c>
      <c r="K3739">
        <v>0.25494412577419501</v>
      </c>
      <c r="L3739">
        <v>2488.2544880392202</v>
      </c>
      <c r="M3739">
        <v>39.843708293930199</v>
      </c>
      <c r="N3739">
        <v>63.536868341680297</v>
      </c>
      <c r="O3739">
        <v>62.293680527765098</v>
      </c>
      <c r="P3739">
        <v>-0.120402832983562</v>
      </c>
      <c r="Q3739">
        <v>0.24702595066515401</v>
      </c>
      <c r="R3739">
        <v>0.84351444519294505</v>
      </c>
      <c r="S3739" t="s">
        <v>9565</v>
      </c>
      <c r="T3739" t="s">
        <v>11650</v>
      </c>
      <c r="U3739" t="s">
        <v>11650</v>
      </c>
      <c r="V3739" t="s">
        <v>11650</v>
      </c>
      <c r="W3739" t="s">
        <v>15336</v>
      </c>
      <c r="X3739">
        <v>3</v>
      </c>
      <c r="Y3739" t="s">
        <v>21015</v>
      </c>
      <c r="Z3739" t="s">
        <v>26801</v>
      </c>
      <c r="AA3739">
        <v>0.81307874301376093</v>
      </c>
      <c r="AB3739" t="str">
        <f>HYPERLINK("Melting_Curves/meltCurve_Q6UX71_PLXDC2.pdf", "Melting_Curves/meltCurve_Q6UX71_PLXDC2.pdf")</f>
        <v>Melting_Curves/meltCurve_Q6UX71_PLXDC2.pdf</v>
      </c>
    </row>
    <row r="3740" spans="1:28" x14ac:dyDescent="0.25">
      <c r="A3740" t="s">
        <v>3744</v>
      </c>
      <c r="B3740">
        <v>0.99996721820229495</v>
      </c>
      <c r="C3740">
        <v>0.62789525249172395</v>
      </c>
      <c r="D3740">
        <v>0.52121887386334198</v>
      </c>
      <c r="E3740">
        <v>1.19443810827796</v>
      </c>
      <c r="F3740">
        <v>0.67545684324545596</v>
      </c>
      <c r="G3740">
        <v>0.504125912041685</v>
      </c>
      <c r="H3740">
        <v>0.32987576496923998</v>
      </c>
      <c r="I3740">
        <v>0.20283497165742201</v>
      </c>
      <c r="J3740">
        <v>9.8718076488814602E-2</v>
      </c>
      <c r="K3740">
        <v>0.15153048867380001</v>
      </c>
      <c r="L3740">
        <v>587.75476336505506</v>
      </c>
      <c r="M3740">
        <v>10.308094531459099</v>
      </c>
      <c r="N3740">
        <v>57.018762088586897</v>
      </c>
      <c r="O3740">
        <v>54.997942303513703</v>
      </c>
      <c r="P3740">
        <v>-4.6877019654290503E-2</v>
      </c>
      <c r="Q3740">
        <v>0</v>
      </c>
      <c r="R3740">
        <v>0.63009387122253302</v>
      </c>
      <c r="S3740" t="s">
        <v>9566</v>
      </c>
      <c r="T3740" t="s">
        <v>11650</v>
      </c>
      <c r="U3740" t="s">
        <v>11650</v>
      </c>
      <c r="V3740" t="s">
        <v>11650</v>
      </c>
      <c r="W3740" t="s">
        <v>15337</v>
      </c>
      <c r="X3740">
        <v>2</v>
      </c>
      <c r="Y3740" t="s">
        <v>21016</v>
      </c>
      <c r="Z3740" t="s">
        <v>26802</v>
      </c>
      <c r="AA3740">
        <v>0.58330040291528717</v>
      </c>
      <c r="AB3740" t="str">
        <f>HYPERLINK("Melting_Curves/meltCurve_Q6UXD5_6_SEZ6L2.pdf", "Melting_Curves/meltCurve_Q6UXD5_6_SEZ6L2.pdf")</f>
        <v>Melting_Curves/meltCurve_Q6UXD5_6_SEZ6L2.pdf</v>
      </c>
    </row>
    <row r="3741" spans="1:28" x14ac:dyDescent="0.25">
      <c r="A3741" t="s">
        <v>3745</v>
      </c>
      <c r="B3741">
        <v>0.99996721820229495</v>
      </c>
      <c r="C3741">
        <v>1.06987871279554</v>
      </c>
      <c r="D3741">
        <v>1.0496585570244601</v>
      </c>
      <c r="E3741">
        <v>1.06442664513111</v>
      </c>
      <c r="F3741">
        <v>1.34674832230403</v>
      </c>
      <c r="G3741">
        <v>1.69081821381488</v>
      </c>
      <c r="H3741">
        <v>1.2853786066848301</v>
      </c>
      <c r="I3741">
        <v>1.1297524837742501</v>
      </c>
      <c r="J3741">
        <v>0.95099893210110897</v>
      </c>
      <c r="K3741">
        <v>0.712285272497586</v>
      </c>
      <c r="L3741">
        <v>15000</v>
      </c>
      <c r="M3741">
        <v>222.29664549911001</v>
      </c>
      <c r="O3741">
        <v>67.471940960744803</v>
      </c>
      <c r="P3741">
        <v>-0.23705882272939299</v>
      </c>
      <c r="Q3741">
        <v>0.71218965277614399</v>
      </c>
      <c r="R3741">
        <v>-0.134409675202422</v>
      </c>
      <c r="S3741" t="s">
        <v>9567</v>
      </c>
      <c r="T3741" t="s">
        <v>11650</v>
      </c>
      <c r="U3741" t="s">
        <v>11650</v>
      </c>
      <c r="V3741" t="s">
        <v>11650</v>
      </c>
      <c r="W3741" t="s">
        <v>15338</v>
      </c>
      <c r="X3741">
        <v>12</v>
      </c>
      <c r="Y3741" t="s">
        <v>21017</v>
      </c>
      <c r="Z3741" t="s">
        <v>26803</v>
      </c>
      <c r="AA3741">
        <v>0.97584106204639498</v>
      </c>
      <c r="AB3741" t="str">
        <f>HYPERLINK("Melting_Curves/meltCurve_Q6UXH1_4_CRELD2.pdf", "Melting_Curves/meltCurve_Q6UXH1_4_CRELD2.pdf")</f>
        <v>Melting_Curves/meltCurve_Q6UXH1_4_CRELD2.pdf</v>
      </c>
    </row>
    <row r="3742" spans="1:28" x14ac:dyDescent="0.25">
      <c r="A3742" t="s">
        <v>3746</v>
      </c>
      <c r="B3742">
        <v>0.99996721820229495</v>
      </c>
      <c r="C3742">
        <v>0.93198340244786904</v>
      </c>
      <c r="D3742">
        <v>0.98143370171401501</v>
      </c>
      <c r="E3742">
        <v>1.0499527972785201</v>
      </c>
      <c r="F3742">
        <v>1.2788120861579499</v>
      </c>
      <c r="G3742">
        <v>1.5961866366339701</v>
      </c>
      <c r="H3742">
        <v>0.90815338854579097</v>
      </c>
      <c r="I3742">
        <v>0.60849415067581303</v>
      </c>
      <c r="J3742">
        <v>0.38959140300742401</v>
      </c>
      <c r="K3742">
        <v>0.34906812248014202</v>
      </c>
      <c r="L3742">
        <v>3522.5002031343301</v>
      </c>
      <c r="M3742">
        <v>55.495764056059599</v>
      </c>
      <c r="N3742">
        <v>64.893828475612096</v>
      </c>
      <c r="O3742">
        <v>63.3910559855168</v>
      </c>
      <c r="P3742">
        <v>-0.14190764788826499</v>
      </c>
      <c r="Q3742">
        <v>0.35161389381019198</v>
      </c>
      <c r="R3742">
        <v>0.66346365896558102</v>
      </c>
      <c r="S3742" t="s">
        <v>9568</v>
      </c>
      <c r="T3742" t="s">
        <v>11650</v>
      </c>
      <c r="U3742" t="s">
        <v>11650</v>
      </c>
      <c r="V3742" t="s">
        <v>11650</v>
      </c>
      <c r="W3742" t="s">
        <v>15339</v>
      </c>
      <c r="X3742">
        <v>5</v>
      </c>
      <c r="Y3742" t="s">
        <v>21018</v>
      </c>
      <c r="Z3742" t="s">
        <v>26804</v>
      </c>
      <c r="AA3742">
        <v>0.86023482428286357</v>
      </c>
      <c r="AB3742" t="str">
        <f>HYPERLINK("Melting_Curves/meltCurve_Q6UXH8_CCBE1.pdf", "Melting_Curves/meltCurve_Q6UXH8_CCBE1.pdf")</f>
        <v>Melting_Curves/meltCurve_Q6UXH8_CCBE1.pdf</v>
      </c>
    </row>
    <row r="3743" spans="1:28" x14ac:dyDescent="0.25">
      <c r="A3743" t="s">
        <v>3747</v>
      </c>
      <c r="B3743">
        <v>0.99996721820229495</v>
      </c>
      <c r="C3743">
        <v>0.99196698296321895</v>
      </c>
      <c r="D3743">
        <v>1.01354293308096</v>
      </c>
      <c r="E3743">
        <v>1.02838232882608</v>
      </c>
      <c r="F3743">
        <v>0.85301715739167605</v>
      </c>
      <c r="G3743">
        <v>0.54200043786802898</v>
      </c>
      <c r="H3743">
        <v>0.23890356746403299</v>
      </c>
      <c r="I3743">
        <v>0.169570028288349</v>
      </c>
      <c r="J3743">
        <v>0.116255460715406</v>
      </c>
      <c r="K3743">
        <v>0.131499645817022</v>
      </c>
      <c r="L3743">
        <v>1470.6594051253801</v>
      </c>
      <c r="M3743">
        <v>25.904728204565998</v>
      </c>
      <c r="N3743">
        <v>57.356380700148101</v>
      </c>
      <c r="O3743">
        <v>56.436772697218103</v>
      </c>
      <c r="P3743">
        <v>-0.10143967169489899</v>
      </c>
      <c r="Q3743">
        <v>0.11601298435960999</v>
      </c>
      <c r="R3743">
        <v>0.99707875707229399</v>
      </c>
      <c r="S3743" t="s">
        <v>9569</v>
      </c>
      <c r="T3743" t="s">
        <v>11650</v>
      </c>
      <c r="U3743" t="s">
        <v>11650</v>
      </c>
      <c r="V3743" t="s">
        <v>11650</v>
      </c>
      <c r="W3743" t="s">
        <v>15340</v>
      </c>
      <c r="X3743">
        <v>10</v>
      </c>
      <c r="Y3743" t="s">
        <v>21019</v>
      </c>
      <c r="Z3743" t="s">
        <v>26805</v>
      </c>
      <c r="AA3743">
        <v>0.61778149829864393</v>
      </c>
      <c r="AB3743" t="str">
        <f>HYPERLINK("Melting_Curves/meltCurve_Q6UXN9_WDR82.pdf", "Melting_Curves/meltCurve_Q6UXN9_WDR82.pdf")</f>
        <v>Melting_Curves/meltCurve_Q6UXN9_WDR82.pdf</v>
      </c>
    </row>
    <row r="3744" spans="1:28" x14ac:dyDescent="0.25">
      <c r="A3744" t="s">
        <v>3748</v>
      </c>
      <c r="B3744">
        <v>0.99996721820229495</v>
      </c>
      <c r="C3744">
        <v>0.96337128772400604</v>
      </c>
      <c r="D3744">
        <v>0.81833994163841906</v>
      </c>
      <c r="E3744">
        <v>0.63294030060031103</v>
      </c>
      <c r="F3744">
        <v>0.50335699473902795</v>
      </c>
      <c r="G3744">
        <v>0.26006659583144698</v>
      </c>
      <c r="H3744">
        <v>0.12580079313899201</v>
      </c>
      <c r="I3744">
        <v>7.5762272180024196E-2</v>
      </c>
      <c r="J3744">
        <v>3.8833963428580802E-2</v>
      </c>
      <c r="K3744">
        <v>3.1043031979264901E-2</v>
      </c>
      <c r="L3744">
        <v>676.02403230590699</v>
      </c>
      <c r="M3744">
        <v>12.9092703717193</v>
      </c>
      <c r="N3744">
        <v>52.367353197044899</v>
      </c>
      <c r="O3744">
        <v>51.158439592338297</v>
      </c>
      <c r="P3744">
        <v>-6.3096184367311195E-2</v>
      </c>
      <c r="Q3744">
        <v>0</v>
      </c>
      <c r="R3744">
        <v>0.996524620293328</v>
      </c>
      <c r="S3744" t="s">
        <v>9570</v>
      </c>
      <c r="T3744" t="s">
        <v>11650</v>
      </c>
      <c r="U3744" t="s">
        <v>11650</v>
      </c>
      <c r="V3744" t="s">
        <v>11650</v>
      </c>
      <c r="W3744" t="s">
        <v>15341</v>
      </c>
      <c r="X3744">
        <v>2</v>
      </c>
      <c r="Y3744" t="s">
        <v>21020</v>
      </c>
      <c r="Z3744" t="s">
        <v>26806</v>
      </c>
      <c r="AA3744">
        <v>0.43944660612040021</v>
      </c>
      <c r="AB3744" t="str">
        <f>HYPERLINK("Melting_Curves/meltCurve_Q6UXP7_FAM151B.pdf", "Melting_Curves/meltCurve_Q6UXP7_FAM151B.pdf")</f>
        <v>Melting_Curves/meltCurve_Q6UXP7_FAM151B.pdf</v>
      </c>
    </row>
    <row r="3745" spans="1:28" x14ac:dyDescent="0.25">
      <c r="A3745" t="s">
        <v>3749</v>
      </c>
      <c r="B3745">
        <v>0.99996721820229495</v>
      </c>
      <c r="C3745">
        <v>0.95485870049508104</v>
      </c>
      <c r="D3745">
        <v>1.02415241033996</v>
      </c>
      <c r="E3745">
        <v>1.17523547898876</v>
      </c>
      <c r="F3745">
        <v>1.57157996661654</v>
      </c>
      <c r="G3745">
        <v>1.8208201801936501</v>
      </c>
      <c r="H3745">
        <v>1.3136006369243101</v>
      </c>
      <c r="I3745">
        <v>1.0084181179273399</v>
      </c>
      <c r="J3745">
        <v>0.78346565917855104</v>
      </c>
      <c r="K3745">
        <v>0.629025936004179</v>
      </c>
      <c r="L3745">
        <v>15000</v>
      </c>
      <c r="M3745">
        <v>224.21840772886199</v>
      </c>
      <c r="O3745">
        <v>66.893714432049293</v>
      </c>
      <c r="P3745">
        <v>-0.31087872627119401</v>
      </c>
      <c r="Q3745">
        <v>0.62900746196584201</v>
      </c>
      <c r="R3745">
        <v>1.7682739446184099E-2</v>
      </c>
      <c r="S3745" t="s">
        <v>9571</v>
      </c>
      <c r="T3745" t="s">
        <v>11650</v>
      </c>
      <c r="U3745" t="s">
        <v>11650</v>
      </c>
      <c r="V3745" t="s">
        <v>11650</v>
      </c>
      <c r="W3745" t="s">
        <v>15342</v>
      </c>
      <c r="X3745">
        <v>11</v>
      </c>
      <c r="Y3745" t="s">
        <v>21021</v>
      </c>
      <c r="Z3745" t="s">
        <v>26807</v>
      </c>
      <c r="AA3745">
        <v>0.96170639528924584</v>
      </c>
      <c r="AB3745" t="str">
        <f>HYPERLINK("Melting_Curves/meltCurve_Q6UXV4_APOOL.pdf", "Melting_Curves/meltCurve_Q6UXV4_APOOL.pdf")</f>
        <v>Melting_Curves/meltCurve_Q6UXV4_APOOL.pdf</v>
      </c>
    </row>
    <row r="3746" spans="1:28" x14ac:dyDescent="0.25">
      <c r="A3746" t="s">
        <v>3750</v>
      </c>
      <c r="B3746">
        <v>0.99996721820229495</v>
      </c>
      <c r="C3746">
        <v>0.98220925501743594</v>
      </c>
      <c r="D3746">
        <v>0.93195520828198997</v>
      </c>
      <c r="E3746">
        <v>0.80924601789834405</v>
      </c>
      <c r="F3746">
        <v>0.97002142782461598</v>
      </c>
      <c r="G3746">
        <v>0.88894983153789997</v>
      </c>
      <c r="H3746">
        <v>0.64579844723934798</v>
      </c>
      <c r="I3746">
        <v>0.71877416318162302</v>
      </c>
      <c r="J3746">
        <v>0.62856808226358996</v>
      </c>
      <c r="K3746">
        <v>0.32054067205183401</v>
      </c>
      <c r="L3746">
        <v>596.79465307491103</v>
      </c>
      <c r="M3746">
        <v>8.7754420090945402</v>
      </c>
      <c r="N3746">
        <v>68.007360987049097</v>
      </c>
      <c r="O3746">
        <v>64.753144681183599</v>
      </c>
      <c r="P3746">
        <v>-3.39074468131631E-2</v>
      </c>
      <c r="Q3746">
        <v>0</v>
      </c>
      <c r="R3746">
        <v>0.83826525706735699</v>
      </c>
      <c r="S3746" t="s">
        <v>9572</v>
      </c>
      <c r="T3746" t="s">
        <v>11650</v>
      </c>
      <c r="U3746" t="s">
        <v>11650</v>
      </c>
      <c r="V3746" t="s">
        <v>11650</v>
      </c>
      <c r="W3746" t="s">
        <v>15343</v>
      </c>
      <c r="X3746">
        <v>3</v>
      </c>
      <c r="Y3746" t="s">
        <v>21022</v>
      </c>
      <c r="Z3746" t="s">
        <v>26808</v>
      </c>
      <c r="AA3746">
        <v>0.82170222616432087</v>
      </c>
      <c r="AB3746" t="str">
        <f>HYPERLINK("Melting_Curves/meltCurve_Q6UXY1_2_BAIAP2L2.pdf", "Melting_Curves/meltCurve_Q6UXY1_2_BAIAP2L2.pdf")</f>
        <v>Melting_Curves/meltCurve_Q6UXY1_2_BAIAP2L2.pdf</v>
      </c>
    </row>
    <row r="3747" spans="1:28" x14ac:dyDescent="0.25">
      <c r="A3747" t="s">
        <v>3751</v>
      </c>
      <c r="B3747">
        <v>0.99996721820229495</v>
      </c>
      <c r="C3747">
        <v>0.88313572726918199</v>
      </c>
      <c r="D3747">
        <v>0.97232314650891405</v>
      </c>
      <c r="E3747">
        <v>1.2269283916940199</v>
      </c>
      <c r="F3747">
        <v>1.10807388766727</v>
      </c>
      <c r="G3747">
        <v>0.93785074524021295</v>
      </c>
      <c r="H3747">
        <v>0.61045996923745605</v>
      </c>
      <c r="I3747">
        <v>0.282769481241611</v>
      </c>
      <c r="J3747">
        <v>0.16514191755451799</v>
      </c>
      <c r="K3747">
        <v>0.180355637915073</v>
      </c>
      <c r="L3747">
        <v>2463.3548812016202</v>
      </c>
      <c r="M3747">
        <v>40.255065959596998</v>
      </c>
      <c r="N3747">
        <v>61.780494075173102</v>
      </c>
      <c r="O3747">
        <v>61.043228400476799</v>
      </c>
      <c r="P3747">
        <v>-0.1386709320958</v>
      </c>
      <c r="Q3747">
        <v>0.158873141467229</v>
      </c>
      <c r="R3747">
        <v>0.944440942806685</v>
      </c>
      <c r="S3747" t="s">
        <v>9573</v>
      </c>
      <c r="T3747" t="s">
        <v>11650</v>
      </c>
      <c r="U3747" t="s">
        <v>11650</v>
      </c>
      <c r="V3747" t="s">
        <v>11650</v>
      </c>
      <c r="W3747" t="s">
        <v>15344</v>
      </c>
      <c r="X3747">
        <v>5</v>
      </c>
      <c r="Y3747" t="s">
        <v>21023</v>
      </c>
      <c r="Z3747" t="s">
        <v>26809</v>
      </c>
      <c r="AA3747">
        <v>0.75623207223325706</v>
      </c>
      <c r="AB3747" t="str">
        <f>HYPERLINK("Melting_Curves/meltCurve_Q6V0I7_3_FAT4.pdf", "Melting_Curves/meltCurve_Q6V0I7_3_FAT4.pdf")</f>
        <v>Melting_Curves/meltCurve_Q6V0I7_3_FAT4.pdf</v>
      </c>
    </row>
    <row r="3748" spans="1:28" x14ac:dyDescent="0.25">
      <c r="A3748" t="s">
        <v>3752</v>
      </c>
      <c r="B3748">
        <v>0.99996721820229495</v>
      </c>
      <c r="C3748">
        <v>0.60103523127737002</v>
      </c>
      <c r="D3748">
        <v>0.51645791011259401</v>
      </c>
      <c r="E3748">
        <v>1.0880440913998899</v>
      </c>
      <c r="F3748">
        <v>0.71739107376607703</v>
      </c>
      <c r="G3748">
        <v>0.47129296739971299</v>
      </c>
      <c r="H3748">
        <v>0.412362546064588</v>
      </c>
      <c r="I3748">
        <v>0.217740558557767</v>
      </c>
      <c r="J3748">
        <v>6.8153506699782804E-2</v>
      </c>
      <c r="K3748">
        <v>0.22025543186468399</v>
      </c>
      <c r="L3748">
        <v>399.01550650479402</v>
      </c>
      <c r="M3748">
        <v>7.0918205452310197</v>
      </c>
      <c r="N3748">
        <v>56.264185471575303</v>
      </c>
      <c r="O3748">
        <v>52.304592983402202</v>
      </c>
      <c r="P3748">
        <v>-3.3956653549745801E-2</v>
      </c>
      <c r="Q3748">
        <v>0</v>
      </c>
      <c r="R3748">
        <v>0.61212318314782799</v>
      </c>
      <c r="S3748" t="s">
        <v>9574</v>
      </c>
      <c r="T3748" t="s">
        <v>11650</v>
      </c>
      <c r="U3748" t="s">
        <v>11650</v>
      </c>
      <c r="V3748" t="s">
        <v>11650</v>
      </c>
      <c r="W3748" t="s">
        <v>15345</v>
      </c>
      <c r="X3748">
        <v>1</v>
      </c>
      <c r="Y3748" t="s">
        <v>21024</v>
      </c>
      <c r="Z3748" t="s">
        <v>26810</v>
      </c>
      <c r="AA3748">
        <v>0.55787935862942228</v>
      </c>
      <c r="AB3748" t="str">
        <f>HYPERLINK("Melting_Curves/meltCurve_Q6V1P9_DCHS2.pdf", "Melting_Curves/meltCurve_Q6V1P9_DCHS2.pdf")</f>
        <v>Melting_Curves/meltCurve_Q6V1P9_DCHS2.pdf</v>
      </c>
    </row>
    <row r="3749" spans="1:28" x14ac:dyDescent="0.25">
      <c r="A3749" t="s">
        <v>3753</v>
      </c>
      <c r="B3749">
        <v>0.99996721820229495</v>
      </c>
      <c r="C3749">
        <v>1.0193716321661599</v>
      </c>
      <c r="D3749">
        <v>1.0586052660705301</v>
      </c>
      <c r="E3749">
        <v>1.2061677160942299</v>
      </c>
      <c r="F3749">
        <v>1.3094506716231999</v>
      </c>
      <c r="G3749">
        <v>0.79465145322976505</v>
      </c>
      <c r="H3749">
        <v>0.28137466894274199</v>
      </c>
      <c r="I3749">
        <v>0.22501176948155599</v>
      </c>
      <c r="J3749">
        <v>0.18350102480413699</v>
      </c>
      <c r="K3749">
        <v>0.146332925648712</v>
      </c>
      <c r="L3749">
        <v>3018.0145205764802</v>
      </c>
      <c r="M3749">
        <v>51.725250670141598</v>
      </c>
      <c r="N3749">
        <v>58.876767733150501</v>
      </c>
      <c r="O3749">
        <v>58.259992948284498</v>
      </c>
      <c r="P3749">
        <v>-0.18066276375846299</v>
      </c>
      <c r="Q3749">
        <v>0.18605272254998501</v>
      </c>
      <c r="R3749">
        <v>0.92310427640138504</v>
      </c>
      <c r="S3749" t="s">
        <v>9575</v>
      </c>
      <c r="T3749" t="s">
        <v>11650</v>
      </c>
      <c r="U3749" t="s">
        <v>11650</v>
      </c>
      <c r="V3749" t="s">
        <v>11650</v>
      </c>
      <c r="W3749" t="s">
        <v>15346</v>
      </c>
      <c r="X3749">
        <v>7</v>
      </c>
      <c r="Y3749" t="s">
        <v>21025</v>
      </c>
      <c r="Z3749" t="s">
        <v>26811</v>
      </c>
      <c r="AA3749">
        <v>0.68578474416830792</v>
      </c>
      <c r="AB3749" t="str">
        <f>HYPERLINK("Melting_Curves/meltCurve_Q6V1X1_2_DPP8.pdf", "Melting_Curves/meltCurve_Q6V1X1_2_DPP8.pdf")</f>
        <v>Melting_Curves/meltCurve_Q6V1X1_2_DPP8.pdf</v>
      </c>
    </row>
    <row r="3750" spans="1:28" x14ac:dyDescent="0.25">
      <c r="A3750" t="s">
        <v>3754</v>
      </c>
      <c r="B3750">
        <v>0.99996721820229495</v>
      </c>
      <c r="C3750">
        <v>1.0327156377345501</v>
      </c>
      <c r="D3750">
        <v>0.90455796753835305</v>
      </c>
      <c r="E3750">
        <v>0.72933314169391505</v>
      </c>
      <c r="F3750">
        <v>0.635872215682728</v>
      </c>
      <c r="G3750">
        <v>0.43265709581392697</v>
      </c>
      <c r="H3750">
        <v>0.23473172263726899</v>
      </c>
      <c r="I3750">
        <v>0.14550044791395</v>
      </c>
      <c r="J3750">
        <v>9.9640165699213898E-2</v>
      </c>
      <c r="K3750">
        <v>8.4367445845746403E-2</v>
      </c>
      <c r="L3750">
        <v>658.59838065245503</v>
      </c>
      <c r="M3750">
        <v>11.937201962706499</v>
      </c>
      <c r="N3750">
        <v>55.171922420972699</v>
      </c>
      <c r="O3750">
        <v>53.691965798488397</v>
      </c>
      <c r="P3750">
        <v>-5.5595556054773003E-2</v>
      </c>
      <c r="Q3750">
        <v>0</v>
      </c>
      <c r="R3750">
        <v>0.99385504265977698</v>
      </c>
      <c r="S3750" t="s">
        <v>9576</v>
      </c>
      <c r="T3750" t="s">
        <v>11650</v>
      </c>
      <c r="U3750" t="s">
        <v>11650</v>
      </c>
      <c r="V3750" t="s">
        <v>11650</v>
      </c>
      <c r="W3750" t="s">
        <v>15347</v>
      </c>
      <c r="X3750">
        <v>11</v>
      </c>
      <c r="Y3750" t="s">
        <v>21026</v>
      </c>
      <c r="Z3750" t="s">
        <v>26812</v>
      </c>
      <c r="AA3750">
        <v>0.52876286276762019</v>
      </c>
      <c r="AB3750" t="str">
        <f>HYPERLINK("Melting_Curves/meltCurve_Q6VY07_PACS1.pdf", "Melting_Curves/meltCurve_Q6VY07_PACS1.pdf")</f>
        <v>Melting_Curves/meltCurve_Q6VY07_PACS1.pdf</v>
      </c>
    </row>
    <row r="3751" spans="1:28" x14ac:dyDescent="0.25">
      <c r="A3751" t="s">
        <v>3755</v>
      </c>
      <c r="B3751">
        <v>0.99996721820229495</v>
      </c>
      <c r="C3751">
        <v>1.0038287312346901</v>
      </c>
      <c r="D3751">
        <v>0.96588353053948195</v>
      </c>
      <c r="E3751">
        <v>0.88320100603577401</v>
      </c>
      <c r="F3751">
        <v>0.72897358354174502</v>
      </c>
      <c r="G3751">
        <v>0.64661788785058905</v>
      </c>
      <c r="H3751">
        <v>0.41003819841725098</v>
      </c>
      <c r="I3751">
        <v>0.32762503774484802</v>
      </c>
      <c r="J3751">
        <v>0.267662770413781</v>
      </c>
      <c r="K3751">
        <v>0.19926336020521501</v>
      </c>
      <c r="L3751">
        <v>643.84225423451403</v>
      </c>
      <c r="M3751">
        <v>11.017212647466</v>
      </c>
      <c r="N3751">
        <v>59.306197951841199</v>
      </c>
      <c r="O3751">
        <v>56.613317223228101</v>
      </c>
      <c r="P3751">
        <v>-4.5049386564389102E-2</v>
      </c>
      <c r="Q3751">
        <v>7.4342926785823202E-2</v>
      </c>
      <c r="R3751">
        <v>0.99414082172364704</v>
      </c>
      <c r="S3751" t="s">
        <v>9577</v>
      </c>
      <c r="T3751" t="s">
        <v>11650</v>
      </c>
      <c r="U3751" t="s">
        <v>11650</v>
      </c>
      <c r="V3751" t="s">
        <v>11650</v>
      </c>
      <c r="W3751" t="s">
        <v>15348</v>
      </c>
      <c r="X3751">
        <v>32</v>
      </c>
      <c r="Y3751" t="s">
        <v>21027</v>
      </c>
      <c r="Z3751" t="s">
        <v>26813</v>
      </c>
      <c r="AA3751">
        <v>0.65190112162711056</v>
      </c>
      <c r="AB3751" t="str">
        <f>HYPERLINK("Melting_Curves/meltCurve_Q6WCQ1_MPRIP.pdf", "Melting_Curves/meltCurve_Q6WCQ1_MPRIP.pdf")</f>
        <v>Melting_Curves/meltCurve_Q6WCQ1_MPRIP.pdf</v>
      </c>
    </row>
    <row r="3752" spans="1:28" x14ac:dyDescent="0.25">
      <c r="A3752" t="s">
        <v>3756</v>
      </c>
      <c r="B3752">
        <v>0.99996721820229495</v>
      </c>
      <c r="C3752">
        <v>0.82806437354533002</v>
      </c>
      <c r="D3752">
        <v>0.91961883378613896</v>
      </c>
      <c r="E3752">
        <v>1.4840559116510601</v>
      </c>
      <c r="F3752">
        <v>1.7825016292063101</v>
      </c>
      <c r="G3752">
        <v>0.99349161842042399</v>
      </c>
      <c r="H3752">
        <v>0.66843228237725205</v>
      </c>
      <c r="I3752">
        <v>0.39930395893274001</v>
      </c>
      <c r="J3752">
        <v>0.194463890868731</v>
      </c>
      <c r="K3752">
        <v>0.25608128493544002</v>
      </c>
      <c r="L3752">
        <v>2631.56860920592</v>
      </c>
      <c r="M3752">
        <v>42.719954805495597</v>
      </c>
      <c r="N3752">
        <v>62.478699993419603</v>
      </c>
      <c r="O3752">
        <v>61.465923545935297</v>
      </c>
      <c r="P3752">
        <v>-0.13453325185411499</v>
      </c>
      <c r="Q3752">
        <v>0.225729679990472</v>
      </c>
      <c r="R3752">
        <v>0.61924232970623405</v>
      </c>
      <c r="S3752" t="s">
        <v>9578</v>
      </c>
      <c r="T3752" t="s">
        <v>11650</v>
      </c>
      <c r="U3752" t="s">
        <v>11650</v>
      </c>
      <c r="V3752" t="s">
        <v>11650</v>
      </c>
      <c r="W3752" t="s">
        <v>15349</v>
      </c>
      <c r="X3752">
        <v>9</v>
      </c>
      <c r="Y3752" t="s">
        <v>21028</v>
      </c>
      <c r="Z3752" t="s">
        <v>26814</v>
      </c>
      <c r="AA3752">
        <v>0.78580296824000573</v>
      </c>
      <c r="AB3752" t="str">
        <f>HYPERLINK("Melting_Curves/meltCurve_Q6WKZ4_RAB11FIP1.pdf", "Melting_Curves/meltCurve_Q6WKZ4_RAB11FIP1.pdf")</f>
        <v>Melting_Curves/meltCurve_Q6WKZ4_RAB11FIP1.pdf</v>
      </c>
    </row>
    <row r="3753" spans="1:28" x14ac:dyDescent="0.25">
      <c r="A3753" t="s">
        <v>3757</v>
      </c>
      <c r="B3753">
        <v>0.99996721820229495</v>
      </c>
      <c r="C3753">
        <v>0.96664595516603302</v>
      </c>
      <c r="D3753">
        <v>1.0245146801006</v>
      </c>
      <c r="E3753">
        <v>1.0780209935885201</v>
      </c>
      <c r="F3753">
        <v>1.40572199574726</v>
      </c>
      <c r="G3753">
        <v>1.33951915828956</v>
      </c>
      <c r="H3753">
        <v>0.84272717682467602</v>
      </c>
      <c r="I3753">
        <v>0.54165922455792404</v>
      </c>
      <c r="J3753">
        <v>0.23933566981241899</v>
      </c>
      <c r="K3753">
        <v>0.18542020601122999</v>
      </c>
      <c r="L3753">
        <v>2851.2757274872602</v>
      </c>
      <c r="M3753">
        <v>44.846442198538099</v>
      </c>
      <c r="N3753">
        <v>64.1759426366485</v>
      </c>
      <c r="O3753">
        <v>63.452607601141203</v>
      </c>
      <c r="P3753">
        <v>-0.14654539091570801</v>
      </c>
      <c r="Q3753">
        <v>0.170620952280432</v>
      </c>
      <c r="R3753">
        <v>0.81353951125871404</v>
      </c>
      <c r="S3753" t="s">
        <v>9579</v>
      </c>
      <c r="T3753" t="s">
        <v>11650</v>
      </c>
      <c r="U3753" t="s">
        <v>11650</v>
      </c>
      <c r="V3753" t="s">
        <v>11650</v>
      </c>
      <c r="W3753" t="s">
        <v>15350</v>
      </c>
      <c r="X3753">
        <v>22</v>
      </c>
      <c r="Y3753" t="s">
        <v>21029</v>
      </c>
      <c r="Z3753" t="s">
        <v>26815</v>
      </c>
      <c r="AA3753">
        <v>0.82455919740482597</v>
      </c>
      <c r="AB3753" t="str">
        <f>HYPERLINK("Melting_Curves/meltCurve_Q6XQN6_NAPRT1.pdf", "Melting_Curves/meltCurve_Q6XQN6_NAPRT1.pdf")</f>
        <v>Melting_Curves/meltCurve_Q6XQN6_NAPRT1.pdf</v>
      </c>
    </row>
    <row r="3754" spans="1:28" x14ac:dyDescent="0.25">
      <c r="A3754" t="s">
        <v>3758</v>
      </c>
      <c r="B3754">
        <v>0.99996721820229495</v>
      </c>
      <c r="C3754">
        <v>0.76763986257696504</v>
      </c>
      <c r="D3754">
        <v>0.87490436774852398</v>
      </c>
      <c r="E3754">
        <v>1.1338284050004099</v>
      </c>
      <c r="F3754">
        <v>1.3190964930065601</v>
      </c>
      <c r="G3754">
        <v>1.23743301803749</v>
      </c>
      <c r="H3754">
        <v>0.84071185419316996</v>
      </c>
      <c r="I3754">
        <v>0.39443628975677397</v>
      </c>
      <c r="J3754">
        <v>0.25697540024342003</v>
      </c>
      <c r="K3754">
        <v>0.25237615554182502</v>
      </c>
      <c r="L3754">
        <v>3808.70734682797</v>
      </c>
      <c r="M3754">
        <v>61.029516382565902</v>
      </c>
      <c r="N3754">
        <v>63.129992482389802</v>
      </c>
      <c r="O3754">
        <v>62.340725784271399</v>
      </c>
      <c r="P3754">
        <v>-0.18323867162231999</v>
      </c>
      <c r="Q3754">
        <v>0.25129818965943601</v>
      </c>
      <c r="R3754">
        <v>0.82083930601550403</v>
      </c>
      <c r="S3754" t="s">
        <v>9580</v>
      </c>
      <c r="T3754" t="s">
        <v>11650</v>
      </c>
      <c r="U3754" t="s">
        <v>11650</v>
      </c>
      <c r="V3754" t="s">
        <v>11650</v>
      </c>
      <c r="W3754" t="s">
        <v>15351</v>
      </c>
      <c r="X3754">
        <v>1</v>
      </c>
      <c r="Y3754" t="s">
        <v>21030</v>
      </c>
      <c r="Z3754" t="s">
        <v>26816</v>
      </c>
      <c r="AA3754">
        <v>0.81185561101625869</v>
      </c>
      <c r="AB3754" t="str">
        <f>HYPERLINK("Melting_Curves/meltCurve_Q6Y1H2_PTPLB.pdf", "Melting_Curves/meltCurve_Q6Y1H2_PTPLB.pdf")</f>
        <v>Melting_Curves/meltCurve_Q6Y1H2_PTPLB.pdf</v>
      </c>
    </row>
    <row r="3755" spans="1:28" x14ac:dyDescent="0.25">
      <c r="A3755" t="s">
        <v>3759</v>
      </c>
      <c r="B3755">
        <v>0.99996721820229495</v>
      </c>
      <c r="C3755">
        <v>1.0243066573413699</v>
      </c>
      <c r="D3755">
        <v>1.1195934953445701</v>
      </c>
      <c r="E3755">
        <v>0.96170666220182299</v>
      </c>
      <c r="F3755">
        <v>0.54556267735799702</v>
      </c>
      <c r="G3755">
        <v>0.33365336350712399</v>
      </c>
      <c r="H3755">
        <v>0.139908362602154</v>
      </c>
      <c r="I3755">
        <v>7.9307385229675495E-2</v>
      </c>
      <c r="J3755">
        <v>4.5759781930992699E-2</v>
      </c>
      <c r="K3755">
        <v>4.7553198909517702E-2</v>
      </c>
      <c r="L3755">
        <v>1292.3083775115001</v>
      </c>
      <c r="M3755">
        <v>23.905759334173901</v>
      </c>
      <c r="N3755">
        <v>54.350767783353703</v>
      </c>
      <c r="O3755">
        <v>53.684437614487798</v>
      </c>
      <c r="P3755">
        <v>-0.104611635860409</v>
      </c>
      <c r="Q3755">
        <v>6.0322405068602203E-2</v>
      </c>
      <c r="R3755">
        <v>0.97906128794192804</v>
      </c>
      <c r="S3755" t="s">
        <v>9581</v>
      </c>
      <c r="T3755" t="s">
        <v>11650</v>
      </c>
      <c r="U3755" t="s">
        <v>11650</v>
      </c>
      <c r="V3755" t="s">
        <v>11650</v>
      </c>
      <c r="W3755" t="s">
        <v>15352</v>
      </c>
      <c r="X3755">
        <v>3</v>
      </c>
      <c r="Y3755" t="s">
        <v>21031</v>
      </c>
      <c r="Z3755" t="s">
        <v>26817</v>
      </c>
      <c r="AA3755">
        <v>0.51009590924831261</v>
      </c>
      <c r="AB3755" t="str">
        <f>HYPERLINK("Melting_Curves/meltCurve_Q6Y288_B3GALTL.pdf", "Melting_Curves/meltCurve_Q6Y288_B3GALTL.pdf")</f>
        <v>Melting_Curves/meltCurve_Q6Y288_B3GALTL.pdf</v>
      </c>
    </row>
    <row r="3756" spans="1:28" x14ac:dyDescent="0.25">
      <c r="A3756" t="s">
        <v>3760</v>
      </c>
      <c r="B3756">
        <v>0.99996721820229495</v>
      </c>
      <c r="C3756">
        <v>1.0189725842055599</v>
      </c>
      <c r="D3756">
        <v>0.91207180584345005</v>
      </c>
      <c r="E3756">
        <v>0.72504055242703702</v>
      </c>
      <c r="F3756">
        <v>0.575946837565259</v>
      </c>
      <c r="G3756">
        <v>0.53138000021624299</v>
      </c>
      <c r="H3756">
        <v>0.32372368869766899</v>
      </c>
      <c r="I3756">
        <v>0.25012625337883698</v>
      </c>
      <c r="J3756">
        <v>0.20020435587611601</v>
      </c>
      <c r="K3756">
        <v>0.146646685587976</v>
      </c>
      <c r="L3756">
        <v>553.81566066892901</v>
      </c>
      <c r="M3756">
        <v>9.9913877305651795</v>
      </c>
      <c r="N3756">
        <v>56.088212920940499</v>
      </c>
      <c r="O3756">
        <v>53.346082933235699</v>
      </c>
      <c r="P3756">
        <v>-4.4252186331925999E-2</v>
      </c>
      <c r="Q3756">
        <v>5.5374709843591698E-2</v>
      </c>
      <c r="R3756">
        <v>0.98523625578044405</v>
      </c>
      <c r="S3756" t="s">
        <v>9582</v>
      </c>
      <c r="T3756" t="s">
        <v>11650</v>
      </c>
      <c r="U3756" t="s">
        <v>11650</v>
      </c>
      <c r="V3756" t="s">
        <v>11650</v>
      </c>
      <c r="W3756" t="s">
        <v>15353</v>
      </c>
      <c r="X3756">
        <v>24</v>
      </c>
      <c r="Y3756" t="s">
        <v>21032</v>
      </c>
      <c r="Z3756" t="s">
        <v>26818</v>
      </c>
      <c r="AA3756">
        <v>0.56376798792205762</v>
      </c>
      <c r="AB3756" t="str">
        <f>HYPERLINK("Melting_Curves/meltCurve_Q6Y7W6_4_GIGYF2.pdf", "Melting_Curves/meltCurve_Q6Y7W6_4_GIGYF2.pdf")</f>
        <v>Melting_Curves/meltCurve_Q6Y7W6_4_GIGYF2.pdf</v>
      </c>
    </row>
    <row r="3757" spans="1:28" x14ac:dyDescent="0.25">
      <c r="A3757" t="s">
        <v>3761</v>
      </c>
      <c r="B3757">
        <v>0.99996721820229495</v>
      </c>
      <c r="C3757">
        <v>0.99551555217407195</v>
      </c>
      <c r="D3757">
        <v>1.2023731220496401</v>
      </c>
      <c r="E3757">
        <v>1.6959046385761001</v>
      </c>
      <c r="F3757">
        <v>2.33858783322759</v>
      </c>
      <c r="G3757">
        <v>2.8386012019217799</v>
      </c>
      <c r="H3757">
        <v>2.1181892196460801</v>
      </c>
      <c r="I3757">
        <v>1.1197440671969101</v>
      </c>
      <c r="J3757">
        <v>0.48489706465905402</v>
      </c>
      <c r="K3757">
        <v>1.0350091427346699</v>
      </c>
      <c r="L3757">
        <v>11517.743463401601</v>
      </c>
      <c r="M3757">
        <v>250</v>
      </c>
      <c r="O3757">
        <v>46.068037933947203</v>
      </c>
      <c r="P3757">
        <v>0.67834467796970799</v>
      </c>
      <c r="Q3757">
        <v>1.5</v>
      </c>
      <c r="R3757">
        <v>0.120514884822947</v>
      </c>
      <c r="S3757" t="s">
        <v>9583</v>
      </c>
      <c r="T3757" t="s">
        <v>11650</v>
      </c>
      <c r="U3757" t="s">
        <v>11650</v>
      </c>
      <c r="V3757" t="s">
        <v>11650</v>
      </c>
      <c r="W3757" t="s">
        <v>15354</v>
      </c>
      <c r="X3757">
        <v>32</v>
      </c>
      <c r="Y3757" t="s">
        <v>21033</v>
      </c>
      <c r="Z3757" t="s">
        <v>26819</v>
      </c>
      <c r="AA3757">
        <v>1.3987766755189399</v>
      </c>
      <c r="AB3757" t="str">
        <f>HYPERLINK("Melting_Curves/meltCurve_Q6YHK3_CD109.pdf", "Melting_Curves/meltCurve_Q6YHK3_CD109.pdf")</f>
        <v>Melting_Curves/meltCurve_Q6YHK3_CD109.pdf</v>
      </c>
    </row>
    <row r="3758" spans="1:28" x14ac:dyDescent="0.25">
      <c r="A3758" t="s">
        <v>3762</v>
      </c>
      <c r="B3758">
        <v>0.99996721820229495</v>
      </c>
      <c r="C3758">
        <v>0.90418933557596604</v>
      </c>
      <c r="D3758">
        <v>1.00753565326709</v>
      </c>
      <c r="E3758">
        <v>1.01495535154756</v>
      </c>
      <c r="F3758">
        <v>0.85564938196280604</v>
      </c>
      <c r="G3758">
        <v>0.80942998451688397</v>
      </c>
      <c r="H3758">
        <v>0.58956591222883903</v>
      </c>
      <c r="I3758">
        <v>0.27939077830669701</v>
      </c>
      <c r="J3758">
        <v>0.18744122202414101</v>
      </c>
      <c r="K3758">
        <v>0.18008948945674899</v>
      </c>
      <c r="L3758">
        <v>1129.87204554359</v>
      </c>
      <c r="M3758">
        <v>18.534819578808701</v>
      </c>
      <c r="N3758">
        <v>61.414677236993199</v>
      </c>
      <c r="O3758">
        <v>60.2631213938296</v>
      </c>
      <c r="P3758">
        <v>-7.1959060312412101E-2</v>
      </c>
      <c r="Q3758">
        <v>6.41857488834046E-2</v>
      </c>
      <c r="R3758">
        <v>0.97452973852527702</v>
      </c>
      <c r="S3758" t="s">
        <v>9584</v>
      </c>
      <c r="T3758" t="s">
        <v>11650</v>
      </c>
      <c r="U3758" t="s">
        <v>11650</v>
      </c>
      <c r="V3758" t="s">
        <v>11650</v>
      </c>
      <c r="W3758" t="s">
        <v>15355</v>
      </c>
      <c r="X3758">
        <v>2</v>
      </c>
      <c r="Y3758" t="s">
        <v>21034</v>
      </c>
      <c r="Z3758" t="s">
        <v>26820</v>
      </c>
      <c r="AA3758">
        <v>0.72331461739563363</v>
      </c>
      <c r="AB3758" t="str">
        <f>HYPERLINK("Melting_Curves/meltCurve_Q6YHU6_3_THADA.pdf", "Melting_Curves/meltCurve_Q6YHU6_3_THADA.pdf")</f>
        <v>Melting_Curves/meltCurve_Q6YHU6_3_THADA.pdf</v>
      </c>
    </row>
    <row r="3759" spans="1:28" x14ac:dyDescent="0.25">
      <c r="A3759" t="s">
        <v>3763</v>
      </c>
      <c r="B3759">
        <v>0.99996721820229495</v>
      </c>
      <c r="C3759">
        <v>1.0294754145879299</v>
      </c>
      <c r="D3759">
        <v>0.89312592640857602</v>
      </c>
      <c r="E3759">
        <v>0.71480470869651003</v>
      </c>
      <c r="F3759">
        <v>0.29590566453504502</v>
      </c>
      <c r="G3759">
        <v>0.22749563656726901</v>
      </c>
      <c r="H3759">
        <v>0.15051556023561199</v>
      </c>
      <c r="I3759">
        <v>8.5140750129914206E-2</v>
      </c>
      <c r="J3759">
        <v>5.4335877212433298E-2</v>
      </c>
      <c r="K3759">
        <v>6.8423162902047904E-2</v>
      </c>
      <c r="L3759">
        <v>1184.1747391134199</v>
      </c>
      <c r="M3759">
        <v>23.1499580633565</v>
      </c>
      <c r="N3759">
        <v>51.576377117177003</v>
      </c>
      <c r="O3759">
        <v>50.775244361319103</v>
      </c>
      <c r="P3759">
        <v>-0.104107322008602</v>
      </c>
      <c r="Q3759">
        <v>8.6654425798312701E-2</v>
      </c>
      <c r="R3759">
        <v>0.98729180848432996</v>
      </c>
      <c r="S3759" t="s">
        <v>9585</v>
      </c>
      <c r="T3759" t="s">
        <v>11650</v>
      </c>
      <c r="U3759" t="s">
        <v>11650</v>
      </c>
      <c r="V3759" t="s">
        <v>11650</v>
      </c>
      <c r="W3759" t="s">
        <v>15356</v>
      </c>
      <c r="X3759">
        <v>10</v>
      </c>
      <c r="Y3759" t="s">
        <v>21035</v>
      </c>
      <c r="Z3759" t="s">
        <v>26821</v>
      </c>
      <c r="AA3759">
        <v>0.43578614071613853</v>
      </c>
      <c r="AB3759" t="str">
        <f>HYPERLINK("Melting_Curves/meltCurve_Q6YN16_HSDL2.pdf", "Melting_Curves/meltCurve_Q6YN16_HSDL2.pdf")</f>
        <v>Melting_Curves/meltCurve_Q6YN16_HSDL2.pdf</v>
      </c>
    </row>
    <row r="3760" spans="1:28" x14ac:dyDescent="0.25">
      <c r="A3760" t="s">
        <v>3764</v>
      </c>
      <c r="B3760">
        <v>0.99996721820229495</v>
      </c>
      <c r="C3760">
        <v>1.05222659962252</v>
      </c>
      <c r="D3760">
        <v>1.06461904107973</v>
      </c>
      <c r="E3760">
        <v>1.0456615602664601</v>
      </c>
      <c r="F3760">
        <v>1.19128066495455</v>
      </c>
      <c r="G3760">
        <v>1.1924749180692</v>
      </c>
      <c r="H3760">
        <v>0.77871934021425904</v>
      </c>
      <c r="I3760">
        <v>0.52874525336581202</v>
      </c>
      <c r="J3760">
        <v>0.29738464069509202</v>
      </c>
      <c r="K3760">
        <v>0.17090355083185499</v>
      </c>
      <c r="L3760">
        <v>2236.8837608161998</v>
      </c>
      <c r="M3760">
        <v>35.263590978208697</v>
      </c>
      <c r="N3760">
        <v>64.148769201295707</v>
      </c>
      <c r="O3760">
        <v>63.230267202656897</v>
      </c>
      <c r="P3760">
        <v>-0.116755111978709</v>
      </c>
      <c r="Q3760">
        <v>0.16259993990548499</v>
      </c>
      <c r="R3760">
        <v>0.925433550302039</v>
      </c>
      <c r="S3760" t="s">
        <v>9586</v>
      </c>
      <c r="T3760" t="s">
        <v>11650</v>
      </c>
      <c r="U3760" t="s">
        <v>11650</v>
      </c>
      <c r="V3760" t="s">
        <v>11650</v>
      </c>
      <c r="W3760" t="s">
        <v>15357</v>
      </c>
      <c r="X3760">
        <v>20</v>
      </c>
      <c r="Y3760" t="s">
        <v>21036</v>
      </c>
      <c r="Z3760" t="s">
        <v>26822</v>
      </c>
      <c r="AA3760">
        <v>0.81908672305917007</v>
      </c>
      <c r="AB3760" t="str">
        <f>HYPERLINK("Melting_Curves/meltCurve_Q6YP21_3_CCBL2.pdf", "Melting_Curves/meltCurve_Q6YP21_3_CCBL2.pdf")</f>
        <v>Melting_Curves/meltCurve_Q6YP21_3_CCBL2.pdf</v>
      </c>
    </row>
    <row r="3761" spans="1:28" x14ac:dyDescent="0.25">
      <c r="A3761" t="s">
        <v>3765</v>
      </c>
      <c r="B3761">
        <v>0.99996721820229495</v>
      </c>
      <c r="C3761">
        <v>0.836905731049993</v>
      </c>
      <c r="D3761">
        <v>1.0531785904451501</v>
      </c>
      <c r="E3761">
        <v>1.1148332328136401</v>
      </c>
      <c r="F3761">
        <v>1.37979503840658</v>
      </c>
      <c r="G3761">
        <v>1.19580119439832</v>
      </c>
      <c r="H3761">
        <v>0.60169808050129603</v>
      </c>
      <c r="I3761">
        <v>0.28854459779900798</v>
      </c>
      <c r="J3761">
        <v>0.128620508833523</v>
      </c>
      <c r="K3761">
        <v>9.9540005030272702E-2</v>
      </c>
      <c r="L3761">
        <v>3192.4738130986798</v>
      </c>
      <c r="M3761">
        <v>51.978468131729898</v>
      </c>
      <c r="N3761">
        <v>61.776146203730001</v>
      </c>
      <c r="O3761">
        <v>61.328451015888199</v>
      </c>
      <c r="P3761">
        <v>-0.18439838710334699</v>
      </c>
      <c r="Q3761">
        <v>0.12972739537558001</v>
      </c>
      <c r="R3761">
        <v>0.87654125181752396</v>
      </c>
      <c r="S3761" t="s">
        <v>9587</v>
      </c>
      <c r="T3761" t="s">
        <v>11650</v>
      </c>
      <c r="U3761" t="s">
        <v>11650</v>
      </c>
      <c r="V3761" t="s">
        <v>11650</v>
      </c>
      <c r="W3761" t="s">
        <v>15358</v>
      </c>
      <c r="X3761">
        <v>3</v>
      </c>
      <c r="Y3761" t="s">
        <v>21037</v>
      </c>
      <c r="Z3761" t="s">
        <v>26823</v>
      </c>
      <c r="AA3761">
        <v>0.7531788055730545</v>
      </c>
      <c r="AB3761" t="str">
        <f>HYPERLINK("Melting_Curves/meltCurve_Q6ZMG9_CERS6.pdf", "Melting_Curves/meltCurve_Q6ZMG9_CERS6.pdf")</f>
        <v>Melting_Curves/meltCurve_Q6ZMG9_CERS6.pdf</v>
      </c>
    </row>
    <row r="3762" spans="1:28" x14ac:dyDescent="0.25">
      <c r="A3762" t="s">
        <v>3766</v>
      </c>
      <c r="B3762">
        <v>0.99996721820229495</v>
      </c>
      <c r="C3762">
        <v>0.98922956053989097</v>
      </c>
      <c r="D3762">
        <v>1.2589672598893</v>
      </c>
      <c r="E3762">
        <v>2.0074188309060701</v>
      </c>
      <c r="F3762">
        <v>1.41075212212343</v>
      </c>
      <c r="G3762">
        <v>1.0863711841021499</v>
      </c>
      <c r="H3762">
        <v>0.67481664547373199</v>
      </c>
      <c r="I3762">
        <v>0.510232441360566</v>
      </c>
      <c r="J3762">
        <v>0.47591281146147302</v>
      </c>
      <c r="K3762">
        <v>0.33931415242152602</v>
      </c>
      <c r="L3762">
        <v>3527.5945717867298</v>
      </c>
      <c r="M3762">
        <v>57.9620201266954</v>
      </c>
      <c r="N3762">
        <v>62.941709804316403</v>
      </c>
      <c r="O3762">
        <v>60.788130937964198</v>
      </c>
      <c r="P3762">
        <v>-0.13672206366848899</v>
      </c>
      <c r="Q3762">
        <v>0.42644685164898</v>
      </c>
      <c r="R3762">
        <v>0.44853180634540202</v>
      </c>
      <c r="S3762" t="s">
        <v>9588</v>
      </c>
      <c r="T3762" t="s">
        <v>11650</v>
      </c>
      <c r="U3762" t="s">
        <v>11650</v>
      </c>
      <c r="V3762" t="s">
        <v>11650</v>
      </c>
      <c r="W3762" t="s">
        <v>15359</v>
      </c>
      <c r="X3762">
        <v>7</v>
      </c>
      <c r="Y3762" t="s">
        <v>21038</v>
      </c>
      <c r="Z3762" t="s">
        <v>26824</v>
      </c>
      <c r="AA3762">
        <v>0.82639589549640879</v>
      </c>
      <c r="AB3762" t="str">
        <f>HYPERLINK("Melting_Curves/meltCurve_Q6ZMI0_PPP1R21.pdf", "Melting_Curves/meltCurve_Q6ZMI0_PPP1R21.pdf")</f>
        <v>Melting_Curves/meltCurve_Q6ZMI0_PPP1R21.pdf</v>
      </c>
    </row>
    <row r="3763" spans="1:28" x14ac:dyDescent="0.25">
      <c r="A3763" t="s">
        <v>3767</v>
      </c>
      <c r="B3763">
        <v>0.99996721820229495</v>
      </c>
      <c r="C3763">
        <v>0.89195518328470802</v>
      </c>
      <c r="D3763">
        <v>0.56774842134701398</v>
      </c>
      <c r="E3763">
        <v>0.40792499023705198</v>
      </c>
      <c r="F3763">
        <v>0.42018262313872701</v>
      </c>
      <c r="G3763">
        <v>0.27433570329976598</v>
      </c>
      <c r="H3763">
        <v>0.19412313170270101</v>
      </c>
      <c r="I3763">
        <v>0.204238024273352</v>
      </c>
      <c r="J3763">
        <v>0.17359572800141601</v>
      </c>
      <c r="K3763">
        <v>0.114147580479124</v>
      </c>
      <c r="L3763">
        <v>615.26437924606705</v>
      </c>
      <c r="M3763">
        <v>12.966156833770199</v>
      </c>
      <c r="N3763">
        <v>48.891680144081697</v>
      </c>
      <c r="O3763">
        <v>46.365396340338499</v>
      </c>
      <c r="P3763">
        <v>-5.8826392026886803E-2</v>
      </c>
      <c r="Q3763">
        <v>0.158726135515419</v>
      </c>
      <c r="R3763">
        <v>0.96278813343208602</v>
      </c>
      <c r="S3763" t="s">
        <v>9589</v>
      </c>
      <c r="T3763" t="s">
        <v>11650</v>
      </c>
      <c r="U3763" t="s">
        <v>11650</v>
      </c>
      <c r="V3763" t="s">
        <v>11650</v>
      </c>
      <c r="W3763" t="s">
        <v>15360</v>
      </c>
      <c r="X3763">
        <v>1</v>
      </c>
      <c r="Y3763" t="s">
        <v>21039</v>
      </c>
      <c r="Z3763" t="s">
        <v>26825</v>
      </c>
      <c r="AA3763">
        <v>0.39730711530329821</v>
      </c>
      <c r="AB3763" t="str">
        <f>HYPERLINK("Melting_Curves/meltCurve_Q6ZMZ3_2_SYNE3.pdf", "Melting_Curves/meltCurve_Q6ZMZ3_2_SYNE3.pdf")</f>
        <v>Melting_Curves/meltCurve_Q6ZMZ3_2_SYNE3.pdf</v>
      </c>
    </row>
    <row r="3764" spans="1:28" x14ac:dyDescent="0.25">
      <c r="A3764" t="s">
        <v>3768</v>
      </c>
      <c r="B3764">
        <v>0.99996721820229495</v>
      </c>
      <c r="C3764">
        <v>0.91417466169917205</v>
      </c>
      <c r="D3764">
        <v>0.685785871134305</v>
      </c>
      <c r="E3764">
        <v>0.34446425746704101</v>
      </c>
      <c r="F3764">
        <v>0.16945261407384399</v>
      </c>
      <c r="G3764">
        <v>8.4349537216024506E-2</v>
      </c>
      <c r="H3764">
        <v>4.8308697259719299E-2</v>
      </c>
      <c r="I3764">
        <v>4.4219644356248401E-2</v>
      </c>
      <c r="J3764">
        <v>2.1822507876386201E-2</v>
      </c>
      <c r="K3764">
        <v>1.0140750598502101E-2</v>
      </c>
      <c r="L3764">
        <v>885.17540693706201</v>
      </c>
      <c r="M3764">
        <v>18.4351249015644</v>
      </c>
      <c r="N3764">
        <v>48.144023279796102</v>
      </c>
      <c r="O3764">
        <v>47.461406611839998</v>
      </c>
      <c r="P3764">
        <v>-9.47817849959431E-2</v>
      </c>
      <c r="Q3764">
        <v>2.3977355546574399E-2</v>
      </c>
      <c r="R3764">
        <v>0.99892938492374705</v>
      </c>
      <c r="S3764" t="s">
        <v>9590</v>
      </c>
      <c r="T3764" t="s">
        <v>11650</v>
      </c>
      <c r="U3764" t="s">
        <v>11650</v>
      </c>
      <c r="V3764" t="s">
        <v>11650</v>
      </c>
      <c r="W3764" t="s">
        <v>15361</v>
      </c>
      <c r="X3764">
        <v>4</v>
      </c>
      <c r="Y3764" t="s">
        <v>21040</v>
      </c>
      <c r="Z3764" t="s">
        <v>26826</v>
      </c>
      <c r="AA3764">
        <v>0.30122617523558332</v>
      </c>
      <c r="AB3764" t="str">
        <f>HYPERLINK("Melting_Curves/meltCurve_Q6ZNW5_GDPGP1.pdf", "Melting_Curves/meltCurve_Q6ZNW5_GDPGP1.pdf")</f>
        <v>Melting_Curves/meltCurve_Q6ZNW5_GDPGP1.pdf</v>
      </c>
    </row>
    <row r="3765" spans="1:28" x14ac:dyDescent="0.25">
      <c r="A3765" t="s">
        <v>3769</v>
      </c>
      <c r="B3765">
        <v>0.99996721820229495</v>
      </c>
      <c r="C3765">
        <v>0.71892293974326205</v>
      </c>
      <c r="D3765">
        <v>0.75835726592504704</v>
      </c>
      <c r="E3765">
        <v>0.87952094522722302</v>
      </c>
      <c r="F3765">
        <v>0.31516900965616601</v>
      </c>
      <c r="G3765">
        <v>0.20243375458488599</v>
      </c>
      <c r="H3765">
        <v>0.12817172516627401</v>
      </c>
      <c r="I3765">
        <v>7.8377610908631906E-2</v>
      </c>
      <c r="J3765">
        <v>4.4938022504108797E-2</v>
      </c>
      <c r="K3765">
        <v>7.5874395554587498E-2</v>
      </c>
      <c r="L3765">
        <v>635.100197194251</v>
      </c>
      <c r="M3765">
        <v>12.2415149363023</v>
      </c>
      <c r="N3765">
        <v>51.880843496466198</v>
      </c>
      <c r="O3765">
        <v>50.554632896457001</v>
      </c>
      <c r="P3765">
        <v>-6.0549577319444901E-2</v>
      </c>
      <c r="Q3765">
        <v>0</v>
      </c>
      <c r="R3765">
        <v>0.89083117205229201</v>
      </c>
      <c r="S3765" t="s">
        <v>9591</v>
      </c>
      <c r="T3765" t="s">
        <v>11650</v>
      </c>
      <c r="U3765" t="s">
        <v>11650</v>
      </c>
      <c r="V3765" t="s">
        <v>11650</v>
      </c>
      <c r="W3765" t="s">
        <v>15362</v>
      </c>
      <c r="X3765">
        <v>2</v>
      </c>
      <c r="Y3765" t="s">
        <v>21041</v>
      </c>
      <c r="Z3765" t="s">
        <v>26827</v>
      </c>
      <c r="AA3765">
        <v>0.42607899131126997</v>
      </c>
      <c r="AB3765" t="str">
        <f>HYPERLINK("Melting_Curves/meltCurve_Q6ZPD9_DPY19L3.pdf", "Melting_Curves/meltCurve_Q6ZPD9_DPY19L3.pdf")</f>
        <v>Melting_Curves/meltCurve_Q6ZPD9_DPY19L3.pdf</v>
      </c>
    </row>
    <row r="3766" spans="1:28" x14ac:dyDescent="0.25">
      <c r="A3766" t="s">
        <v>3770</v>
      </c>
      <c r="B3766">
        <v>0.99996721820229495</v>
      </c>
      <c r="C3766">
        <v>0.92970791438908795</v>
      </c>
      <c r="D3766">
        <v>1.1474586045105</v>
      </c>
      <c r="E3766">
        <v>1.3385268124679699</v>
      </c>
      <c r="F3766">
        <v>1.49064178649742</v>
      </c>
      <c r="G3766">
        <v>0.97810699765947495</v>
      </c>
      <c r="H3766">
        <v>0.39816981131184598</v>
      </c>
      <c r="I3766">
        <v>0.199992318393513</v>
      </c>
      <c r="J3766">
        <v>0.134510556281115</v>
      </c>
      <c r="K3766">
        <v>0.12297772363823201</v>
      </c>
      <c r="L3766">
        <v>3620.5715343338902</v>
      </c>
      <c r="M3766">
        <v>60.177809100572702</v>
      </c>
      <c r="N3766">
        <v>60.502490303448802</v>
      </c>
      <c r="O3766">
        <v>60.098229447301101</v>
      </c>
      <c r="P3766">
        <v>-0.214601633238416</v>
      </c>
      <c r="Q3766">
        <v>0.142728983128732</v>
      </c>
      <c r="R3766">
        <v>0.839458142114897</v>
      </c>
      <c r="S3766" t="s">
        <v>9592</v>
      </c>
      <c r="T3766" t="s">
        <v>11650</v>
      </c>
      <c r="U3766" t="s">
        <v>11650</v>
      </c>
      <c r="V3766" t="s">
        <v>11650</v>
      </c>
      <c r="W3766" t="s">
        <v>15363</v>
      </c>
      <c r="X3766">
        <v>8</v>
      </c>
      <c r="Y3766" t="s">
        <v>21042</v>
      </c>
      <c r="Z3766" t="s">
        <v>26828</v>
      </c>
      <c r="AA3766">
        <v>0.7205047832195236</v>
      </c>
      <c r="AB3766" t="str">
        <f>HYPERLINK("Melting_Curves/meltCurve_Q6ZRP7_QSOX2.pdf", "Melting_Curves/meltCurve_Q6ZRP7_QSOX2.pdf")</f>
        <v>Melting_Curves/meltCurve_Q6ZRP7_QSOX2.pdf</v>
      </c>
    </row>
    <row r="3767" spans="1:28" x14ac:dyDescent="0.25">
      <c r="A3767" t="s">
        <v>3771</v>
      </c>
      <c r="B3767">
        <v>0.99996721820229495</v>
      </c>
      <c r="C3767">
        <v>1.0331029906111899</v>
      </c>
      <c r="D3767">
        <v>0.91425641394805801</v>
      </c>
      <c r="E3767">
        <v>0.43322959176935399</v>
      </c>
      <c r="F3767">
        <v>0.34853189305362497</v>
      </c>
      <c r="G3767">
        <v>0.29783574184582001</v>
      </c>
      <c r="H3767">
        <v>0.18530294249864199</v>
      </c>
      <c r="I3767">
        <v>0.126073091614639</v>
      </c>
      <c r="J3767">
        <v>8.22936842668998E-2</v>
      </c>
      <c r="K3767">
        <v>8.1955452308993607E-2</v>
      </c>
      <c r="L3767">
        <v>1037.7631987966599</v>
      </c>
      <c r="M3767">
        <v>20.9482174785946</v>
      </c>
      <c r="N3767">
        <v>50.296462192430802</v>
      </c>
      <c r="O3767">
        <v>49.094614043046498</v>
      </c>
      <c r="P3767">
        <v>-9.2251908416885298E-2</v>
      </c>
      <c r="Q3767">
        <v>0.13521028769666699</v>
      </c>
      <c r="R3767">
        <v>0.97191810830976699</v>
      </c>
      <c r="S3767" t="s">
        <v>9593</v>
      </c>
      <c r="T3767" t="s">
        <v>11650</v>
      </c>
      <c r="U3767" t="s">
        <v>11650</v>
      </c>
      <c r="V3767" t="s">
        <v>11650</v>
      </c>
      <c r="W3767" t="s">
        <v>15364</v>
      </c>
      <c r="X3767">
        <v>17</v>
      </c>
      <c r="Y3767" t="s">
        <v>21043</v>
      </c>
      <c r="Z3767" t="s">
        <v>26829</v>
      </c>
      <c r="AA3767">
        <v>0.42119762326145721</v>
      </c>
      <c r="AB3767" t="str">
        <f>HYPERLINK("Melting_Curves/meltCurve_Q6ZS17_2_FAM65A.pdf", "Melting_Curves/meltCurve_Q6ZS17_2_FAM65A.pdf")</f>
        <v>Melting_Curves/meltCurve_Q6ZS17_2_FAM65A.pdf</v>
      </c>
    </row>
    <row r="3768" spans="1:28" x14ac:dyDescent="0.25">
      <c r="A3768" t="s">
        <v>3772</v>
      </c>
      <c r="B3768">
        <v>0.99996721820229495</v>
      </c>
      <c r="C3768">
        <v>0.99265905477474203</v>
      </c>
      <c r="D3768">
        <v>0.97147172326935505</v>
      </c>
      <c r="E3768">
        <v>0.94345279172306096</v>
      </c>
      <c r="F3768">
        <v>1.2964575974502599</v>
      </c>
      <c r="G3768">
        <v>0.99082608493706403</v>
      </c>
      <c r="H3768">
        <v>0.56694116910662595</v>
      </c>
      <c r="I3768">
        <v>0.50227609220205405</v>
      </c>
      <c r="J3768">
        <v>0.46827376882688898</v>
      </c>
      <c r="K3768">
        <v>0.323089075245026</v>
      </c>
      <c r="L3768">
        <v>3433.1388629687999</v>
      </c>
      <c r="M3768">
        <v>57.251008612148503</v>
      </c>
      <c r="N3768">
        <v>61.977636105604503</v>
      </c>
      <c r="O3768">
        <v>59.893401521626799</v>
      </c>
      <c r="P3768">
        <v>-0.13812636161928199</v>
      </c>
      <c r="Q3768">
        <v>0.42199421549224397</v>
      </c>
      <c r="R3768">
        <v>0.87783629359286497</v>
      </c>
      <c r="S3768" t="s">
        <v>9594</v>
      </c>
      <c r="T3768" t="s">
        <v>11650</v>
      </c>
      <c r="U3768" t="s">
        <v>11650</v>
      </c>
      <c r="V3768" t="s">
        <v>11650</v>
      </c>
      <c r="W3768" t="s">
        <v>15365</v>
      </c>
      <c r="X3768">
        <v>4</v>
      </c>
      <c r="Y3768" t="s">
        <v>21044</v>
      </c>
      <c r="Z3768" t="s">
        <v>26830</v>
      </c>
      <c r="AA3768">
        <v>0.80784147126804107</v>
      </c>
      <c r="AB3768" t="str">
        <f>HYPERLINK("Melting_Curves/meltCurve_Q6ZSJ8_C1orf122.pdf", "Melting_Curves/meltCurve_Q6ZSJ8_C1orf122.pdf")</f>
        <v>Melting_Curves/meltCurve_Q6ZSJ8_C1orf122.pdf</v>
      </c>
    </row>
    <row r="3769" spans="1:28" x14ac:dyDescent="0.25">
      <c r="A3769" t="s">
        <v>3773</v>
      </c>
      <c r="B3769">
        <v>0.99996721820229495</v>
      </c>
      <c r="C3769">
        <v>0.64096402002359698</v>
      </c>
      <c r="D3769">
        <v>0.65747341420270899</v>
      </c>
      <c r="E3769">
        <v>0.88602867536713403</v>
      </c>
      <c r="F3769">
        <v>1.09672159882146</v>
      </c>
      <c r="G3769">
        <v>1.1213834454942</v>
      </c>
      <c r="H3769">
        <v>0.95108599248902603</v>
      </c>
      <c r="I3769">
        <v>0.91102949752950302</v>
      </c>
      <c r="J3769">
        <v>0.58020152755950904</v>
      </c>
      <c r="K3769">
        <v>0.91226854241452804</v>
      </c>
      <c r="L3769">
        <v>1.0000000000000001E-5</v>
      </c>
      <c r="M3769">
        <v>2.6358179067886001E-2</v>
      </c>
      <c r="Q3769">
        <v>0.75471023131194404</v>
      </c>
      <c r="R3769">
        <v>-2.3694133544083199E-8</v>
      </c>
      <c r="S3769" t="s">
        <v>9595</v>
      </c>
      <c r="T3769" t="s">
        <v>11650</v>
      </c>
      <c r="U3769" t="s">
        <v>11650</v>
      </c>
      <c r="V3769" t="s">
        <v>11650</v>
      </c>
      <c r="W3769" t="s">
        <v>15366</v>
      </c>
      <c r="X3769">
        <v>1</v>
      </c>
      <c r="Y3769" t="s">
        <v>21045</v>
      </c>
      <c r="Z3769" t="s">
        <v>26831</v>
      </c>
      <c r="AA3769">
        <v>0.87573887275513129</v>
      </c>
      <c r="AB3769" t="str">
        <f>HYPERLINK("Melting_Curves/meltCurve_Q6ZSS7_MFSD6.pdf", "Melting_Curves/meltCurve_Q6ZSS7_MFSD6.pdf")</f>
        <v>Melting_Curves/meltCurve_Q6ZSS7_MFSD6.pdf</v>
      </c>
    </row>
    <row r="3770" spans="1:28" x14ac:dyDescent="0.25">
      <c r="A3770" t="s">
        <v>3774</v>
      </c>
      <c r="B3770">
        <v>0.99996721820229495</v>
      </c>
      <c r="C3770">
        <v>0.85805840721590998</v>
      </c>
      <c r="D3770">
        <v>1.0701351564816599</v>
      </c>
      <c r="E3770">
        <v>1.06081763838344</v>
      </c>
      <c r="F3770">
        <v>1.26252122960265</v>
      </c>
      <c r="G3770">
        <v>1.2232267725921799</v>
      </c>
      <c r="H3770">
        <v>0.83269304283741896</v>
      </c>
      <c r="I3770">
        <v>0.59175581155033397</v>
      </c>
      <c r="J3770">
        <v>0.35954074172741102</v>
      </c>
      <c r="K3770">
        <v>0.40905687459724899</v>
      </c>
      <c r="L3770">
        <v>2934.76882102536</v>
      </c>
      <c r="M3770">
        <v>46.730999607555198</v>
      </c>
      <c r="N3770">
        <v>64.725086524531093</v>
      </c>
      <c r="O3770">
        <v>62.6866441444785</v>
      </c>
      <c r="P3770">
        <v>-0.11641826588333901</v>
      </c>
      <c r="Q3770">
        <v>0.37533007921872003</v>
      </c>
      <c r="R3770">
        <v>0.83133193554380702</v>
      </c>
      <c r="S3770" t="s">
        <v>9596</v>
      </c>
      <c r="T3770" t="s">
        <v>11650</v>
      </c>
      <c r="U3770" t="s">
        <v>11650</v>
      </c>
      <c r="V3770" t="s">
        <v>11650</v>
      </c>
      <c r="W3770" t="s">
        <v>15367</v>
      </c>
      <c r="X3770">
        <v>1</v>
      </c>
      <c r="Y3770" t="s">
        <v>21046</v>
      </c>
      <c r="Z3770" t="s">
        <v>26832</v>
      </c>
      <c r="AA3770">
        <v>0.85179157488995905</v>
      </c>
      <c r="AB3770" t="str">
        <f>HYPERLINK("Melting_Curves/meltCurve_Q6ZT21_2_TMPPE.pdf", "Melting_Curves/meltCurve_Q6ZT21_2_TMPPE.pdf")</f>
        <v>Melting_Curves/meltCurve_Q6ZT21_2_TMPPE.pdf</v>
      </c>
    </row>
    <row r="3771" spans="1:28" x14ac:dyDescent="0.25">
      <c r="A3771" t="s">
        <v>3775</v>
      </c>
      <c r="B3771">
        <v>0.99996721820229495</v>
      </c>
      <c r="C3771">
        <v>0.97651480670859403</v>
      </c>
      <c r="D3771">
        <v>0.87174856847706395</v>
      </c>
      <c r="E3771">
        <v>0.32783012804827399</v>
      </c>
      <c r="F3771">
        <v>0.29683038014514901</v>
      </c>
      <c r="G3771">
        <v>0.24671329010463899</v>
      </c>
      <c r="H3771">
        <v>0.171271559062076</v>
      </c>
      <c r="I3771">
        <v>0.10744300188013101</v>
      </c>
      <c r="J3771">
        <v>0.116045515637319</v>
      </c>
      <c r="K3771">
        <v>6.2196955328089103E-2</v>
      </c>
      <c r="L3771">
        <v>1333.74471661808</v>
      </c>
      <c r="M3771">
        <v>27.5668402016653</v>
      </c>
      <c r="N3771">
        <v>48.9865406783913</v>
      </c>
      <c r="O3771">
        <v>48.129757603419499</v>
      </c>
      <c r="P3771">
        <v>-0.12255133311067901</v>
      </c>
      <c r="Q3771">
        <v>0.14414388720832999</v>
      </c>
      <c r="R3771">
        <v>0.976719691543253</v>
      </c>
      <c r="S3771" t="s">
        <v>9597</v>
      </c>
      <c r="T3771" t="s">
        <v>11650</v>
      </c>
      <c r="U3771" t="s">
        <v>11650</v>
      </c>
      <c r="V3771" t="s">
        <v>11650</v>
      </c>
      <c r="W3771" t="s">
        <v>15368</v>
      </c>
      <c r="X3771">
        <v>5</v>
      </c>
      <c r="Y3771" t="s">
        <v>21047</v>
      </c>
      <c r="Z3771" t="s">
        <v>26833</v>
      </c>
      <c r="AA3771">
        <v>0.38944141571234148</v>
      </c>
      <c r="AB3771" t="str">
        <f>HYPERLINK("Melting_Curves/meltCurve_Q6ZTN6_3_ANKRD13D.pdf", "Melting_Curves/meltCurve_Q6ZTN6_3_ANKRD13D.pdf")</f>
        <v>Melting_Curves/meltCurve_Q6ZTN6_3_ANKRD13D.pdf</v>
      </c>
    </row>
    <row r="3772" spans="1:28" x14ac:dyDescent="0.25">
      <c r="A3772" t="s">
        <v>3776</v>
      </c>
      <c r="B3772">
        <v>0.99996721820229495</v>
      </c>
      <c r="C3772">
        <v>1.0906022427619599</v>
      </c>
      <c r="D3772">
        <v>1.1712950522926699</v>
      </c>
      <c r="E3772">
        <v>1.0204492266309</v>
      </c>
      <c r="F3772">
        <v>0.977801558420201</v>
      </c>
      <c r="G3772">
        <v>0.91194094173673201</v>
      </c>
      <c r="H3772">
        <v>0.68098624094266103</v>
      </c>
      <c r="I3772">
        <v>0.51925164886255404</v>
      </c>
      <c r="J3772">
        <v>0.40189691042481102</v>
      </c>
      <c r="K3772">
        <v>0.369888988335906</v>
      </c>
      <c r="L3772">
        <v>1507.3277110054701</v>
      </c>
      <c r="M3772">
        <v>24.602272369158001</v>
      </c>
      <c r="N3772">
        <v>64.208812191102993</v>
      </c>
      <c r="O3772">
        <v>60.867333625021402</v>
      </c>
      <c r="P3772">
        <v>-6.6897557180824699E-2</v>
      </c>
      <c r="Q3772">
        <v>0.33797699032189599</v>
      </c>
      <c r="R3772">
        <v>0.95132993628522</v>
      </c>
      <c r="S3772" t="s">
        <v>9598</v>
      </c>
      <c r="T3772" t="s">
        <v>11650</v>
      </c>
      <c r="U3772" t="s">
        <v>11650</v>
      </c>
      <c r="V3772" t="s">
        <v>11650</v>
      </c>
      <c r="W3772" t="s">
        <v>15369</v>
      </c>
      <c r="X3772">
        <v>2</v>
      </c>
      <c r="Y3772" t="s">
        <v>21048</v>
      </c>
      <c r="Z3772" t="s">
        <v>26834</v>
      </c>
      <c r="AA3772">
        <v>0.81121161643073447</v>
      </c>
      <c r="AB3772" t="str">
        <f>HYPERLINK("Melting_Curves/meltCurve_Q6ZUS6_5_CCDC149.pdf", "Melting_Curves/meltCurve_Q6ZUS6_5_CCDC149.pdf")</f>
        <v>Melting_Curves/meltCurve_Q6ZUS6_5_CCDC149.pdf</v>
      </c>
    </row>
    <row r="3773" spans="1:28" x14ac:dyDescent="0.25">
      <c r="A3773" t="s">
        <v>3777</v>
      </c>
      <c r="B3773">
        <v>0.99996721820229495</v>
      </c>
      <c r="C3773">
        <v>0.85692318206235096</v>
      </c>
      <c r="D3773">
        <v>0.79390488174817797</v>
      </c>
      <c r="E3773">
        <v>1.0491516577087201</v>
      </c>
      <c r="F3773">
        <v>1.3303126458371799</v>
      </c>
      <c r="G3773">
        <v>1.2403319250809199</v>
      </c>
      <c r="H3773">
        <v>1.12724620251457</v>
      </c>
      <c r="I3773">
        <v>1.1540093825939699</v>
      </c>
      <c r="J3773">
        <v>0.98114759679338204</v>
      </c>
      <c r="K3773">
        <v>0.86221006298699598</v>
      </c>
      <c r="L3773">
        <v>15000</v>
      </c>
      <c r="M3773">
        <v>222.03778851836</v>
      </c>
      <c r="O3773">
        <v>67.550587401073003</v>
      </c>
      <c r="P3773">
        <v>-0.113277133932238</v>
      </c>
      <c r="Q3773">
        <v>0.86215072624557898</v>
      </c>
      <c r="R3773">
        <v>1.3494516081403099E-2</v>
      </c>
      <c r="S3773" t="s">
        <v>9599</v>
      </c>
      <c r="T3773" t="s">
        <v>11650</v>
      </c>
      <c r="U3773" t="s">
        <v>11650</v>
      </c>
      <c r="V3773" t="s">
        <v>11650</v>
      </c>
      <c r="W3773" t="s">
        <v>15370</v>
      </c>
      <c r="X3773">
        <v>9</v>
      </c>
      <c r="Y3773" t="s">
        <v>21049</v>
      </c>
      <c r="Z3773" t="s">
        <v>26835</v>
      </c>
      <c r="AA3773">
        <v>0.98879026189266783</v>
      </c>
      <c r="AB3773" t="str">
        <f>HYPERLINK("Melting_Curves/meltCurve_Q6ZUT6_C15orf52.pdf", "Melting_Curves/meltCurve_Q6ZUT6_C15orf52.pdf")</f>
        <v>Melting_Curves/meltCurve_Q6ZUT6_C15orf52.pdf</v>
      </c>
    </row>
    <row r="3774" spans="1:28" x14ac:dyDescent="0.25">
      <c r="A3774" t="s">
        <v>3778</v>
      </c>
      <c r="B3774">
        <v>0.99996721820229495</v>
      </c>
      <c r="C3774">
        <v>0.51364406417284003</v>
      </c>
      <c r="D3774">
        <v>0.47740466880157101</v>
      </c>
      <c r="E3774">
        <v>0.67191127150715202</v>
      </c>
      <c r="F3774">
        <v>0.69060991335017796</v>
      </c>
      <c r="G3774">
        <v>0.39315789630433801</v>
      </c>
      <c r="H3774">
        <v>0.75339596416520604</v>
      </c>
      <c r="I3774">
        <v>0.52807142908470395</v>
      </c>
      <c r="J3774">
        <v>0.42451806495252498</v>
      </c>
      <c r="K3774">
        <v>0.55820047862534605</v>
      </c>
      <c r="L3774">
        <v>10262.4395653799</v>
      </c>
      <c r="M3774">
        <v>250</v>
      </c>
      <c r="O3774">
        <v>41.047119968191602</v>
      </c>
      <c r="P3774">
        <v>-0.67488369591791797</v>
      </c>
      <c r="Q3774">
        <v>0.55676736459714804</v>
      </c>
      <c r="R3774">
        <v>0.58954921001357397</v>
      </c>
      <c r="S3774" t="s">
        <v>9600</v>
      </c>
      <c r="T3774" t="s">
        <v>11650</v>
      </c>
      <c r="U3774" t="s">
        <v>11650</v>
      </c>
      <c r="V3774" t="s">
        <v>11650</v>
      </c>
      <c r="W3774" t="s">
        <v>15371</v>
      </c>
      <c r="X3774">
        <v>2</v>
      </c>
      <c r="Y3774" t="s">
        <v>21050</v>
      </c>
      <c r="Z3774" t="s">
        <v>26836</v>
      </c>
      <c r="AA3774">
        <v>0.57231209732245814</v>
      </c>
      <c r="AB3774" t="str">
        <f>HYPERLINK("Melting_Curves/meltCurve_Q6ZUX7_LHFPL2.pdf", "Melting_Curves/meltCurve_Q6ZUX7_LHFPL2.pdf")</f>
        <v>Melting_Curves/meltCurve_Q6ZUX7_LHFPL2.pdf</v>
      </c>
    </row>
    <row r="3775" spans="1:28" x14ac:dyDescent="0.25">
      <c r="A3775" t="s">
        <v>3779</v>
      </c>
      <c r="B3775">
        <v>0.99996721820229495</v>
      </c>
      <c r="C3775">
        <v>0.98167264723012904</v>
      </c>
      <c r="D3775">
        <v>0.93837459918264399</v>
      </c>
      <c r="E3775">
        <v>0.81605173060271996</v>
      </c>
      <c r="F3775">
        <v>0.89428094921265799</v>
      </c>
      <c r="G3775">
        <v>0.55795797603525099</v>
      </c>
      <c r="H3775">
        <v>0.24050080138452201</v>
      </c>
      <c r="I3775">
        <v>0.14985828946431101</v>
      </c>
      <c r="J3775">
        <v>0.117597065209331</v>
      </c>
      <c r="K3775">
        <v>8.9904867559573096E-2</v>
      </c>
      <c r="L3775">
        <v>1066.4392875041301</v>
      </c>
      <c r="M3775">
        <v>18.628719616297602</v>
      </c>
      <c r="N3775">
        <v>57.539353444132203</v>
      </c>
      <c r="O3775">
        <v>56.599601395205397</v>
      </c>
      <c r="P3775">
        <v>-7.8571461346950894E-2</v>
      </c>
      <c r="Q3775">
        <v>4.5147089124711298E-2</v>
      </c>
      <c r="R3775">
        <v>0.98174895474369395</v>
      </c>
      <c r="S3775" t="s">
        <v>9601</v>
      </c>
      <c r="T3775" t="s">
        <v>11650</v>
      </c>
      <c r="U3775" t="s">
        <v>11650</v>
      </c>
      <c r="V3775" t="s">
        <v>11650</v>
      </c>
      <c r="W3775" t="s">
        <v>15372</v>
      </c>
      <c r="X3775">
        <v>8</v>
      </c>
      <c r="Y3775" t="s">
        <v>21051</v>
      </c>
      <c r="Z3775" t="s">
        <v>26837</v>
      </c>
      <c r="AA3775">
        <v>0.60649694296965295</v>
      </c>
      <c r="AB3775" t="str">
        <f>HYPERLINK("Melting_Curves/meltCurve_Q6ZVK8_NUDT18.pdf", "Melting_Curves/meltCurve_Q6ZVK8_NUDT18.pdf")</f>
        <v>Melting_Curves/meltCurve_Q6ZVK8_NUDT18.pdf</v>
      </c>
    </row>
    <row r="3776" spans="1:28" x14ac:dyDescent="0.25">
      <c r="A3776" t="s">
        <v>3780</v>
      </c>
      <c r="B3776">
        <v>0.99996721820229495</v>
      </c>
      <c r="C3776">
        <v>0.97224208998863404</v>
      </c>
      <c r="D3776">
        <v>0.94612412053174</v>
      </c>
      <c r="E3776">
        <v>0.887205053021483</v>
      </c>
      <c r="F3776">
        <v>0.61971485429517803</v>
      </c>
      <c r="G3776">
        <v>0.57682261680190805</v>
      </c>
      <c r="H3776">
        <v>0.341958514045063</v>
      </c>
      <c r="I3776">
        <v>0.16031037016035601</v>
      </c>
      <c r="J3776">
        <v>6.7370647132386205E-2</v>
      </c>
      <c r="K3776">
        <v>6.2060854041028797E-2</v>
      </c>
      <c r="L3776">
        <v>734.57320206988197</v>
      </c>
      <c r="M3776">
        <v>12.9083617665543</v>
      </c>
      <c r="N3776">
        <v>56.906765730003599</v>
      </c>
      <c r="O3776">
        <v>55.592913532116199</v>
      </c>
      <c r="P3776">
        <v>-5.8059116893572599E-2</v>
      </c>
      <c r="Q3776">
        <v>0</v>
      </c>
      <c r="R3776">
        <v>0.980896102702419</v>
      </c>
      <c r="S3776" t="s">
        <v>9602</v>
      </c>
      <c r="T3776" t="s">
        <v>11650</v>
      </c>
      <c r="U3776" t="s">
        <v>11650</v>
      </c>
      <c r="V3776" t="s">
        <v>11650</v>
      </c>
      <c r="W3776" t="s">
        <v>11860</v>
      </c>
      <c r="X3776">
        <v>14</v>
      </c>
      <c r="Y3776" t="s">
        <v>17623</v>
      </c>
      <c r="Z3776" t="s">
        <v>26838</v>
      </c>
      <c r="AA3776">
        <v>0.58060062137840818</v>
      </c>
      <c r="AB3776" t="str">
        <f>HYPERLINK("Melting_Curves/meltCurve_Q6ZVM7_TOM1L2.pdf", "Melting_Curves/meltCurve_Q6ZVM7_TOM1L2.pdf")</f>
        <v>Melting_Curves/meltCurve_Q6ZVM7_TOM1L2.pdf</v>
      </c>
    </row>
    <row r="3777" spans="1:28" x14ac:dyDescent="0.25">
      <c r="A3777" t="s">
        <v>3781</v>
      </c>
      <c r="B3777">
        <v>0.99996721820229495</v>
      </c>
      <c r="C3777">
        <v>1.0929968829671299</v>
      </c>
      <c r="D3777">
        <v>1.07987121094268</v>
      </c>
      <c r="E3777">
        <v>0.90211750015963499</v>
      </c>
      <c r="F3777">
        <v>0.97226916859682699</v>
      </c>
      <c r="G3777">
        <v>0.70108993484545601</v>
      </c>
      <c r="H3777">
        <v>0.43298887849610201</v>
      </c>
      <c r="I3777">
        <v>0.22945275472003501</v>
      </c>
      <c r="J3777">
        <v>0.219925473195065</v>
      </c>
      <c r="K3777">
        <v>0.10242609301538</v>
      </c>
      <c r="L3777">
        <v>1196.3012393153001</v>
      </c>
      <c r="M3777">
        <v>20.1803228095098</v>
      </c>
      <c r="N3777">
        <v>59.873010583093802</v>
      </c>
      <c r="O3777">
        <v>58.707672257830602</v>
      </c>
      <c r="P3777">
        <v>-7.8160883432376399E-2</v>
      </c>
      <c r="Q3777">
        <v>9.0500238210000902E-2</v>
      </c>
      <c r="R3777">
        <v>0.97947780468438905</v>
      </c>
      <c r="S3777" t="s">
        <v>9603</v>
      </c>
      <c r="T3777" t="s">
        <v>11650</v>
      </c>
      <c r="U3777" t="s">
        <v>11650</v>
      </c>
      <c r="V3777" t="s">
        <v>11650</v>
      </c>
      <c r="W3777" t="s">
        <v>15373</v>
      </c>
      <c r="X3777">
        <v>1</v>
      </c>
      <c r="Y3777" t="s">
        <v>21052</v>
      </c>
      <c r="Z3777" t="s">
        <v>26839</v>
      </c>
      <c r="AA3777">
        <v>0.68374793471005446</v>
      </c>
      <c r="AB3777" t="str">
        <f>HYPERLINK("Melting_Curves/meltCurve_Q6ZW49_4_PAXIP1.pdf", "Melting_Curves/meltCurve_Q6ZW49_4_PAXIP1.pdf")</f>
        <v>Melting_Curves/meltCurve_Q6ZW49_4_PAXIP1.pdf</v>
      </c>
    </row>
    <row r="3778" spans="1:28" x14ac:dyDescent="0.25">
      <c r="A3778" t="s">
        <v>3782</v>
      </c>
      <c r="B3778">
        <v>0.99996721820229495</v>
      </c>
      <c r="C3778">
        <v>0.76502437720087602</v>
      </c>
      <c r="D3778">
        <v>0.78501609078702295</v>
      </c>
      <c r="E3778">
        <v>0.83635031684995298</v>
      </c>
      <c r="F3778">
        <v>0.91096860616146702</v>
      </c>
      <c r="G3778">
        <v>1.2246796451958</v>
      </c>
      <c r="H3778">
        <v>0.247799453383168</v>
      </c>
      <c r="I3778">
        <v>0.101623736638982</v>
      </c>
      <c r="J3778">
        <v>0.13404544346110001</v>
      </c>
      <c r="K3778">
        <v>6.0037958410416703E-2</v>
      </c>
      <c r="L3778">
        <v>15000</v>
      </c>
      <c r="M3778">
        <v>247.51914394308201</v>
      </c>
      <c r="N3778">
        <v>60.6551879904573</v>
      </c>
      <c r="O3778">
        <v>60.597406038006902</v>
      </c>
      <c r="P3778">
        <v>-0.92050781118712399</v>
      </c>
      <c r="Q3778">
        <v>9.8568382373577998E-2</v>
      </c>
      <c r="R3778">
        <v>0.88487215548333698</v>
      </c>
      <c r="S3778" t="s">
        <v>9604</v>
      </c>
      <c r="T3778" t="s">
        <v>11650</v>
      </c>
      <c r="U3778" t="s">
        <v>11650</v>
      </c>
      <c r="V3778" t="s">
        <v>11650</v>
      </c>
      <c r="W3778" t="s">
        <v>15374</v>
      </c>
      <c r="X3778">
        <v>1</v>
      </c>
      <c r="Y3778" t="s">
        <v>21053</v>
      </c>
      <c r="Z3778" t="s">
        <v>26840</v>
      </c>
      <c r="AA3778">
        <v>0.71769048919526557</v>
      </c>
      <c r="AB3778" t="str">
        <f>HYPERLINK("Melting_Curves/meltCurve_Q6ZWT7_MBOAT2.pdf", "Melting_Curves/meltCurve_Q6ZWT7_MBOAT2.pdf")</f>
        <v>Melting_Curves/meltCurve_Q6ZWT7_MBOAT2.pdf</v>
      </c>
    </row>
    <row r="3779" spans="1:28" x14ac:dyDescent="0.25">
      <c r="A3779" t="s">
        <v>3783</v>
      </c>
      <c r="B3779">
        <v>0.99996721820229495</v>
      </c>
      <c r="C3779">
        <v>0.51272624344769901</v>
      </c>
      <c r="D3779">
        <v>0.65615881528544195</v>
      </c>
      <c r="E3779">
        <v>0.78862367797571498</v>
      </c>
      <c r="F3779">
        <v>0.45082858552023602</v>
      </c>
      <c r="G3779">
        <v>0.30037950862113499</v>
      </c>
      <c r="H3779">
        <v>0.18053312386466799</v>
      </c>
      <c r="I3779">
        <v>9.6538260462195102E-2</v>
      </c>
      <c r="J3779">
        <v>5.7191182246901499E-2</v>
      </c>
      <c r="K3779">
        <v>5.6268375389902203E-2</v>
      </c>
      <c r="L3779">
        <v>401.56821516890699</v>
      </c>
      <c r="M3779">
        <v>7.89854788846693</v>
      </c>
      <c r="N3779">
        <v>50.840745799334798</v>
      </c>
      <c r="O3779">
        <v>47.8914819403224</v>
      </c>
      <c r="P3779">
        <v>-4.1280392578311897E-2</v>
      </c>
      <c r="Q3779">
        <v>0</v>
      </c>
      <c r="R3779">
        <v>0.81427120808697395</v>
      </c>
      <c r="S3779" t="s">
        <v>9605</v>
      </c>
      <c r="T3779" t="s">
        <v>11650</v>
      </c>
      <c r="U3779" t="s">
        <v>11650</v>
      </c>
      <c r="V3779" t="s">
        <v>11650</v>
      </c>
      <c r="W3779" t="s">
        <v>15375</v>
      </c>
      <c r="X3779">
        <v>7</v>
      </c>
      <c r="Y3779" t="s">
        <v>21054</v>
      </c>
      <c r="Z3779" t="s">
        <v>26841</v>
      </c>
      <c r="AA3779">
        <v>0.41644532820356939</v>
      </c>
      <c r="AB3779" t="str">
        <f>HYPERLINK("Melting_Curves/meltCurve_Q6ZXV5_2_TMTC3.pdf", "Melting_Curves/meltCurve_Q6ZXV5_2_TMTC3.pdf")</f>
        <v>Melting_Curves/meltCurve_Q6ZXV5_2_TMTC3.pdf</v>
      </c>
    </row>
    <row r="3780" spans="1:28" x14ac:dyDescent="0.25">
      <c r="A3780" t="s">
        <v>3784</v>
      </c>
      <c r="B3780">
        <v>0.99996721820229495</v>
      </c>
      <c r="C3780">
        <v>0.8109081783855</v>
      </c>
      <c r="D3780">
        <v>0.708725629229076</v>
      </c>
      <c r="E3780">
        <v>0.98004034194173095</v>
      </c>
      <c r="F3780">
        <v>0.69109638016674402</v>
      </c>
      <c r="G3780">
        <v>0.44189043163591502</v>
      </c>
      <c r="H3780">
        <v>0.26675775663743001</v>
      </c>
      <c r="I3780">
        <v>0.18722712322399701</v>
      </c>
      <c r="J3780">
        <v>0.12921089057994101</v>
      </c>
      <c r="K3780">
        <v>0.15004324340421199</v>
      </c>
      <c r="L3780">
        <v>607.62344565705496</v>
      </c>
      <c r="M3780">
        <v>10.7984035555513</v>
      </c>
      <c r="N3780">
        <v>56.269753380798399</v>
      </c>
      <c r="O3780">
        <v>54.443039809715899</v>
      </c>
      <c r="P3780">
        <v>-4.9603735948207502E-2</v>
      </c>
      <c r="Q3780">
        <v>0</v>
      </c>
      <c r="R3780">
        <v>0.89799620111224698</v>
      </c>
      <c r="S3780" t="s">
        <v>9606</v>
      </c>
      <c r="T3780" t="s">
        <v>11650</v>
      </c>
      <c r="U3780" t="s">
        <v>11650</v>
      </c>
      <c r="V3780" t="s">
        <v>11650</v>
      </c>
      <c r="W3780" t="s">
        <v>15376</v>
      </c>
      <c r="X3780">
        <v>9</v>
      </c>
      <c r="Y3780" t="s">
        <v>21055</v>
      </c>
      <c r="Z3780" t="s">
        <v>26842</v>
      </c>
      <c r="AA3780">
        <v>0.56214336510945662</v>
      </c>
      <c r="AB3780" t="str">
        <f>HYPERLINK("Melting_Curves/meltCurve_Q709C8_3_VPS13C.pdf", "Melting_Curves/meltCurve_Q709C8_3_VPS13C.pdf")</f>
        <v>Melting_Curves/meltCurve_Q709C8_3_VPS13C.pdf</v>
      </c>
    </row>
    <row r="3781" spans="1:28" x14ac:dyDescent="0.25">
      <c r="A3781" t="s">
        <v>3785</v>
      </c>
      <c r="B3781">
        <v>0.99996721820229495</v>
      </c>
      <c r="C3781">
        <v>1.2987452249313201</v>
      </c>
      <c r="D3781">
        <v>1.44716172416292</v>
      </c>
      <c r="E3781">
        <v>1.54885323248578</v>
      </c>
      <c r="F3781">
        <v>1.1411982309200399</v>
      </c>
      <c r="G3781">
        <v>0.75372973107110097</v>
      </c>
      <c r="H3781">
        <v>0.40434592592839802</v>
      </c>
      <c r="I3781">
        <v>0.40637948534788199</v>
      </c>
      <c r="J3781">
        <v>0.243020272267678</v>
      </c>
      <c r="K3781">
        <v>0.238695104481534</v>
      </c>
      <c r="L3781">
        <v>2292.08915261837</v>
      </c>
      <c r="M3781">
        <v>39.334345868443997</v>
      </c>
      <c r="N3781">
        <v>59.569387647885002</v>
      </c>
      <c r="O3781">
        <v>58.121951804315998</v>
      </c>
      <c r="P3781">
        <v>-0.120509392622327</v>
      </c>
      <c r="Q3781">
        <v>0.28772427016587698</v>
      </c>
      <c r="R3781">
        <v>0.72537362826547302</v>
      </c>
      <c r="S3781" t="s">
        <v>9607</v>
      </c>
      <c r="T3781" t="s">
        <v>11650</v>
      </c>
      <c r="U3781" t="s">
        <v>11650</v>
      </c>
      <c r="V3781" t="s">
        <v>11650</v>
      </c>
      <c r="W3781" t="s">
        <v>15377</v>
      </c>
      <c r="X3781">
        <v>2</v>
      </c>
      <c r="Y3781" t="s">
        <v>21056</v>
      </c>
      <c r="Z3781" t="s">
        <v>26843</v>
      </c>
      <c r="AA3781">
        <v>0.72444085294026128</v>
      </c>
      <c r="AB3781" t="str">
        <f>HYPERLINK("Melting_Curves/meltCurve_Q709F0_ACAD11.pdf", "Melting_Curves/meltCurve_Q709F0_ACAD11.pdf")</f>
        <v>Melting_Curves/meltCurve_Q709F0_ACAD11.pdf</v>
      </c>
    </row>
    <row r="3782" spans="1:28" x14ac:dyDescent="0.25">
      <c r="A3782" t="s">
        <v>3786</v>
      </c>
      <c r="B3782">
        <v>0.99996721820229495</v>
      </c>
      <c r="C3782">
        <v>1.12596151459993</v>
      </c>
      <c r="D3782">
        <v>0.94523639676683402</v>
      </c>
      <c r="E3782">
        <v>0.91006914835382502</v>
      </c>
      <c r="F3782">
        <v>1.2609085677546801</v>
      </c>
      <c r="G3782">
        <v>0.92709471178630298</v>
      </c>
      <c r="H3782">
        <v>0.54619965862216102</v>
      </c>
      <c r="I3782">
        <v>0.394910103604594</v>
      </c>
      <c r="J3782">
        <v>0.31690739544611102</v>
      </c>
      <c r="K3782">
        <v>0.26121509754990502</v>
      </c>
      <c r="L3782">
        <v>2372.6068377676302</v>
      </c>
      <c r="M3782">
        <v>39.380754827592</v>
      </c>
      <c r="N3782">
        <v>61.631141390329297</v>
      </c>
      <c r="O3782">
        <v>60.093147031781399</v>
      </c>
      <c r="P3782">
        <v>-0.115762384239985</v>
      </c>
      <c r="Q3782">
        <v>0.29341012634824298</v>
      </c>
      <c r="R3782">
        <v>0.913316876160986</v>
      </c>
      <c r="S3782" t="s">
        <v>9608</v>
      </c>
      <c r="T3782" t="s">
        <v>11650</v>
      </c>
      <c r="U3782" t="s">
        <v>11650</v>
      </c>
      <c r="V3782" t="s">
        <v>11650</v>
      </c>
      <c r="W3782" t="s">
        <v>15378</v>
      </c>
      <c r="X3782">
        <v>17</v>
      </c>
      <c r="Y3782" t="s">
        <v>17741</v>
      </c>
      <c r="Z3782" t="s">
        <v>26844</v>
      </c>
      <c r="AA3782">
        <v>0.77313168858244119</v>
      </c>
      <c r="AB3782" t="str">
        <f>HYPERLINK("Melting_Curves/meltCurve_Q70E73_7_RAPH1.pdf", "Melting_Curves/meltCurve_Q70E73_7_RAPH1.pdf")</f>
        <v>Melting_Curves/meltCurve_Q70E73_7_RAPH1.pdf</v>
      </c>
    </row>
    <row r="3783" spans="1:28" x14ac:dyDescent="0.25">
      <c r="A3783" t="s">
        <v>3787</v>
      </c>
      <c r="B3783">
        <v>0.99996721820229495</v>
      </c>
      <c r="C3783">
        <v>1.02326543194616</v>
      </c>
      <c r="D3783">
        <v>0.858358026735351</v>
      </c>
      <c r="E3783">
        <v>0.28011511814356499</v>
      </c>
      <c r="F3783">
        <v>0.180324920532693</v>
      </c>
      <c r="G3783">
        <v>0.17476876132647501</v>
      </c>
      <c r="H3783">
        <v>0.107011845037927</v>
      </c>
      <c r="I3783">
        <v>6.7826982073223505E-2</v>
      </c>
      <c r="J3783">
        <v>4.9564355234564497E-2</v>
      </c>
      <c r="K3783">
        <v>3.0138320130594701E-2</v>
      </c>
      <c r="L3783">
        <v>1622.96353398018</v>
      </c>
      <c r="M3783">
        <v>33.6486174029286</v>
      </c>
      <c r="N3783">
        <v>48.5206341545938</v>
      </c>
      <c r="O3783">
        <v>48.063280598990097</v>
      </c>
      <c r="P3783">
        <v>-0.15918274537149299</v>
      </c>
      <c r="Q3783">
        <v>9.0504627240639804E-2</v>
      </c>
      <c r="R3783">
        <v>0.98911353921686995</v>
      </c>
      <c r="S3783" t="s">
        <v>9609</v>
      </c>
      <c r="T3783" t="s">
        <v>11650</v>
      </c>
      <c r="U3783" t="s">
        <v>11650</v>
      </c>
      <c r="V3783" t="s">
        <v>11650</v>
      </c>
      <c r="W3783" t="s">
        <v>15379</v>
      </c>
      <c r="X3783">
        <v>3</v>
      </c>
      <c r="Y3783" t="s">
        <v>21057</v>
      </c>
      <c r="Z3783" t="s">
        <v>26845</v>
      </c>
      <c r="AA3783">
        <v>0.34441852565962899</v>
      </c>
      <c r="AB3783" t="str">
        <f>HYPERLINK("Melting_Curves/meltCurve_Q70IA6_MOB2.pdf", "Melting_Curves/meltCurve_Q70IA6_MOB2.pdf")</f>
        <v>Melting_Curves/meltCurve_Q70IA6_MOB2.pdf</v>
      </c>
    </row>
    <row r="3784" spans="1:28" x14ac:dyDescent="0.25">
      <c r="A3784" t="s">
        <v>3788</v>
      </c>
      <c r="B3784">
        <v>0.99996721820229495</v>
      </c>
      <c r="C3784">
        <v>0.80357306347859503</v>
      </c>
      <c r="D3784">
        <v>0.90980076592387205</v>
      </c>
      <c r="E3784">
        <v>0.93820185393430899</v>
      </c>
      <c r="F3784">
        <v>1.0113250719346001</v>
      </c>
      <c r="G3784">
        <v>0.53369894473937496</v>
      </c>
      <c r="H3784">
        <v>0.24141816705303901</v>
      </c>
      <c r="I3784">
        <v>0.110063390517345</v>
      </c>
      <c r="J3784">
        <v>7.07047601273358E-2</v>
      </c>
      <c r="K3784">
        <v>6.0448645516474102E-2</v>
      </c>
      <c r="L3784">
        <v>1787.7455888142499</v>
      </c>
      <c r="M3784">
        <v>31.202679606830699</v>
      </c>
      <c r="N3784">
        <v>57.589393474579403</v>
      </c>
      <c r="O3784">
        <v>57.060825246988799</v>
      </c>
      <c r="P3784">
        <v>-0.12661815431894399</v>
      </c>
      <c r="Q3784">
        <v>7.3810808117310805E-2</v>
      </c>
      <c r="R3784">
        <v>0.96041275155902295</v>
      </c>
      <c r="S3784" t="s">
        <v>9610</v>
      </c>
      <c r="T3784" t="s">
        <v>11650</v>
      </c>
      <c r="U3784" t="s">
        <v>11650</v>
      </c>
      <c r="V3784" t="s">
        <v>11650</v>
      </c>
      <c r="W3784" t="s">
        <v>15380</v>
      </c>
      <c r="X3784">
        <v>21</v>
      </c>
      <c r="Y3784" t="s">
        <v>21058</v>
      </c>
      <c r="Z3784" t="s">
        <v>26846</v>
      </c>
      <c r="AA3784">
        <v>0.61349250018788415</v>
      </c>
      <c r="AB3784" t="str">
        <f>HYPERLINK("Melting_Curves/meltCurve_Q70UQ0_IKBIP.pdf", "Melting_Curves/meltCurve_Q70UQ0_IKBIP.pdf")</f>
        <v>Melting_Curves/meltCurve_Q70UQ0_IKBIP.pdf</v>
      </c>
    </row>
    <row r="3785" spans="1:28" x14ac:dyDescent="0.25">
      <c r="A3785" t="s">
        <v>3789</v>
      </c>
      <c r="B3785">
        <v>0.99996721820229495</v>
      </c>
      <c r="C3785">
        <v>0.87221133583048205</v>
      </c>
      <c r="D3785">
        <v>1.0143980675447899</v>
      </c>
      <c r="E3785">
        <v>1.17029244106831</v>
      </c>
      <c r="F3785">
        <v>1.34639317797832</v>
      </c>
      <c r="G3785">
        <v>1.0168562359475299</v>
      </c>
      <c r="H3785">
        <v>0.50237683570256098</v>
      </c>
      <c r="I3785">
        <v>0.25172679682618299</v>
      </c>
      <c r="J3785">
        <v>0.19331744351941499</v>
      </c>
      <c r="K3785">
        <v>0.17332147549849</v>
      </c>
      <c r="L3785">
        <v>3901.5319413402499</v>
      </c>
      <c r="M3785">
        <v>64.411590154081196</v>
      </c>
      <c r="N3785">
        <v>61.043098919999899</v>
      </c>
      <c r="O3785">
        <v>60.513587240153299</v>
      </c>
      <c r="P3785">
        <v>-0.213977671929928</v>
      </c>
      <c r="Q3785">
        <v>0.19588678846978</v>
      </c>
      <c r="R3785">
        <v>0.90129483518007203</v>
      </c>
      <c r="S3785" t="s">
        <v>9611</v>
      </c>
      <c r="T3785" t="s">
        <v>11650</v>
      </c>
      <c r="U3785" t="s">
        <v>11650</v>
      </c>
      <c r="V3785" t="s">
        <v>11650</v>
      </c>
      <c r="W3785" t="s">
        <v>15381</v>
      </c>
      <c r="X3785">
        <v>23</v>
      </c>
      <c r="Y3785" t="s">
        <v>21058</v>
      </c>
      <c r="Z3785" t="s">
        <v>26847</v>
      </c>
      <c r="AA3785">
        <v>0.74857691833007856</v>
      </c>
      <c r="AB3785" t="str">
        <f>HYPERLINK("Melting_Curves/meltCurve_Q70UQ0_4_IKBIP.pdf", "Melting_Curves/meltCurve_Q70UQ0_4_IKBIP.pdf")</f>
        <v>Melting_Curves/meltCurve_Q70UQ0_4_IKBIP.pdf</v>
      </c>
    </row>
    <row r="3786" spans="1:28" x14ac:dyDescent="0.25">
      <c r="A3786" t="s">
        <v>3790</v>
      </c>
      <c r="B3786">
        <v>0.99996721820229495</v>
      </c>
      <c r="C3786">
        <v>1.06585778563029</v>
      </c>
      <c r="D3786">
        <v>0.90501332773752796</v>
      </c>
      <c r="E3786">
        <v>0.53189015737797796</v>
      </c>
      <c r="F3786">
        <v>0.51300482604922604</v>
      </c>
      <c r="G3786">
        <v>0.42310536339471599</v>
      </c>
      <c r="H3786">
        <v>0.26384185076846001</v>
      </c>
      <c r="I3786">
        <v>0.17975708806749799</v>
      </c>
      <c r="J3786">
        <v>0.13911248757217201</v>
      </c>
      <c r="K3786">
        <v>8.4201331070131405E-2</v>
      </c>
      <c r="L3786">
        <v>618.933921190913</v>
      </c>
      <c r="M3786">
        <v>11.783926093339399</v>
      </c>
      <c r="N3786">
        <v>53.328408179235701</v>
      </c>
      <c r="O3786">
        <v>51.079438408436701</v>
      </c>
      <c r="P3786">
        <v>-5.2989864831889902E-2</v>
      </c>
      <c r="Q3786">
        <v>8.1463183945753206E-2</v>
      </c>
      <c r="R3786">
        <v>0.95942724692049397</v>
      </c>
      <c r="S3786" t="s">
        <v>9612</v>
      </c>
      <c r="T3786" t="s">
        <v>11650</v>
      </c>
      <c r="U3786" t="s">
        <v>11650</v>
      </c>
      <c r="V3786" t="s">
        <v>11650</v>
      </c>
      <c r="W3786" t="s">
        <v>15382</v>
      </c>
      <c r="X3786">
        <v>1</v>
      </c>
      <c r="Y3786" t="s">
        <v>21059</v>
      </c>
      <c r="Z3786" t="s">
        <v>26848</v>
      </c>
      <c r="AA3786">
        <v>0.49260503057033628</v>
      </c>
      <c r="AB3786" t="str">
        <f>HYPERLINK("Melting_Curves/meltCurve_Q70Z53_2_FRA10AC1.pdf", "Melting_Curves/meltCurve_Q70Z53_2_FRA10AC1.pdf")</f>
        <v>Melting_Curves/meltCurve_Q70Z53_2_FRA10AC1.pdf</v>
      </c>
    </row>
    <row r="3787" spans="1:28" x14ac:dyDescent="0.25">
      <c r="A3787" t="s">
        <v>3791</v>
      </c>
      <c r="B3787">
        <v>0.99996721820229495</v>
      </c>
      <c r="C3787">
        <v>1.27742407135332</v>
      </c>
      <c r="D3787">
        <v>1.23361794168823</v>
      </c>
      <c r="E3787">
        <v>1.1400380833645101</v>
      </c>
      <c r="F3787">
        <v>1.1306176783558299</v>
      </c>
      <c r="G3787">
        <v>0.755232068937991</v>
      </c>
      <c r="H3787">
        <v>0.382850153619954</v>
      </c>
      <c r="I3787">
        <v>0.23876122600789801</v>
      </c>
      <c r="J3787">
        <v>0.14843472661696</v>
      </c>
      <c r="K3787">
        <v>0.10856574093028</v>
      </c>
      <c r="L3787">
        <v>1864.9185315237701</v>
      </c>
      <c r="M3787">
        <v>31.505048390707302</v>
      </c>
      <c r="N3787">
        <v>59.764132468823597</v>
      </c>
      <c r="O3787">
        <v>58.957317470580399</v>
      </c>
      <c r="P3787">
        <v>-0.11626108313631101</v>
      </c>
      <c r="Q3787">
        <v>0.129738880914161</v>
      </c>
      <c r="R3787">
        <v>0.91221115757649895</v>
      </c>
      <c r="S3787" t="s">
        <v>9613</v>
      </c>
      <c r="T3787" t="s">
        <v>11650</v>
      </c>
      <c r="U3787" t="s">
        <v>11650</v>
      </c>
      <c r="V3787" t="s">
        <v>11650</v>
      </c>
      <c r="W3787" t="s">
        <v>15383</v>
      </c>
      <c r="X3787">
        <v>4</v>
      </c>
      <c r="Y3787" t="s">
        <v>21060</v>
      </c>
      <c r="Z3787" t="s">
        <v>26849</v>
      </c>
      <c r="AA3787">
        <v>0.69167682159757837</v>
      </c>
      <c r="AB3787" t="str">
        <f>HYPERLINK("Melting_Curves/meltCurve_Q712K3_UBE2R2.pdf", "Melting_Curves/meltCurve_Q712K3_UBE2R2.pdf")</f>
        <v>Melting_Curves/meltCurve_Q712K3_UBE2R2.pdf</v>
      </c>
    </row>
    <row r="3788" spans="1:28" x14ac:dyDescent="0.25">
      <c r="A3788" t="s">
        <v>3792</v>
      </c>
      <c r="B3788">
        <v>0.99996721820229495</v>
      </c>
      <c r="C3788">
        <v>0.76831996791441004</v>
      </c>
      <c r="D3788">
        <v>0.82369661428936103</v>
      </c>
      <c r="E3788">
        <v>0.62508910792788097</v>
      </c>
      <c r="F3788">
        <v>0.49754118118096302</v>
      </c>
      <c r="G3788">
        <v>0.35950317568680901</v>
      </c>
      <c r="H3788">
        <v>0.217299394125192</v>
      </c>
      <c r="I3788">
        <v>0.13778800943945099</v>
      </c>
      <c r="J3788">
        <v>4.6382463429162302E-2</v>
      </c>
      <c r="K3788">
        <v>3.7008705597170198E-2</v>
      </c>
      <c r="L3788">
        <v>509.98213725625999</v>
      </c>
      <c r="M3788">
        <v>9.7091590050175203</v>
      </c>
      <c r="N3788">
        <v>52.525878629660298</v>
      </c>
      <c r="O3788">
        <v>50.4428957414666</v>
      </c>
      <c r="P3788">
        <v>-4.8145755393572798E-2</v>
      </c>
      <c r="Q3788">
        <v>0</v>
      </c>
      <c r="R3788">
        <v>0.97391848228053401</v>
      </c>
      <c r="S3788" t="s">
        <v>9614</v>
      </c>
      <c r="T3788" t="s">
        <v>11650</v>
      </c>
      <c r="U3788" t="s">
        <v>11650</v>
      </c>
      <c r="V3788" t="s">
        <v>11650</v>
      </c>
      <c r="W3788" t="s">
        <v>15384</v>
      </c>
      <c r="X3788">
        <v>2</v>
      </c>
      <c r="Y3788" t="s">
        <v>21061</v>
      </c>
      <c r="Z3788" t="s">
        <v>26850</v>
      </c>
      <c r="AA3788">
        <v>0.45459521806551523</v>
      </c>
      <c r="AB3788" t="str">
        <f>HYPERLINK("Melting_Curves/meltCurve_Q71TU5_CSNK1A1.pdf", "Melting_Curves/meltCurve_Q71TU5_CSNK1A1.pdf")</f>
        <v>Melting_Curves/meltCurve_Q71TU5_CSNK1A1.pdf</v>
      </c>
    </row>
    <row r="3789" spans="1:28" x14ac:dyDescent="0.25">
      <c r="A3789" t="s">
        <v>3793</v>
      </c>
      <c r="B3789">
        <v>0.99996721820229495</v>
      </c>
      <c r="C3789">
        <v>0.86331165952490696</v>
      </c>
      <c r="D3789">
        <v>0.85015239553705801</v>
      </c>
      <c r="E3789">
        <v>0.99226543436585402</v>
      </c>
      <c r="F3789">
        <v>1.02330504438998</v>
      </c>
      <c r="G3789">
        <v>0.64847127878136002</v>
      </c>
      <c r="H3789">
        <v>0.28616883965394402</v>
      </c>
      <c r="I3789">
        <v>0.18779388516148501</v>
      </c>
      <c r="J3789">
        <v>0.13649191329003699</v>
      </c>
      <c r="K3789">
        <v>0.124363599249056</v>
      </c>
      <c r="L3789">
        <v>1923.39722433098</v>
      </c>
      <c r="M3789">
        <v>33.255654604078401</v>
      </c>
      <c r="N3789">
        <v>58.400937015299299</v>
      </c>
      <c r="O3789">
        <v>57.628767901076102</v>
      </c>
      <c r="P3789">
        <v>-0.124445973745492</v>
      </c>
      <c r="Q3789">
        <v>0.13739342371065499</v>
      </c>
      <c r="R3789">
        <v>0.96513897163864903</v>
      </c>
      <c r="S3789" t="s">
        <v>9615</v>
      </c>
      <c r="T3789" t="s">
        <v>11650</v>
      </c>
      <c r="U3789" t="s">
        <v>11650</v>
      </c>
      <c r="V3789" t="s">
        <v>11650</v>
      </c>
      <c r="W3789" t="s">
        <v>15385</v>
      </c>
      <c r="X3789">
        <v>6</v>
      </c>
      <c r="Y3789" t="s">
        <v>21062</v>
      </c>
      <c r="Z3789" t="s">
        <v>26851</v>
      </c>
      <c r="AA3789">
        <v>0.65502766123653156</v>
      </c>
      <c r="AB3789" t="str">
        <f>HYPERLINK("Melting_Curves/meltCurve_Q765P7_MTSS1L.pdf", "Melting_Curves/meltCurve_Q765P7_MTSS1L.pdf")</f>
        <v>Melting_Curves/meltCurve_Q765P7_MTSS1L.pdf</v>
      </c>
    </row>
    <row r="3790" spans="1:28" x14ac:dyDescent="0.25">
      <c r="A3790" t="s">
        <v>3794</v>
      </c>
      <c r="B3790">
        <v>0.99996721820229495</v>
      </c>
      <c r="C3790">
        <v>0.98360626595930201</v>
      </c>
      <c r="D3790">
        <v>0.86232249444197095</v>
      </c>
      <c r="E3790">
        <v>0.81911323693527904</v>
      </c>
      <c r="F3790">
        <v>0.811297759979834</v>
      </c>
      <c r="G3790">
        <v>0.66683397593666305</v>
      </c>
      <c r="H3790">
        <v>0.47638821211495003</v>
      </c>
      <c r="I3790">
        <v>0.33350434521386202</v>
      </c>
      <c r="J3790">
        <v>0.29590274259678501</v>
      </c>
      <c r="K3790">
        <v>0.240611785833165</v>
      </c>
      <c r="L3790">
        <v>521.48341403728705</v>
      </c>
      <c r="M3790">
        <v>8.64382274274314</v>
      </c>
      <c r="N3790">
        <v>60.330181778092197</v>
      </c>
      <c r="O3790">
        <v>57.361808479681798</v>
      </c>
      <c r="P3790">
        <v>-3.7704236602981701E-2</v>
      </c>
      <c r="Q3790">
        <v>0</v>
      </c>
      <c r="R3790">
        <v>0.98272521116852796</v>
      </c>
      <c r="S3790" t="s">
        <v>9616</v>
      </c>
      <c r="T3790" t="s">
        <v>11650</v>
      </c>
      <c r="U3790" t="s">
        <v>11650</v>
      </c>
      <c r="V3790" t="s">
        <v>11650</v>
      </c>
      <c r="W3790" t="s">
        <v>15386</v>
      </c>
      <c r="X3790">
        <v>8</v>
      </c>
      <c r="Y3790" t="s">
        <v>21063</v>
      </c>
      <c r="Z3790" t="s">
        <v>26852</v>
      </c>
      <c r="AA3790">
        <v>0.66371829038183605</v>
      </c>
      <c r="AB3790" t="str">
        <f>HYPERLINK("Melting_Curves/meltCurve_Q76M96_CCDC80.pdf", "Melting_Curves/meltCurve_Q76M96_CCDC80.pdf")</f>
        <v>Melting_Curves/meltCurve_Q76M96_CCDC80.pdf</v>
      </c>
    </row>
    <row r="3791" spans="1:28" x14ac:dyDescent="0.25">
      <c r="A3791" t="s">
        <v>3795</v>
      </c>
      <c r="B3791">
        <v>0.99996721820229495</v>
      </c>
      <c r="C3791">
        <v>0.79068180184443904</v>
      </c>
      <c r="D3791">
        <v>0.93541519585741695</v>
      </c>
      <c r="E3791">
        <v>1.14328216223135</v>
      </c>
      <c r="F3791">
        <v>1.26343006265767</v>
      </c>
      <c r="G3791">
        <v>0.61754481931153504</v>
      </c>
      <c r="H3791">
        <v>0.33709480913976497</v>
      </c>
      <c r="I3791">
        <v>0.25569493439861601</v>
      </c>
      <c r="J3791">
        <v>0.20024899519818901</v>
      </c>
      <c r="K3791">
        <v>0.140296754282699</v>
      </c>
      <c r="L3791">
        <v>6095.1412945683496</v>
      </c>
      <c r="M3791">
        <v>106.92336760755001</v>
      </c>
      <c r="N3791">
        <v>57.341333544863502</v>
      </c>
      <c r="O3791">
        <v>56.984850506205802</v>
      </c>
      <c r="P3791">
        <v>-0.35975836125694</v>
      </c>
      <c r="Q3791">
        <v>0.23306686256553999</v>
      </c>
      <c r="R3791">
        <v>0.89790599542893601</v>
      </c>
      <c r="S3791" t="s">
        <v>9617</v>
      </c>
      <c r="T3791" t="s">
        <v>11650</v>
      </c>
      <c r="U3791" t="s">
        <v>11650</v>
      </c>
      <c r="V3791" t="s">
        <v>11650</v>
      </c>
      <c r="W3791" t="s">
        <v>15387</v>
      </c>
      <c r="X3791">
        <v>9</v>
      </c>
      <c r="Y3791" t="s">
        <v>21064</v>
      </c>
      <c r="Z3791" t="s">
        <v>26853</v>
      </c>
      <c r="AA3791">
        <v>0.66820394807356642</v>
      </c>
      <c r="AB3791" t="str">
        <f>HYPERLINK("Melting_Curves/meltCurve_Q7KYR7_5_BTN2A1.pdf", "Melting_Curves/meltCurve_Q7KYR7_5_BTN2A1.pdf")</f>
        <v>Melting_Curves/meltCurve_Q7KYR7_5_BTN2A1.pdf</v>
      </c>
    </row>
    <row r="3792" spans="1:28" x14ac:dyDescent="0.25">
      <c r="A3792" t="s">
        <v>3796</v>
      </c>
      <c r="B3792">
        <v>0.99996721820229495</v>
      </c>
      <c r="C3792">
        <v>0.87141000957371395</v>
      </c>
      <c r="D3792">
        <v>0.94358937066524196</v>
      </c>
      <c r="E3792">
        <v>0.71702981133561705</v>
      </c>
      <c r="F3792">
        <v>0.43418510240352098</v>
      </c>
      <c r="G3792">
        <v>0.33313379188848202</v>
      </c>
      <c r="H3792">
        <v>0.22085164902104201</v>
      </c>
      <c r="I3792">
        <v>0.164948308197257</v>
      </c>
      <c r="J3792">
        <v>0.12872033565614499</v>
      </c>
      <c r="K3792">
        <v>0.13022154613544701</v>
      </c>
      <c r="L3792">
        <v>784.66498673606202</v>
      </c>
      <c r="M3792">
        <v>15.088569231229499</v>
      </c>
      <c r="N3792">
        <v>52.928988444617197</v>
      </c>
      <c r="O3792">
        <v>51.116127515355501</v>
      </c>
      <c r="P3792">
        <v>-6.5249084154489406E-2</v>
      </c>
      <c r="Q3792">
        <v>0.11589993235417401</v>
      </c>
      <c r="R3792">
        <v>0.98416347947287097</v>
      </c>
      <c r="S3792" t="s">
        <v>9618</v>
      </c>
      <c r="T3792" t="s">
        <v>11650</v>
      </c>
      <c r="U3792" t="s">
        <v>11650</v>
      </c>
      <c r="V3792" t="s">
        <v>11650</v>
      </c>
      <c r="W3792" t="s">
        <v>15388</v>
      </c>
      <c r="X3792">
        <v>12</v>
      </c>
      <c r="Y3792" t="s">
        <v>21065</v>
      </c>
      <c r="Z3792" t="s">
        <v>26854</v>
      </c>
      <c r="AA3792">
        <v>0.48924139887960671</v>
      </c>
      <c r="AB3792" t="str">
        <f>HYPERLINK("Melting_Curves/meltCurve_Q7KZ85_SUPT6H.pdf", "Melting_Curves/meltCurve_Q7KZ85_SUPT6H.pdf")</f>
        <v>Melting_Curves/meltCurve_Q7KZ85_SUPT6H.pdf</v>
      </c>
    </row>
    <row r="3793" spans="1:28" x14ac:dyDescent="0.25">
      <c r="A3793" t="s">
        <v>3797</v>
      </c>
      <c r="B3793">
        <v>0.99996721820229495</v>
      </c>
      <c r="C3793">
        <v>0.97330461228590404</v>
      </c>
      <c r="D3793">
        <v>0.45177674332151302</v>
      </c>
      <c r="E3793">
        <v>0.215277303792587</v>
      </c>
      <c r="F3793">
        <v>0.21520114018151901</v>
      </c>
      <c r="G3793">
        <v>0.17437308491890399</v>
      </c>
      <c r="H3793">
        <v>0.11764863964231601</v>
      </c>
      <c r="I3793">
        <v>7.8355498707659801E-2</v>
      </c>
      <c r="J3793">
        <v>5.9652896113260301E-2</v>
      </c>
      <c r="K3793">
        <v>4.5904887779445999E-2</v>
      </c>
      <c r="L3793">
        <v>1957.4877036095399</v>
      </c>
      <c r="M3793">
        <v>42.9973077929887</v>
      </c>
      <c r="N3793">
        <v>45.833269292066397</v>
      </c>
      <c r="O3793">
        <v>45.427674635582903</v>
      </c>
      <c r="P3793">
        <v>-0.20698136701401601</v>
      </c>
      <c r="Q3793">
        <v>0.12527849009546899</v>
      </c>
      <c r="R3793">
        <v>0.97529546893013896</v>
      </c>
      <c r="S3793" t="s">
        <v>9619</v>
      </c>
      <c r="T3793" t="s">
        <v>11650</v>
      </c>
      <c r="U3793" t="s">
        <v>11650</v>
      </c>
      <c r="V3793" t="s">
        <v>11650</v>
      </c>
      <c r="W3793" t="s">
        <v>15389</v>
      </c>
      <c r="X3793">
        <v>52</v>
      </c>
      <c r="Y3793" t="s">
        <v>21066</v>
      </c>
      <c r="Z3793" t="s">
        <v>26855</v>
      </c>
      <c r="AA3793">
        <v>0.28883724595850668</v>
      </c>
      <c r="AB3793" t="str">
        <f>HYPERLINK("Melting_Curves/meltCurve_Q7KZF4_SND1.pdf", "Melting_Curves/meltCurve_Q7KZF4_SND1.pdf")</f>
        <v>Melting_Curves/meltCurve_Q7KZF4_SND1.pdf</v>
      </c>
    </row>
    <row r="3794" spans="1:28" x14ac:dyDescent="0.25">
      <c r="A3794" t="s">
        <v>3798</v>
      </c>
      <c r="B3794">
        <v>0.99996721820229495</v>
      </c>
      <c r="C3794">
        <v>0.962839104431227</v>
      </c>
      <c r="D3794">
        <v>0.75795380556768099</v>
      </c>
      <c r="E3794">
        <v>0.33743207466781899</v>
      </c>
      <c r="F3794">
        <v>0.38017716855134198</v>
      </c>
      <c r="G3794">
        <v>0.37404535196334299</v>
      </c>
      <c r="H3794">
        <v>0.223023166829736</v>
      </c>
      <c r="I3794">
        <v>0.17414153353742401</v>
      </c>
      <c r="J3794">
        <v>0.13160856536256901</v>
      </c>
      <c r="K3794">
        <v>0.10617468619631</v>
      </c>
      <c r="L3794">
        <v>826.12414006821302</v>
      </c>
      <c r="M3794">
        <v>17.185772807477399</v>
      </c>
      <c r="N3794">
        <v>49.336652033835399</v>
      </c>
      <c r="O3794">
        <v>47.4335324539312</v>
      </c>
      <c r="P3794">
        <v>-7.4427992042088997E-2</v>
      </c>
      <c r="Q3794">
        <v>0.17834976517297799</v>
      </c>
      <c r="R3794">
        <v>0.94911541968449697</v>
      </c>
      <c r="S3794" t="s">
        <v>9620</v>
      </c>
      <c r="T3794" t="s">
        <v>11650</v>
      </c>
      <c r="U3794" t="s">
        <v>11650</v>
      </c>
      <c r="V3794" t="s">
        <v>11650</v>
      </c>
      <c r="W3794" t="s">
        <v>15390</v>
      </c>
      <c r="X3794">
        <v>14</v>
      </c>
      <c r="Y3794" t="s">
        <v>21067</v>
      </c>
      <c r="Z3794" t="s">
        <v>26856</v>
      </c>
      <c r="AA3794">
        <v>0.41539189873680948</v>
      </c>
      <c r="AB3794" t="str">
        <f>HYPERLINK("Melting_Curves/meltCurve_Q7L014_DDX46.pdf", "Melting_Curves/meltCurve_Q7L014_DDX46.pdf")</f>
        <v>Melting_Curves/meltCurve_Q7L014_DDX46.pdf</v>
      </c>
    </row>
    <row r="3795" spans="1:28" x14ac:dyDescent="0.25">
      <c r="A3795" t="s">
        <v>3799</v>
      </c>
      <c r="B3795">
        <v>0.99996721820229495</v>
      </c>
      <c r="C3795">
        <v>1.1152483895857399</v>
      </c>
      <c r="D3795">
        <v>1.2438152328537</v>
      </c>
      <c r="E3795">
        <v>0.94701039544620302</v>
      </c>
      <c r="F3795">
        <v>0.57816802889417995</v>
      </c>
      <c r="G3795">
        <v>0.66526333012475403</v>
      </c>
      <c r="H3795">
        <v>0.40675447947097498</v>
      </c>
      <c r="I3795">
        <v>0.216055044532109</v>
      </c>
      <c r="J3795">
        <v>0.208475541748145</v>
      </c>
      <c r="K3795">
        <v>0.13955085278627199</v>
      </c>
      <c r="L3795">
        <v>811.06465486214904</v>
      </c>
      <c r="M3795">
        <v>14.088618639817099</v>
      </c>
      <c r="N3795">
        <v>58.3111112766586</v>
      </c>
      <c r="O3795">
        <v>56.446163057809798</v>
      </c>
      <c r="P3795">
        <v>-5.72831553203366E-2</v>
      </c>
      <c r="Q3795">
        <v>8.2096832797427105E-2</v>
      </c>
      <c r="R3795">
        <v>0.90127991755035997</v>
      </c>
      <c r="S3795" t="s">
        <v>9621</v>
      </c>
      <c r="T3795" t="s">
        <v>11650</v>
      </c>
      <c r="U3795" t="s">
        <v>11650</v>
      </c>
      <c r="V3795" t="s">
        <v>11650</v>
      </c>
      <c r="W3795" t="s">
        <v>15391</v>
      </c>
      <c r="X3795">
        <v>19</v>
      </c>
      <c r="Y3795" t="s">
        <v>21068</v>
      </c>
      <c r="Z3795" t="s">
        <v>26857</v>
      </c>
      <c r="AA3795">
        <v>0.63320746805693962</v>
      </c>
      <c r="AB3795" t="str">
        <f>HYPERLINK("Melting_Curves/meltCurve_Q7L099_3_RUFY3.pdf", "Melting_Curves/meltCurve_Q7L099_3_RUFY3.pdf")</f>
        <v>Melting_Curves/meltCurve_Q7L099_3_RUFY3.pdf</v>
      </c>
    </row>
    <row r="3796" spans="1:28" x14ac:dyDescent="0.25">
      <c r="A3796" t="s">
        <v>3800</v>
      </c>
      <c r="B3796">
        <v>0.99996721820229495</v>
      </c>
      <c r="C3796">
        <v>0.81595891791331099</v>
      </c>
      <c r="D3796">
        <v>0.95016389490735997</v>
      </c>
      <c r="E3796">
        <v>1.2739356878691199</v>
      </c>
      <c r="F3796">
        <v>1.52308708652382</v>
      </c>
      <c r="G3796">
        <v>1.7293562834037901</v>
      </c>
      <c r="H3796">
        <v>1.3500002310066599</v>
      </c>
      <c r="I3796">
        <v>0.82510553089693695</v>
      </c>
      <c r="J3796">
        <v>0.40093601605537599</v>
      </c>
      <c r="K3796">
        <v>0.47345496361609701</v>
      </c>
      <c r="L3796">
        <v>15000</v>
      </c>
      <c r="M3796">
        <v>233.578396850876</v>
      </c>
      <c r="N3796">
        <v>64.793685174746003</v>
      </c>
      <c r="O3796">
        <v>64.213555124180502</v>
      </c>
      <c r="P3796">
        <v>-0.51181735981206</v>
      </c>
      <c r="Q3796">
        <v>0.437180575965887</v>
      </c>
      <c r="R3796">
        <v>0.38500352121471099</v>
      </c>
      <c r="S3796" t="s">
        <v>9622</v>
      </c>
      <c r="T3796" t="s">
        <v>11650</v>
      </c>
      <c r="U3796" t="s">
        <v>11650</v>
      </c>
      <c r="V3796" t="s">
        <v>11650</v>
      </c>
      <c r="W3796" t="s">
        <v>15392</v>
      </c>
      <c r="X3796">
        <v>4</v>
      </c>
      <c r="Y3796" t="s">
        <v>21069</v>
      </c>
      <c r="Z3796" t="s">
        <v>26858</v>
      </c>
      <c r="AA3796">
        <v>0.8916036228238583</v>
      </c>
      <c r="AB3796" t="str">
        <f>HYPERLINK("Melting_Curves/meltCurve_Q7L0J3_2_SV2A.pdf", "Melting_Curves/meltCurve_Q7L0J3_2_SV2A.pdf")</f>
        <v>Melting_Curves/meltCurve_Q7L0J3_2_SV2A.pdf</v>
      </c>
    </row>
    <row r="3797" spans="1:28" x14ac:dyDescent="0.25">
      <c r="A3797" t="s">
        <v>3801</v>
      </c>
      <c r="B3797">
        <v>0.99996721820229495</v>
      </c>
      <c r="C3797">
        <v>1.0439485901727801</v>
      </c>
      <c r="D3797">
        <v>1.1717257900743601</v>
      </c>
      <c r="E3797">
        <v>1.4161101861819101</v>
      </c>
      <c r="F3797">
        <v>0.65046288195931601</v>
      </c>
      <c r="G3797">
        <v>0.67668757507087596</v>
      </c>
      <c r="H3797">
        <v>0.37314570119504598</v>
      </c>
      <c r="I3797">
        <v>0.25375047311469601</v>
      </c>
      <c r="J3797">
        <v>0.212537867591054</v>
      </c>
      <c r="K3797">
        <v>0.17534677146984501</v>
      </c>
      <c r="L3797">
        <v>1278.1157511225399</v>
      </c>
      <c r="M3797">
        <v>22.189566515562401</v>
      </c>
      <c r="N3797">
        <v>58.733930454429199</v>
      </c>
      <c r="O3797">
        <v>57.138171034570497</v>
      </c>
      <c r="P3797">
        <v>-8.0172374411274699E-2</v>
      </c>
      <c r="Q3797">
        <v>0.17424201704189299</v>
      </c>
      <c r="R3797">
        <v>0.83510413033894404</v>
      </c>
      <c r="S3797" t="s">
        <v>9623</v>
      </c>
      <c r="T3797" t="s">
        <v>11650</v>
      </c>
      <c r="U3797" t="s">
        <v>11650</v>
      </c>
      <c r="V3797" t="s">
        <v>11650</v>
      </c>
      <c r="W3797" t="s">
        <v>15393</v>
      </c>
      <c r="X3797">
        <v>8</v>
      </c>
      <c r="Y3797" t="s">
        <v>21070</v>
      </c>
      <c r="Z3797" t="s">
        <v>26859</v>
      </c>
      <c r="AA3797">
        <v>0.66727083620657501</v>
      </c>
      <c r="AB3797" t="str">
        <f>HYPERLINK("Melting_Curves/meltCurve_Q7L0Y3_TRMT10C.pdf", "Melting_Curves/meltCurve_Q7L0Y3_TRMT10C.pdf")</f>
        <v>Melting_Curves/meltCurve_Q7L0Y3_TRMT10C.pdf</v>
      </c>
    </row>
    <row r="3798" spans="1:28" x14ac:dyDescent="0.25">
      <c r="A3798" t="s">
        <v>3802</v>
      </c>
      <c r="B3798">
        <v>0.99996721820229495</v>
      </c>
      <c r="C3798">
        <v>0.94825869839707499</v>
      </c>
      <c r="D3798">
        <v>0.864774430800203</v>
      </c>
      <c r="E3798">
        <v>0.34839781573661999</v>
      </c>
      <c r="F3798">
        <v>0.19649603696600401</v>
      </c>
      <c r="G3798">
        <v>0.155174806503556</v>
      </c>
      <c r="H3798">
        <v>9.6350954195328395E-2</v>
      </c>
      <c r="I3798">
        <v>6.4686284571927405E-2</v>
      </c>
      <c r="J3798">
        <v>5.2692390059465598E-2</v>
      </c>
      <c r="K3798">
        <v>4.1066702467176003E-2</v>
      </c>
      <c r="L3798">
        <v>1285.66954370143</v>
      </c>
      <c r="M3798">
        <v>26.4272694532118</v>
      </c>
      <c r="N3798">
        <v>48.961625410984702</v>
      </c>
      <c r="O3798">
        <v>48.373328029261202</v>
      </c>
      <c r="P3798">
        <v>-0.125988522812538</v>
      </c>
      <c r="Q3798">
        <v>7.7555671521399694E-2</v>
      </c>
      <c r="R3798">
        <v>0.99363348593545398</v>
      </c>
      <c r="S3798" t="s">
        <v>9624</v>
      </c>
      <c r="T3798" t="s">
        <v>11650</v>
      </c>
      <c r="U3798" t="s">
        <v>11650</v>
      </c>
      <c r="V3798" t="s">
        <v>11650</v>
      </c>
      <c r="W3798" t="s">
        <v>15394</v>
      </c>
      <c r="X3798">
        <v>24</v>
      </c>
      <c r="Y3798" t="s">
        <v>21071</v>
      </c>
      <c r="Z3798" t="s">
        <v>26860</v>
      </c>
      <c r="AA3798">
        <v>0.35077678576748328</v>
      </c>
      <c r="AB3798" t="str">
        <f>HYPERLINK("Melting_Curves/meltCurve_Q7L1Q6_BZW1.pdf", "Melting_Curves/meltCurve_Q7L1Q6_BZW1.pdf")</f>
        <v>Melting_Curves/meltCurve_Q7L1Q6_BZW1.pdf</v>
      </c>
    </row>
    <row r="3799" spans="1:28" x14ac:dyDescent="0.25">
      <c r="A3799" t="s">
        <v>3803</v>
      </c>
      <c r="B3799">
        <v>0.99996721820229495</v>
      </c>
      <c r="C3799">
        <v>1.0118628472072899</v>
      </c>
      <c r="D3799">
        <v>0.99404477240445499</v>
      </c>
      <c r="E3799">
        <v>1.0256275393680001</v>
      </c>
      <c r="F3799">
        <v>1.1689088899425699</v>
      </c>
      <c r="G3799">
        <v>0.89932386069854098</v>
      </c>
      <c r="H3799">
        <v>0.56119282220789102</v>
      </c>
      <c r="I3799">
        <v>0.29851536584933103</v>
      </c>
      <c r="J3799">
        <v>0.195188006885258</v>
      </c>
      <c r="K3799">
        <v>0.18379759246004701</v>
      </c>
      <c r="L3799">
        <v>2123.8974032023498</v>
      </c>
      <c r="M3799">
        <v>34.952736211446499</v>
      </c>
      <c r="N3799">
        <v>61.509411527435603</v>
      </c>
      <c r="O3799">
        <v>60.5669657893514</v>
      </c>
      <c r="P3799">
        <v>-0.119387202214151</v>
      </c>
      <c r="Q3799">
        <v>0.17249455016229101</v>
      </c>
      <c r="R3799">
        <v>0.97604660399162002</v>
      </c>
      <c r="S3799" t="s">
        <v>9625</v>
      </c>
      <c r="T3799" t="s">
        <v>11650</v>
      </c>
      <c r="U3799" t="s">
        <v>11650</v>
      </c>
      <c r="V3799" t="s">
        <v>11650</v>
      </c>
      <c r="W3799" t="s">
        <v>15395</v>
      </c>
      <c r="X3799">
        <v>2</v>
      </c>
      <c r="Y3799" t="s">
        <v>21072</v>
      </c>
      <c r="Z3799" t="s">
        <v>26861</v>
      </c>
      <c r="AA3799">
        <v>0.74915208349203255</v>
      </c>
      <c r="AB3799" t="str">
        <f>HYPERLINK("Melting_Curves/meltCurve_Q7L1W4_LRRC8D.pdf", "Melting_Curves/meltCurve_Q7L1W4_LRRC8D.pdf")</f>
        <v>Melting_Curves/meltCurve_Q7L1W4_LRRC8D.pdf</v>
      </c>
    </row>
    <row r="3800" spans="1:28" x14ac:dyDescent="0.25">
      <c r="A3800" t="s">
        <v>3804</v>
      </c>
      <c r="B3800">
        <v>0.99996721820229495</v>
      </c>
      <c r="C3800">
        <v>0.68889362597613601</v>
      </c>
      <c r="D3800">
        <v>0.55837732191990996</v>
      </c>
      <c r="E3800">
        <v>1.1819000819616501</v>
      </c>
      <c r="F3800">
        <v>1.13889001089527</v>
      </c>
      <c r="G3800">
        <v>0.50535013799995498</v>
      </c>
      <c r="H3800">
        <v>0.36808352015951601</v>
      </c>
      <c r="I3800">
        <v>0.39339382334082201</v>
      </c>
      <c r="J3800">
        <v>0.174566307785089</v>
      </c>
      <c r="K3800">
        <v>0.27499217396067999</v>
      </c>
      <c r="L3800">
        <v>14199.118385994299</v>
      </c>
      <c r="M3800">
        <v>250</v>
      </c>
      <c r="N3800">
        <v>57.008567550680297</v>
      </c>
      <c r="O3800">
        <v>56.792819697863301</v>
      </c>
      <c r="P3800">
        <v>-0.76730740450402402</v>
      </c>
      <c r="Q3800">
        <v>0.30275894602228198</v>
      </c>
      <c r="R3800">
        <v>0.68384281500139199</v>
      </c>
      <c r="S3800" t="s">
        <v>9626</v>
      </c>
      <c r="T3800" t="s">
        <v>11650</v>
      </c>
      <c r="U3800" t="s">
        <v>11650</v>
      </c>
      <c r="V3800" t="s">
        <v>11650</v>
      </c>
      <c r="W3800" t="s">
        <v>15396</v>
      </c>
      <c r="X3800">
        <v>2</v>
      </c>
      <c r="Y3800" t="s">
        <v>21073</v>
      </c>
      <c r="Z3800" t="s">
        <v>26862</v>
      </c>
      <c r="AA3800">
        <v>0.6932014754317225</v>
      </c>
      <c r="AB3800" t="str">
        <f>HYPERLINK("Melting_Curves/meltCurve_Q7L211_ABHD13.pdf", "Melting_Curves/meltCurve_Q7L211_ABHD13.pdf")</f>
        <v>Melting_Curves/meltCurve_Q7L211_ABHD13.pdf</v>
      </c>
    </row>
    <row r="3801" spans="1:28" x14ac:dyDescent="0.25">
      <c r="A3801" t="s">
        <v>3805</v>
      </c>
      <c r="B3801">
        <v>0.99996721820229495</v>
      </c>
      <c r="C3801">
        <v>1.11778607051719</v>
      </c>
      <c r="D3801">
        <v>1.2944791561509501</v>
      </c>
      <c r="E3801">
        <v>1.37831365311465</v>
      </c>
      <c r="F3801">
        <v>0.48152220300425902</v>
      </c>
      <c r="G3801">
        <v>0.40339892649579001</v>
      </c>
      <c r="H3801">
        <v>0.21312802924111801</v>
      </c>
      <c r="I3801">
        <v>0.130890696728754</v>
      </c>
      <c r="J3801">
        <v>9.3947758514395505E-2</v>
      </c>
      <c r="K3801">
        <v>7.1211509776400894E-2</v>
      </c>
      <c r="L3801">
        <v>13220.8274495896</v>
      </c>
      <c r="M3801">
        <v>250</v>
      </c>
      <c r="N3801">
        <v>52.979560281007899</v>
      </c>
      <c r="O3801">
        <v>52.879925685872102</v>
      </c>
      <c r="P3801">
        <v>-0.96620396557071997</v>
      </c>
      <c r="Q3801">
        <v>0.18251529966989299</v>
      </c>
      <c r="R3801">
        <v>0.87197311186051496</v>
      </c>
      <c r="S3801" t="s">
        <v>9627</v>
      </c>
      <c r="T3801" t="s">
        <v>11650</v>
      </c>
      <c r="U3801" t="s">
        <v>11650</v>
      </c>
      <c r="V3801" t="s">
        <v>11650</v>
      </c>
      <c r="W3801" t="s">
        <v>15397</v>
      </c>
      <c r="X3801">
        <v>9</v>
      </c>
      <c r="Y3801" t="s">
        <v>21074</v>
      </c>
      <c r="Z3801" t="s">
        <v>26863</v>
      </c>
      <c r="AA3801">
        <v>0.53365479158174045</v>
      </c>
      <c r="AB3801" t="str">
        <f>HYPERLINK("Melting_Curves/meltCurve_Q7L2H7_EIF3M.pdf", "Melting_Curves/meltCurve_Q7L2H7_EIF3M.pdf")</f>
        <v>Melting_Curves/meltCurve_Q7L2H7_EIF3M.pdf</v>
      </c>
    </row>
    <row r="3802" spans="1:28" x14ac:dyDescent="0.25">
      <c r="A3802" t="s">
        <v>3806</v>
      </c>
      <c r="B3802">
        <v>0.99996721820229495</v>
      </c>
      <c r="C3802">
        <v>0.82960226199767295</v>
      </c>
      <c r="D3802">
        <v>0.85371209704908302</v>
      </c>
      <c r="E3802">
        <v>0.85286931842848301</v>
      </c>
      <c r="F3802">
        <v>0.818442067271406</v>
      </c>
      <c r="G3802">
        <v>0.66273273731214399</v>
      </c>
      <c r="H3802">
        <v>0.496425648499702</v>
      </c>
      <c r="I3802">
        <v>0.47981890415262501</v>
      </c>
      <c r="J3802">
        <v>0.34084277330419999</v>
      </c>
      <c r="K3802">
        <v>0.36931909713350802</v>
      </c>
      <c r="L3802">
        <v>383.50721434314499</v>
      </c>
      <c r="M3802">
        <v>6.1408513725065497</v>
      </c>
      <c r="N3802">
        <v>62.451812266419601</v>
      </c>
      <c r="O3802">
        <v>56.802362479111402</v>
      </c>
      <c r="P3802">
        <v>-2.7107823005203601E-2</v>
      </c>
      <c r="Q3802">
        <v>0</v>
      </c>
      <c r="R3802">
        <v>0.94289750102197001</v>
      </c>
      <c r="S3802" t="s">
        <v>9628</v>
      </c>
      <c r="T3802" t="s">
        <v>11650</v>
      </c>
      <c r="U3802" t="s">
        <v>11650</v>
      </c>
      <c r="V3802" t="s">
        <v>11650</v>
      </c>
      <c r="W3802" t="s">
        <v>15398</v>
      </c>
      <c r="X3802">
        <v>2</v>
      </c>
      <c r="Y3802" t="s">
        <v>21075</v>
      </c>
      <c r="Z3802" t="s">
        <v>26864</v>
      </c>
      <c r="AA3802">
        <v>0.68260759242293401</v>
      </c>
      <c r="AB3802" t="str">
        <f>HYPERLINK("Melting_Curves/meltCurve_Q7L2J0_MEPCE.pdf", "Melting_Curves/meltCurve_Q7L2J0_MEPCE.pdf")</f>
        <v>Melting_Curves/meltCurve_Q7L2J0_MEPCE.pdf</v>
      </c>
    </row>
    <row r="3803" spans="1:28" x14ac:dyDescent="0.25">
      <c r="A3803" t="s">
        <v>3807</v>
      </c>
      <c r="B3803">
        <v>0.99996721820229495</v>
      </c>
      <c r="C3803">
        <v>0.74430304597392904</v>
      </c>
      <c r="D3803">
        <v>0.55770031373143503</v>
      </c>
      <c r="E3803">
        <v>0.52934658309909499</v>
      </c>
      <c r="F3803">
        <v>0.53776049384006697</v>
      </c>
      <c r="G3803">
        <v>0.49800552226533501</v>
      </c>
      <c r="H3803">
        <v>0.38450605956563999</v>
      </c>
      <c r="I3803">
        <v>0.32130921627479397</v>
      </c>
      <c r="J3803">
        <v>0.30454103212384098</v>
      </c>
      <c r="K3803">
        <v>0.23491507635805101</v>
      </c>
      <c r="L3803">
        <v>346.90004950979301</v>
      </c>
      <c r="M3803">
        <v>7.1525991120198498</v>
      </c>
      <c r="N3803">
        <v>52.549138810531701</v>
      </c>
      <c r="O3803">
        <v>45.137992502125897</v>
      </c>
      <c r="P3803">
        <v>-3.1275831144293102E-2</v>
      </c>
      <c r="Q3803">
        <v>0.211858889428129</v>
      </c>
      <c r="R3803">
        <v>0.89124348252109398</v>
      </c>
      <c r="S3803" t="s">
        <v>9629</v>
      </c>
      <c r="T3803" t="s">
        <v>11650</v>
      </c>
      <c r="U3803" t="s">
        <v>11650</v>
      </c>
      <c r="V3803" t="s">
        <v>11650</v>
      </c>
      <c r="W3803" t="s">
        <v>15399</v>
      </c>
      <c r="X3803">
        <v>2</v>
      </c>
      <c r="Y3803" t="s">
        <v>21076</v>
      </c>
      <c r="Z3803" t="s">
        <v>26865</v>
      </c>
      <c r="AA3803">
        <v>0.49749961438445328</v>
      </c>
      <c r="AB3803" t="str">
        <f>HYPERLINK("Melting_Curves/meltCurve_Q7L311_ARMCX2.pdf", "Melting_Curves/meltCurve_Q7L311_ARMCX2.pdf")</f>
        <v>Melting_Curves/meltCurve_Q7L311_ARMCX2.pdf</v>
      </c>
    </row>
    <row r="3804" spans="1:28" x14ac:dyDescent="0.25">
      <c r="A3804" t="s">
        <v>3808</v>
      </c>
      <c r="B3804">
        <v>0.99996721820229495</v>
      </c>
      <c r="C3804">
        <v>0.97038351543759604</v>
      </c>
      <c r="D3804">
        <v>0.95861288894001995</v>
      </c>
      <c r="E3804">
        <v>0.86137945893096701</v>
      </c>
      <c r="F3804">
        <v>1.0629229195843199</v>
      </c>
      <c r="G3804">
        <v>0.98989418789549999</v>
      </c>
      <c r="H3804">
        <v>0.60009085733618195</v>
      </c>
      <c r="I3804">
        <v>0.60319414595533805</v>
      </c>
      <c r="J3804">
        <v>0.57839613556259595</v>
      </c>
      <c r="K3804">
        <v>0.59223347710652696</v>
      </c>
      <c r="L3804">
        <v>6489.9825336636504</v>
      </c>
      <c r="M3804">
        <v>110.186642345816</v>
      </c>
      <c r="O3804">
        <v>58.880508414113898</v>
      </c>
      <c r="P3804">
        <v>-0.19124706331781799</v>
      </c>
      <c r="Q3804">
        <v>0.591212739711519</v>
      </c>
      <c r="R3804">
        <v>0.92941719546596002</v>
      </c>
      <c r="S3804" t="s">
        <v>9630</v>
      </c>
      <c r="T3804" t="s">
        <v>11650</v>
      </c>
      <c r="U3804" t="s">
        <v>11650</v>
      </c>
      <c r="V3804" t="s">
        <v>11650</v>
      </c>
      <c r="W3804" t="s">
        <v>15400</v>
      </c>
      <c r="X3804">
        <v>4</v>
      </c>
      <c r="Y3804" t="s">
        <v>21077</v>
      </c>
      <c r="Z3804" t="s">
        <v>26866</v>
      </c>
      <c r="AA3804">
        <v>0.84896511425179344</v>
      </c>
      <c r="AB3804" t="str">
        <f>HYPERLINK("Melting_Curves/meltCurve_Q7L4I2_2_RSRC2.pdf", "Melting_Curves/meltCurve_Q7L4I2_2_RSRC2.pdf")</f>
        <v>Melting_Curves/meltCurve_Q7L4I2_2_RSRC2.pdf</v>
      </c>
    </row>
    <row r="3805" spans="1:28" x14ac:dyDescent="0.25">
      <c r="A3805" t="s">
        <v>3809</v>
      </c>
      <c r="B3805">
        <v>0.99996721820229495</v>
      </c>
      <c r="C3805">
        <v>0.96105053248056105</v>
      </c>
      <c r="D3805">
        <v>1.14510439124368</v>
      </c>
      <c r="E3805">
        <v>1.8890277260806501</v>
      </c>
      <c r="F3805">
        <v>1.0583580660151899</v>
      </c>
      <c r="G3805">
        <v>0.75521249095488296</v>
      </c>
      <c r="H3805">
        <v>0.50687696318012199</v>
      </c>
      <c r="I3805">
        <v>0.45809902446756101</v>
      </c>
      <c r="J3805">
        <v>0.17771729576485301</v>
      </c>
      <c r="K3805">
        <v>0.19403385742542401</v>
      </c>
      <c r="L3805">
        <v>1527.2816148161701</v>
      </c>
      <c r="M3805">
        <v>25.314995748049899</v>
      </c>
      <c r="N3805">
        <v>61.429443944755</v>
      </c>
      <c r="O3805">
        <v>59.958418795571902</v>
      </c>
      <c r="P3805">
        <v>-8.6340626082951497E-2</v>
      </c>
      <c r="Q3805">
        <v>0.18202160148076399</v>
      </c>
      <c r="R3805">
        <v>0.64257949296031402</v>
      </c>
      <c r="S3805" t="s">
        <v>9631</v>
      </c>
      <c r="T3805" t="s">
        <v>11650</v>
      </c>
      <c r="U3805" t="s">
        <v>11650</v>
      </c>
      <c r="V3805" t="s">
        <v>11650</v>
      </c>
      <c r="W3805" t="s">
        <v>15401</v>
      </c>
      <c r="X3805">
        <v>8</v>
      </c>
      <c r="Y3805" t="s">
        <v>21078</v>
      </c>
      <c r="Z3805" t="s">
        <v>26867</v>
      </c>
      <c r="AA3805">
        <v>0.7421114938537926</v>
      </c>
      <c r="AB3805" t="str">
        <f>HYPERLINK("Melting_Curves/meltCurve_Q7L576_CYFIP1.pdf", "Melting_Curves/meltCurve_Q7L576_CYFIP1.pdf")</f>
        <v>Melting_Curves/meltCurve_Q7L576_CYFIP1.pdf</v>
      </c>
    </row>
    <row r="3806" spans="1:28" x14ac:dyDescent="0.25">
      <c r="A3806" t="s">
        <v>3810</v>
      </c>
      <c r="B3806">
        <v>0.99996721820229495</v>
      </c>
      <c r="C3806">
        <v>0.86484984404685095</v>
      </c>
      <c r="D3806">
        <v>0.71923569500003204</v>
      </c>
      <c r="E3806">
        <v>0.38343468319214702</v>
      </c>
      <c r="F3806">
        <v>0.21831574855296501</v>
      </c>
      <c r="G3806">
        <v>0.18388064750118399</v>
      </c>
      <c r="H3806">
        <v>0.106869722558682</v>
      </c>
      <c r="I3806">
        <v>7.7832085187810707E-2</v>
      </c>
      <c r="J3806">
        <v>6.6031606096692397E-2</v>
      </c>
      <c r="K3806">
        <v>5.5998366116034898E-2</v>
      </c>
      <c r="L3806">
        <v>784.922861100369</v>
      </c>
      <c r="M3806">
        <v>16.309468399280799</v>
      </c>
      <c r="N3806">
        <v>48.5605841298486</v>
      </c>
      <c r="O3806">
        <v>47.420759298323702</v>
      </c>
      <c r="P3806">
        <v>-8.0160043865842995E-2</v>
      </c>
      <c r="Q3806">
        <v>6.7787697822823303E-2</v>
      </c>
      <c r="R3806">
        <v>0.99546926467092001</v>
      </c>
      <c r="S3806" t="s">
        <v>9632</v>
      </c>
      <c r="T3806" t="s">
        <v>11650</v>
      </c>
      <c r="U3806" t="s">
        <v>11650</v>
      </c>
      <c r="V3806" t="s">
        <v>11650</v>
      </c>
      <c r="W3806" t="s">
        <v>15402</v>
      </c>
      <c r="X3806">
        <v>6</v>
      </c>
      <c r="Y3806" t="s">
        <v>21079</v>
      </c>
      <c r="Z3806" t="s">
        <v>26868</v>
      </c>
      <c r="AA3806">
        <v>0.3404947134950993</v>
      </c>
      <c r="AB3806" t="str">
        <f>HYPERLINK("Melting_Curves/meltCurve_Q7L592_NDUFAF7.pdf", "Melting_Curves/meltCurve_Q7L592_NDUFAF7.pdf")</f>
        <v>Melting_Curves/meltCurve_Q7L592_NDUFAF7.pdf</v>
      </c>
    </row>
    <row r="3807" spans="1:28" x14ac:dyDescent="0.25">
      <c r="A3807" t="s">
        <v>3811</v>
      </c>
      <c r="B3807">
        <v>0.99996721820229495</v>
      </c>
      <c r="C3807">
        <v>0.93179810227339799</v>
      </c>
      <c r="D3807">
        <v>0.97240305133176497</v>
      </c>
      <c r="E3807">
        <v>0.84845230371309199</v>
      </c>
      <c r="F3807">
        <v>0.59226961095965003</v>
      </c>
      <c r="G3807">
        <v>0.54845087840577</v>
      </c>
      <c r="H3807">
        <v>0.279111279872295</v>
      </c>
      <c r="I3807">
        <v>0.181039817923001</v>
      </c>
      <c r="J3807">
        <v>9.0072486383000097E-2</v>
      </c>
      <c r="K3807">
        <v>7.98390394644201E-2</v>
      </c>
      <c r="L3807">
        <v>686.16736709383599</v>
      </c>
      <c r="M3807">
        <v>12.181990567530301</v>
      </c>
      <c r="N3807">
        <v>56.326397617019502</v>
      </c>
      <c r="O3807">
        <v>54.873032802838203</v>
      </c>
      <c r="P3807">
        <v>-5.5513450524994103E-2</v>
      </c>
      <c r="Q3807">
        <v>0</v>
      </c>
      <c r="R3807">
        <v>0.98370387307193197</v>
      </c>
      <c r="S3807" t="s">
        <v>9633</v>
      </c>
      <c r="T3807" t="s">
        <v>11650</v>
      </c>
      <c r="U3807" t="s">
        <v>11650</v>
      </c>
      <c r="V3807" t="s">
        <v>11650</v>
      </c>
      <c r="W3807" t="s">
        <v>15403</v>
      </c>
      <c r="X3807">
        <v>2</v>
      </c>
      <c r="Y3807" t="s">
        <v>21080</v>
      </c>
      <c r="Z3807" t="s">
        <v>26869</v>
      </c>
      <c r="AA3807">
        <v>0.56341206384460074</v>
      </c>
      <c r="AB3807" t="str">
        <f>HYPERLINK("Melting_Curves/meltCurve_Q7L5D6_GET4.pdf", "Melting_Curves/meltCurve_Q7L5D6_GET4.pdf")</f>
        <v>Melting_Curves/meltCurve_Q7L5D6_GET4.pdf</v>
      </c>
    </row>
    <row r="3808" spans="1:28" x14ac:dyDescent="0.25">
      <c r="A3808" t="s">
        <v>3812</v>
      </c>
      <c r="B3808">
        <v>0.99996721820229495</v>
      </c>
      <c r="C3808">
        <v>0.93716150061850201</v>
      </c>
      <c r="D3808">
        <v>0.81106140234994795</v>
      </c>
      <c r="E3808">
        <v>0.54333613014979398</v>
      </c>
      <c r="F3808">
        <v>0.339346946519266</v>
      </c>
      <c r="G3808">
        <v>0.27979649381657501</v>
      </c>
      <c r="H3808">
        <v>0.13913580517146101</v>
      </c>
      <c r="I3808">
        <v>0.107161712745818</v>
      </c>
      <c r="J3808">
        <v>7.2340525940055606E-2</v>
      </c>
      <c r="K3808">
        <v>5.0019075803470099E-2</v>
      </c>
      <c r="L3808">
        <v>687.03483605746499</v>
      </c>
      <c r="M3808">
        <v>13.606649251737799</v>
      </c>
      <c r="N3808">
        <v>50.898710369443698</v>
      </c>
      <c r="O3808">
        <v>49.439401274292102</v>
      </c>
      <c r="P3808">
        <v>-6.5274894273187806E-2</v>
      </c>
      <c r="Q3808">
        <v>5.1441859887884203E-2</v>
      </c>
      <c r="R3808">
        <v>0.99406162899558503</v>
      </c>
      <c r="S3808" t="s">
        <v>9634</v>
      </c>
      <c r="T3808" t="s">
        <v>11650</v>
      </c>
      <c r="U3808" t="s">
        <v>11650</v>
      </c>
      <c r="V3808" t="s">
        <v>11650</v>
      </c>
      <c r="W3808" t="s">
        <v>15404</v>
      </c>
      <c r="X3808">
        <v>5</v>
      </c>
      <c r="Y3808" t="s">
        <v>21081</v>
      </c>
      <c r="Z3808" t="s">
        <v>26870</v>
      </c>
      <c r="AA3808">
        <v>0.40940967562729091</v>
      </c>
      <c r="AB3808" t="str">
        <f>HYPERLINK("Melting_Curves/meltCurve_Q7L5N7_LPCAT2.pdf", "Melting_Curves/meltCurve_Q7L5N7_LPCAT2.pdf")</f>
        <v>Melting_Curves/meltCurve_Q7L5N7_LPCAT2.pdf</v>
      </c>
    </row>
    <row r="3809" spans="1:28" x14ac:dyDescent="0.25">
      <c r="A3809" t="s">
        <v>3813</v>
      </c>
      <c r="B3809">
        <v>0.99996721820229495</v>
      </c>
      <c r="C3809">
        <v>0.94189996085987904</v>
      </c>
      <c r="D3809">
        <v>0.913626255384131</v>
      </c>
      <c r="E3809">
        <v>0.76117779459064305</v>
      </c>
      <c r="F3809">
        <v>0.56525897322864604</v>
      </c>
      <c r="G3809">
        <v>0.37517744571074402</v>
      </c>
      <c r="H3809">
        <v>0.195927406119728</v>
      </c>
      <c r="I3809">
        <v>0.117029429208503</v>
      </c>
      <c r="J3809">
        <v>9.1509461150143398E-2</v>
      </c>
      <c r="K3809">
        <v>7.5000647983852697E-2</v>
      </c>
      <c r="L3809">
        <v>697.178107444788</v>
      </c>
      <c r="M3809">
        <v>12.8545819372801</v>
      </c>
      <c r="N3809">
        <v>54.3353895921854</v>
      </c>
      <c r="O3809">
        <v>52.973471295441499</v>
      </c>
      <c r="P3809">
        <v>-5.9969684597660701E-2</v>
      </c>
      <c r="Q3809">
        <v>1.16465525236145E-2</v>
      </c>
      <c r="R3809">
        <v>0.99852863236189404</v>
      </c>
      <c r="S3809" t="s">
        <v>9635</v>
      </c>
      <c r="T3809" t="s">
        <v>11650</v>
      </c>
      <c r="U3809" t="s">
        <v>11650</v>
      </c>
      <c r="V3809" t="s">
        <v>11650</v>
      </c>
      <c r="W3809" t="s">
        <v>15405</v>
      </c>
      <c r="X3809">
        <v>14</v>
      </c>
      <c r="Y3809" t="s">
        <v>21082</v>
      </c>
      <c r="Z3809" t="s">
        <v>26871</v>
      </c>
      <c r="AA3809">
        <v>0.50431692786755067</v>
      </c>
      <c r="AB3809" t="str">
        <f>HYPERLINK("Melting_Curves/meltCurve_Q7L5Y1_ENOSF1.pdf", "Melting_Curves/meltCurve_Q7L5Y1_ENOSF1.pdf")</f>
        <v>Melting_Curves/meltCurve_Q7L5Y1_ENOSF1.pdf</v>
      </c>
    </row>
    <row r="3810" spans="1:28" x14ac:dyDescent="0.25">
      <c r="A3810" t="s">
        <v>3814</v>
      </c>
      <c r="B3810">
        <v>0.99996721820229495</v>
      </c>
      <c r="C3810">
        <v>1.0074896848314301</v>
      </c>
      <c r="D3810">
        <v>1.01789276365129</v>
      </c>
      <c r="E3810">
        <v>0.92486033086808705</v>
      </c>
      <c r="F3810">
        <v>0.68466391009493899</v>
      </c>
      <c r="G3810">
        <v>0.61293396858612303</v>
      </c>
      <c r="H3810">
        <v>0.40911360114367801</v>
      </c>
      <c r="I3810">
        <v>0.29698251505425699</v>
      </c>
      <c r="J3810">
        <v>0.23623642151344601</v>
      </c>
      <c r="K3810">
        <v>0.16665281239563001</v>
      </c>
      <c r="L3810">
        <v>708.68614599984005</v>
      </c>
      <c r="M3810">
        <v>12.256831972292501</v>
      </c>
      <c r="N3810">
        <v>58.694008605973998</v>
      </c>
      <c r="O3810">
        <v>56.345191120341703</v>
      </c>
      <c r="P3810">
        <v>-4.9856045645536202E-2</v>
      </c>
      <c r="Q3810">
        <v>8.3441881046914301E-2</v>
      </c>
      <c r="R3810">
        <v>0.98615416112613496</v>
      </c>
      <c r="S3810" t="s">
        <v>9636</v>
      </c>
      <c r="T3810" t="s">
        <v>11650</v>
      </c>
      <c r="U3810" t="s">
        <v>11650</v>
      </c>
      <c r="V3810" t="s">
        <v>11650</v>
      </c>
      <c r="W3810" t="s">
        <v>15406</v>
      </c>
      <c r="X3810">
        <v>6</v>
      </c>
      <c r="Y3810" t="s">
        <v>21083</v>
      </c>
      <c r="Z3810" t="s">
        <v>26872</v>
      </c>
      <c r="AA3810">
        <v>0.64037703505628696</v>
      </c>
      <c r="AB3810" t="str">
        <f>HYPERLINK("Melting_Curves/meltCurve_Q7L775_EPM2AIP1.pdf", "Melting_Curves/meltCurve_Q7L775_EPM2AIP1.pdf")</f>
        <v>Melting_Curves/meltCurve_Q7L775_EPM2AIP1.pdf</v>
      </c>
    </row>
    <row r="3811" spans="1:28" x14ac:dyDescent="0.25">
      <c r="A3811" t="s">
        <v>3815</v>
      </c>
      <c r="B3811">
        <v>0.99996721820229495</v>
      </c>
      <c r="C3811">
        <v>0.86403601391835105</v>
      </c>
      <c r="D3811">
        <v>0.78323267337408797</v>
      </c>
      <c r="E3811">
        <v>0.48446028676587699</v>
      </c>
      <c r="F3811">
        <v>0.46451550601517899</v>
      </c>
      <c r="G3811">
        <v>0.377453495093936</v>
      </c>
      <c r="H3811">
        <v>0.23896748777742999</v>
      </c>
      <c r="I3811">
        <v>0.12281918881895</v>
      </c>
      <c r="J3811">
        <v>0.11155206523628799</v>
      </c>
      <c r="K3811">
        <v>8.5252765571342301E-2</v>
      </c>
      <c r="L3811">
        <v>464.28183862669198</v>
      </c>
      <c r="M3811">
        <v>8.9562675053236003</v>
      </c>
      <c r="N3811">
        <v>51.887212792547203</v>
      </c>
      <c r="O3811">
        <v>49.449938922705698</v>
      </c>
      <c r="P3811">
        <v>-4.5124259756360599E-2</v>
      </c>
      <c r="Q3811">
        <v>4.1644303824882401E-3</v>
      </c>
      <c r="R3811">
        <v>0.97828202818547505</v>
      </c>
      <c r="S3811" t="s">
        <v>9637</v>
      </c>
      <c r="T3811" t="s">
        <v>11650</v>
      </c>
      <c r="U3811" t="s">
        <v>11650</v>
      </c>
      <c r="V3811" t="s">
        <v>11650</v>
      </c>
      <c r="W3811" t="s">
        <v>15407</v>
      </c>
      <c r="X3811">
        <v>2</v>
      </c>
      <c r="Y3811" t="s">
        <v>21084</v>
      </c>
      <c r="Z3811" t="s">
        <v>26873</v>
      </c>
      <c r="AA3811">
        <v>0.44025955982479531</v>
      </c>
      <c r="AB3811" t="str">
        <f>HYPERLINK("Melting_Curves/meltCurve_Q7L7V1_2_DHX32.pdf", "Melting_Curves/meltCurve_Q7L7V1_2_DHX32.pdf")</f>
        <v>Melting_Curves/meltCurve_Q7L7V1_2_DHX32.pdf</v>
      </c>
    </row>
    <row r="3812" spans="1:28" x14ac:dyDescent="0.25">
      <c r="A3812" t="s">
        <v>3816</v>
      </c>
      <c r="B3812">
        <v>0.99996721820229495</v>
      </c>
      <c r="C3812">
        <v>1.0270745392418801</v>
      </c>
      <c r="D3812">
        <v>0.91174775189639401</v>
      </c>
      <c r="E3812">
        <v>0.98216366735788996</v>
      </c>
      <c r="F3812">
        <v>0.46116131983977399</v>
      </c>
      <c r="G3812">
        <v>0.38243347722427301</v>
      </c>
      <c r="H3812">
        <v>0.22749560045834599</v>
      </c>
      <c r="I3812">
        <v>0.162029791291215</v>
      </c>
      <c r="J3812">
        <v>0.202204105737887</v>
      </c>
      <c r="K3812">
        <v>9.8882351069979696E-2</v>
      </c>
      <c r="L3812">
        <v>2957.0246002243298</v>
      </c>
      <c r="M3812">
        <v>56.467302849078102</v>
      </c>
      <c r="N3812">
        <v>52.880130369860403</v>
      </c>
      <c r="O3812">
        <v>52.301492152781698</v>
      </c>
      <c r="P3812">
        <v>-0.21298215615677901</v>
      </c>
      <c r="Q3812">
        <v>0.21092222366037999</v>
      </c>
      <c r="R3812">
        <v>0.96193148613080703</v>
      </c>
      <c r="S3812" t="s">
        <v>9638</v>
      </c>
      <c r="T3812" t="s">
        <v>11650</v>
      </c>
      <c r="U3812" t="s">
        <v>11650</v>
      </c>
      <c r="V3812" t="s">
        <v>11650</v>
      </c>
      <c r="W3812" t="s">
        <v>15408</v>
      </c>
      <c r="X3812">
        <v>9</v>
      </c>
      <c r="Y3812" t="s">
        <v>21085</v>
      </c>
      <c r="Z3812" t="s">
        <v>26874</v>
      </c>
      <c r="AA3812">
        <v>0.53763435825850103</v>
      </c>
      <c r="AB3812" t="str">
        <f>HYPERLINK("Melting_Curves/meltCurve_Q7L7X3_TAOK1.pdf", "Melting_Curves/meltCurve_Q7L7X3_TAOK1.pdf")</f>
        <v>Melting_Curves/meltCurve_Q7L7X3_TAOK1.pdf</v>
      </c>
    </row>
    <row r="3813" spans="1:28" x14ac:dyDescent="0.25">
      <c r="A3813" t="s">
        <v>3817</v>
      </c>
      <c r="B3813">
        <v>0.99996721820229495</v>
      </c>
      <c r="C3813">
        <v>0.93219761386301203</v>
      </c>
      <c r="D3813">
        <v>0.87649629368725501</v>
      </c>
      <c r="E3813">
        <v>0.863249136366531</v>
      </c>
      <c r="F3813">
        <v>0.66012700061501695</v>
      </c>
      <c r="G3813">
        <v>0.54137549534572105</v>
      </c>
      <c r="H3813">
        <v>0.316271730813662</v>
      </c>
      <c r="I3813">
        <v>0.21625524918743699</v>
      </c>
      <c r="J3813">
        <v>0.161467724986089</v>
      </c>
      <c r="K3813">
        <v>0.15427799597243799</v>
      </c>
      <c r="L3813">
        <v>596.08033973612498</v>
      </c>
      <c r="M3813">
        <v>10.455479894192299</v>
      </c>
      <c r="N3813">
        <v>57.0112928370052</v>
      </c>
      <c r="O3813">
        <v>55.044101468499697</v>
      </c>
      <c r="P3813">
        <v>-4.7506307208316202E-2</v>
      </c>
      <c r="Q3813">
        <v>0</v>
      </c>
      <c r="R3813">
        <v>0.98955225982990302</v>
      </c>
      <c r="S3813" t="s">
        <v>9639</v>
      </c>
      <c r="T3813" t="s">
        <v>11650</v>
      </c>
      <c r="U3813" t="s">
        <v>11650</v>
      </c>
      <c r="V3813" t="s">
        <v>11650</v>
      </c>
      <c r="W3813" t="s">
        <v>15409</v>
      </c>
      <c r="X3813">
        <v>5</v>
      </c>
      <c r="Y3813" t="s">
        <v>21086</v>
      </c>
      <c r="Z3813" t="s">
        <v>26875</v>
      </c>
      <c r="AA3813">
        <v>0.58321465344282164</v>
      </c>
      <c r="AB3813" t="str">
        <f>HYPERLINK("Melting_Curves/meltCurve_Q7L8J4_SH3BP5L.pdf", "Melting_Curves/meltCurve_Q7L8J4_SH3BP5L.pdf")</f>
        <v>Melting_Curves/meltCurve_Q7L8J4_SH3BP5L.pdf</v>
      </c>
    </row>
    <row r="3814" spans="1:28" x14ac:dyDescent="0.25">
      <c r="A3814" t="s">
        <v>3818</v>
      </c>
      <c r="B3814">
        <v>0.99996721820229495</v>
      </c>
      <c r="C3814">
        <v>0.88838739853527904</v>
      </c>
      <c r="D3814">
        <v>0.78474675918713299</v>
      </c>
      <c r="E3814">
        <v>0.576317102135533</v>
      </c>
      <c r="F3814">
        <v>0.42604961173585498</v>
      </c>
      <c r="G3814">
        <v>0.39627430401762298</v>
      </c>
      <c r="H3814">
        <v>0.248722335562092</v>
      </c>
      <c r="I3814">
        <v>0.18961765122809601</v>
      </c>
      <c r="J3814">
        <v>0.159288633483359</v>
      </c>
      <c r="K3814">
        <v>0.13216671400107599</v>
      </c>
      <c r="L3814">
        <v>521.49615758810205</v>
      </c>
      <c r="M3814">
        <v>10.1944204331412</v>
      </c>
      <c r="N3814">
        <v>52.203486287835403</v>
      </c>
      <c r="O3814">
        <v>49.303812623849304</v>
      </c>
      <c r="P3814">
        <v>-4.69279169635042E-2</v>
      </c>
      <c r="Q3814">
        <v>9.2570287892884795E-2</v>
      </c>
      <c r="R3814">
        <v>0.98935124911502603</v>
      </c>
      <c r="S3814" t="s">
        <v>9640</v>
      </c>
      <c r="T3814" t="s">
        <v>11650</v>
      </c>
      <c r="U3814" t="s">
        <v>11650</v>
      </c>
      <c r="V3814" t="s">
        <v>11650</v>
      </c>
      <c r="W3814" t="s">
        <v>15410</v>
      </c>
      <c r="X3814">
        <v>6</v>
      </c>
      <c r="Y3814" t="s">
        <v>21087</v>
      </c>
      <c r="Z3814" t="s">
        <v>26876</v>
      </c>
      <c r="AA3814">
        <v>0.46635213704309059</v>
      </c>
      <c r="AB3814" t="str">
        <f>HYPERLINK("Melting_Curves/meltCurve_Q7LBC6_KDM3B.pdf", "Melting_Curves/meltCurve_Q7LBC6_KDM3B.pdf")</f>
        <v>Melting_Curves/meltCurve_Q7LBC6_KDM3B.pdf</v>
      </c>
    </row>
    <row r="3815" spans="1:28" x14ac:dyDescent="0.25">
      <c r="A3815" t="s">
        <v>3819</v>
      </c>
      <c r="B3815">
        <v>0.99996721820229495</v>
      </c>
      <c r="C3815">
        <v>0.73081581590988998</v>
      </c>
      <c r="D3815">
        <v>0.634585605073128</v>
      </c>
      <c r="E3815">
        <v>0.74457836828882895</v>
      </c>
      <c r="F3815">
        <v>0.34091562016806798</v>
      </c>
      <c r="G3815">
        <v>0.141705233969319</v>
      </c>
      <c r="H3815">
        <v>8.7435919660764597E-2</v>
      </c>
      <c r="I3815">
        <v>7.7563672009779802E-2</v>
      </c>
      <c r="J3815">
        <v>5.8600168004787803E-2</v>
      </c>
      <c r="K3815">
        <v>5.9541596307817399E-2</v>
      </c>
      <c r="L3815">
        <v>533.208391646324</v>
      </c>
      <c r="M3815">
        <v>10.605046115930399</v>
      </c>
      <c r="N3815">
        <v>50.278743324656901</v>
      </c>
      <c r="O3815">
        <v>48.589783300904799</v>
      </c>
      <c r="P3815">
        <v>-5.4585367153410003E-2</v>
      </c>
      <c r="Q3815">
        <v>0</v>
      </c>
      <c r="R3815">
        <v>0.91953258824284401</v>
      </c>
      <c r="S3815" t="s">
        <v>9641</v>
      </c>
      <c r="T3815" t="s">
        <v>11650</v>
      </c>
      <c r="U3815" t="s">
        <v>11650</v>
      </c>
      <c r="V3815" t="s">
        <v>11650</v>
      </c>
      <c r="W3815" t="s">
        <v>15411</v>
      </c>
      <c r="X3815">
        <v>4</v>
      </c>
      <c r="Y3815" t="s">
        <v>21088</v>
      </c>
      <c r="Z3815" t="s">
        <v>26877</v>
      </c>
      <c r="AA3815">
        <v>0.38341610217727501</v>
      </c>
      <c r="AB3815" t="str">
        <f>HYPERLINK("Melting_Curves/meltCurve_Q7LBR1_CHMP1B.pdf", "Melting_Curves/meltCurve_Q7LBR1_CHMP1B.pdf")</f>
        <v>Melting_Curves/meltCurve_Q7LBR1_CHMP1B.pdf</v>
      </c>
    </row>
    <row r="3816" spans="1:28" x14ac:dyDescent="0.25">
      <c r="A3816" t="s">
        <v>3820</v>
      </c>
      <c r="B3816">
        <v>0.99996721820229495</v>
      </c>
      <c r="C3816">
        <v>1.05954131004914</v>
      </c>
      <c r="D3816">
        <v>1.0716083986006</v>
      </c>
      <c r="E3816">
        <v>1.16345961101854</v>
      </c>
      <c r="F3816">
        <v>1.46289281182435</v>
      </c>
      <c r="G3816">
        <v>1.7295533226912301</v>
      </c>
      <c r="H3816">
        <v>1.24875094641389</v>
      </c>
      <c r="I3816">
        <v>0.92510212288348304</v>
      </c>
      <c r="J3816">
        <v>0.55411209521878702</v>
      </c>
      <c r="K3816">
        <v>0.400967416329649</v>
      </c>
      <c r="L3816">
        <v>4739.6412426676998</v>
      </c>
      <c r="M3816">
        <v>71.798686570794601</v>
      </c>
      <c r="N3816">
        <v>67.464570607533702</v>
      </c>
      <c r="O3816">
        <v>65.961768472768497</v>
      </c>
      <c r="P3816">
        <v>-0.16508783473274299</v>
      </c>
      <c r="Q3816">
        <v>0.39333245026733099</v>
      </c>
      <c r="R3816">
        <v>0.38284479568051999</v>
      </c>
      <c r="S3816" t="s">
        <v>9642</v>
      </c>
      <c r="T3816" t="s">
        <v>11650</v>
      </c>
      <c r="U3816" t="s">
        <v>11650</v>
      </c>
      <c r="V3816" t="s">
        <v>11650</v>
      </c>
      <c r="W3816" t="s">
        <v>15412</v>
      </c>
      <c r="X3816">
        <v>12</v>
      </c>
      <c r="Y3816" t="s">
        <v>21089</v>
      </c>
      <c r="Z3816" t="s">
        <v>26878</v>
      </c>
      <c r="AA3816">
        <v>0.91986856432413022</v>
      </c>
      <c r="AB3816" t="str">
        <f>HYPERLINK("Melting_Curves/meltCurve_Q7LG56_RRM2B.pdf", "Melting_Curves/meltCurve_Q7LG56_RRM2B.pdf")</f>
        <v>Melting_Curves/meltCurve_Q7LG56_RRM2B.pdf</v>
      </c>
    </row>
    <row r="3817" spans="1:28" x14ac:dyDescent="0.25">
      <c r="A3817" t="s">
        <v>3821</v>
      </c>
      <c r="B3817">
        <v>0.99996721820229495</v>
      </c>
      <c r="C3817">
        <v>1.0022761853272999</v>
      </c>
      <c r="D3817">
        <v>1.1245861318558299</v>
      </c>
      <c r="E3817">
        <v>1.57855702392717</v>
      </c>
      <c r="F3817">
        <v>2.0936183123615901</v>
      </c>
      <c r="G3817">
        <v>2.3734011760856002</v>
      </c>
      <c r="H3817">
        <v>1.7601596844296601</v>
      </c>
      <c r="I3817">
        <v>1.01179372556914</v>
      </c>
      <c r="J3817">
        <v>0.48095987351769498</v>
      </c>
      <c r="K3817">
        <v>0.77904766026064398</v>
      </c>
      <c r="L3817">
        <v>14990.217513236799</v>
      </c>
      <c r="M3817">
        <v>230.052476394194</v>
      </c>
      <c r="O3817">
        <v>65.155068299006203</v>
      </c>
      <c r="P3817">
        <v>-0.32665738919616399</v>
      </c>
      <c r="Q3817">
        <v>0.62993861863601397</v>
      </c>
      <c r="R3817">
        <v>-0.22816174075554799</v>
      </c>
      <c r="S3817" t="s">
        <v>9643</v>
      </c>
      <c r="T3817" t="s">
        <v>11650</v>
      </c>
      <c r="U3817" t="s">
        <v>11650</v>
      </c>
      <c r="V3817" t="s">
        <v>11650</v>
      </c>
      <c r="W3817" t="s">
        <v>15413</v>
      </c>
      <c r="X3817">
        <v>3</v>
      </c>
      <c r="Y3817" t="s">
        <v>21090</v>
      </c>
      <c r="Z3817" t="s">
        <v>26879</v>
      </c>
      <c r="AA3817">
        <v>0.94034664134878321</v>
      </c>
      <c r="AB3817" t="str">
        <f>HYPERLINK("Melting_Curves/meltCurve_Q7LGA3_HS2ST1.pdf", "Melting_Curves/meltCurve_Q7LGA3_HS2ST1.pdf")</f>
        <v>Melting_Curves/meltCurve_Q7LGA3_HS2ST1.pdf</v>
      </c>
    </row>
    <row r="3818" spans="1:28" x14ac:dyDescent="0.25">
      <c r="A3818" t="s">
        <v>3822</v>
      </c>
      <c r="B3818">
        <v>0.99996721820229495</v>
      </c>
      <c r="C3818">
        <v>0.96852099041879602</v>
      </c>
      <c r="D3818">
        <v>0.86099341811913599</v>
      </c>
      <c r="E3818">
        <v>0.85157077949757198</v>
      </c>
      <c r="F3818">
        <v>0.99910409168039005</v>
      </c>
      <c r="G3818">
        <v>1.1947876262260599</v>
      </c>
      <c r="H3818">
        <v>0.64719026745511798</v>
      </c>
      <c r="I3818">
        <v>0.27277836713805098</v>
      </c>
      <c r="J3818">
        <v>0.28668707148641898</v>
      </c>
      <c r="K3818">
        <v>0.269437402064369</v>
      </c>
      <c r="L3818">
        <v>15000</v>
      </c>
      <c r="M3818">
        <v>245.85165858410099</v>
      </c>
      <c r="N3818">
        <v>61.212644108690597</v>
      </c>
      <c r="O3818">
        <v>61.008385220654397</v>
      </c>
      <c r="P3818">
        <v>-0.72909355507512996</v>
      </c>
      <c r="Q3818">
        <v>0.27629847753931103</v>
      </c>
      <c r="R3818">
        <v>0.92511944499389398</v>
      </c>
      <c r="S3818" t="s">
        <v>9644</v>
      </c>
      <c r="T3818" t="s">
        <v>11650</v>
      </c>
      <c r="U3818" t="s">
        <v>11650</v>
      </c>
      <c r="V3818" t="s">
        <v>11650</v>
      </c>
      <c r="W3818" t="s">
        <v>15414</v>
      </c>
      <c r="X3818">
        <v>2</v>
      </c>
      <c r="Y3818" t="s">
        <v>21091</v>
      </c>
      <c r="Z3818" t="s">
        <v>26880</v>
      </c>
      <c r="AA3818">
        <v>0.78326882796449293</v>
      </c>
      <c r="AB3818" t="str">
        <f>HYPERLINK("Melting_Curves/meltCurve_Q7RTN6_6_STRADA.pdf", "Melting_Curves/meltCurve_Q7RTN6_6_STRADA.pdf")</f>
        <v>Melting_Curves/meltCurve_Q7RTN6_6_STRADA.pdf</v>
      </c>
    </row>
    <row r="3819" spans="1:28" x14ac:dyDescent="0.25">
      <c r="A3819" t="s">
        <v>3823</v>
      </c>
      <c r="B3819">
        <v>0.99996721820229495</v>
      </c>
      <c r="C3819">
        <v>0.984786424380934</v>
      </c>
      <c r="D3819">
        <v>0.96783439134207006</v>
      </c>
      <c r="E3819">
        <v>0.96265239328513996</v>
      </c>
      <c r="F3819">
        <v>1.0159002296020401</v>
      </c>
      <c r="G3819">
        <v>0.65572887711682604</v>
      </c>
      <c r="H3819">
        <v>0.25314090824902402</v>
      </c>
      <c r="I3819">
        <v>0.150970585570181</v>
      </c>
      <c r="J3819">
        <v>7.5415494546652306E-2</v>
      </c>
      <c r="K3819">
        <v>7.0125059787792404E-2</v>
      </c>
      <c r="L3819">
        <v>1827.54223050838</v>
      </c>
      <c r="M3819">
        <v>31.451529729116402</v>
      </c>
      <c r="N3819">
        <v>58.4158257224829</v>
      </c>
      <c r="O3819">
        <v>57.873231756713601</v>
      </c>
      <c r="P3819">
        <v>-0.125446292635845</v>
      </c>
      <c r="Q3819">
        <v>7.6681711983462103E-2</v>
      </c>
      <c r="R3819">
        <v>0.99562282466327701</v>
      </c>
      <c r="S3819" t="s">
        <v>9645</v>
      </c>
      <c r="T3819" t="s">
        <v>11650</v>
      </c>
      <c r="U3819" t="s">
        <v>11650</v>
      </c>
      <c r="V3819" t="s">
        <v>11650</v>
      </c>
      <c r="W3819" t="s">
        <v>15415</v>
      </c>
      <c r="X3819">
        <v>1</v>
      </c>
      <c r="Y3819" t="s">
        <v>21092</v>
      </c>
      <c r="Z3819" t="s">
        <v>26881</v>
      </c>
      <c r="AA3819">
        <v>0.63956028471256687</v>
      </c>
      <c r="AB3819" t="str">
        <f>HYPERLINK("Melting_Curves/meltCurve_Q7RTP0_NIPA1.pdf", "Melting_Curves/meltCurve_Q7RTP0_NIPA1.pdf")</f>
        <v>Melting_Curves/meltCurve_Q7RTP0_NIPA1.pdf</v>
      </c>
    </row>
    <row r="3820" spans="1:28" x14ac:dyDescent="0.25">
      <c r="A3820" t="s">
        <v>3824</v>
      </c>
      <c r="B3820">
        <v>0.99996721820229495</v>
      </c>
      <c r="C3820">
        <v>0.97783975497255204</v>
      </c>
      <c r="D3820">
        <v>0.99050815691774396</v>
      </c>
      <c r="E3820">
        <v>0.96068262432969098</v>
      </c>
      <c r="F3820">
        <v>0.780157611188811</v>
      </c>
      <c r="G3820">
        <v>0.68926879169968103</v>
      </c>
      <c r="H3820">
        <v>0.35637540061053602</v>
      </c>
      <c r="I3820">
        <v>0.26183530446613401</v>
      </c>
      <c r="J3820">
        <v>0.26591343363091902</v>
      </c>
      <c r="K3820">
        <v>0.15818617367273999</v>
      </c>
      <c r="L3820">
        <v>919.89588768935096</v>
      </c>
      <c r="M3820">
        <v>15.851386618066501</v>
      </c>
      <c r="N3820">
        <v>59.067127516193601</v>
      </c>
      <c r="O3820">
        <v>57.132464214535602</v>
      </c>
      <c r="P3820">
        <v>-6.09593445927945E-2</v>
      </c>
      <c r="Q3820">
        <v>0.121219025516337</v>
      </c>
      <c r="R3820">
        <v>0.98695270005005997</v>
      </c>
      <c r="S3820" t="s">
        <v>9646</v>
      </c>
      <c r="T3820" t="s">
        <v>11650</v>
      </c>
      <c r="U3820" t="s">
        <v>11650</v>
      </c>
      <c r="V3820" t="s">
        <v>11650</v>
      </c>
      <c r="W3820" t="s">
        <v>15416</v>
      </c>
      <c r="X3820">
        <v>10</v>
      </c>
      <c r="Y3820" t="s">
        <v>21093</v>
      </c>
      <c r="Z3820" t="s">
        <v>26882</v>
      </c>
      <c r="AA3820">
        <v>0.66100662672172994</v>
      </c>
      <c r="AB3820" t="str">
        <f>HYPERLINK("Melting_Curves/meltCurve_Q7RTP6_MICAL3.pdf", "Melting_Curves/meltCurve_Q7RTP6_MICAL3.pdf")</f>
        <v>Melting_Curves/meltCurve_Q7RTP6_MICAL3.pdf</v>
      </c>
    </row>
    <row r="3821" spans="1:28" x14ac:dyDescent="0.25">
      <c r="A3821" t="s">
        <v>3825</v>
      </c>
      <c r="B3821">
        <v>0.99996721820229495</v>
      </c>
      <c r="C3821">
        <v>1.1863343759062499</v>
      </c>
      <c r="D3821">
        <v>1.1798346888042699</v>
      </c>
      <c r="E3821">
        <v>1.1420756703933701</v>
      </c>
      <c r="F3821">
        <v>0.50537485946837102</v>
      </c>
      <c r="G3821">
        <v>0.44063506020037002</v>
      </c>
      <c r="H3821">
        <v>0.230042691015485</v>
      </c>
      <c r="I3821">
        <v>9.94255161621109E-2</v>
      </c>
      <c r="J3821">
        <v>5.12701926459498E-2</v>
      </c>
      <c r="K3821">
        <v>3.9978729180967003E-2</v>
      </c>
      <c r="L3821">
        <v>1206.86814956388</v>
      </c>
      <c r="M3821">
        <v>21.921060623547799</v>
      </c>
      <c r="N3821">
        <v>55.407482715108699</v>
      </c>
      <c r="O3821">
        <v>54.603165288813102</v>
      </c>
      <c r="P3821">
        <v>-9.38386218814274E-2</v>
      </c>
      <c r="Q3821">
        <v>6.5050791618960893E-2</v>
      </c>
      <c r="R3821">
        <v>0.91449090381773401</v>
      </c>
      <c r="S3821" t="s">
        <v>9647</v>
      </c>
      <c r="T3821" t="s">
        <v>11650</v>
      </c>
      <c r="U3821" t="s">
        <v>11650</v>
      </c>
      <c r="V3821" t="s">
        <v>11650</v>
      </c>
      <c r="W3821" t="s">
        <v>15417</v>
      </c>
      <c r="X3821">
        <v>1</v>
      </c>
      <c r="Y3821" t="s">
        <v>21094</v>
      </c>
      <c r="Z3821" t="s">
        <v>26883</v>
      </c>
      <c r="AA3821">
        <v>0.54502910985316122</v>
      </c>
      <c r="AB3821" t="str">
        <f>HYPERLINK("Melting_Curves/meltCurve_Q7RTS9_DYM.pdf", "Melting_Curves/meltCurve_Q7RTS9_DYM.pdf")</f>
        <v>Melting_Curves/meltCurve_Q7RTS9_DYM.pdf</v>
      </c>
    </row>
    <row r="3822" spans="1:28" x14ac:dyDescent="0.25">
      <c r="A3822" t="s">
        <v>3826</v>
      </c>
      <c r="B3822">
        <v>0.99996721820229495</v>
      </c>
      <c r="C3822">
        <v>0.88829800855722596</v>
      </c>
      <c r="D3822">
        <v>0.72677011437802796</v>
      </c>
      <c r="E3822">
        <v>0.99652990802189401</v>
      </c>
      <c r="F3822">
        <v>1.7323600703281199</v>
      </c>
      <c r="G3822">
        <v>2.7815903875904202</v>
      </c>
      <c r="H3822">
        <v>1.39863514019318</v>
      </c>
      <c r="I3822">
        <v>1.18329905586068</v>
      </c>
      <c r="J3822">
        <v>0.90872740311678801</v>
      </c>
      <c r="K3822">
        <v>0.74433549997884996</v>
      </c>
      <c r="L3822">
        <v>15000</v>
      </c>
      <c r="M3822">
        <v>223.29178500262901</v>
      </c>
      <c r="O3822">
        <v>67.171288700000204</v>
      </c>
      <c r="P3822">
        <v>-0.21249828597110901</v>
      </c>
      <c r="Q3822">
        <v>0.74430257680703804</v>
      </c>
      <c r="R3822">
        <v>-0.13788680359839101</v>
      </c>
      <c r="S3822" t="s">
        <v>9648</v>
      </c>
      <c r="T3822" t="s">
        <v>11650</v>
      </c>
      <c r="U3822" t="s">
        <v>11650</v>
      </c>
      <c r="V3822" t="s">
        <v>11650</v>
      </c>
      <c r="W3822" t="s">
        <v>15418</v>
      </c>
      <c r="X3822">
        <v>4</v>
      </c>
      <c r="Y3822" t="s">
        <v>21095</v>
      </c>
      <c r="Z3822" t="s">
        <v>26884</v>
      </c>
      <c r="AA3822">
        <v>0.97597356024326942</v>
      </c>
      <c r="AB3822" t="str">
        <f>HYPERLINK("Melting_Curves/meltCurve_Q7RTV0_PHF5A.pdf", "Melting_Curves/meltCurve_Q7RTV0_PHF5A.pdf")</f>
        <v>Melting_Curves/meltCurve_Q7RTV0_PHF5A.pdf</v>
      </c>
    </row>
    <row r="3823" spans="1:28" x14ac:dyDescent="0.25">
      <c r="A3823" t="s">
        <v>3827</v>
      </c>
      <c r="B3823">
        <v>0.99996721820229495</v>
      </c>
      <c r="C3823">
        <v>1.20156343111897</v>
      </c>
      <c r="D3823">
        <v>1.1317607275736601</v>
      </c>
      <c r="E3823">
        <v>0.65639631736561699</v>
      </c>
      <c r="F3823">
        <v>0.60811382262490599</v>
      </c>
      <c r="G3823">
        <v>0.46529279274871099</v>
      </c>
      <c r="H3823">
        <v>0.31017930473623201</v>
      </c>
      <c r="I3823">
        <v>0.195588649619448</v>
      </c>
      <c r="J3823">
        <v>0.15948827968207399</v>
      </c>
      <c r="K3823">
        <v>0.13391343606155801</v>
      </c>
      <c r="L3823">
        <v>820.91786198149703</v>
      </c>
      <c r="M3823">
        <v>15.1836994520872</v>
      </c>
      <c r="N3823">
        <v>55.1910858753469</v>
      </c>
      <c r="O3823">
        <v>53.153937896888003</v>
      </c>
      <c r="P3823">
        <v>-6.19125412056847E-2</v>
      </c>
      <c r="Q3823">
        <v>0.13312871450312799</v>
      </c>
      <c r="R3823">
        <v>0.92422823027199397</v>
      </c>
      <c r="S3823" t="s">
        <v>9649</v>
      </c>
      <c r="T3823" t="s">
        <v>11650</v>
      </c>
      <c r="U3823" t="s">
        <v>11650</v>
      </c>
      <c r="V3823" t="s">
        <v>11650</v>
      </c>
      <c r="W3823" t="s">
        <v>15419</v>
      </c>
      <c r="X3823">
        <v>4</v>
      </c>
      <c r="Y3823" t="s">
        <v>21096</v>
      </c>
      <c r="Z3823" t="s">
        <v>26885</v>
      </c>
      <c r="AA3823">
        <v>0.55702573138588785</v>
      </c>
      <c r="AB3823" t="str">
        <f>HYPERLINK("Melting_Curves/meltCurve_Q7RTV5_AAED1.pdf", "Melting_Curves/meltCurve_Q7RTV5_AAED1.pdf")</f>
        <v>Melting_Curves/meltCurve_Q7RTV5_AAED1.pdf</v>
      </c>
    </row>
    <row r="3824" spans="1:28" x14ac:dyDescent="0.25">
      <c r="A3824" t="s">
        <v>3828</v>
      </c>
      <c r="B3824">
        <v>0.99996721820229495</v>
      </c>
      <c r="C3824">
        <v>0.87907224890114799</v>
      </c>
      <c r="D3824">
        <v>0.86672578206651596</v>
      </c>
      <c r="E3824">
        <v>0.91835817004641096</v>
      </c>
      <c r="F3824">
        <v>1.11605100971923</v>
      </c>
      <c r="G3824">
        <v>0.98381964390834997</v>
      </c>
      <c r="H3824">
        <v>0.787130253990175</v>
      </c>
      <c r="I3824">
        <v>0.71131210419348601</v>
      </c>
      <c r="J3824">
        <v>0.58656925699595297</v>
      </c>
      <c r="K3824">
        <v>0.49956023845511799</v>
      </c>
      <c r="L3824">
        <v>1462.5311189044</v>
      </c>
      <c r="M3824">
        <v>23.191632864736199</v>
      </c>
      <c r="O3824">
        <v>62.599621517063497</v>
      </c>
      <c r="P3824">
        <v>-4.95503043514611E-2</v>
      </c>
      <c r="Q3824">
        <v>0.46501850205883399</v>
      </c>
      <c r="R3824">
        <v>0.82591781222456295</v>
      </c>
      <c r="S3824" t="s">
        <v>9650</v>
      </c>
      <c r="T3824" t="s">
        <v>11650</v>
      </c>
      <c r="U3824" t="s">
        <v>11650</v>
      </c>
      <c r="V3824" t="s">
        <v>11650</v>
      </c>
      <c r="W3824" t="s">
        <v>15420</v>
      </c>
      <c r="X3824">
        <v>24</v>
      </c>
      <c r="Y3824" t="s">
        <v>21097</v>
      </c>
      <c r="Z3824" t="s">
        <v>26886</v>
      </c>
      <c r="AA3824">
        <v>0.87697859331828221</v>
      </c>
      <c r="AB3824" t="str">
        <f>HYPERLINK("Melting_Curves/meltCurve_Q7Z2K8_GPRIN1.pdf", "Melting_Curves/meltCurve_Q7Z2K8_GPRIN1.pdf")</f>
        <v>Melting_Curves/meltCurve_Q7Z2K8_GPRIN1.pdf</v>
      </c>
    </row>
    <row r="3825" spans="1:28" x14ac:dyDescent="0.25">
      <c r="A3825" t="s">
        <v>3829</v>
      </c>
      <c r="B3825">
        <v>0.99996721820229495</v>
      </c>
      <c r="C3825">
        <v>0.91371365751755396</v>
      </c>
      <c r="D3825">
        <v>0.959524738581364</v>
      </c>
      <c r="E3825">
        <v>1.0031358557853201</v>
      </c>
      <c r="F3825">
        <v>0.90978035685185299</v>
      </c>
      <c r="G3825">
        <v>0.81783166105563998</v>
      </c>
      <c r="H3825">
        <v>0.28994282539532101</v>
      </c>
      <c r="I3825">
        <v>0.190133043057366</v>
      </c>
      <c r="J3825">
        <v>0.13610386456589299</v>
      </c>
      <c r="K3825">
        <v>0.122528681200335</v>
      </c>
      <c r="L3825">
        <v>2238.6312313053299</v>
      </c>
      <c r="M3825">
        <v>38.060005080001503</v>
      </c>
      <c r="N3825">
        <v>59.285332368263603</v>
      </c>
      <c r="O3825">
        <v>58.656793891012299</v>
      </c>
      <c r="P3825">
        <v>-0.14121064988236501</v>
      </c>
      <c r="Q3825">
        <v>0.12948586764235501</v>
      </c>
      <c r="R3825">
        <v>0.98832646240467004</v>
      </c>
      <c r="S3825" t="s">
        <v>9651</v>
      </c>
      <c r="T3825" t="s">
        <v>11650</v>
      </c>
      <c r="U3825" t="s">
        <v>11650</v>
      </c>
      <c r="V3825" t="s">
        <v>11650</v>
      </c>
      <c r="W3825" t="s">
        <v>15421</v>
      </c>
      <c r="X3825">
        <v>4</v>
      </c>
      <c r="Y3825" t="s">
        <v>21098</v>
      </c>
      <c r="Z3825" t="s">
        <v>26887</v>
      </c>
      <c r="AA3825">
        <v>0.67930271094244632</v>
      </c>
      <c r="AB3825" t="str">
        <f>HYPERLINK("Melting_Curves/meltCurve_Q7Z2X4_4_PID1.pdf", "Melting_Curves/meltCurve_Q7Z2X4_4_PID1.pdf")</f>
        <v>Melting_Curves/meltCurve_Q7Z2X4_4_PID1.pdf</v>
      </c>
    </row>
    <row r="3826" spans="1:28" x14ac:dyDescent="0.25">
      <c r="A3826" t="s">
        <v>3830</v>
      </c>
      <c r="B3826">
        <v>0.99996721820229495</v>
      </c>
      <c r="C3826">
        <v>0.91415961462695805</v>
      </c>
      <c r="D3826">
        <v>0.85919100322715503</v>
      </c>
      <c r="E3826">
        <v>0.55434726186727801</v>
      </c>
      <c r="F3826">
        <v>0.281673507703111</v>
      </c>
      <c r="G3826">
        <v>0.231902423515019</v>
      </c>
      <c r="H3826">
        <v>0.142186811788165</v>
      </c>
      <c r="I3826">
        <v>8.7822720338629798E-2</v>
      </c>
      <c r="J3826">
        <v>6.5107537150997499E-2</v>
      </c>
      <c r="K3826">
        <v>5.2959260461393903E-2</v>
      </c>
      <c r="L3826">
        <v>834.76164487058895</v>
      </c>
      <c r="M3826">
        <v>16.6469058510609</v>
      </c>
      <c r="N3826">
        <v>50.585882116831897</v>
      </c>
      <c r="O3826">
        <v>49.438291871195602</v>
      </c>
      <c r="P3826">
        <v>-7.8502959740782294E-2</v>
      </c>
      <c r="Q3826">
        <v>6.7504369988311802E-2</v>
      </c>
      <c r="R3826">
        <v>0.99239646126200298</v>
      </c>
      <c r="S3826" t="s">
        <v>9652</v>
      </c>
      <c r="T3826" t="s">
        <v>11650</v>
      </c>
      <c r="U3826" t="s">
        <v>11650</v>
      </c>
      <c r="V3826" t="s">
        <v>11650</v>
      </c>
      <c r="W3826" t="s">
        <v>15422</v>
      </c>
      <c r="X3826">
        <v>27</v>
      </c>
      <c r="Y3826" t="s">
        <v>21099</v>
      </c>
      <c r="Z3826" t="s">
        <v>26888</v>
      </c>
      <c r="AA3826">
        <v>0.40120493379712507</v>
      </c>
      <c r="AB3826" t="str">
        <f>HYPERLINK("Melting_Curves/meltCurve_Q7Z2Z2_EFTUD1.pdf", "Melting_Curves/meltCurve_Q7Z2Z2_EFTUD1.pdf")</f>
        <v>Melting_Curves/meltCurve_Q7Z2Z2_EFTUD1.pdf</v>
      </c>
    </row>
    <row r="3827" spans="1:28" x14ac:dyDescent="0.25">
      <c r="A3827" t="s">
        <v>3831</v>
      </c>
      <c r="B3827">
        <v>0.99996721820229495</v>
      </c>
      <c r="C3827">
        <v>0.84048828836777101</v>
      </c>
      <c r="D3827">
        <v>0.90758457153745997</v>
      </c>
      <c r="E3827">
        <v>1.23871475456992</v>
      </c>
      <c r="F3827">
        <v>1.5967005651713799</v>
      </c>
      <c r="G3827">
        <v>1.33093418212063</v>
      </c>
      <c r="H3827">
        <v>0.56892685689022604</v>
      </c>
      <c r="I3827">
        <v>0.234444831241098</v>
      </c>
      <c r="J3827">
        <v>0.181503263711004</v>
      </c>
      <c r="K3827">
        <v>0.140268143507738</v>
      </c>
      <c r="L3827">
        <v>6766.0936331000003</v>
      </c>
      <c r="M3827">
        <v>111.024608174359</v>
      </c>
      <c r="N3827">
        <v>61.194777213050997</v>
      </c>
      <c r="O3827">
        <v>60.922534015016801</v>
      </c>
      <c r="P3827">
        <v>-0.37188019056150401</v>
      </c>
      <c r="Q3827">
        <v>0.183752904786672</v>
      </c>
      <c r="R3827">
        <v>0.761656125100166</v>
      </c>
      <c r="S3827" t="s">
        <v>9653</v>
      </c>
      <c r="T3827" t="s">
        <v>11650</v>
      </c>
      <c r="U3827" t="s">
        <v>11650</v>
      </c>
      <c r="V3827" t="s">
        <v>11650</v>
      </c>
      <c r="W3827" t="s">
        <v>15423</v>
      </c>
      <c r="X3827">
        <v>5</v>
      </c>
      <c r="Y3827" t="s">
        <v>21100</v>
      </c>
      <c r="Z3827" t="s">
        <v>26889</v>
      </c>
      <c r="AA3827">
        <v>0.75399865888863737</v>
      </c>
      <c r="AB3827" t="str">
        <f>HYPERLINK("Melting_Curves/meltCurve_Q7Z388_DPY19L4.pdf", "Melting_Curves/meltCurve_Q7Z388_DPY19L4.pdf")</f>
        <v>Melting_Curves/meltCurve_Q7Z388_DPY19L4.pdf</v>
      </c>
    </row>
    <row r="3828" spans="1:28" x14ac:dyDescent="0.25">
      <c r="A3828" t="s">
        <v>3832</v>
      </c>
      <c r="B3828">
        <v>0.99996721820229495</v>
      </c>
      <c r="C3828">
        <v>0.98024001352395695</v>
      </c>
      <c r="D3828">
        <v>1.0724282897612001</v>
      </c>
      <c r="E3828">
        <v>1.21453075428149</v>
      </c>
      <c r="F3828">
        <v>1.92249092645871</v>
      </c>
      <c r="G3828">
        <v>2.31047776816211</v>
      </c>
      <c r="H3828">
        <v>1.6627673605073601</v>
      </c>
      <c r="I3828">
        <v>1.16878207279084</v>
      </c>
      <c r="J3828">
        <v>0.96003833925520099</v>
      </c>
      <c r="K3828">
        <v>0.78411907597802299</v>
      </c>
      <c r="L3828">
        <v>12508.361031279799</v>
      </c>
      <c r="M3828">
        <v>250</v>
      </c>
      <c r="O3828">
        <v>50.0302423291349</v>
      </c>
      <c r="P3828">
        <v>0.58478689746670498</v>
      </c>
      <c r="Q3828">
        <v>1.46811248239224</v>
      </c>
      <c r="R3828">
        <v>0.18938069466139401</v>
      </c>
      <c r="S3828" t="s">
        <v>9654</v>
      </c>
      <c r="T3828" t="s">
        <v>11650</v>
      </c>
      <c r="U3828" t="s">
        <v>11650</v>
      </c>
      <c r="V3828" t="s">
        <v>11650</v>
      </c>
      <c r="W3828" t="s">
        <v>15424</v>
      </c>
      <c r="X3828">
        <v>6</v>
      </c>
      <c r="Y3828" t="s">
        <v>21101</v>
      </c>
      <c r="Z3828" t="s">
        <v>26890</v>
      </c>
      <c r="AA3828">
        <v>1.31151203053238</v>
      </c>
      <c r="AB3828" t="str">
        <f>HYPERLINK("Melting_Curves/meltCurve_Q7Z3B1_NEGR1.pdf", "Melting_Curves/meltCurve_Q7Z3B1_NEGR1.pdf")</f>
        <v>Melting_Curves/meltCurve_Q7Z3B1_NEGR1.pdf</v>
      </c>
    </row>
    <row r="3829" spans="1:28" x14ac:dyDescent="0.25">
      <c r="A3829" t="s">
        <v>3833</v>
      </c>
      <c r="B3829">
        <v>0.99996721820229495</v>
      </c>
      <c r="C3829">
        <v>0.97089539191167296</v>
      </c>
      <c r="D3829">
        <v>0.91914998263321002</v>
      </c>
      <c r="E3829">
        <v>0.94982636016851596</v>
      </c>
      <c r="F3829">
        <v>1.08307462731307</v>
      </c>
      <c r="G3829">
        <v>0.98111620926060905</v>
      </c>
      <c r="H3829">
        <v>0.60510087121900302</v>
      </c>
      <c r="I3829">
        <v>0.43735105729537399</v>
      </c>
      <c r="J3829">
        <v>0.31998791654272002</v>
      </c>
      <c r="K3829">
        <v>0.24645256979706801</v>
      </c>
      <c r="L3829">
        <v>2076.20419956555</v>
      </c>
      <c r="M3829">
        <v>33.993457444831897</v>
      </c>
      <c r="N3829">
        <v>62.505490829023302</v>
      </c>
      <c r="O3829">
        <v>60.866375072339899</v>
      </c>
      <c r="P3829">
        <v>-0.101907190543753</v>
      </c>
      <c r="Q3829">
        <v>0.27013052954698502</v>
      </c>
      <c r="R3829">
        <v>0.97403515087445602</v>
      </c>
      <c r="S3829" t="s">
        <v>9655</v>
      </c>
      <c r="T3829" t="s">
        <v>11650</v>
      </c>
      <c r="U3829" t="s">
        <v>11650</v>
      </c>
      <c r="V3829" t="s">
        <v>11650</v>
      </c>
      <c r="W3829" t="s">
        <v>15425</v>
      </c>
      <c r="X3829">
        <v>10</v>
      </c>
      <c r="Y3829" t="s">
        <v>21102</v>
      </c>
      <c r="Z3829" t="s">
        <v>26891</v>
      </c>
      <c r="AA3829">
        <v>0.7863795949864909</v>
      </c>
      <c r="AB3829" t="str">
        <f>HYPERLINK("Melting_Curves/meltCurve_Q7Z3D4_LYSMD3.pdf", "Melting_Curves/meltCurve_Q7Z3D4_LYSMD3.pdf")</f>
        <v>Melting_Curves/meltCurve_Q7Z3D4_LYSMD3.pdf</v>
      </c>
    </row>
    <row r="3830" spans="1:28" x14ac:dyDescent="0.25">
      <c r="A3830" t="s">
        <v>3834</v>
      </c>
      <c r="B3830">
        <v>0.99996721820229495</v>
      </c>
      <c r="C3830">
        <v>0.99522264510591796</v>
      </c>
      <c r="D3830">
        <v>0.91136244846078196</v>
      </c>
      <c r="E3830">
        <v>0.83415850351489296</v>
      </c>
      <c r="F3830">
        <v>0.49757512813455901</v>
      </c>
      <c r="G3830">
        <v>0.36172860380462202</v>
      </c>
      <c r="H3830">
        <v>0.214162571744686</v>
      </c>
      <c r="I3830">
        <v>0.15219576941996599</v>
      </c>
      <c r="J3830">
        <v>0.120067889679768</v>
      </c>
      <c r="K3830">
        <v>0.113885610118293</v>
      </c>
      <c r="L3830">
        <v>881.70454110115099</v>
      </c>
      <c r="M3830">
        <v>16.5610652238577</v>
      </c>
      <c r="N3830">
        <v>53.987483083093601</v>
      </c>
      <c r="O3830">
        <v>52.481504952133399</v>
      </c>
      <c r="P3830">
        <v>-7.0808489317690099E-2</v>
      </c>
      <c r="Q3830">
        <v>0.102501800944249</v>
      </c>
      <c r="R3830">
        <v>0.99121820375820502</v>
      </c>
      <c r="S3830" t="s">
        <v>9656</v>
      </c>
      <c r="T3830" t="s">
        <v>11650</v>
      </c>
      <c r="U3830" t="s">
        <v>11650</v>
      </c>
      <c r="V3830" t="s">
        <v>11650</v>
      </c>
      <c r="W3830" t="s">
        <v>15426</v>
      </c>
      <c r="X3830">
        <v>10</v>
      </c>
      <c r="Y3830" t="s">
        <v>21103</v>
      </c>
      <c r="Z3830" t="s">
        <v>26892</v>
      </c>
      <c r="AA3830">
        <v>0.51519545915833076</v>
      </c>
      <c r="AB3830" t="str">
        <f>HYPERLINK("Melting_Curves/meltCurve_Q7Z3D6_2_C14orf159.pdf", "Melting_Curves/meltCurve_Q7Z3D6_2_C14orf159.pdf")</f>
        <v>Melting_Curves/meltCurve_Q7Z3D6_2_C14orf159.pdf</v>
      </c>
    </row>
    <row r="3831" spans="1:28" x14ac:dyDescent="0.25">
      <c r="A3831" t="s">
        <v>3835</v>
      </c>
      <c r="B3831">
        <v>0.99996721820229495</v>
      </c>
      <c r="C3831">
        <v>1.02060922202815</v>
      </c>
      <c r="D3831">
        <v>1.0147265942174299</v>
      </c>
      <c r="E3831">
        <v>0.88784842971269495</v>
      </c>
      <c r="F3831">
        <v>0.72610308144868796</v>
      </c>
      <c r="G3831">
        <v>0.66072669298095599</v>
      </c>
      <c r="H3831">
        <v>0.42034674150343099</v>
      </c>
      <c r="I3831">
        <v>0.29190954951994602</v>
      </c>
      <c r="J3831">
        <v>0.20685593227830601</v>
      </c>
      <c r="K3831">
        <v>0.147584966710084</v>
      </c>
      <c r="L3831">
        <v>675.377478793092</v>
      </c>
      <c r="M3831">
        <v>11.3963990450354</v>
      </c>
      <c r="N3831">
        <v>59.262357900501698</v>
      </c>
      <c r="O3831">
        <v>57.525669896841499</v>
      </c>
      <c r="P3831">
        <v>-4.9542034578501301E-2</v>
      </c>
      <c r="Q3831">
        <v>0</v>
      </c>
      <c r="R3831">
        <v>0.99000097695490696</v>
      </c>
      <c r="S3831" t="s">
        <v>9657</v>
      </c>
      <c r="T3831" t="s">
        <v>11650</v>
      </c>
      <c r="U3831" t="s">
        <v>11650</v>
      </c>
      <c r="V3831" t="s">
        <v>11650</v>
      </c>
      <c r="W3831" t="s">
        <v>15427</v>
      </c>
      <c r="X3831">
        <v>13</v>
      </c>
      <c r="Y3831" t="s">
        <v>21104</v>
      </c>
      <c r="Z3831" t="s">
        <v>26893</v>
      </c>
      <c r="AA3831">
        <v>0.64742969083439417</v>
      </c>
      <c r="AB3831" t="str">
        <f>HYPERLINK("Melting_Curves/meltCurve_Q7Z3E2_C10orf118.pdf", "Melting_Curves/meltCurve_Q7Z3E2_C10orf118.pdf")</f>
        <v>Melting_Curves/meltCurve_Q7Z3E2_C10orf118.pdf</v>
      </c>
    </row>
    <row r="3832" spans="1:28" x14ac:dyDescent="0.25">
      <c r="A3832" t="s">
        <v>3836</v>
      </c>
      <c r="B3832">
        <v>0.99996721820229495</v>
      </c>
      <c r="C3832">
        <v>0.88054730514416502</v>
      </c>
      <c r="D3832">
        <v>0.44513421896469502</v>
      </c>
      <c r="E3832">
        <v>0.15493166995037599</v>
      </c>
      <c r="F3832">
        <v>0.184485643826478</v>
      </c>
      <c r="G3832">
        <v>0.129015458909889</v>
      </c>
      <c r="H3832">
        <v>9.60818976888064E-2</v>
      </c>
      <c r="I3832">
        <v>6.0806587067258402E-2</v>
      </c>
      <c r="J3832">
        <v>4.4368335098205598E-2</v>
      </c>
      <c r="K3832">
        <v>3.3973479955479897E-2</v>
      </c>
      <c r="L3832">
        <v>1325.8645686729999</v>
      </c>
      <c r="M3832">
        <v>29.1804978754299</v>
      </c>
      <c r="N3832">
        <v>45.740886812057603</v>
      </c>
      <c r="O3832">
        <v>45.224882233664999</v>
      </c>
      <c r="P3832">
        <v>-0.14708015577900799</v>
      </c>
      <c r="Q3832">
        <v>8.8208275398538996E-2</v>
      </c>
      <c r="R3832">
        <v>0.98695802912437602</v>
      </c>
      <c r="S3832" t="s">
        <v>9658</v>
      </c>
      <c r="T3832" t="s">
        <v>11650</v>
      </c>
      <c r="U3832" t="s">
        <v>11650</v>
      </c>
      <c r="V3832" t="s">
        <v>11650</v>
      </c>
      <c r="W3832" t="s">
        <v>15428</v>
      </c>
      <c r="X3832">
        <v>13</v>
      </c>
      <c r="Y3832" t="s">
        <v>21105</v>
      </c>
      <c r="Z3832" t="s">
        <v>26894</v>
      </c>
      <c r="AA3832">
        <v>0.25951623581016958</v>
      </c>
      <c r="AB3832" t="str">
        <f>HYPERLINK("Melting_Curves/meltCurve_Q7Z3E5_ARMC9.pdf", "Melting_Curves/meltCurve_Q7Z3E5_ARMC9.pdf")</f>
        <v>Melting_Curves/meltCurve_Q7Z3E5_ARMC9.pdf</v>
      </c>
    </row>
    <row r="3833" spans="1:28" x14ac:dyDescent="0.25">
      <c r="A3833" t="s">
        <v>3837</v>
      </c>
      <c r="B3833">
        <v>0.99996721820229495</v>
      </c>
      <c r="C3833">
        <v>1.0318226662276899</v>
      </c>
      <c r="D3833">
        <v>1.0382894305743999</v>
      </c>
      <c r="E3833">
        <v>1.0725134487772601</v>
      </c>
      <c r="F3833">
        <v>0.95351134705190099</v>
      </c>
      <c r="G3833">
        <v>0.66254017531532206</v>
      </c>
      <c r="H3833">
        <v>0.396264690989171</v>
      </c>
      <c r="I3833">
        <v>0.34430328329044702</v>
      </c>
      <c r="J3833">
        <v>0.26622448450535602</v>
      </c>
      <c r="K3833">
        <v>0.21140166041241701</v>
      </c>
      <c r="L3833">
        <v>1534.44086915311</v>
      </c>
      <c r="M3833">
        <v>26.5746022627816</v>
      </c>
      <c r="N3833">
        <v>59.247124219072099</v>
      </c>
      <c r="O3833">
        <v>57.416890262902498</v>
      </c>
      <c r="P3833">
        <v>-8.7294232256835705E-2</v>
      </c>
      <c r="Q3833">
        <v>0.245578916510856</v>
      </c>
      <c r="R3833">
        <v>0.98752912796430903</v>
      </c>
      <c r="S3833" t="s">
        <v>9659</v>
      </c>
      <c r="T3833" t="s">
        <v>11650</v>
      </c>
      <c r="U3833" t="s">
        <v>11650</v>
      </c>
      <c r="V3833" t="s">
        <v>11650</v>
      </c>
      <c r="W3833" t="s">
        <v>15429</v>
      </c>
      <c r="X3833">
        <v>17</v>
      </c>
      <c r="Y3833" t="s">
        <v>21106</v>
      </c>
      <c r="Z3833" t="s">
        <v>26895</v>
      </c>
      <c r="AA3833">
        <v>0.69777594112607</v>
      </c>
      <c r="AB3833" t="str">
        <f>HYPERLINK("Melting_Curves/meltCurve_Q7Z3T8_ZFYVE16.pdf", "Melting_Curves/meltCurve_Q7Z3T8_ZFYVE16.pdf")</f>
        <v>Melting_Curves/meltCurve_Q7Z3T8_ZFYVE16.pdf</v>
      </c>
    </row>
    <row r="3834" spans="1:28" x14ac:dyDescent="0.25">
      <c r="A3834" t="s">
        <v>3838</v>
      </c>
      <c r="B3834">
        <v>0.99996721820229495</v>
      </c>
      <c r="C3834">
        <v>0.95238442408572299</v>
      </c>
      <c r="D3834">
        <v>0.92438929292290595</v>
      </c>
      <c r="E3834">
        <v>0.93509213513034295</v>
      </c>
      <c r="F3834">
        <v>0.88072559025290797</v>
      </c>
      <c r="G3834">
        <v>0.70452327101850099</v>
      </c>
      <c r="H3834">
        <v>0.51330115906688401</v>
      </c>
      <c r="I3834">
        <v>0.54850193163893701</v>
      </c>
      <c r="J3834">
        <v>0.56092057062378298</v>
      </c>
      <c r="K3834">
        <v>0.41920258256186599</v>
      </c>
      <c r="L3834">
        <v>894.56758775499304</v>
      </c>
      <c r="M3834">
        <v>15.8785268114184</v>
      </c>
      <c r="N3834">
        <v>65.793898049733002</v>
      </c>
      <c r="O3834">
        <v>55.467328651407001</v>
      </c>
      <c r="P3834">
        <v>-3.9439416407390002E-2</v>
      </c>
      <c r="Q3834">
        <v>0.44896088355633001</v>
      </c>
      <c r="R3834">
        <v>0.95570614204110604</v>
      </c>
      <c r="S3834" t="s">
        <v>9660</v>
      </c>
      <c r="T3834" t="s">
        <v>11650</v>
      </c>
      <c r="U3834" t="s">
        <v>11650</v>
      </c>
      <c r="V3834" t="s">
        <v>11650</v>
      </c>
      <c r="W3834" t="s">
        <v>15430</v>
      </c>
      <c r="X3834">
        <v>16</v>
      </c>
      <c r="Y3834" t="s">
        <v>21107</v>
      </c>
      <c r="Z3834" t="s">
        <v>26896</v>
      </c>
      <c r="AA3834">
        <v>0.75807303815531057</v>
      </c>
      <c r="AB3834" t="str">
        <f>HYPERLINK("Melting_Curves/meltCurve_Q7Z417_NUFIP2.pdf", "Melting_Curves/meltCurve_Q7Z417_NUFIP2.pdf")</f>
        <v>Melting_Curves/meltCurve_Q7Z417_NUFIP2.pdf</v>
      </c>
    </row>
    <row r="3835" spans="1:28" x14ac:dyDescent="0.25">
      <c r="A3835" t="s">
        <v>3839</v>
      </c>
      <c r="B3835">
        <v>0.99996721820229495</v>
      </c>
      <c r="C3835">
        <v>0.93969802571649197</v>
      </c>
      <c r="D3835">
        <v>0.88134161930385102</v>
      </c>
      <c r="E3835">
        <v>0.98971482105162301</v>
      </c>
      <c r="F3835">
        <v>1.2581617076228899</v>
      </c>
      <c r="G3835">
        <v>1.2894493500764499</v>
      </c>
      <c r="H3835">
        <v>1.0202861498712399</v>
      </c>
      <c r="I3835">
        <v>0.99684109919741704</v>
      </c>
      <c r="J3835">
        <v>1.03119895601397</v>
      </c>
      <c r="K3835">
        <v>0.70353405121086698</v>
      </c>
      <c r="L3835">
        <v>15000</v>
      </c>
      <c r="M3835">
        <v>213.42150978484901</v>
      </c>
      <c r="Q3835">
        <v>0</v>
      </c>
      <c r="R3835">
        <v>0.33815153209132398</v>
      </c>
      <c r="S3835" t="s">
        <v>9661</v>
      </c>
      <c r="T3835" t="s">
        <v>11650</v>
      </c>
      <c r="U3835" t="s">
        <v>11650</v>
      </c>
      <c r="V3835" t="s">
        <v>11650</v>
      </c>
      <c r="W3835" t="s">
        <v>15431</v>
      </c>
      <c r="X3835">
        <v>7</v>
      </c>
      <c r="Y3835" t="s">
        <v>21108</v>
      </c>
      <c r="Z3835" t="s">
        <v>26897</v>
      </c>
      <c r="AA3835">
        <v>0.99620954821488583</v>
      </c>
      <c r="AB3835" t="str">
        <f>HYPERLINK("Melting_Curves/meltCurve_Q7Z422_2_SZRD1.pdf", "Melting_Curves/meltCurve_Q7Z422_2_SZRD1.pdf")</f>
        <v>Melting_Curves/meltCurve_Q7Z422_2_SZRD1.pdf</v>
      </c>
    </row>
    <row r="3836" spans="1:28" x14ac:dyDescent="0.25">
      <c r="A3836" t="s">
        <v>3840</v>
      </c>
      <c r="B3836">
        <v>0.99996721820229495</v>
      </c>
      <c r="C3836">
        <v>0.88918163799235805</v>
      </c>
      <c r="D3836">
        <v>0.94192410235815305</v>
      </c>
      <c r="E3836">
        <v>1.0569198783268501</v>
      </c>
      <c r="F3836">
        <v>1.1415736236840599</v>
      </c>
      <c r="G3836">
        <v>0.98252703091037796</v>
      </c>
      <c r="H3836">
        <v>0.60540312239293703</v>
      </c>
      <c r="I3836">
        <v>0.43596055317235</v>
      </c>
      <c r="J3836">
        <v>0.34500179589477997</v>
      </c>
      <c r="K3836">
        <v>0.27137208568283899</v>
      </c>
      <c r="L3836">
        <v>2338.8963548941601</v>
      </c>
      <c r="M3836">
        <v>38.452451040251297</v>
      </c>
      <c r="N3836">
        <v>62.369180330802003</v>
      </c>
      <c r="O3836">
        <v>60.661878691267503</v>
      </c>
      <c r="P3836">
        <v>-0.10982987799605699</v>
      </c>
      <c r="Q3836">
        <v>0.306939470640681</v>
      </c>
      <c r="R3836">
        <v>0.95166377952161396</v>
      </c>
      <c r="S3836" t="s">
        <v>9662</v>
      </c>
      <c r="T3836" t="s">
        <v>11650</v>
      </c>
      <c r="U3836" t="s">
        <v>11650</v>
      </c>
      <c r="V3836" t="s">
        <v>11650</v>
      </c>
      <c r="W3836" t="s">
        <v>15432</v>
      </c>
      <c r="X3836">
        <v>6</v>
      </c>
      <c r="Y3836" t="s">
        <v>21109</v>
      </c>
      <c r="Z3836" t="s">
        <v>26898</v>
      </c>
      <c r="AA3836">
        <v>0.79087796960416057</v>
      </c>
      <c r="AB3836" t="str">
        <f>HYPERLINK("Melting_Curves/meltCurve_Q7Z434_MAVS.pdf", "Melting_Curves/meltCurve_Q7Z434_MAVS.pdf")</f>
        <v>Melting_Curves/meltCurve_Q7Z434_MAVS.pdf</v>
      </c>
    </row>
    <row r="3837" spans="1:28" x14ac:dyDescent="0.25">
      <c r="A3837" t="s">
        <v>3841</v>
      </c>
      <c r="B3837">
        <v>0.99996721820229495</v>
      </c>
      <c r="C3837">
        <v>1.00366158064334</v>
      </c>
      <c r="D3837">
        <v>1.01862372512427</v>
      </c>
      <c r="E3837">
        <v>0.98065357918298002</v>
      </c>
      <c r="F3837">
        <v>1.2149621438946701</v>
      </c>
      <c r="G3837">
        <v>1.2566433490653699</v>
      </c>
      <c r="H3837">
        <v>0.83891774152353105</v>
      </c>
      <c r="I3837">
        <v>0.34506059427618002</v>
      </c>
      <c r="J3837">
        <v>0.12856193117825301</v>
      </c>
      <c r="K3837">
        <v>0.102477300354632</v>
      </c>
      <c r="L3837">
        <v>3497.4751943747701</v>
      </c>
      <c r="M3837">
        <v>55.682713626302103</v>
      </c>
      <c r="N3837">
        <v>63.070503776747501</v>
      </c>
      <c r="O3837">
        <v>62.729932171381499</v>
      </c>
      <c r="P3837">
        <v>-0.199178138525965</v>
      </c>
      <c r="Q3837">
        <v>0.102455803495601</v>
      </c>
      <c r="R3837">
        <v>0.93198996097884101</v>
      </c>
      <c r="S3837" t="s">
        <v>9663</v>
      </c>
      <c r="T3837" t="s">
        <v>11650</v>
      </c>
      <c r="U3837" t="s">
        <v>11650</v>
      </c>
      <c r="V3837" t="s">
        <v>11650</v>
      </c>
      <c r="W3837" t="s">
        <v>15433</v>
      </c>
      <c r="X3837">
        <v>10</v>
      </c>
      <c r="Y3837" t="s">
        <v>21110</v>
      </c>
      <c r="Z3837" t="s">
        <v>26899</v>
      </c>
      <c r="AA3837">
        <v>0.78677180234948452</v>
      </c>
      <c r="AB3837" t="str">
        <f>HYPERLINK("Melting_Curves/meltCurve_Q7Z449_CYP2U1.pdf", "Melting_Curves/meltCurve_Q7Z449_CYP2U1.pdf")</f>
        <v>Melting_Curves/meltCurve_Q7Z449_CYP2U1.pdf</v>
      </c>
    </row>
    <row r="3838" spans="1:28" x14ac:dyDescent="0.25">
      <c r="A3838" t="s">
        <v>3842</v>
      </c>
      <c r="B3838">
        <v>0.99996721820229495</v>
      </c>
      <c r="C3838">
        <v>0.95307289033958698</v>
      </c>
      <c r="D3838">
        <v>0.79351303194946299</v>
      </c>
      <c r="E3838">
        <v>0.76486996923233097</v>
      </c>
      <c r="F3838">
        <v>0.663893701365873</v>
      </c>
      <c r="G3838">
        <v>0.68832995314530099</v>
      </c>
      <c r="H3838">
        <v>0.50503918640659096</v>
      </c>
      <c r="I3838">
        <v>0.49649615891962801</v>
      </c>
      <c r="J3838">
        <v>0.59050908026375604</v>
      </c>
      <c r="K3838">
        <v>0.30479691323326602</v>
      </c>
      <c r="L3838">
        <v>310.46137489541599</v>
      </c>
      <c r="M3838">
        <v>5.1096823457271903</v>
      </c>
      <c r="N3838">
        <v>63.800069889955701</v>
      </c>
      <c r="O3838">
        <v>53.294484699322702</v>
      </c>
      <c r="P3838">
        <v>-2.1500391561885698E-2</v>
      </c>
      <c r="Q3838">
        <v>0.108068693088801</v>
      </c>
      <c r="R3838">
        <v>0.88210745374371802</v>
      </c>
      <c r="S3838" t="s">
        <v>9664</v>
      </c>
      <c r="T3838" t="s">
        <v>11650</v>
      </c>
      <c r="U3838" t="s">
        <v>11650</v>
      </c>
      <c r="V3838" t="s">
        <v>11650</v>
      </c>
      <c r="W3838" t="s">
        <v>15434</v>
      </c>
      <c r="X3838">
        <v>9</v>
      </c>
      <c r="Y3838" t="s">
        <v>21111</v>
      </c>
      <c r="Z3838" t="s">
        <v>26900</v>
      </c>
      <c r="AA3838">
        <v>0.67415104557104955</v>
      </c>
      <c r="AB3838" t="str">
        <f>HYPERLINK("Melting_Curves/meltCurve_Q7Z478_DHX29.pdf", "Melting_Curves/meltCurve_Q7Z478_DHX29.pdf")</f>
        <v>Melting_Curves/meltCurve_Q7Z478_DHX29.pdf</v>
      </c>
    </row>
    <row r="3839" spans="1:28" x14ac:dyDescent="0.25">
      <c r="A3839" t="s">
        <v>3843</v>
      </c>
      <c r="B3839">
        <v>0.99996721820229495</v>
      </c>
      <c r="C3839">
        <v>0.71195210531930397</v>
      </c>
      <c r="D3839">
        <v>0.73915653312973195</v>
      </c>
      <c r="E3839">
        <v>0.65131190995661103</v>
      </c>
      <c r="F3839">
        <v>0.70203513054753697</v>
      </c>
      <c r="G3839">
        <v>0.53762734938095103</v>
      </c>
      <c r="H3839">
        <v>0.332187038981961</v>
      </c>
      <c r="I3839">
        <v>0.31349488146078502</v>
      </c>
      <c r="J3839">
        <v>0.22562712721887501</v>
      </c>
      <c r="K3839">
        <v>0.14990106611322199</v>
      </c>
      <c r="L3839">
        <v>346.30738373546501</v>
      </c>
      <c r="M3839">
        <v>6.22172742771534</v>
      </c>
      <c r="N3839">
        <v>55.660969997937499</v>
      </c>
      <c r="O3839">
        <v>50.737574748017501</v>
      </c>
      <c r="P3839">
        <v>-3.0743590992000799E-2</v>
      </c>
      <c r="Q3839">
        <v>0</v>
      </c>
      <c r="R3839">
        <v>0.90927518180201905</v>
      </c>
      <c r="S3839" t="s">
        <v>9665</v>
      </c>
      <c r="T3839" t="s">
        <v>11650</v>
      </c>
      <c r="U3839" t="s">
        <v>11650</v>
      </c>
      <c r="V3839" t="s">
        <v>11650</v>
      </c>
      <c r="W3839" t="s">
        <v>15435</v>
      </c>
      <c r="X3839">
        <v>2</v>
      </c>
      <c r="Y3839" t="s">
        <v>21112</v>
      </c>
      <c r="Z3839" t="s">
        <v>26901</v>
      </c>
      <c r="AA3839">
        <v>0.54142575446917696</v>
      </c>
      <c r="AB3839" t="str">
        <f>HYPERLINK("Melting_Curves/meltCurve_Q7Z4F1_LRP10.pdf", "Melting_Curves/meltCurve_Q7Z4F1_LRP10.pdf")</f>
        <v>Melting_Curves/meltCurve_Q7Z4F1_LRP10.pdf</v>
      </c>
    </row>
    <row r="3840" spans="1:28" x14ac:dyDescent="0.25">
      <c r="A3840" t="s">
        <v>3844</v>
      </c>
      <c r="B3840">
        <v>0.99996721820229495</v>
      </c>
      <c r="C3840">
        <v>1.0613657809286099</v>
      </c>
      <c r="D3840">
        <v>1.0474530289958099</v>
      </c>
      <c r="E3840">
        <v>1.0311796742186199</v>
      </c>
      <c r="F3840">
        <v>1.1860898051565301</v>
      </c>
      <c r="G3840">
        <v>0.84511218754735695</v>
      </c>
      <c r="H3840">
        <v>0.42582154039776299</v>
      </c>
      <c r="I3840">
        <v>0.26981952749342702</v>
      </c>
      <c r="J3840">
        <v>0.22796287594279199</v>
      </c>
      <c r="K3840">
        <v>0.13527717044929599</v>
      </c>
      <c r="L3840">
        <v>2150.28012062789</v>
      </c>
      <c r="M3840">
        <v>36.0708401600263</v>
      </c>
      <c r="N3840">
        <v>60.364317328512001</v>
      </c>
      <c r="O3840">
        <v>59.4303642679237</v>
      </c>
      <c r="P3840">
        <v>-0.124285773408243</v>
      </c>
      <c r="Q3840">
        <v>0.18090893918745299</v>
      </c>
      <c r="R3840">
        <v>0.966923090937858</v>
      </c>
      <c r="S3840" t="s">
        <v>9666</v>
      </c>
      <c r="T3840" t="s">
        <v>11650</v>
      </c>
      <c r="U3840" t="s">
        <v>11650</v>
      </c>
      <c r="V3840" t="s">
        <v>11650</v>
      </c>
      <c r="W3840" t="s">
        <v>15436</v>
      </c>
      <c r="X3840">
        <v>4</v>
      </c>
      <c r="Y3840" t="s">
        <v>21113</v>
      </c>
      <c r="Z3840" t="s">
        <v>26902</v>
      </c>
      <c r="AA3840">
        <v>0.72024008114054727</v>
      </c>
      <c r="AB3840" t="str">
        <f>HYPERLINK("Melting_Curves/meltCurve_Q7Z4G1_COMMD6.pdf", "Melting_Curves/meltCurve_Q7Z4G1_COMMD6.pdf")</f>
        <v>Melting_Curves/meltCurve_Q7Z4G1_COMMD6.pdf</v>
      </c>
    </row>
    <row r="3841" spans="1:28" x14ac:dyDescent="0.25">
      <c r="A3841" t="s">
        <v>3845</v>
      </c>
      <c r="B3841">
        <v>0.99996721820229495</v>
      </c>
      <c r="C3841">
        <v>1.0193957733250201</v>
      </c>
      <c r="D3841">
        <v>1.14616601865447</v>
      </c>
      <c r="E3841">
        <v>1.2927812816259101</v>
      </c>
      <c r="F3841">
        <v>1.2127594984907499</v>
      </c>
      <c r="G3841">
        <v>0.57437965558940296</v>
      </c>
      <c r="H3841">
        <v>0.27831794640527602</v>
      </c>
      <c r="I3841">
        <v>0.16040260315198801</v>
      </c>
      <c r="J3841">
        <v>0.124654575388955</v>
      </c>
      <c r="K3841">
        <v>8.8147901238477197E-2</v>
      </c>
      <c r="L3841">
        <v>4736.5395819340702</v>
      </c>
      <c r="M3841">
        <v>83.110368123286605</v>
      </c>
      <c r="N3841">
        <v>57.2597207173486</v>
      </c>
      <c r="O3841">
        <v>56.958000249727903</v>
      </c>
      <c r="P3841">
        <v>-0.30587350480529901</v>
      </c>
      <c r="Q3841">
        <v>0.16150353991802699</v>
      </c>
      <c r="R3841">
        <v>0.92116459318333399</v>
      </c>
      <c r="S3841" t="s">
        <v>9667</v>
      </c>
      <c r="T3841" t="s">
        <v>11650</v>
      </c>
      <c r="U3841" t="s">
        <v>11650</v>
      </c>
      <c r="V3841" t="s">
        <v>11650</v>
      </c>
      <c r="W3841" t="s">
        <v>15437</v>
      </c>
      <c r="X3841">
        <v>3</v>
      </c>
      <c r="Y3841" t="s">
        <v>21114</v>
      </c>
      <c r="Z3841" t="s">
        <v>26903</v>
      </c>
      <c r="AA3841">
        <v>0.63715902966214799</v>
      </c>
      <c r="AB3841" t="str">
        <f>HYPERLINK("Melting_Curves/meltCurve_Q7Z4G4_2_TRMT11.pdf", "Melting_Curves/meltCurve_Q7Z4G4_2_TRMT11.pdf")</f>
        <v>Melting_Curves/meltCurve_Q7Z4G4_2_TRMT11.pdf</v>
      </c>
    </row>
    <row r="3842" spans="1:28" x14ac:dyDescent="0.25">
      <c r="A3842" t="s">
        <v>3846</v>
      </c>
      <c r="B3842">
        <v>0.99996721820229495</v>
      </c>
      <c r="C3842">
        <v>0.99173177511487998</v>
      </c>
      <c r="D3842">
        <v>0.92518022908613096</v>
      </c>
      <c r="E3842">
        <v>0.808857743180876</v>
      </c>
      <c r="F3842">
        <v>0.85895755079177305</v>
      </c>
      <c r="G3842">
        <v>0.776884256531295</v>
      </c>
      <c r="H3842">
        <v>0.46241117267172699</v>
      </c>
      <c r="I3842">
        <v>0.26041366476684202</v>
      </c>
      <c r="J3842">
        <v>0.20068876605668401</v>
      </c>
      <c r="K3842">
        <v>0.148302257014848</v>
      </c>
      <c r="L3842">
        <v>797.82309015884198</v>
      </c>
      <c r="M3842">
        <v>13.235034964734099</v>
      </c>
      <c r="N3842">
        <v>60.281147259573203</v>
      </c>
      <c r="O3842">
        <v>58.954796944700199</v>
      </c>
      <c r="P3842">
        <v>-5.6132904686393703E-2</v>
      </c>
      <c r="Q3842">
        <v>0</v>
      </c>
      <c r="R3842">
        <v>0.96863295181233899</v>
      </c>
      <c r="S3842" t="s">
        <v>9668</v>
      </c>
      <c r="T3842" t="s">
        <v>11650</v>
      </c>
      <c r="U3842" t="s">
        <v>11650</v>
      </c>
      <c r="V3842" t="s">
        <v>11650</v>
      </c>
      <c r="W3842" t="s">
        <v>15438</v>
      </c>
      <c r="X3842">
        <v>8</v>
      </c>
      <c r="Y3842" t="s">
        <v>21115</v>
      </c>
      <c r="Z3842" t="s">
        <v>26904</v>
      </c>
      <c r="AA3842">
        <v>0.67935456029238017</v>
      </c>
      <c r="AB3842" t="str">
        <f>HYPERLINK("Melting_Curves/meltCurve_Q7Z4H3_HDDC2.pdf", "Melting_Curves/meltCurve_Q7Z4H3_HDDC2.pdf")</f>
        <v>Melting_Curves/meltCurve_Q7Z4H3_HDDC2.pdf</v>
      </c>
    </row>
    <row r="3843" spans="1:28" x14ac:dyDescent="0.25">
      <c r="A3843" t="s">
        <v>3847</v>
      </c>
      <c r="B3843">
        <v>0.99996721820229495</v>
      </c>
      <c r="C3843">
        <v>0.89165733214041898</v>
      </c>
      <c r="D3843">
        <v>0.744246049017116</v>
      </c>
      <c r="E3843">
        <v>0.65122251094988404</v>
      </c>
      <c r="F3843">
        <v>0.832102255537022</v>
      </c>
      <c r="G3843">
        <v>0.82258723679496804</v>
      </c>
      <c r="H3843">
        <v>0.55827492436308501</v>
      </c>
      <c r="I3843">
        <v>0.56189504361346199</v>
      </c>
      <c r="J3843">
        <v>0.44708301801399197</v>
      </c>
      <c r="K3843">
        <v>0.36778062381499199</v>
      </c>
      <c r="L3843">
        <v>276.23007068967502</v>
      </c>
      <c r="M3843">
        <v>4.2006174325816001</v>
      </c>
      <c r="N3843">
        <v>65.759397369174394</v>
      </c>
      <c r="O3843">
        <v>54.804199297853202</v>
      </c>
      <c r="P3843">
        <v>-1.9372190483628999E-2</v>
      </c>
      <c r="Q3843">
        <v>0</v>
      </c>
      <c r="R3843">
        <v>0.78325196536255104</v>
      </c>
      <c r="S3843" t="s">
        <v>9669</v>
      </c>
      <c r="T3843" t="s">
        <v>11650</v>
      </c>
      <c r="U3843" t="s">
        <v>11650</v>
      </c>
      <c r="V3843" t="s">
        <v>11650</v>
      </c>
      <c r="W3843" t="s">
        <v>15439</v>
      </c>
      <c r="X3843">
        <v>1</v>
      </c>
      <c r="Y3843" t="s">
        <v>21116</v>
      </c>
      <c r="Z3843" t="s">
        <v>26905</v>
      </c>
      <c r="AA3843">
        <v>0.69314490749262092</v>
      </c>
      <c r="AB3843" t="str">
        <f>HYPERLINK("Melting_Curves/meltCurve_Q7Z4H7_3_HAUS6.pdf", "Melting_Curves/meltCurve_Q7Z4H7_3_HAUS6.pdf")</f>
        <v>Melting_Curves/meltCurve_Q7Z4H7_3_HAUS6.pdf</v>
      </c>
    </row>
    <row r="3844" spans="1:28" x14ac:dyDescent="0.25">
      <c r="A3844" t="s">
        <v>3848</v>
      </c>
      <c r="B3844">
        <v>0.99996721820229495</v>
      </c>
      <c r="C3844">
        <v>1.0892532954622201</v>
      </c>
      <c r="D3844">
        <v>1.0649740068829301</v>
      </c>
      <c r="E3844">
        <v>1.0035396088917701</v>
      </c>
      <c r="F3844">
        <v>0.372634275139613</v>
      </c>
      <c r="G3844">
        <v>0.26743173910257101</v>
      </c>
      <c r="H3844">
        <v>0.14923914454922799</v>
      </c>
      <c r="I3844">
        <v>9.0823437026807993E-2</v>
      </c>
      <c r="J3844">
        <v>5.6230642403776503E-2</v>
      </c>
      <c r="K3844">
        <v>5.0959118832775298E-2</v>
      </c>
      <c r="L3844">
        <v>5106.7157598716003</v>
      </c>
      <c r="M3844">
        <v>97.269720120216505</v>
      </c>
      <c r="N3844">
        <v>52.653066325032597</v>
      </c>
      <c r="O3844">
        <v>52.4783984635013</v>
      </c>
      <c r="P3844">
        <v>-0.40649702571241503</v>
      </c>
      <c r="Q3844">
        <v>0.12275646854021301</v>
      </c>
      <c r="R3844">
        <v>0.97695644915621305</v>
      </c>
      <c r="S3844" t="s">
        <v>9670</v>
      </c>
      <c r="T3844" t="s">
        <v>11650</v>
      </c>
      <c r="U3844" t="s">
        <v>11650</v>
      </c>
      <c r="V3844" t="s">
        <v>11650</v>
      </c>
      <c r="W3844" t="s">
        <v>15440</v>
      </c>
      <c r="X3844">
        <v>20</v>
      </c>
      <c r="Y3844" t="s">
        <v>21117</v>
      </c>
      <c r="Z3844" t="s">
        <v>26906</v>
      </c>
      <c r="AA3844">
        <v>0.48882586864370958</v>
      </c>
      <c r="AB3844" t="str">
        <f>HYPERLINK("Melting_Curves/meltCurve_Q7Z4H8_KDELC2.pdf", "Melting_Curves/meltCurve_Q7Z4H8_KDELC2.pdf")</f>
        <v>Melting_Curves/meltCurve_Q7Z4H8_KDELC2.pdf</v>
      </c>
    </row>
    <row r="3845" spans="1:28" x14ac:dyDescent="0.25">
      <c r="A3845" t="s">
        <v>3849</v>
      </c>
      <c r="B3845">
        <v>0.99996721820229495</v>
      </c>
      <c r="C3845">
        <v>0.84427906444082901</v>
      </c>
      <c r="D3845">
        <v>0.86766316592897197</v>
      </c>
      <c r="E3845">
        <v>0.73020830182354401</v>
      </c>
      <c r="F3845">
        <v>0.84297315799211403</v>
      </c>
      <c r="G3845">
        <v>0.56955916119065197</v>
      </c>
      <c r="H3845">
        <v>0.39178752491039998</v>
      </c>
      <c r="I3845">
        <v>0.208785848881965</v>
      </c>
      <c r="J3845">
        <v>8.1890560455719699E-2</v>
      </c>
      <c r="K3845">
        <v>5.46671486137136E-2</v>
      </c>
      <c r="L3845">
        <v>681.45337695712203</v>
      </c>
      <c r="M3845">
        <v>11.8325768287886</v>
      </c>
      <c r="N3845">
        <v>57.591281095286703</v>
      </c>
      <c r="O3845">
        <v>56.020226292404303</v>
      </c>
      <c r="P3845">
        <v>-5.2818372831188197E-2</v>
      </c>
      <c r="Q3845">
        <v>0</v>
      </c>
      <c r="R3845">
        <v>0.939088500246677</v>
      </c>
      <c r="S3845" t="s">
        <v>9671</v>
      </c>
      <c r="T3845" t="s">
        <v>11650</v>
      </c>
      <c r="U3845" t="s">
        <v>11650</v>
      </c>
      <c r="V3845" t="s">
        <v>11650</v>
      </c>
      <c r="W3845" t="s">
        <v>15441</v>
      </c>
      <c r="X3845">
        <v>9</v>
      </c>
      <c r="Y3845" t="s">
        <v>21118</v>
      </c>
      <c r="Z3845" t="s">
        <v>26907</v>
      </c>
      <c r="AA3845">
        <v>0.60075354367258715</v>
      </c>
      <c r="AB3845" t="str">
        <f>HYPERLINK("Melting_Curves/meltCurve_Q7Z4I7_LIMS2.pdf", "Melting_Curves/meltCurve_Q7Z4I7_LIMS2.pdf")</f>
        <v>Melting_Curves/meltCurve_Q7Z4I7_LIMS2.pdf</v>
      </c>
    </row>
    <row r="3846" spans="1:28" x14ac:dyDescent="0.25">
      <c r="A3846" t="s">
        <v>3850</v>
      </c>
      <c r="B3846">
        <v>0.99996721820229495</v>
      </c>
      <c r="C3846">
        <v>0.81405077834771</v>
      </c>
      <c r="D3846">
        <v>0.88468579084049903</v>
      </c>
      <c r="E3846">
        <v>0.54899765696869895</v>
      </c>
      <c r="F3846">
        <v>0.374773189630633</v>
      </c>
      <c r="G3846">
        <v>0.29773474965605301</v>
      </c>
      <c r="H3846">
        <v>0.217927271262847</v>
      </c>
      <c r="I3846">
        <v>0.19159593109738099</v>
      </c>
      <c r="J3846">
        <v>0.17166495472749599</v>
      </c>
      <c r="K3846">
        <v>0.12319783401672001</v>
      </c>
      <c r="L3846">
        <v>675.69702154228003</v>
      </c>
      <c r="M3846">
        <v>13.516037878002701</v>
      </c>
      <c r="N3846">
        <v>51.196880056038601</v>
      </c>
      <c r="O3846">
        <v>48.935958599113903</v>
      </c>
      <c r="P3846">
        <v>-5.9653569762670701E-2</v>
      </c>
      <c r="Q3846">
        <v>0.136207944651765</v>
      </c>
      <c r="R3846">
        <v>0.97651482377231602</v>
      </c>
      <c r="S3846" t="s">
        <v>9672</v>
      </c>
      <c r="T3846" t="s">
        <v>11650</v>
      </c>
      <c r="U3846" t="s">
        <v>11650</v>
      </c>
      <c r="V3846" t="s">
        <v>11650</v>
      </c>
      <c r="W3846" t="s">
        <v>15442</v>
      </c>
      <c r="X3846">
        <v>4</v>
      </c>
      <c r="Y3846" t="s">
        <v>21119</v>
      </c>
      <c r="Z3846" t="s">
        <v>26908</v>
      </c>
      <c r="AA3846">
        <v>0.44858001091687599</v>
      </c>
      <c r="AB3846" t="str">
        <f>HYPERLINK("Melting_Curves/meltCurve_Q7Z4Q2_HEATR3.pdf", "Melting_Curves/meltCurve_Q7Z4Q2_HEATR3.pdf")</f>
        <v>Melting_Curves/meltCurve_Q7Z4Q2_HEATR3.pdf</v>
      </c>
    </row>
    <row r="3847" spans="1:28" x14ac:dyDescent="0.25">
      <c r="A3847" t="s">
        <v>3851</v>
      </c>
      <c r="B3847">
        <v>0.99996721820229495</v>
      </c>
      <c r="C3847">
        <v>0.88087553518384898</v>
      </c>
      <c r="D3847">
        <v>1.1558624165445699</v>
      </c>
      <c r="E3847">
        <v>1.22417585765274</v>
      </c>
      <c r="F3847">
        <v>1.10779690334294</v>
      </c>
      <c r="G3847">
        <v>0.96895124672272204</v>
      </c>
      <c r="H3847">
        <v>0.66173178689660805</v>
      </c>
      <c r="I3847">
        <v>0.31809498651947898</v>
      </c>
      <c r="J3847">
        <v>0.55159469424379604</v>
      </c>
      <c r="K3847">
        <v>0.488920207237583</v>
      </c>
      <c r="L3847">
        <v>15000</v>
      </c>
      <c r="M3847">
        <v>246.38383195896799</v>
      </c>
      <c r="N3847">
        <v>61.4698496556069</v>
      </c>
      <c r="O3847">
        <v>60.876592139765698</v>
      </c>
      <c r="P3847">
        <v>-0.55359534393670096</v>
      </c>
      <c r="Q3847">
        <v>0.45286984243698503</v>
      </c>
      <c r="R3847">
        <v>0.85054253584014405</v>
      </c>
      <c r="S3847" t="s">
        <v>9673</v>
      </c>
      <c r="T3847" t="s">
        <v>11650</v>
      </c>
      <c r="U3847" t="s">
        <v>11650</v>
      </c>
      <c r="V3847" t="s">
        <v>11650</v>
      </c>
      <c r="W3847" t="s">
        <v>15443</v>
      </c>
      <c r="X3847">
        <v>22</v>
      </c>
      <c r="Y3847" t="s">
        <v>21120</v>
      </c>
      <c r="Z3847" t="s">
        <v>26909</v>
      </c>
      <c r="AA3847">
        <v>0.83374389314635322</v>
      </c>
      <c r="AB3847" t="str">
        <f>HYPERLINK("Melting_Curves/meltCurve_Q7Z4V5_HDGFRP2.pdf", "Melting_Curves/meltCurve_Q7Z4V5_HDGFRP2.pdf")</f>
        <v>Melting_Curves/meltCurve_Q7Z4V5_HDGFRP2.pdf</v>
      </c>
    </row>
    <row r="3848" spans="1:28" x14ac:dyDescent="0.25">
      <c r="A3848" t="s">
        <v>3852</v>
      </c>
      <c r="B3848">
        <v>0.99996721820229495</v>
      </c>
      <c r="C3848">
        <v>1.0054550249402301</v>
      </c>
      <c r="D3848">
        <v>1.0065169399360701</v>
      </c>
      <c r="E3848">
        <v>1.07635523693138</v>
      </c>
      <c r="F3848">
        <v>1.2486779686885401</v>
      </c>
      <c r="G3848">
        <v>0.74647770276819103</v>
      </c>
      <c r="H3848">
        <v>0.24774227239449201</v>
      </c>
      <c r="I3848">
        <v>0.147827481730536</v>
      </c>
      <c r="J3848">
        <v>9.6470929652636095E-2</v>
      </c>
      <c r="K3848">
        <v>8.6380551305598394E-2</v>
      </c>
      <c r="L3848">
        <v>2601.1345117395499</v>
      </c>
      <c r="M3848">
        <v>44.535502276151</v>
      </c>
      <c r="N3848">
        <v>58.726910862054197</v>
      </c>
      <c r="O3848">
        <v>58.288477306209501</v>
      </c>
      <c r="P3848">
        <v>-0.17037525076637899</v>
      </c>
      <c r="Q3848">
        <v>0.10804649640467801</v>
      </c>
      <c r="R3848">
        <v>0.96163470336494805</v>
      </c>
      <c r="S3848" t="s">
        <v>9674</v>
      </c>
      <c r="T3848" t="s">
        <v>11650</v>
      </c>
      <c r="U3848" t="s">
        <v>11650</v>
      </c>
      <c r="V3848" t="s">
        <v>11650</v>
      </c>
      <c r="W3848" t="s">
        <v>15444</v>
      </c>
      <c r="X3848">
        <v>11</v>
      </c>
      <c r="Y3848" t="s">
        <v>21121</v>
      </c>
      <c r="Z3848" t="s">
        <v>26910</v>
      </c>
      <c r="AA3848">
        <v>0.65814930347885581</v>
      </c>
      <c r="AB3848" t="str">
        <f>HYPERLINK("Melting_Curves/meltCurve_Q7Z4W1_DCXR.pdf", "Melting_Curves/meltCurve_Q7Z4W1_DCXR.pdf")</f>
        <v>Melting_Curves/meltCurve_Q7Z4W1_DCXR.pdf</v>
      </c>
    </row>
    <row r="3849" spans="1:28" x14ac:dyDescent="0.25">
      <c r="A3849" t="s">
        <v>3853</v>
      </c>
      <c r="B3849">
        <v>0.99996721820229495</v>
      </c>
      <c r="C3849">
        <v>0.70811349442473104</v>
      </c>
      <c r="D3849">
        <v>0.78033872019800399</v>
      </c>
      <c r="E3849">
        <v>0.96297820202933104</v>
      </c>
      <c r="F3849">
        <v>1.2673698583759301</v>
      </c>
      <c r="G3849">
        <v>1.0135060408930201</v>
      </c>
      <c r="H3849">
        <v>0.75755465363402197</v>
      </c>
      <c r="I3849">
        <v>0.47391082416943198</v>
      </c>
      <c r="J3849">
        <v>0.30137177193807002</v>
      </c>
      <c r="K3849">
        <v>0.25182141840565397</v>
      </c>
      <c r="L3849">
        <v>2322.2252573271498</v>
      </c>
      <c r="M3849">
        <v>37.201618692480302</v>
      </c>
      <c r="N3849">
        <v>63.573491985914202</v>
      </c>
      <c r="O3849">
        <v>62.243144083076601</v>
      </c>
      <c r="P3849">
        <v>-0.112810543061166</v>
      </c>
      <c r="Q3849">
        <v>0.24501531613917199</v>
      </c>
      <c r="R3849">
        <v>0.78564285954002899</v>
      </c>
      <c r="S3849" t="s">
        <v>9675</v>
      </c>
      <c r="T3849" t="s">
        <v>11650</v>
      </c>
      <c r="U3849" t="s">
        <v>11650</v>
      </c>
      <c r="V3849" t="s">
        <v>11650</v>
      </c>
      <c r="W3849" t="s">
        <v>15445</v>
      </c>
      <c r="X3849">
        <v>6</v>
      </c>
      <c r="Y3849" t="s">
        <v>21122</v>
      </c>
      <c r="Z3849" t="s">
        <v>26911</v>
      </c>
      <c r="AA3849">
        <v>0.81207975861173376</v>
      </c>
      <c r="AB3849" t="str">
        <f>HYPERLINK("Melting_Curves/meltCurve_Q7Z5G4_3_GOLGA7.pdf", "Melting_Curves/meltCurve_Q7Z5G4_3_GOLGA7.pdf")</f>
        <v>Melting_Curves/meltCurve_Q7Z5G4_3_GOLGA7.pdf</v>
      </c>
    </row>
    <row r="3850" spans="1:28" x14ac:dyDescent="0.25">
      <c r="A3850" t="s">
        <v>3854</v>
      </c>
      <c r="B3850">
        <v>0.99996721820229495</v>
      </c>
      <c r="C3850">
        <v>1.19070619250641</v>
      </c>
      <c r="D3850">
        <v>0.99917338920284904</v>
      </c>
      <c r="E3850">
        <v>0.67571293989099201</v>
      </c>
      <c r="F3850">
        <v>0.52125994264119901</v>
      </c>
      <c r="G3850">
        <v>0.59597762058614501</v>
      </c>
      <c r="H3850">
        <v>0.43550180162565699</v>
      </c>
      <c r="I3850">
        <v>0.35790189086079</v>
      </c>
      <c r="J3850">
        <v>0.30118946947111902</v>
      </c>
      <c r="K3850">
        <v>0.26834158514752099</v>
      </c>
      <c r="L3850">
        <v>852.01558559413104</v>
      </c>
      <c r="M3850">
        <v>16.4673971002473</v>
      </c>
      <c r="N3850">
        <v>55.350340006859803</v>
      </c>
      <c r="O3850">
        <v>50.994594484628301</v>
      </c>
      <c r="P3850">
        <v>-5.4156175769278003E-2</v>
      </c>
      <c r="Q3850">
        <v>0.32922512924409297</v>
      </c>
      <c r="R3850">
        <v>0.90024365719452304</v>
      </c>
      <c r="S3850" t="s">
        <v>9676</v>
      </c>
      <c r="T3850" t="s">
        <v>11650</v>
      </c>
      <c r="U3850" t="s">
        <v>11650</v>
      </c>
      <c r="V3850" t="s">
        <v>11650</v>
      </c>
      <c r="W3850" t="s">
        <v>15446</v>
      </c>
      <c r="X3850">
        <v>5</v>
      </c>
      <c r="Y3850" t="s">
        <v>21123</v>
      </c>
      <c r="Z3850" t="s">
        <v>26912</v>
      </c>
      <c r="AA3850">
        <v>0.60473375719511391</v>
      </c>
      <c r="AB3850" t="str">
        <f>HYPERLINK("Melting_Curves/meltCurve_Q7Z5K2_WAPAL.pdf", "Melting_Curves/meltCurve_Q7Z5K2_WAPAL.pdf")</f>
        <v>Melting_Curves/meltCurve_Q7Z5K2_WAPAL.pdf</v>
      </c>
    </row>
    <row r="3851" spans="1:28" x14ac:dyDescent="0.25">
      <c r="A3851" t="s">
        <v>3855</v>
      </c>
      <c r="B3851">
        <v>0.99996721820229495</v>
      </c>
      <c r="C3851">
        <v>0.887408743057018</v>
      </c>
      <c r="D3851">
        <v>0.67451226247344198</v>
      </c>
      <c r="E3851">
        <v>0.61043717316197699</v>
      </c>
      <c r="F3851">
        <v>0.53803228808631398</v>
      </c>
      <c r="G3851">
        <v>0.54800623636314205</v>
      </c>
      <c r="H3851">
        <v>0.46649263235588601</v>
      </c>
      <c r="I3851">
        <v>0.44464084115679398</v>
      </c>
      <c r="J3851">
        <v>0.401700614234963</v>
      </c>
      <c r="K3851">
        <v>0.29957280323310498</v>
      </c>
      <c r="L3851">
        <v>465.415638679719</v>
      </c>
      <c r="M3851">
        <v>9.6189879801997797</v>
      </c>
      <c r="N3851">
        <v>55.594490674432201</v>
      </c>
      <c r="O3851">
        <v>46.4325762343463</v>
      </c>
      <c r="P3851">
        <v>-3.3352427359970897E-2</v>
      </c>
      <c r="Q3851">
        <v>0.35637085988422401</v>
      </c>
      <c r="R3851">
        <v>0.93213606021336504</v>
      </c>
      <c r="S3851" t="s">
        <v>9677</v>
      </c>
      <c r="T3851" t="s">
        <v>11650</v>
      </c>
      <c r="U3851" t="s">
        <v>11650</v>
      </c>
      <c r="V3851" t="s">
        <v>11650</v>
      </c>
      <c r="W3851" t="s">
        <v>15447</v>
      </c>
      <c r="X3851">
        <v>6</v>
      </c>
      <c r="Y3851" t="s">
        <v>21124</v>
      </c>
      <c r="Z3851" t="s">
        <v>26913</v>
      </c>
      <c r="AA3851">
        <v>0.57131843827808604</v>
      </c>
      <c r="AB3851" t="str">
        <f>HYPERLINK("Melting_Curves/meltCurve_Q7Z5L2_2_R3HCC1L.pdf", "Melting_Curves/meltCurve_Q7Z5L2_2_R3HCC1L.pdf")</f>
        <v>Melting_Curves/meltCurve_Q7Z5L2_2_R3HCC1L.pdf</v>
      </c>
    </row>
    <row r="3852" spans="1:28" x14ac:dyDescent="0.25">
      <c r="A3852" t="s">
        <v>3856</v>
      </c>
      <c r="B3852">
        <v>0.99996721820229495</v>
      </c>
      <c r="C3852">
        <v>0.88282135968222797</v>
      </c>
      <c r="D3852">
        <v>1.00540006954262</v>
      </c>
      <c r="E3852">
        <v>0.94314960300964301</v>
      </c>
      <c r="F3852">
        <v>1.2559301572931301</v>
      </c>
      <c r="G3852">
        <v>1.06501641257374</v>
      </c>
      <c r="H3852">
        <v>0.71651137350985905</v>
      </c>
      <c r="I3852">
        <v>0.66316737541420701</v>
      </c>
      <c r="J3852">
        <v>0.73789649051924699</v>
      </c>
      <c r="K3852">
        <v>0.47627798205635202</v>
      </c>
      <c r="L3852">
        <v>8420.3202399197908</v>
      </c>
      <c r="M3852">
        <v>139.173658765829</v>
      </c>
      <c r="O3852">
        <v>60.4897458289553</v>
      </c>
      <c r="P3852">
        <v>-0.21531081772517699</v>
      </c>
      <c r="Q3852">
        <v>0.62567339990277204</v>
      </c>
      <c r="R3852">
        <v>0.73615352090849395</v>
      </c>
      <c r="S3852" t="s">
        <v>9678</v>
      </c>
      <c r="T3852" t="s">
        <v>11650</v>
      </c>
      <c r="U3852" t="s">
        <v>11650</v>
      </c>
      <c r="V3852" t="s">
        <v>11650</v>
      </c>
      <c r="W3852" t="s">
        <v>15448</v>
      </c>
      <c r="X3852">
        <v>1</v>
      </c>
      <c r="Y3852" t="s">
        <v>21125</v>
      </c>
      <c r="Z3852" t="s">
        <v>26914</v>
      </c>
      <c r="AA3852">
        <v>0.88161969890156688</v>
      </c>
      <c r="AB3852" t="str">
        <f>HYPERLINK("Melting_Curves/meltCurve_Q7Z5L7_PODN.pdf", "Melting_Curves/meltCurve_Q7Z5L7_PODN.pdf")</f>
        <v>Melting_Curves/meltCurve_Q7Z5L7_PODN.pdf</v>
      </c>
    </row>
    <row r="3853" spans="1:28" x14ac:dyDescent="0.25">
      <c r="A3853" t="s">
        <v>3857</v>
      </c>
      <c r="B3853">
        <v>0.99996721820229495</v>
      </c>
      <c r="C3853">
        <v>1.0173703789841599</v>
      </c>
      <c r="D3853">
        <v>0.95241944416812796</v>
      </c>
      <c r="E3853">
        <v>0.80569998606693205</v>
      </c>
      <c r="F3853">
        <v>0.96394980875972902</v>
      </c>
      <c r="G3853">
        <v>0.78851040316718501</v>
      </c>
      <c r="H3853">
        <v>0.55694253751363398</v>
      </c>
      <c r="I3853">
        <v>0.56152875312275097</v>
      </c>
      <c r="J3853">
        <v>0.44854264749380202</v>
      </c>
      <c r="K3853">
        <v>0.33782219775372402</v>
      </c>
      <c r="L3853">
        <v>540.37814247003803</v>
      </c>
      <c r="M3853">
        <v>8.3300378545908504</v>
      </c>
      <c r="N3853">
        <v>64.871028759007601</v>
      </c>
      <c r="O3853">
        <v>61.455219465982999</v>
      </c>
      <c r="P3853">
        <v>-3.3919564677121199E-2</v>
      </c>
      <c r="Q3853">
        <v>0</v>
      </c>
      <c r="R3853">
        <v>0.942564514481809</v>
      </c>
      <c r="S3853" t="s">
        <v>9679</v>
      </c>
      <c r="T3853" t="s">
        <v>11650</v>
      </c>
      <c r="U3853" t="s">
        <v>11650</v>
      </c>
      <c r="V3853" t="s">
        <v>11650</v>
      </c>
      <c r="W3853" t="s">
        <v>15449</v>
      </c>
      <c r="X3853">
        <v>5</v>
      </c>
      <c r="Y3853" t="s">
        <v>21126</v>
      </c>
      <c r="Z3853" t="s">
        <v>26915</v>
      </c>
      <c r="AA3853">
        <v>0.75940362177438381</v>
      </c>
      <c r="AB3853" t="str">
        <f>HYPERLINK("Melting_Curves/meltCurve_Q7Z5L9_2_IRF2BP2.pdf", "Melting_Curves/meltCurve_Q7Z5L9_2_IRF2BP2.pdf")</f>
        <v>Melting_Curves/meltCurve_Q7Z5L9_2_IRF2BP2.pdf</v>
      </c>
    </row>
    <row r="3854" spans="1:28" x14ac:dyDescent="0.25">
      <c r="A3854" t="s">
        <v>3858</v>
      </c>
      <c r="B3854">
        <v>0.99996721820229495</v>
      </c>
      <c r="C3854">
        <v>1.04912929536755</v>
      </c>
      <c r="D3854">
        <v>1.02336822524649</v>
      </c>
      <c r="E3854">
        <v>1.00232926617145</v>
      </c>
      <c r="F3854">
        <v>0.70198461279109803</v>
      </c>
      <c r="G3854">
        <v>0.49490995599443599</v>
      </c>
      <c r="H3854">
        <v>0.37841781468438601</v>
      </c>
      <c r="I3854">
        <v>0.26113024622452502</v>
      </c>
      <c r="J3854">
        <v>0.16766463985102301</v>
      </c>
      <c r="K3854">
        <v>0.188593204474923</v>
      </c>
      <c r="L3854">
        <v>1019.46095450519</v>
      </c>
      <c r="M3854">
        <v>18.265429150464598</v>
      </c>
      <c r="N3854">
        <v>57.147723079071902</v>
      </c>
      <c r="O3854">
        <v>55.157570910870902</v>
      </c>
      <c r="P3854">
        <v>-6.8421356584035697E-2</v>
      </c>
      <c r="Q3854">
        <v>0.17356864840295799</v>
      </c>
      <c r="R3854">
        <v>0.98097334088139898</v>
      </c>
      <c r="S3854" t="s">
        <v>9680</v>
      </c>
      <c r="T3854" t="s">
        <v>11650</v>
      </c>
      <c r="U3854" t="s">
        <v>11650</v>
      </c>
      <c r="V3854" t="s">
        <v>11650</v>
      </c>
      <c r="W3854" t="s">
        <v>15450</v>
      </c>
      <c r="X3854">
        <v>8</v>
      </c>
      <c r="Y3854" t="s">
        <v>21127</v>
      </c>
      <c r="Z3854" t="s">
        <v>26916</v>
      </c>
      <c r="AA3854">
        <v>0.62128335219403963</v>
      </c>
      <c r="AB3854" t="str">
        <f>HYPERLINK("Melting_Curves/meltCurve_Q7Z5R6_APBB1IP.pdf", "Melting_Curves/meltCurve_Q7Z5R6_APBB1IP.pdf")</f>
        <v>Melting_Curves/meltCurve_Q7Z5R6_APBB1IP.pdf</v>
      </c>
    </row>
    <row r="3855" spans="1:28" x14ac:dyDescent="0.25">
      <c r="A3855" t="s">
        <v>3859</v>
      </c>
      <c r="B3855">
        <v>0.99996721820229495</v>
      </c>
      <c r="C3855">
        <v>0.67306432279380501</v>
      </c>
      <c r="D3855">
        <v>0.58676801069042095</v>
      </c>
      <c r="E3855">
        <v>0.33478395779287101</v>
      </c>
      <c r="F3855">
        <v>0.34589168425167899</v>
      </c>
      <c r="G3855">
        <v>0.25261025745182802</v>
      </c>
      <c r="H3855">
        <v>0.27500330794236599</v>
      </c>
      <c r="I3855">
        <v>0.22977487751584399</v>
      </c>
      <c r="J3855">
        <v>0.17865365630912999</v>
      </c>
      <c r="K3855">
        <v>0.154132677724897</v>
      </c>
      <c r="L3855">
        <v>650.54472807852403</v>
      </c>
      <c r="M3855">
        <v>14.3441008622718</v>
      </c>
      <c r="N3855">
        <v>47.080650713559102</v>
      </c>
      <c r="O3855">
        <v>44.498621530464</v>
      </c>
      <c r="P3855">
        <v>-6.4103067763897806E-2</v>
      </c>
      <c r="Q3855">
        <v>0.20464728692676801</v>
      </c>
      <c r="R3855">
        <v>0.95556344736751297</v>
      </c>
      <c r="S3855" t="s">
        <v>9681</v>
      </c>
      <c r="T3855" t="s">
        <v>11650</v>
      </c>
      <c r="U3855" t="s">
        <v>11650</v>
      </c>
      <c r="V3855" t="s">
        <v>11650</v>
      </c>
      <c r="W3855" t="s">
        <v>15451</v>
      </c>
      <c r="X3855">
        <v>1</v>
      </c>
      <c r="Y3855" t="s">
        <v>21128</v>
      </c>
      <c r="Z3855" t="s">
        <v>26917</v>
      </c>
      <c r="AA3855">
        <v>0.37359935994760402</v>
      </c>
      <c r="AB3855" t="str">
        <f>HYPERLINK("Melting_Curves/meltCurve_Q7Z624_CAMKMT.pdf", "Melting_Curves/meltCurve_Q7Z624_CAMKMT.pdf")</f>
        <v>Melting_Curves/meltCurve_Q7Z624_CAMKMT.pdf</v>
      </c>
    </row>
    <row r="3856" spans="1:28" x14ac:dyDescent="0.25">
      <c r="A3856" t="s">
        <v>3860</v>
      </c>
      <c r="B3856">
        <v>0.99996721820229495</v>
      </c>
      <c r="C3856">
        <v>0.91299731199474898</v>
      </c>
      <c r="D3856">
        <v>0.89534758508741996</v>
      </c>
      <c r="E3856">
        <v>1.1452064995650799</v>
      </c>
      <c r="F3856">
        <v>0.95449496816752799</v>
      </c>
      <c r="G3856">
        <v>0.80324456526349197</v>
      </c>
      <c r="H3856">
        <v>0.573705435986956</v>
      </c>
      <c r="I3856">
        <v>0.50355961977249997</v>
      </c>
      <c r="J3856">
        <v>0.44344138128683303</v>
      </c>
      <c r="K3856">
        <v>0.40177072369718397</v>
      </c>
      <c r="L3856">
        <v>1493.51410617485</v>
      </c>
      <c r="M3856">
        <v>25.429447043245201</v>
      </c>
      <c r="N3856">
        <v>63.101343687284299</v>
      </c>
      <c r="O3856">
        <v>58.372084707593601</v>
      </c>
      <c r="P3856">
        <v>-6.3816211767469794E-2</v>
      </c>
      <c r="Q3856">
        <v>0.41405905468695597</v>
      </c>
      <c r="R3856">
        <v>0.93035834350553903</v>
      </c>
      <c r="S3856" t="s">
        <v>9682</v>
      </c>
      <c r="T3856" t="s">
        <v>11650</v>
      </c>
      <c r="U3856" t="s">
        <v>11650</v>
      </c>
      <c r="V3856" t="s">
        <v>11650</v>
      </c>
      <c r="W3856" t="s">
        <v>15452</v>
      </c>
      <c r="X3856">
        <v>20</v>
      </c>
      <c r="Y3856" t="s">
        <v>21129</v>
      </c>
      <c r="Z3856" t="s">
        <v>26918</v>
      </c>
      <c r="AA3856">
        <v>0.7847042899715736</v>
      </c>
      <c r="AB3856" t="str">
        <f>HYPERLINK("Melting_Curves/meltCurve_Q7Z6B0_2_CCDC91.pdf", "Melting_Curves/meltCurve_Q7Z6B0_2_CCDC91.pdf")</f>
        <v>Melting_Curves/meltCurve_Q7Z6B0_2_CCDC91.pdf</v>
      </c>
    </row>
    <row r="3857" spans="1:28" x14ac:dyDescent="0.25">
      <c r="A3857" t="s">
        <v>3861</v>
      </c>
      <c r="B3857">
        <v>0.99996721820229495</v>
      </c>
      <c r="C3857">
        <v>0.95975905427891195</v>
      </c>
      <c r="D3857">
        <v>0.98679203041492503</v>
      </c>
      <c r="E3857">
        <v>1.01465020329581</v>
      </c>
      <c r="F3857">
        <v>0.89031037652396305</v>
      </c>
      <c r="G3857">
        <v>0.76219731657120404</v>
      </c>
      <c r="H3857">
        <v>0.44962020516885098</v>
      </c>
      <c r="I3857">
        <v>0.27561826447337201</v>
      </c>
      <c r="J3857">
        <v>0.21503760598286301</v>
      </c>
      <c r="K3857">
        <v>0.164165567206769</v>
      </c>
      <c r="L3857">
        <v>1212.5590926501</v>
      </c>
      <c r="M3857">
        <v>20.399793521374299</v>
      </c>
      <c r="N3857">
        <v>60.290784093512499</v>
      </c>
      <c r="O3857">
        <v>58.877424380407</v>
      </c>
      <c r="P3857">
        <v>-7.5785858579058799E-2</v>
      </c>
      <c r="Q3857">
        <v>0.12510047802759799</v>
      </c>
      <c r="R3857">
        <v>0.99533875543102701</v>
      </c>
      <c r="S3857" t="s">
        <v>9683</v>
      </c>
      <c r="T3857" t="s">
        <v>11650</v>
      </c>
      <c r="U3857" t="s">
        <v>11650</v>
      </c>
      <c r="V3857" t="s">
        <v>11650</v>
      </c>
      <c r="W3857" t="s">
        <v>15453</v>
      </c>
      <c r="X3857">
        <v>14</v>
      </c>
      <c r="Y3857" t="s">
        <v>21130</v>
      </c>
      <c r="Z3857" t="s">
        <v>26919</v>
      </c>
      <c r="AA3857">
        <v>0.70015667821804006</v>
      </c>
      <c r="AB3857" t="str">
        <f>HYPERLINK("Melting_Curves/meltCurve_Q7Z6B7_SRGAP1.pdf", "Melting_Curves/meltCurve_Q7Z6B7_SRGAP1.pdf")</f>
        <v>Melting_Curves/meltCurve_Q7Z6B7_SRGAP1.pdf</v>
      </c>
    </row>
    <row r="3858" spans="1:28" x14ac:dyDescent="0.25">
      <c r="A3858" t="s">
        <v>3862</v>
      </c>
      <c r="B3858">
        <v>0.99996721820229495</v>
      </c>
      <c r="C3858">
        <v>0.97847745796103502</v>
      </c>
      <c r="D3858">
        <v>0.790872628088928</v>
      </c>
      <c r="E3858">
        <v>0.66239676085354304</v>
      </c>
      <c r="F3858">
        <v>0.61913067176680203</v>
      </c>
      <c r="G3858">
        <v>0.544710658617517</v>
      </c>
      <c r="H3858">
        <v>0.26599406590050001</v>
      </c>
      <c r="I3858">
        <v>0.202134545923876</v>
      </c>
      <c r="J3858">
        <v>0.112378479198932</v>
      </c>
      <c r="K3858">
        <v>8.0192470024902804E-2</v>
      </c>
      <c r="L3858">
        <v>518.62000069215605</v>
      </c>
      <c r="M3858">
        <v>9.4024888330519794</v>
      </c>
      <c r="N3858">
        <v>55.157736400653299</v>
      </c>
      <c r="O3858">
        <v>52.8353128744983</v>
      </c>
      <c r="P3858">
        <v>-4.45169568954836E-2</v>
      </c>
      <c r="Q3858">
        <v>0</v>
      </c>
      <c r="R3858">
        <v>0.97033944329616995</v>
      </c>
      <c r="S3858" t="s">
        <v>9684</v>
      </c>
      <c r="T3858" t="s">
        <v>11650</v>
      </c>
      <c r="U3858" t="s">
        <v>11650</v>
      </c>
      <c r="V3858" t="s">
        <v>11650</v>
      </c>
      <c r="W3858" t="s">
        <v>15454</v>
      </c>
      <c r="X3858">
        <v>3</v>
      </c>
      <c r="Y3858" t="s">
        <v>21131</v>
      </c>
      <c r="Z3858" t="s">
        <v>26920</v>
      </c>
      <c r="AA3858">
        <v>0.53085258034894101</v>
      </c>
      <c r="AB3858" t="str">
        <f>HYPERLINK("Melting_Curves/meltCurve_Q7Z6E9_4_RBBP6.pdf", "Melting_Curves/meltCurve_Q7Z6E9_4_RBBP6.pdf")</f>
        <v>Melting_Curves/meltCurve_Q7Z6E9_4_RBBP6.pdf</v>
      </c>
    </row>
    <row r="3859" spans="1:28" x14ac:dyDescent="0.25">
      <c r="A3859" t="s">
        <v>3863</v>
      </c>
      <c r="B3859">
        <v>0.99996721820229495</v>
      </c>
      <c r="C3859">
        <v>0.99264959127625796</v>
      </c>
      <c r="D3859">
        <v>0.74628840563125498</v>
      </c>
      <c r="E3859">
        <v>0.48871155697246599</v>
      </c>
      <c r="F3859">
        <v>0.50845671095397504</v>
      </c>
      <c r="G3859">
        <v>0.37654548121320502</v>
      </c>
      <c r="H3859">
        <v>0.23517566610279</v>
      </c>
      <c r="I3859">
        <v>0.191421765882439</v>
      </c>
      <c r="J3859">
        <v>0.19609914827376801</v>
      </c>
      <c r="K3859">
        <v>0.103433204014583</v>
      </c>
      <c r="L3859">
        <v>556.99999311161105</v>
      </c>
      <c r="M3859">
        <v>10.9698108935655</v>
      </c>
      <c r="N3859">
        <v>51.998192954143803</v>
      </c>
      <c r="O3859">
        <v>49.175866713209601</v>
      </c>
      <c r="P3859">
        <v>-4.9446306778871997E-2</v>
      </c>
      <c r="Q3859">
        <v>0.113663826939225</v>
      </c>
      <c r="R3859">
        <v>0.96605982627714004</v>
      </c>
      <c r="S3859" t="s">
        <v>9685</v>
      </c>
      <c r="T3859" t="s">
        <v>11650</v>
      </c>
      <c r="U3859" t="s">
        <v>11650</v>
      </c>
      <c r="V3859" t="s">
        <v>11650</v>
      </c>
      <c r="W3859" t="s">
        <v>15455</v>
      </c>
      <c r="X3859">
        <v>10</v>
      </c>
      <c r="Y3859" t="s">
        <v>21132</v>
      </c>
      <c r="Z3859" t="s">
        <v>26921</v>
      </c>
      <c r="AA3859">
        <v>0.46529532470806728</v>
      </c>
      <c r="AB3859" t="str">
        <f>HYPERLINK("Melting_Curves/meltCurve_Q7Z6J0_SH3RF1.pdf", "Melting_Curves/meltCurve_Q7Z6J0_SH3RF1.pdf")</f>
        <v>Melting_Curves/meltCurve_Q7Z6J0_SH3RF1.pdf</v>
      </c>
    </row>
    <row r="3860" spans="1:28" x14ac:dyDescent="0.25">
      <c r="A3860" t="s">
        <v>3864</v>
      </c>
      <c r="B3860">
        <v>0.99996721820229495</v>
      </c>
      <c r="C3860">
        <v>0.99613856988703198</v>
      </c>
      <c r="D3860">
        <v>1.01219074928969</v>
      </c>
      <c r="E3860">
        <v>1.02904067719837</v>
      </c>
      <c r="F3860">
        <v>1.2178671923478801</v>
      </c>
      <c r="G3860">
        <v>0.79113185427595401</v>
      </c>
      <c r="H3860">
        <v>0.33505150957820501</v>
      </c>
      <c r="I3860">
        <v>0.21287923245592799</v>
      </c>
      <c r="J3860">
        <v>0.163067648671711</v>
      </c>
      <c r="K3860">
        <v>0.203407293127044</v>
      </c>
      <c r="L3860">
        <v>2557.15294438308</v>
      </c>
      <c r="M3860">
        <v>43.618012333785103</v>
      </c>
      <c r="N3860">
        <v>59.272879310986802</v>
      </c>
      <c r="O3860">
        <v>58.503249777786699</v>
      </c>
      <c r="P3860">
        <v>-0.151096643842724</v>
      </c>
      <c r="Q3860">
        <v>0.189359534392021</v>
      </c>
      <c r="R3860">
        <v>0.96536166449757599</v>
      </c>
      <c r="S3860" t="s">
        <v>9686</v>
      </c>
      <c r="T3860" t="s">
        <v>11650</v>
      </c>
      <c r="U3860" t="s">
        <v>11650</v>
      </c>
      <c r="V3860" t="s">
        <v>11650</v>
      </c>
      <c r="W3860" t="s">
        <v>15456</v>
      </c>
      <c r="X3860">
        <v>9</v>
      </c>
      <c r="Y3860" t="s">
        <v>21133</v>
      </c>
      <c r="Z3860" t="s">
        <v>26922</v>
      </c>
      <c r="AA3860">
        <v>0.69537497856722474</v>
      </c>
      <c r="AB3860" t="str">
        <f>HYPERLINK("Melting_Curves/meltCurve_Q7Z6K3_PTAR1.pdf", "Melting_Curves/meltCurve_Q7Z6K3_PTAR1.pdf")</f>
        <v>Melting_Curves/meltCurve_Q7Z6K3_PTAR1.pdf</v>
      </c>
    </row>
    <row r="3861" spans="1:28" x14ac:dyDescent="0.25">
      <c r="A3861" t="s">
        <v>3865</v>
      </c>
      <c r="B3861">
        <v>0.99996721820229495</v>
      </c>
      <c r="C3861">
        <v>1.0106932278462599</v>
      </c>
      <c r="D3861">
        <v>0.98519818457903297</v>
      </c>
      <c r="E3861">
        <v>0.97142425146171996</v>
      </c>
      <c r="F3861">
        <v>0.89921265144643703</v>
      </c>
      <c r="G3861">
        <v>0.76585657963652598</v>
      </c>
      <c r="H3861">
        <v>0.46902820237935999</v>
      </c>
      <c r="I3861">
        <v>0.34589417116284699</v>
      </c>
      <c r="J3861">
        <v>0.28579409140797102</v>
      </c>
      <c r="K3861">
        <v>0.23350547023649201</v>
      </c>
      <c r="L3861">
        <v>1142.1364382824299</v>
      </c>
      <c r="M3861">
        <v>19.306273347610698</v>
      </c>
      <c r="N3861">
        <v>60.749241534746403</v>
      </c>
      <c r="O3861">
        <v>58.535083304373003</v>
      </c>
      <c r="P3861">
        <v>-6.61008960797385E-2</v>
      </c>
      <c r="Q3861">
        <v>0.19837937811319101</v>
      </c>
      <c r="R3861">
        <v>0.99790948085976705</v>
      </c>
      <c r="S3861" t="s">
        <v>9687</v>
      </c>
      <c r="T3861" t="s">
        <v>11650</v>
      </c>
      <c r="U3861" t="s">
        <v>11650</v>
      </c>
      <c r="V3861" t="s">
        <v>11650</v>
      </c>
      <c r="W3861" t="s">
        <v>15457</v>
      </c>
      <c r="X3861">
        <v>11</v>
      </c>
      <c r="Y3861" t="s">
        <v>21134</v>
      </c>
      <c r="Z3861" t="s">
        <v>26923</v>
      </c>
      <c r="AA3861">
        <v>0.7183419769925119</v>
      </c>
      <c r="AB3861" t="str">
        <f>HYPERLINK("Melting_Curves/meltCurve_Q7Z6K5_C15orf38.pdf", "Melting_Curves/meltCurve_Q7Z6K5_C15orf38.pdf")</f>
        <v>Melting_Curves/meltCurve_Q7Z6K5_C15orf38.pdf</v>
      </c>
    </row>
    <row r="3862" spans="1:28" x14ac:dyDescent="0.25">
      <c r="A3862" t="s">
        <v>3866</v>
      </c>
      <c r="B3862">
        <v>0.99996721820229495</v>
      </c>
      <c r="C3862">
        <v>0.96254940438133096</v>
      </c>
      <c r="D3862">
        <v>1.13302326892109</v>
      </c>
      <c r="E3862">
        <v>1.0046740227111399</v>
      </c>
      <c r="F3862">
        <v>0.49565364055337202</v>
      </c>
      <c r="G3862">
        <v>0.40722189445457502</v>
      </c>
      <c r="H3862">
        <v>0.29079120163990102</v>
      </c>
      <c r="I3862">
        <v>0.17021145140806901</v>
      </c>
      <c r="J3862">
        <v>0.148225651017723</v>
      </c>
      <c r="K3862">
        <v>0.115934859063583</v>
      </c>
      <c r="L3862">
        <v>1479.59274006686</v>
      </c>
      <c r="M3862">
        <v>27.783272641635801</v>
      </c>
      <c r="N3862">
        <v>54.159579182769598</v>
      </c>
      <c r="O3862">
        <v>52.981201408482299</v>
      </c>
      <c r="P3862">
        <v>-0.106760363668047</v>
      </c>
      <c r="Q3862">
        <v>0.185662211551401</v>
      </c>
      <c r="R3862">
        <v>0.94852609846040403</v>
      </c>
      <c r="S3862" t="s">
        <v>9688</v>
      </c>
      <c r="T3862" t="s">
        <v>11650</v>
      </c>
      <c r="U3862" t="s">
        <v>11650</v>
      </c>
      <c r="V3862" t="s">
        <v>11650</v>
      </c>
      <c r="W3862" t="s">
        <v>15458</v>
      </c>
      <c r="X3862">
        <v>6</v>
      </c>
      <c r="Y3862" t="s">
        <v>21135</v>
      </c>
      <c r="Z3862" t="s">
        <v>26924</v>
      </c>
      <c r="AA3862">
        <v>0.55160772617539133</v>
      </c>
      <c r="AB3862" t="str">
        <f>HYPERLINK("Melting_Curves/meltCurve_Q7Z6L1_TECPR1.pdf", "Melting_Curves/meltCurve_Q7Z6L1_TECPR1.pdf")</f>
        <v>Melting_Curves/meltCurve_Q7Z6L1_TECPR1.pdf</v>
      </c>
    </row>
    <row r="3863" spans="1:28" x14ac:dyDescent="0.25">
      <c r="A3863" t="s">
        <v>3867</v>
      </c>
      <c r="B3863">
        <v>0.99996721820229495</v>
      </c>
      <c r="C3863">
        <v>1.0101444472074399</v>
      </c>
      <c r="D3863">
        <v>0.97850544418988195</v>
      </c>
      <c r="E3863">
        <v>0.922280798618066</v>
      </c>
      <c r="F3863">
        <v>1.11866364773036</v>
      </c>
      <c r="G3863">
        <v>1.0016216242305001</v>
      </c>
      <c r="H3863">
        <v>0.57243258166649702</v>
      </c>
      <c r="I3863">
        <v>0.322259994122997</v>
      </c>
      <c r="J3863">
        <v>0.20009273119260301</v>
      </c>
      <c r="K3863">
        <v>0.130678505664793</v>
      </c>
      <c r="L3863">
        <v>2355.0433356857302</v>
      </c>
      <c r="M3863">
        <v>38.488819838345101</v>
      </c>
      <c r="N3863">
        <v>61.789998548664201</v>
      </c>
      <c r="O3863">
        <v>61.023247833480198</v>
      </c>
      <c r="P3863">
        <v>-0.133019466503455</v>
      </c>
      <c r="Q3863">
        <v>0.15640330801649099</v>
      </c>
      <c r="R3863">
        <v>0.97934859727689605</v>
      </c>
      <c r="S3863" t="s">
        <v>9689</v>
      </c>
      <c r="T3863" t="s">
        <v>11650</v>
      </c>
      <c r="U3863" t="s">
        <v>11650</v>
      </c>
      <c r="V3863" t="s">
        <v>11650</v>
      </c>
      <c r="W3863" t="s">
        <v>15459</v>
      </c>
      <c r="X3863">
        <v>18</v>
      </c>
      <c r="Y3863" t="s">
        <v>21136</v>
      </c>
      <c r="Z3863" t="s">
        <v>26925</v>
      </c>
      <c r="AA3863">
        <v>0.75556888299373659</v>
      </c>
      <c r="AB3863" t="str">
        <f>HYPERLINK("Melting_Curves/meltCurve_Q7Z6M1_RABEPK.pdf", "Melting_Curves/meltCurve_Q7Z6M1_RABEPK.pdf")</f>
        <v>Melting_Curves/meltCurve_Q7Z6M1_RABEPK.pdf</v>
      </c>
    </row>
    <row r="3864" spans="1:28" x14ac:dyDescent="0.25">
      <c r="A3864" t="s">
        <v>3868</v>
      </c>
      <c r="B3864">
        <v>0.99996721820229495</v>
      </c>
      <c r="C3864">
        <v>0.88415447141746195</v>
      </c>
      <c r="D3864">
        <v>0.89151804401331103</v>
      </c>
      <c r="E3864">
        <v>1.1168610986257299</v>
      </c>
      <c r="F3864">
        <v>1.2491532681989701</v>
      </c>
      <c r="G3864">
        <v>1.2100262361887499</v>
      </c>
      <c r="H3864">
        <v>0.98271271207208699</v>
      </c>
      <c r="I3864">
        <v>0.79832163575438098</v>
      </c>
      <c r="J3864">
        <v>0.629422121898361</v>
      </c>
      <c r="K3864">
        <v>0.582917821628818</v>
      </c>
      <c r="L3864">
        <v>3716.8658164334902</v>
      </c>
      <c r="M3864">
        <v>57.996230937971902</v>
      </c>
      <c r="O3864">
        <v>64.011994302142398</v>
      </c>
      <c r="P3864">
        <v>-9.3282260358951402E-2</v>
      </c>
      <c r="Q3864">
        <v>0.58816767126927405</v>
      </c>
      <c r="R3864">
        <v>0.68007837824105899</v>
      </c>
      <c r="S3864" t="s">
        <v>9690</v>
      </c>
      <c r="T3864" t="s">
        <v>11650</v>
      </c>
      <c r="U3864" t="s">
        <v>11650</v>
      </c>
      <c r="V3864" t="s">
        <v>11650</v>
      </c>
      <c r="W3864" t="s">
        <v>15460</v>
      </c>
      <c r="X3864">
        <v>8</v>
      </c>
      <c r="Y3864" t="s">
        <v>21137</v>
      </c>
      <c r="Z3864" t="s">
        <v>26926</v>
      </c>
      <c r="AA3864">
        <v>0.91956654978250307</v>
      </c>
      <c r="AB3864" t="str">
        <f>HYPERLINK("Melting_Curves/meltCurve_Q7Z6M3_MILR1.pdf", "Melting_Curves/meltCurve_Q7Z6M3_MILR1.pdf")</f>
        <v>Melting_Curves/meltCurve_Q7Z6M3_MILR1.pdf</v>
      </c>
    </row>
    <row r="3865" spans="1:28" x14ac:dyDescent="0.25">
      <c r="A3865" t="s">
        <v>3869</v>
      </c>
      <c r="B3865">
        <v>0.99996721820229495</v>
      </c>
      <c r="C3865">
        <v>1.0699500428858</v>
      </c>
      <c r="D3865">
        <v>1.0017667420098599</v>
      </c>
      <c r="E3865">
        <v>0.98423960315719805</v>
      </c>
      <c r="F3865">
        <v>0.98135390972491598</v>
      </c>
      <c r="G3865">
        <v>1.67966697862256</v>
      </c>
      <c r="H3865">
        <v>1.3470607163380699</v>
      </c>
      <c r="I3865">
        <v>1.2471520395654401</v>
      </c>
      <c r="J3865">
        <v>1.0425030452947901</v>
      </c>
      <c r="K3865">
        <v>0.87765722173658201</v>
      </c>
      <c r="L3865">
        <v>7742.6376465210396</v>
      </c>
      <c r="M3865">
        <v>142.413208191976</v>
      </c>
      <c r="O3865">
        <v>54.356693670555998</v>
      </c>
      <c r="P3865">
        <v>0.15629763658610801</v>
      </c>
      <c r="Q3865">
        <v>1.23862456951914</v>
      </c>
      <c r="R3865">
        <v>0.25865643866781401</v>
      </c>
      <c r="S3865" t="s">
        <v>9691</v>
      </c>
      <c r="T3865" t="s">
        <v>11650</v>
      </c>
      <c r="U3865" t="s">
        <v>11650</v>
      </c>
      <c r="V3865" t="s">
        <v>11650</v>
      </c>
      <c r="W3865" t="s">
        <v>15461</v>
      </c>
      <c r="X3865">
        <v>1</v>
      </c>
      <c r="Y3865" t="s">
        <v>21138</v>
      </c>
      <c r="Z3865" t="s">
        <v>26927</v>
      </c>
      <c r="AA3865">
        <v>1.12427378636485</v>
      </c>
      <c r="AB3865" t="str">
        <f>HYPERLINK("Melting_Curves/meltCurve_Q7Z6M4_MTERFD2.pdf", "Melting_Curves/meltCurve_Q7Z6M4_MTERFD2.pdf")</f>
        <v>Melting_Curves/meltCurve_Q7Z6M4_MTERFD2.pdf</v>
      </c>
    </row>
    <row r="3866" spans="1:28" x14ac:dyDescent="0.25">
      <c r="A3866" t="s">
        <v>3870</v>
      </c>
      <c r="B3866">
        <v>0.99996721820229495</v>
      </c>
      <c r="C3866">
        <v>1.0093044136514799</v>
      </c>
      <c r="D3866">
        <v>1.2295886004710399</v>
      </c>
      <c r="E3866">
        <v>1.9239570116297</v>
      </c>
      <c r="F3866">
        <v>1.0090953907943401</v>
      </c>
      <c r="G3866">
        <v>0.75975230139210104</v>
      </c>
      <c r="H3866">
        <v>0.37004507113434598</v>
      </c>
      <c r="I3866">
        <v>0.25982646419291699</v>
      </c>
      <c r="J3866">
        <v>0.20289465125925699</v>
      </c>
      <c r="K3866">
        <v>0.16537049693045899</v>
      </c>
      <c r="L3866">
        <v>2133.0356197144602</v>
      </c>
      <c r="M3866">
        <v>36.377927584700103</v>
      </c>
      <c r="N3866">
        <v>59.447423162782101</v>
      </c>
      <c r="O3866">
        <v>58.459090208448998</v>
      </c>
      <c r="P3866">
        <v>-0.12511203298509199</v>
      </c>
      <c r="Q3866">
        <v>0.19578557792621801</v>
      </c>
      <c r="R3866">
        <v>0.67537169430349098</v>
      </c>
      <c r="S3866" t="s">
        <v>9692</v>
      </c>
      <c r="T3866" t="s">
        <v>11650</v>
      </c>
      <c r="U3866" t="s">
        <v>11650</v>
      </c>
      <c r="V3866" t="s">
        <v>11650</v>
      </c>
      <c r="W3866" t="s">
        <v>15462</v>
      </c>
      <c r="X3866">
        <v>22</v>
      </c>
      <c r="Y3866" t="s">
        <v>21139</v>
      </c>
      <c r="Z3866" t="s">
        <v>26928</v>
      </c>
      <c r="AA3866">
        <v>0.69911815994642446</v>
      </c>
      <c r="AB3866" t="str">
        <f>HYPERLINK("Melting_Curves/meltCurve_Q7Z6Z7_2_HUWE1.pdf", "Melting_Curves/meltCurve_Q7Z6Z7_2_HUWE1.pdf")</f>
        <v>Melting_Curves/meltCurve_Q7Z6Z7_2_HUWE1.pdf</v>
      </c>
    </row>
    <row r="3867" spans="1:28" x14ac:dyDescent="0.25">
      <c r="A3867" t="s">
        <v>3871</v>
      </c>
      <c r="B3867">
        <v>0.99996721820229495</v>
      </c>
      <c r="C3867">
        <v>1.02734381204142</v>
      </c>
      <c r="D3867">
        <v>1.0270782974053501</v>
      </c>
      <c r="E3867">
        <v>1.09891979578454</v>
      </c>
      <c r="F3867">
        <v>0.82015186975051102</v>
      </c>
      <c r="G3867">
        <v>0.81000402607492505</v>
      </c>
      <c r="H3867">
        <v>0.34534847922206802</v>
      </c>
      <c r="I3867">
        <v>0.20782609131738</v>
      </c>
      <c r="J3867">
        <v>0.21714064660193899</v>
      </c>
      <c r="K3867">
        <v>0.16262207281473501</v>
      </c>
      <c r="L3867">
        <v>1787.01851143044</v>
      </c>
      <c r="M3867">
        <v>30.422366679102801</v>
      </c>
      <c r="N3867">
        <v>59.515129736715799</v>
      </c>
      <c r="O3867">
        <v>58.488228532985502</v>
      </c>
      <c r="P3867">
        <v>-0.108773074428448</v>
      </c>
      <c r="Q3867">
        <v>0.163522618439912</v>
      </c>
      <c r="R3867">
        <v>0.97163682744481805</v>
      </c>
      <c r="S3867" t="s">
        <v>9693</v>
      </c>
      <c r="T3867" t="s">
        <v>11650</v>
      </c>
      <c r="U3867" t="s">
        <v>11650</v>
      </c>
      <c r="V3867" t="s">
        <v>11650</v>
      </c>
      <c r="W3867" t="s">
        <v>15463</v>
      </c>
      <c r="X3867">
        <v>2</v>
      </c>
      <c r="Y3867" t="s">
        <v>21140</v>
      </c>
      <c r="Z3867" t="s">
        <v>26929</v>
      </c>
      <c r="AA3867">
        <v>0.69134004459385257</v>
      </c>
      <c r="AB3867" t="str">
        <f>HYPERLINK("Melting_Curves/meltCurve_Q7Z7A3_CTU1.pdf", "Melting_Curves/meltCurve_Q7Z7A3_CTU1.pdf")</f>
        <v>Melting_Curves/meltCurve_Q7Z7A3_CTU1.pdf</v>
      </c>
    </row>
    <row r="3868" spans="1:28" x14ac:dyDescent="0.25">
      <c r="A3868" t="s">
        <v>3872</v>
      </c>
      <c r="B3868">
        <v>0.99996721820229495</v>
      </c>
      <c r="C3868">
        <v>1.0159064033460901</v>
      </c>
      <c r="D3868">
        <v>0.917266086653171</v>
      </c>
      <c r="E3868">
        <v>0.72911830789938703</v>
      </c>
      <c r="F3868">
        <v>0.33139800469431102</v>
      </c>
      <c r="G3868">
        <v>0.293551560521705</v>
      </c>
      <c r="H3868">
        <v>0.16220788672005099</v>
      </c>
      <c r="I3868">
        <v>0.10316362509778799</v>
      </c>
      <c r="J3868">
        <v>5.5932314261804103E-2</v>
      </c>
      <c r="K3868">
        <v>8.3095404591485594E-2</v>
      </c>
      <c r="L3868">
        <v>1028.8329956478699</v>
      </c>
      <c r="M3868">
        <v>19.964456343411701</v>
      </c>
      <c r="N3868">
        <v>52.059863248834503</v>
      </c>
      <c r="O3868">
        <v>51.024550924534502</v>
      </c>
      <c r="P3868">
        <v>-8.8877101463329597E-2</v>
      </c>
      <c r="Q3868">
        <v>9.1432187115285696E-2</v>
      </c>
      <c r="R3868">
        <v>0.98454157082208904</v>
      </c>
      <c r="S3868" t="s">
        <v>9694</v>
      </c>
      <c r="T3868" t="s">
        <v>11650</v>
      </c>
      <c r="U3868" t="s">
        <v>11650</v>
      </c>
      <c r="V3868" t="s">
        <v>11650</v>
      </c>
      <c r="W3868" t="s">
        <v>15464</v>
      </c>
      <c r="X3868">
        <v>3</v>
      </c>
      <c r="Y3868" t="s">
        <v>21141</v>
      </c>
      <c r="Z3868" t="s">
        <v>26930</v>
      </c>
      <c r="AA3868">
        <v>0.45335839785108972</v>
      </c>
      <c r="AB3868" t="str">
        <f>HYPERLINK("Melting_Curves/meltCurve_Q7Z7A4_PXK.pdf", "Melting_Curves/meltCurve_Q7Z7A4_PXK.pdf")</f>
        <v>Melting_Curves/meltCurve_Q7Z7A4_PXK.pdf</v>
      </c>
    </row>
    <row r="3869" spans="1:28" x14ac:dyDescent="0.25">
      <c r="A3869" t="s">
        <v>3873</v>
      </c>
      <c r="B3869">
        <v>0.99996721820229495</v>
      </c>
      <c r="C3869">
        <v>1.3895347751999401</v>
      </c>
      <c r="D3869">
        <v>0.89917395821323998</v>
      </c>
      <c r="E3869">
        <v>1.26288882766352</v>
      </c>
      <c r="F3869">
        <v>1.6514405542022299</v>
      </c>
      <c r="G3869">
        <v>1.3013246469430599</v>
      </c>
      <c r="H3869">
        <v>0.98924429721588703</v>
      </c>
      <c r="I3869">
        <v>1.3569363125240399</v>
      </c>
      <c r="J3869">
        <v>0.59021830850000301</v>
      </c>
      <c r="K3869">
        <v>0.56024658673507099</v>
      </c>
      <c r="L3869">
        <v>15000</v>
      </c>
      <c r="M3869">
        <v>226.38909296685699</v>
      </c>
      <c r="O3869">
        <v>66.252439470950804</v>
      </c>
      <c r="P3869">
        <v>-0.37694326971998099</v>
      </c>
      <c r="Q3869">
        <v>0.55875240400858495</v>
      </c>
      <c r="R3869">
        <v>0.22999069520241699</v>
      </c>
      <c r="S3869" t="s">
        <v>9695</v>
      </c>
      <c r="T3869" t="s">
        <v>11650</v>
      </c>
      <c r="U3869" t="s">
        <v>11650</v>
      </c>
      <c r="V3869" t="s">
        <v>11650</v>
      </c>
      <c r="W3869" t="s">
        <v>15465</v>
      </c>
      <c r="X3869">
        <v>1</v>
      </c>
      <c r="Y3869" t="s">
        <v>21142</v>
      </c>
      <c r="Z3869" t="s">
        <v>26931</v>
      </c>
      <c r="AA3869">
        <v>0.94501851069741438</v>
      </c>
      <c r="AB3869" t="str">
        <f>HYPERLINK("Melting_Curves/meltCurve_Q7Z7C8_TAF8.pdf", "Melting_Curves/meltCurve_Q7Z7C8_TAF8.pdf")</f>
        <v>Melting_Curves/meltCurve_Q7Z7C8_TAF8.pdf</v>
      </c>
    </row>
    <row r="3870" spans="1:28" x14ac:dyDescent="0.25">
      <c r="A3870" t="s">
        <v>3874</v>
      </c>
      <c r="B3870">
        <v>0.99996721820229495</v>
      </c>
      <c r="C3870">
        <v>1.0345018059301301</v>
      </c>
      <c r="D3870">
        <v>1.0062558202656</v>
      </c>
      <c r="E3870">
        <v>0.83820861252337497</v>
      </c>
      <c r="F3870">
        <v>0.56442460433341402</v>
      </c>
      <c r="G3870">
        <v>0.490414807933712</v>
      </c>
      <c r="H3870">
        <v>0.32524747852693597</v>
      </c>
      <c r="I3870">
        <v>0.175696095561342</v>
      </c>
      <c r="J3870">
        <v>9.8762768997563297E-2</v>
      </c>
      <c r="K3870">
        <v>9.93379246101809E-2</v>
      </c>
      <c r="L3870">
        <v>702.42718310306896</v>
      </c>
      <c r="M3870">
        <v>12.579988595638</v>
      </c>
      <c r="N3870">
        <v>56.057156772394102</v>
      </c>
      <c r="O3870">
        <v>54.482284208121897</v>
      </c>
      <c r="P3870">
        <v>-5.6344435998416403E-2</v>
      </c>
      <c r="Q3870">
        <v>2.41145447356476E-2</v>
      </c>
      <c r="R3870">
        <v>0.981214131145829</v>
      </c>
      <c r="S3870" t="s">
        <v>9696</v>
      </c>
      <c r="T3870" t="s">
        <v>11650</v>
      </c>
      <c r="U3870" t="s">
        <v>11650</v>
      </c>
      <c r="V3870" t="s">
        <v>11650</v>
      </c>
      <c r="W3870" t="s">
        <v>15466</v>
      </c>
      <c r="X3870">
        <v>7</v>
      </c>
      <c r="Y3870" t="s">
        <v>21143</v>
      </c>
      <c r="Z3870" t="s">
        <v>26932</v>
      </c>
      <c r="AA3870">
        <v>0.55922229417340008</v>
      </c>
      <c r="AB3870" t="str">
        <f>HYPERLINK("Melting_Curves/meltCurve_Q7Z7E8_UBE2Q1.pdf", "Melting_Curves/meltCurve_Q7Z7E8_UBE2Q1.pdf")</f>
        <v>Melting_Curves/meltCurve_Q7Z7E8_UBE2Q1.pdf</v>
      </c>
    </row>
    <row r="3871" spans="1:28" x14ac:dyDescent="0.25">
      <c r="A3871" t="s">
        <v>3875</v>
      </c>
      <c r="B3871">
        <v>0.99996721820229495</v>
      </c>
      <c r="C3871">
        <v>0.67794639654576205</v>
      </c>
      <c r="D3871">
        <v>0.44747252752497801</v>
      </c>
      <c r="E3871">
        <v>0.81349847745201798</v>
      </c>
      <c r="F3871">
        <v>0.32693955236500399</v>
      </c>
      <c r="G3871">
        <v>0.19571152532644401</v>
      </c>
      <c r="H3871">
        <v>0.17373256663814299</v>
      </c>
      <c r="I3871">
        <v>0.20486321168043001</v>
      </c>
      <c r="J3871">
        <v>0.14143262895870601</v>
      </c>
      <c r="K3871">
        <v>0.17657673545021599</v>
      </c>
      <c r="L3871">
        <v>389.37534675462098</v>
      </c>
      <c r="M3871">
        <v>7.9374906679341501</v>
      </c>
      <c r="N3871">
        <v>49.747137441112599</v>
      </c>
      <c r="O3871">
        <v>46.234789681356197</v>
      </c>
      <c r="P3871">
        <v>-4.0723792015438097E-2</v>
      </c>
      <c r="Q3871">
        <v>5.2262024316621102E-2</v>
      </c>
      <c r="R3871">
        <v>0.78141252617988999</v>
      </c>
      <c r="S3871" t="s">
        <v>9697</v>
      </c>
      <c r="T3871" t="s">
        <v>11650</v>
      </c>
      <c r="U3871" t="s">
        <v>11650</v>
      </c>
      <c r="V3871" t="s">
        <v>11650</v>
      </c>
      <c r="W3871" t="s">
        <v>15467</v>
      </c>
      <c r="X3871">
        <v>2</v>
      </c>
      <c r="Y3871" t="s">
        <v>21144</v>
      </c>
      <c r="Z3871" t="s">
        <v>26933</v>
      </c>
      <c r="AA3871">
        <v>0.4011413332292379</v>
      </c>
      <c r="AB3871" t="str">
        <f>HYPERLINK("Melting_Curves/meltCurve_Q7Z7F0_4_KIAA0907.pdf", "Melting_Curves/meltCurve_Q7Z7F0_4_KIAA0907.pdf")</f>
        <v>Melting_Curves/meltCurve_Q7Z7F0_4_KIAA0907.pdf</v>
      </c>
    </row>
    <row r="3872" spans="1:28" x14ac:dyDescent="0.25">
      <c r="A3872" t="s">
        <v>3876</v>
      </c>
      <c r="B3872">
        <v>0.99996721820229495</v>
      </c>
      <c r="C3872">
        <v>0.78037490575207902</v>
      </c>
      <c r="D3872">
        <v>1.0837707703681601</v>
      </c>
      <c r="E3872">
        <v>1.10275690331687</v>
      </c>
      <c r="F3872">
        <v>1.3443354802798999</v>
      </c>
      <c r="G3872">
        <v>1.2187705062626299</v>
      </c>
      <c r="H3872">
        <v>0.54834678511234203</v>
      </c>
      <c r="I3872">
        <v>0.27292961013189698</v>
      </c>
      <c r="J3872">
        <v>0.165439070690198</v>
      </c>
      <c r="K3872">
        <v>0.112140391456362</v>
      </c>
      <c r="L3872">
        <v>4613.7677851334402</v>
      </c>
      <c r="M3872">
        <v>75.761783269525296</v>
      </c>
      <c r="N3872">
        <v>61.243925096036101</v>
      </c>
      <c r="O3872">
        <v>60.855963227559599</v>
      </c>
      <c r="P3872">
        <v>-0.25710254906570701</v>
      </c>
      <c r="Q3872">
        <v>0.17392543080669001</v>
      </c>
      <c r="R3872">
        <v>0.87044650845247795</v>
      </c>
      <c r="S3872" t="s">
        <v>9698</v>
      </c>
      <c r="T3872" t="s">
        <v>11650</v>
      </c>
      <c r="U3872" t="s">
        <v>11650</v>
      </c>
      <c r="V3872" t="s">
        <v>11650</v>
      </c>
      <c r="W3872" t="s">
        <v>15468</v>
      </c>
      <c r="X3872">
        <v>10</v>
      </c>
      <c r="Y3872" t="s">
        <v>21145</v>
      </c>
      <c r="Z3872" t="s">
        <v>26934</v>
      </c>
      <c r="AA3872">
        <v>0.75034054772887626</v>
      </c>
      <c r="AB3872" t="str">
        <f>HYPERLINK("Melting_Curves/meltCurve_Q7Z7H5_3_TMED4.pdf", "Melting_Curves/meltCurve_Q7Z7H5_3_TMED4.pdf")</f>
        <v>Melting_Curves/meltCurve_Q7Z7H5_3_TMED4.pdf</v>
      </c>
    </row>
    <row r="3873" spans="1:28" x14ac:dyDescent="0.25">
      <c r="A3873" t="s">
        <v>3877</v>
      </c>
      <c r="B3873">
        <v>0.99996721820229495</v>
      </c>
      <c r="C3873">
        <v>1.0864264112878601</v>
      </c>
      <c r="D3873">
        <v>1.0906394853231101</v>
      </c>
      <c r="E3873">
        <v>1.0331325307177699</v>
      </c>
      <c r="F3873">
        <v>0.92150791208106497</v>
      </c>
      <c r="G3873">
        <v>0.93014645684408404</v>
      </c>
      <c r="H3873">
        <v>0.66625651169752698</v>
      </c>
      <c r="I3873">
        <v>0.60877553029582798</v>
      </c>
      <c r="J3873">
        <v>0.57729542512408405</v>
      </c>
      <c r="K3873">
        <v>0.37421479698910698</v>
      </c>
      <c r="L3873">
        <v>929.49742744450396</v>
      </c>
      <c r="M3873">
        <v>14.7040752251685</v>
      </c>
      <c r="N3873">
        <v>66.977027936681097</v>
      </c>
      <c r="O3873">
        <v>62.078943529518398</v>
      </c>
      <c r="P3873">
        <v>-4.2571485892420401E-2</v>
      </c>
      <c r="Q3873">
        <v>0.28115063311171401</v>
      </c>
      <c r="R3873">
        <v>0.937665523587216</v>
      </c>
      <c r="S3873" t="s">
        <v>9699</v>
      </c>
      <c r="T3873" t="s">
        <v>11650</v>
      </c>
      <c r="U3873" t="s">
        <v>11650</v>
      </c>
      <c r="V3873" t="s">
        <v>11650</v>
      </c>
      <c r="W3873" t="s">
        <v>15469</v>
      </c>
      <c r="X3873">
        <v>6</v>
      </c>
      <c r="Y3873" t="s">
        <v>21146</v>
      </c>
      <c r="Z3873" t="s">
        <v>26935</v>
      </c>
      <c r="AA3873">
        <v>0.82913243477531295</v>
      </c>
      <c r="AB3873" t="str">
        <f>HYPERLINK("Melting_Curves/meltCurve_Q7Z7J9_CAMK2N1.pdf", "Melting_Curves/meltCurve_Q7Z7J9_CAMK2N1.pdf")</f>
        <v>Melting_Curves/meltCurve_Q7Z7J9_CAMK2N1.pdf</v>
      </c>
    </row>
    <row r="3874" spans="1:28" x14ac:dyDescent="0.25">
      <c r="A3874" t="s">
        <v>3878</v>
      </c>
      <c r="B3874">
        <v>0.99996721820229495</v>
      </c>
      <c r="C3874">
        <v>0.97942487186504601</v>
      </c>
      <c r="D3874">
        <v>0.97640618395862899</v>
      </c>
      <c r="E3874">
        <v>0.96599307182804195</v>
      </c>
      <c r="F3874">
        <v>0.67986808986338398</v>
      </c>
      <c r="G3874">
        <v>0.202481991351493</v>
      </c>
      <c r="H3874">
        <v>8.9267797693497006E-2</v>
      </c>
      <c r="I3874">
        <v>8.2203860709439996E-2</v>
      </c>
      <c r="J3874">
        <v>5.1077742717804103E-2</v>
      </c>
      <c r="K3874">
        <v>2.14000894729632E-2</v>
      </c>
      <c r="L3874">
        <v>1807.3445048052699</v>
      </c>
      <c r="M3874">
        <v>33.392063624373897</v>
      </c>
      <c r="N3874">
        <v>54.308992995850303</v>
      </c>
      <c r="O3874">
        <v>53.931962959995303</v>
      </c>
      <c r="P3874">
        <v>-0.14650891295251001</v>
      </c>
      <c r="Q3874">
        <v>5.3490161056798997E-2</v>
      </c>
      <c r="R3874">
        <v>0.99820954682600505</v>
      </c>
      <c r="S3874" t="s">
        <v>9700</v>
      </c>
      <c r="T3874" t="s">
        <v>11650</v>
      </c>
      <c r="U3874" t="s">
        <v>11650</v>
      </c>
      <c r="V3874" t="s">
        <v>11650</v>
      </c>
      <c r="W3874" t="s">
        <v>15470</v>
      </c>
      <c r="X3874">
        <v>1</v>
      </c>
      <c r="Y3874" t="s">
        <v>21147</v>
      </c>
      <c r="Z3874" t="s">
        <v>26936</v>
      </c>
      <c r="AA3874">
        <v>0.50419269663886079</v>
      </c>
      <c r="AB3874" t="str">
        <f>HYPERLINK("Melting_Curves/meltCurve_Q7Z7L7_ZER1.pdf", "Melting_Curves/meltCurve_Q7Z7L7_ZER1.pdf")</f>
        <v>Melting_Curves/meltCurve_Q7Z7L7_ZER1.pdf</v>
      </c>
    </row>
    <row r="3875" spans="1:28" x14ac:dyDescent="0.25">
      <c r="A3875" t="s">
        <v>3879</v>
      </c>
      <c r="B3875">
        <v>0.99996721820229495</v>
      </c>
      <c r="C3875">
        <v>0.92123530033792</v>
      </c>
      <c r="D3875">
        <v>1.01102119830884</v>
      </c>
      <c r="E3875">
        <v>1.2931642274199</v>
      </c>
      <c r="F3875">
        <v>1.39613705272961</v>
      </c>
      <c r="G3875">
        <v>1.1412221972691401</v>
      </c>
      <c r="H3875">
        <v>0.56425109351576297</v>
      </c>
      <c r="I3875">
        <v>0.32416823610491702</v>
      </c>
      <c r="J3875">
        <v>0.20030650165650701</v>
      </c>
      <c r="K3875">
        <v>0.21409730464288301</v>
      </c>
      <c r="L3875">
        <v>4536.0946593263097</v>
      </c>
      <c r="M3875">
        <v>74.596147986617893</v>
      </c>
      <c r="N3875">
        <v>61.339485212986297</v>
      </c>
      <c r="O3875">
        <v>60.765039501563699</v>
      </c>
      <c r="P3875">
        <v>-0.23392176001239101</v>
      </c>
      <c r="Q3875">
        <v>0.23780179513459199</v>
      </c>
      <c r="R3875">
        <v>0.84575569288856001</v>
      </c>
      <c r="S3875" t="s">
        <v>9701</v>
      </c>
      <c r="T3875" t="s">
        <v>11650</v>
      </c>
      <c r="U3875" t="s">
        <v>11650</v>
      </c>
      <c r="V3875" t="s">
        <v>11650</v>
      </c>
      <c r="W3875" t="s">
        <v>15471</v>
      </c>
      <c r="X3875">
        <v>18</v>
      </c>
      <c r="Y3875" t="s">
        <v>21148</v>
      </c>
      <c r="Z3875" t="s">
        <v>26937</v>
      </c>
      <c r="AA3875">
        <v>0.7673943075732873</v>
      </c>
      <c r="AB3875" t="str">
        <f>HYPERLINK("Melting_Curves/meltCurve_Q7Z7M9_GALNT5.pdf", "Melting_Curves/meltCurve_Q7Z7M9_GALNT5.pdf")</f>
        <v>Melting_Curves/meltCurve_Q7Z7M9_GALNT5.pdf</v>
      </c>
    </row>
    <row r="3876" spans="1:28" x14ac:dyDescent="0.25">
      <c r="A3876" t="s">
        <v>3880</v>
      </c>
      <c r="B3876">
        <v>0.99996721820229495</v>
      </c>
      <c r="C3876">
        <v>0.95061019526825796</v>
      </c>
      <c r="D3876">
        <v>1.17395829209446</v>
      </c>
      <c r="E3876">
        <v>1.1276428349774299</v>
      </c>
      <c r="F3876">
        <v>1.5634785995772</v>
      </c>
      <c r="G3876">
        <v>1.57808933819593</v>
      </c>
      <c r="H3876">
        <v>1.2346466383271</v>
      </c>
      <c r="I3876">
        <v>0.85452738942686102</v>
      </c>
      <c r="J3876">
        <v>0.60200970936815901</v>
      </c>
      <c r="K3876">
        <v>0.58645540998222201</v>
      </c>
      <c r="L3876">
        <v>15000</v>
      </c>
      <c r="M3876">
        <v>233.79305276914499</v>
      </c>
      <c r="O3876">
        <v>64.154611312982595</v>
      </c>
      <c r="P3876">
        <v>-0.3696856595345</v>
      </c>
      <c r="Q3876">
        <v>0.59422165092061796</v>
      </c>
      <c r="R3876">
        <v>0.287755160225178</v>
      </c>
      <c r="S3876" t="s">
        <v>9702</v>
      </c>
      <c r="T3876" t="s">
        <v>11650</v>
      </c>
      <c r="U3876" t="s">
        <v>11650</v>
      </c>
      <c r="V3876" t="s">
        <v>11650</v>
      </c>
      <c r="W3876" t="s">
        <v>15472</v>
      </c>
      <c r="X3876">
        <v>1</v>
      </c>
      <c r="Y3876" t="s">
        <v>21149</v>
      </c>
      <c r="Z3876" t="s">
        <v>26938</v>
      </c>
      <c r="AA3876">
        <v>0.92105133951125662</v>
      </c>
      <c r="AB3876" t="str">
        <f>HYPERLINK("Melting_Curves/meltCurve_Q7Z7N9_TMEM179B.pdf", "Melting_Curves/meltCurve_Q7Z7N9_TMEM179B.pdf")</f>
        <v>Melting_Curves/meltCurve_Q7Z7N9_TMEM179B.pdf</v>
      </c>
    </row>
    <row r="3877" spans="1:28" x14ac:dyDescent="0.25">
      <c r="A3877" t="s">
        <v>3881</v>
      </c>
      <c r="B3877">
        <v>0.99996721820229495</v>
      </c>
      <c r="C3877">
        <v>0.85001689551902704</v>
      </c>
      <c r="D3877">
        <v>1.15742610774596</v>
      </c>
      <c r="E3877">
        <v>1.31007723008657</v>
      </c>
      <c r="F3877">
        <v>0.96054368939245105</v>
      </c>
      <c r="G3877">
        <v>0.37663514052181502</v>
      </c>
      <c r="H3877">
        <v>0.213006313786329</v>
      </c>
      <c r="I3877">
        <v>0.122892359177825</v>
      </c>
      <c r="J3877">
        <v>5.8621127040255301E-2</v>
      </c>
      <c r="K3877">
        <v>7.5623852527544402E-2</v>
      </c>
      <c r="L3877">
        <v>2882.8677367926698</v>
      </c>
      <c r="M3877">
        <v>51.381033622351097</v>
      </c>
      <c r="N3877">
        <v>56.3850694184964</v>
      </c>
      <c r="O3877">
        <v>56.022804725891703</v>
      </c>
      <c r="P3877">
        <v>-0.203675614695074</v>
      </c>
      <c r="Q3877">
        <v>0.111697505773936</v>
      </c>
      <c r="R3877">
        <v>0.92763777798032998</v>
      </c>
      <c r="S3877" t="s">
        <v>9703</v>
      </c>
      <c r="T3877" t="s">
        <v>11650</v>
      </c>
      <c r="U3877" t="s">
        <v>11650</v>
      </c>
      <c r="V3877" t="s">
        <v>11650</v>
      </c>
      <c r="W3877" t="s">
        <v>15473</v>
      </c>
      <c r="X3877">
        <v>6</v>
      </c>
      <c r="Y3877" t="s">
        <v>21150</v>
      </c>
      <c r="Z3877" t="s">
        <v>26939</v>
      </c>
      <c r="AA3877">
        <v>0.59072490133442901</v>
      </c>
      <c r="AB3877" t="str">
        <f>HYPERLINK("Melting_Curves/meltCurve_Q86SF2_GALNT7.pdf", "Melting_Curves/meltCurve_Q86SF2_GALNT7.pdf")</f>
        <v>Melting_Curves/meltCurve_Q86SF2_GALNT7.pdf</v>
      </c>
    </row>
    <row r="3878" spans="1:28" x14ac:dyDescent="0.25">
      <c r="A3878" t="s">
        <v>3882</v>
      </c>
      <c r="B3878">
        <v>0.99996721820229495</v>
      </c>
      <c r="C3878">
        <v>0.71322873760172401</v>
      </c>
      <c r="D3878">
        <v>0.64776073699526704</v>
      </c>
      <c r="E3878">
        <v>0.704358412480663</v>
      </c>
      <c r="F3878">
        <v>0.91826745933203202</v>
      </c>
      <c r="G3878">
        <v>0.62781932632150095</v>
      </c>
      <c r="H3878">
        <v>0.49559018208221001</v>
      </c>
      <c r="I3878">
        <v>0.24501341625710199</v>
      </c>
      <c r="J3878">
        <v>0.19616454901175201</v>
      </c>
      <c r="K3878">
        <v>0.13652869926276001</v>
      </c>
      <c r="L3878">
        <v>395.85555408409499</v>
      </c>
      <c r="M3878">
        <v>6.8357966634684102</v>
      </c>
      <c r="N3878">
        <v>57.909182812005199</v>
      </c>
      <c r="O3878">
        <v>53.560358618758002</v>
      </c>
      <c r="P3878">
        <v>-3.19714988394054E-2</v>
      </c>
      <c r="Q3878">
        <v>0</v>
      </c>
      <c r="R3878">
        <v>0.74579496002106205</v>
      </c>
      <c r="S3878" t="s">
        <v>9704</v>
      </c>
      <c r="T3878" t="s">
        <v>11650</v>
      </c>
      <c r="U3878" t="s">
        <v>11650</v>
      </c>
      <c r="V3878" t="s">
        <v>11650</v>
      </c>
      <c r="W3878" t="s">
        <v>15474</v>
      </c>
      <c r="X3878">
        <v>1</v>
      </c>
      <c r="Y3878" t="s">
        <v>21151</v>
      </c>
      <c r="Z3878" t="s">
        <v>26940</v>
      </c>
      <c r="AA3878">
        <v>0.59533861104733354</v>
      </c>
      <c r="AB3878" t="str">
        <f>HYPERLINK("Melting_Curves/meltCurve_Q86SJ2_AMIGO2.pdf", "Melting_Curves/meltCurve_Q86SJ2_AMIGO2.pdf")</f>
        <v>Melting_Curves/meltCurve_Q86SJ2_AMIGO2.pdf</v>
      </c>
    </row>
    <row r="3879" spans="1:28" x14ac:dyDescent="0.25">
      <c r="A3879" t="s">
        <v>3883</v>
      </c>
      <c r="B3879">
        <v>0.99996721820229495</v>
      </c>
      <c r="C3879">
        <v>0.90167999112283104</v>
      </c>
      <c r="D3879">
        <v>0.80136091742163196</v>
      </c>
      <c r="E3879">
        <v>0.71018474304663803</v>
      </c>
      <c r="F3879">
        <v>0.98813819302737504</v>
      </c>
      <c r="G3879">
        <v>0.78095078059536405</v>
      </c>
      <c r="H3879">
        <v>0.678972670629444</v>
      </c>
      <c r="I3879">
        <v>0.51852885785546199</v>
      </c>
      <c r="J3879">
        <v>0.41329587235708998</v>
      </c>
      <c r="K3879">
        <v>0.36197144427231298</v>
      </c>
      <c r="L3879">
        <v>411.94611256998201</v>
      </c>
      <c r="M3879">
        <v>6.2906303080245598</v>
      </c>
      <c r="N3879">
        <v>65.4856655526076</v>
      </c>
      <c r="O3879">
        <v>59.801977212740297</v>
      </c>
      <c r="P3879">
        <v>-2.6369633135200299E-2</v>
      </c>
      <c r="Q3879">
        <v>0</v>
      </c>
      <c r="R3879">
        <v>0.79917730783077301</v>
      </c>
      <c r="S3879" t="s">
        <v>9705</v>
      </c>
      <c r="T3879" t="s">
        <v>11650</v>
      </c>
      <c r="U3879" t="s">
        <v>11650</v>
      </c>
      <c r="V3879" t="s">
        <v>11650</v>
      </c>
      <c r="W3879" t="s">
        <v>15475</v>
      </c>
      <c r="X3879">
        <v>7</v>
      </c>
      <c r="Y3879" t="s">
        <v>21152</v>
      </c>
      <c r="Z3879" t="s">
        <v>26941</v>
      </c>
      <c r="AA3879">
        <v>0.73983000281503408</v>
      </c>
      <c r="AB3879" t="str">
        <f>HYPERLINK("Melting_Curves/meltCurve_Q86SQ0_PHLDB2.pdf", "Melting_Curves/meltCurve_Q86SQ0_PHLDB2.pdf")</f>
        <v>Melting_Curves/meltCurve_Q86SQ0_PHLDB2.pdf</v>
      </c>
    </row>
    <row r="3880" spans="1:28" x14ac:dyDescent="0.25">
      <c r="A3880" t="s">
        <v>3884</v>
      </c>
      <c r="B3880">
        <v>0.99996721820229495</v>
      </c>
      <c r="C3880">
        <v>1.0132417043772299</v>
      </c>
      <c r="D3880">
        <v>0.83592763784846402</v>
      </c>
      <c r="E3880">
        <v>0.62636976754214602</v>
      </c>
      <c r="F3880">
        <v>0.58700305780187301</v>
      </c>
      <c r="G3880">
        <v>0.58635831800675398</v>
      </c>
      <c r="H3880">
        <v>0.41322592282756998</v>
      </c>
      <c r="I3880">
        <v>0.37513211062435198</v>
      </c>
      <c r="J3880">
        <v>0.32708404635756999</v>
      </c>
      <c r="K3880">
        <v>0.265719716755494</v>
      </c>
      <c r="L3880">
        <v>485.57543805556099</v>
      </c>
      <c r="M3880">
        <v>9.1588425793375805</v>
      </c>
      <c r="N3880">
        <v>56.821836969021298</v>
      </c>
      <c r="O3880">
        <v>50.673174151839298</v>
      </c>
      <c r="P3880">
        <v>-3.4852490980600503E-2</v>
      </c>
      <c r="Q3880">
        <v>0.22920967507205101</v>
      </c>
      <c r="R3880">
        <v>0.95533898633509395</v>
      </c>
      <c r="S3880" t="s">
        <v>9706</v>
      </c>
      <c r="T3880" t="s">
        <v>11650</v>
      </c>
      <c r="U3880" t="s">
        <v>11650</v>
      </c>
      <c r="V3880" t="s">
        <v>11650</v>
      </c>
      <c r="W3880" t="s">
        <v>15476</v>
      </c>
      <c r="X3880">
        <v>16</v>
      </c>
      <c r="Y3880" t="s">
        <v>21153</v>
      </c>
      <c r="Z3880" t="s">
        <v>26942</v>
      </c>
      <c r="AA3880">
        <v>0.59201217256916572</v>
      </c>
      <c r="AB3880" t="str">
        <f>HYPERLINK("Melting_Curves/meltCurve_Q86SQ7_SDCCAG8.pdf", "Melting_Curves/meltCurve_Q86SQ7_SDCCAG8.pdf")</f>
        <v>Melting_Curves/meltCurve_Q86SQ7_SDCCAG8.pdf</v>
      </c>
    </row>
    <row r="3881" spans="1:28" x14ac:dyDescent="0.25">
      <c r="A3881" t="s">
        <v>3885</v>
      </c>
      <c r="B3881">
        <v>0.99996721820229495</v>
      </c>
      <c r="C3881">
        <v>0.91707269336007002</v>
      </c>
      <c r="D3881">
        <v>0.99551891621924204</v>
      </c>
      <c r="E3881">
        <v>0.63543306140640499</v>
      </c>
      <c r="F3881">
        <v>0.33097939921513497</v>
      </c>
      <c r="G3881">
        <v>0.283026964563654</v>
      </c>
      <c r="H3881">
        <v>0.18285123383903601</v>
      </c>
      <c r="I3881">
        <v>9.3050832347662898E-2</v>
      </c>
      <c r="J3881">
        <v>4.3320462527686898E-2</v>
      </c>
      <c r="K3881">
        <v>1.7235494900083002E-2</v>
      </c>
      <c r="L3881">
        <v>911.96152973201504</v>
      </c>
      <c r="M3881">
        <v>17.738107259895799</v>
      </c>
      <c r="N3881">
        <v>51.805603892749801</v>
      </c>
      <c r="O3881">
        <v>50.7724767099104</v>
      </c>
      <c r="P3881">
        <v>-8.1846723421064305E-2</v>
      </c>
      <c r="Q3881">
        <v>6.2956699900235502E-2</v>
      </c>
      <c r="R3881">
        <v>0.97640417624548403</v>
      </c>
      <c r="S3881" t="s">
        <v>9707</v>
      </c>
      <c r="T3881" t="s">
        <v>11650</v>
      </c>
      <c r="U3881" t="s">
        <v>11650</v>
      </c>
      <c r="V3881" t="s">
        <v>11650</v>
      </c>
      <c r="W3881" t="s">
        <v>15477</v>
      </c>
      <c r="X3881">
        <v>5</v>
      </c>
      <c r="Y3881" t="s">
        <v>21154</v>
      </c>
      <c r="Z3881" t="s">
        <v>26943</v>
      </c>
      <c r="AA3881">
        <v>0.43554715149636991</v>
      </c>
      <c r="AB3881" t="str">
        <f>HYPERLINK("Melting_Curves/meltCurve_Q86SR1_GALNT10.pdf", "Melting_Curves/meltCurve_Q86SR1_GALNT10.pdf")</f>
        <v>Melting_Curves/meltCurve_Q86SR1_GALNT10.pdf</v>
      </c>
    </row>
    <row r="3882" spans="1:28" x14ac:dyDescent="0.25">
      <c r="A3882" t="s">
        <v>3886</v>
      </c>
      <c r="B3882">
        <v>0.99996721820229495</v>
      </c>
      <c r="C3882">
        <v>1.06335621836142</v>
      </c>
      <c r="D3882">
        <v>0.98133055092410204</v>
      </c>
      <c r="E3882">
        <v>0.85603400283536701</v>
      </c>
      <c r="F3882">
        <v>0.77950564993106997</v>
      </c>
      <c r="G3882">
        <v>0.63959431675736</v>
      </c>
      <c r="H3882">
        <v>0.36582651722390103</v>
      </c>
      <c r="I3882">
        <v>0.246981824275326</v>
      </c>
      <c r="J3882">
        <v>0.169920621444723</v>
      </c>
      <c r="K3882">
        <v>0.133820894594294</v>
      </c>
      <c r="L3882">
        <v>740.279135220375</v>
      </c>
      <c r="M3882">
        <v>12.624151149983</v>
      </c>
      <c r="N3882">
        <v>58.687827976146103</v>
      </c>
      <c r="O3882">
        <v>57.226882902223203</v>
      </c>
      <c r="P3882">
        <v>-5.4877709576220297E-2</v>
      </c>
      <c r="Q3882">
        <v>5.12686234926447E-3</v>
      </c>
      <c r="R3882">
        <v>0.99114630610987797</v>
      </c>
      <c r="S3882" t="s">
        <v>9708</v>
      </c>
      <c r="T3882" t="s">
        <v>11650</v>
      </c>
      <c r="U3882" t="s">
        <v>11650</v>
      </c>
      <c r="V3882" t="s">
        <v>11650</v>
      </c>
      <c r="W3882" t="s">
        <v>15478</v>
      </c>
      <c r="X3882">
        <v>6</v>
      </c>
      <c r="Y3882" t="s">
        <v>21155</v>
      </c>
      <c r="Z3882" t="s">
        <v>26944</v>
      </c>
      <c r="AA3882">
        <v>0.63363413220992026</v>
      </c>
      <c r="AB3882" t="str">
        <f>HYPERLINK("Melting_Curves/meltCurve_Q86SX6_GLRX5.pdf", "Melting_Curves/meltCurve_Q86SX6_GLRX5.pdf")</f>
        <v>Melting_Curves/meltCurve_Q86SX6_GLRX5.pdf</v>
      </c>
    </row>
    <row r="3883" spans="1:28" x14ac:dyDescent="0.25">
      <c r="A3883" t="s">
        <v>3887</v>
      </c>
      <c r="B3883">
        <v>0.99996721820229495</v>
      </c>
      <c r="C3883">
        <v>1.00878079352961</v>
      </c>
      <c r="D3883">
        <v>1.1276077418228501</v>
      </c>
      <c r="E3883">
        <v>1.32726700160844</v>
      </c>
      <c r="F3883">
        <v>2.2831760444537599</v>
      </c>
      <c r="G3883">
        <v>1.3350521720983</v>
      </c>
      <c r="H3883">
        <v>0.29868662371392202</v>
      </c>
      <c r="I3883">
        <v>0.204599447970925</v>
      </c>
      <c r="J3883">
        <v>0.132959715450544</v>
      </c>
      <c r="K3883">
        <v>0.106401306756439</v>
      </c>
      <c r="L3883">
        <v>13807.8497177751</v>
      </c>
      <c r="M3883">
        <v>227.895813428982</v>
      </c>
      <c r="N3883">
        <v>60.681865578343299</v>
      </c>
      <c r="O3883">
        <v>60.583752979490399</v>
      </c>
      <c r="P3883">
        <v>-0.80124932146212002</v>
      </c>
      <c r="Q3883">
        <v>0.147984338544251</v>
      </c>
      <c r="R3883">
        <v>0.57287101026387399</v>
      </c>
      <c r="S3883" t="s">
        <v>9709</v>
      </c>
      <c r="T3883" t="s">
        <v>11650</v>
      </c>
      <c r="U3883" t="s">
        <v>11650</v>
      </c>
      <c r="V3883" t="s">
        <v>11650</v>
      </c>
      <c r="W3883" t="s">
        <v>15479</v>
      </c>
      <c r="X3883">
        <v>6</v>
      </c>
      <c r="Y3883" t="s">
        <v>21156</v>
      </c>
      <c r="Z3883" t="s">
        <v>26945</v>
      </c>
      <c r="AA3883">
        <v>0.73281554879662159</v>
      </c>
      <c r="AB3883" t="str">
        <f>HYPERLINK("Melting_Curves/meltCurve_Q86SZ2_TRAPPC6B.pdf", "Melting_Curves/meltCurve_Q86SZ2_TRAPPC6B.pdf")</f>
        <v>Melting_Curves/meltCurve_Q86SZ2_TRAPPC6B.pdf</v>
      </c>
    </row>
    <row r="3884" spans="1:28" x14ac:dyDescent="0.25">
      <c r="A3884" t="s">
        <v>3888</v>
      </c>
      <c r="B3884">
        <v>0.99996721820229495</v>
      </c>
      <c r="C3884">
        <v>0.84854495240051997</v>
      </c>
      <c r="D3884">
        <v>1.0463129433962599</v>
      </c>
      <c r="E3884">
        <v>1.1249229404939101</v>
      </c>
      <c r="F3884">
        <v>1.04358139292212</v>
      </c>
      <c r="G3884">
        <v>0.82647284123869103</v>
      </c>
      <c r="H3884">
        <v>0.537762107164244</v>
      </c>
      <c r="I3884">
        <v>0.291747672264138</v>
      </c>
      <c r="J3884">
        <v>0.19463922556697699</v>
      </c>
      <c r="K3884">
        <v>0.178460017439969</v>
      </c>
      <c r="L3884">
        <v>1672.2442978527499</v>
      </c>
      <c r="M3884">
        <v>27.687053319242899</v>
      </c>
      <c r="N3884">
        <v>61.197331289370197</v>
      </c>
      <c r="O3884">
        <v>60.085620003358699</v>
      </c>
      <c r="P3884">
        <v>-9.7721070937440604E-2</v>
      </c>
      <c r="Q3884">
        <v>0.151722229656019</v>
      </c>
      <c r="R3884">
        <v>0.96284388296634404</v>
      </c>
      <c r="S3884" t="s">
        <v>9710</v>
      </c>
      <c r="T3884" t="s">
        <v>11650</v>
      </c>
      <c r="U3884" t="s">
        <v>11650</v>
      </c>
      <c r="V3884" t="s">
        <v>11650</v>
      </c>
      <c r="W3884" t="s">
        <v>15480</v>
      </c>
      <c r="X3884">
        <v>2</v>
      </c>
      <c r="Y3884" t="s">
        <v>21157</v>
      </c>
      <c r="Z3884" t="s">
        <v>26946</v>
      </c>
      <c r="AA3884">
        <v>0.73394825026819055</v>
      </c>
      <c r="AB3884" t="str">
        <f>HYPERLINK("Melting_Curves/meltCurve_Q86T03_TMEM55B.pdf", "Melting_Curves/meltCurve_Q86T03_TMEM55B.pdf")</f>
        <v>Melting_Curves/meltCurve_Q86T03_TMEM55B.pdf</v>
      </c>
    </row>
    <row r="3885" spans="1:28" x14ac:dyDescent="0.25">
      <c r="A3885" t="s">
        <v>3889</v>
      </c>
      <c r="B3885">
        <v>0.99996721820229495</v>
      </c>
      <c r="C3885">
        <v>0.67954848216094899</v>
      </c>
      <c r="D3885">
        <v>0.59532501784473202</v>
      </c>
      <c r="E3885">
        <v>0.94223462745457798</v>
      </c>
      <c r="F3885">
        <v>1.2241828553057099</v>
      </c>
      <c r="G3885">
        <v>0.71097776139522695</v>
      </c>
      <c r="H3885">
        <v>1.0312557970412899</v>
      </c>
      <c r="I3885">
        <v>2.09024674882092</v>
      </c>
      <c r="J3885">
        <v>2.3250992844274099</v>
      </c>
      <c r="K3885">
        <v>4.7658969292374804</v>
      </c>
      <c r="L3885">
        <v>15000</v>
      </c>
      <c r="M3885">
        <v>243.23952371839499</v>
      </c>
      <c r="O3885">
        <v>61.663441994870396</v>
      </c>
      <c r="P3885">
        <v>0.49307888173640002</v>
      </c>
      <c r="Q3885">
        <v>1.5</v>
      </c>
      <c r="R3885">
        <v>0.17430508957968299</v>
      </c>
      <c r="S3885" t="s">
        <v>9711</v>
      </c>
      <c r="T3885" t="s">
        <v>11650</v>
      </c>
      <c r="U3885" t="s">
        <v>11650</v>
      </c>
      <c r="V3885" t="s">
        <v>11650</v>
      </c>
      <c r="W3885" t="s">
        <v>15481</v>
      </c>
      <c r="X3885">
        <v>2</v>
      </c>
      <c r="Y3885" t="s">
        <v>21158</v>
      </c>
      <c r="Z3885" t="s">
        <v>26947</v>
      </c>
      <c r="AA3885">
        <v>1.1388160091764481</v>
      </c>
      <c r="AB3885" t="str">
        <f>HYPERLINK("Melting_Curves/meltCurve_Q86T13_CLEC14A.pdf", "Melting_Curves/meltCurve_Q86T13_CLEC14A.pdf")</f>
        <v>Melting_Curves/meltCurve_Q86T13_CLEC14A.pdf</v>
      </c>
    </row>
    <row r="3886" spans="1:28" x14ac:dyDescent="0.25">
      <c r="A3886" t="s">
        <v>3890</v>
      </c>
      <c r="B3886">
        <v>0.99996721820229495</v>
      </c>
      <c r="C3886">
        <v>1.08183409769253</v>
      </c>
      <c r="D3886">
        <v>1.0342556615533101</v>
      </c>
      <c r="E3886">
        <v>0.58043954281380505</v>
      </c>
      <c r="F3886">
        <v>0.33732871667501202</v>
      </c>
      <c r="G3886">
        <v>0.29387518862705198</v>
      </c>
      <c r="H3886">
        <v>0.20137203089401801</v>
      </c>
      <c r="I3886">
        <v>0.13585721834780501</v>
      </c>
      <c r="J3886">
        <v>0.117734747919153</v>
      </c>
      <c r="K3886">
        <v>6.4220698590482503E-2</v>
      </c>
      <c r="L3886">
        <v>1364.2960077077901</v>
      </c>
      <c r="M3886">
        <v>27.0306436049779</v>
      </c>
      <c r="N3886">
        <v>51.144959195082798</v>
      </c>
      <c r="O3886">
        <v>50.198381551993997</v>
      </c>
      <c r="P3886">
        <v>-0.114479878259203</v>
      </c>
      <c r="Q3886">
        <v>0.149609897914359</v>
      </c>
      <c r="R3886">
        <v>0.97285655186443198</v>
      </c>
      <c r="S3886" t="s">
        <v>9712</v>
      </c>
      <c r="T3886" t="s">
        <v>11650</v>
      </c>
      <c r="U3886" t="s">
        <v>11650</v>
      </c>
      <c r="V3886" t="s">
        <v>11650</v>
      </c>
      <c r="W3886" t="s">
        <v>15482</v>
      </c>
      <c r="X3886">
        <v>3</v>
      </c>
      <c r="Y3886" t="s">
        <v>21159</v>
      </c>
      <c r="Z3886" t="s">
        <v>26948</v>
      </c>
      <c r="AA3886">
        <v>0.4529936224988278</v>
      </c>
      <c r="AB3886" t="str">
        <f>HYPERLINK("Melting_Curves/meltCurve_Q86TB9_4_PATL1.pdf", "Melting_Curves/meltCurve_Q86TB9_4_PATL1.pdf")</f>
        <v>Melting_Curves/meltCurve_Q86TB9_4_PATL1.pdf</v>
      </c>
    </row>
    <row r="3887" spans="1:28" x14ac:dyDescent="0.25">
      <c r="A3887" t="s">
        <v>3891</v>
      </c>
      <c r="B3887">
        <v>0.99996721820229495</v>
      </c>
      <c r="C3887">
        <v>0.95252377101877395</v>
      </c>
      <c r="D3887">
        <v>1.0506674712322099</v>
      </c>
      <c r="E3887">
        <v>1.1187668275307301</v>
      </c>
      <c r="F3887">
        <v>1.5768599285611999</v>
      </c>
      <c r="G3887">
        <v>1.56162143702263</v>
      </c>
      <c r="H3887">
        <v>1.15278285766074</v>
      </c>
      <c r="I3887">
        <v>0.73610267219847803</v>
      </c>
      <c r="J3887">
        <v>0.40479465355088201</v>
      </c>
      <c r="K3887">
        <v>0.40164366434885701</v>
      </c>
      <c r="L3887">
        <v>15000</v>
      </c>
      <c r="M3887">
        <v>234.14270012877699</v>
      </c>
      <c r="N3887">
        <v>64.515938713428397</v>
      </c>
      <c r="O3887">
        <v>64.058822635529694</v>
      </c>
      <c r="P3887">
        <v>-0.54533646254108104</v>
      </c>
      <c r="Q3887">
        <v>0.403208186338261</v>
      </c>
      <c r="R3887">
        <v>0.53100036068444401</v>
      </c>
      <c r="S3887" t="s">
        <v>9713</v>
      </c>
      <c r="T3887" t="s">
        <v>11650</v>
      </c>
      <c r="U3887" t="s">
        <v>11650</v>
      </c>
      <c r="V3887" t="s">
        <v>11650</v>
      </c>
      <c r="W3887" t="s">
        <v>15483</v>
      </c>
      <c r="X3887">
        <v>1</v>
      </c>
      <c r="Y3887" t="s">
        <v>21160</v>
      </c>
      <c r="Z3887" t="s">
        <v>26949</v>
      </c>
      <c r="AA3887">
        <v>0.88198126874706995</v>
      </c>
      <c r="AB3887" t="str">
        <f>HYPERLINK("Melting_Curves/meltCurve_Q86TG1_TMEM150A.pdf", "Melting_Curves/meltCurve_Q86TG1_TMEM150A.pdf")</f>
        <v>Melting_Curves/meltCurve_Q86TG1_TMEM150A.pdf</v>
      </c>
    </row>
    <row r="3888" spans="1:28" x14ac:dyDescent="0.25">
      <c r="A3888" t="s">
        <v>3892</v>
      </c>
      <c r="B3888">
        <v>0.99996721820229495</v>
      </c>
      <c r="C3888">
        <v>1.14813338400422</v>
      </c>
      <c r="D3888">
        <v>1.12802753146299</v>
      </c>
      <c r="E3888">
        <v>0.95660744854272795</v>
      </c>
      <c r="F3888">
        <v>0.95234813504453897</v>
      </c>
      <c r="G3888">
        <v>0.6501517977504</v>
      </c>
      <c r="H3888">
        <v>0.29729009860620598</v>
      </c>
      <c r="I3888">
        <v>0.22460600151376001</v>
      </c>
      <c r="J3888">
        <v>0.21670090951930299</v>
      </c>
      <c r="K3888">
        <v>0.125728427004309</v>
      </c>
      <c r="L3888">
        <v>1659.87445974046</v>
      </c>
      <c r="M3888">
        <v>28.784062680049701</v>
      </c>
      <c r="N3888">
        <v>58.473050848644903</v>
      </c>
      <c r="O3888">
        <v>57.3902549578196</v>
      </c>
      <c r="P3888">
        <v>-0.10484295448176</v>
      </c>
      <c r="Q3888">
        <v>0.16385428840295899</v>
      </c>
      <c r="R3888">
        <v>0.97194427824849905</v>
      </c>
      <c r="S3888" t="s">
        <v>9714</v>
      </c>
      <c r="T3888" t="s">
        <v>11650</v>
      </c>
      <c r="U3888" t="s">
        <v>11650</v>
      </c>
      <c r="V3888" t="s">
        <v>11650</v>
      </c>
      <c r="W3888" t="s">
        <v>15484</v>
      </c>
      <c r="X3888">
        <v>1</v>
      </c>
      <c r="Y3888" t="s">
        <v>21161</v>
      </c>
      <c r="Z3888" t="s">
        <v>26950</v>
      </c>
      <c r="AA3888">
        <v>0.66217313732099448</v>
      </c>
      <c r="AB3888" t="str">
        <f>HYPERLINK("Melting_Curves/meltCurve_Q86TI0_2_TBC1D1.pdf", "Melting_Curves/meltCurve_Q86TI0_2_TBC1D1.pdf")</f>
        <v>Melting_Curves/meltCurve_Q86TI0_2_TBC1D1.pdf</v>
      </c>
    </row>
    <row r="3889" spans="1:28" x14ac:dyDescent="0.25">
      <c r="A3889" t="s">
        <v>3893</v>
      </c>
      <c r="B3889">
        <v>0.99996721820229495</v>
      </c>
      <c r="C3889">
        <v>1.0430318500090501</v>
      </c>
      <c r="D3889">
        <v>1.30692531170435</v>
      </c>
      <c r="E3889">
        <v>1.57942061194866</v>
      </c>
      <c r="F3889">
        <v>0.50369047666243105</v>
      </c>
      <c r="G3889">
        <v>0.335404366381373</v>
      </c>
      <c r="H3889">
        <v>0.169034023528777</v>
      </c>
      <c r="I3889">
        <v>0.107170561096116</v>
      </c>
      <c r="J3889">
        <v>7.3977968097083097E-2</v>
      </c>
      <c r="K3889">
        <v>6.2320491385225697E-2</v>
      </c>
      <c r="L3889">
        <v>13232.1077627334</v>
      </c>
      <c r="M3889">
        <v>250</v>
      </c>
      <c r="N3889">
        <v>53.003798127198699</v>
      </c>
      <c r="O3889">
        <v>52.925054894689602</v>
      </c>
      <c r="P3889">
        <v>-1.00427242364952</v>
      </c>
      <c r="Q3889">
        <v>0.14958140536129999</v>
      </c>
      <c r="R3889">
        <v>0.83303042697158103</v>
      </c>
      <c r="S3889" t="s">
        <v>9715</v>
      </c>
      <c r="T3889" t="s">
        <v>11650</v>
      </c>
      <c r="U3889" t="s">
        <v>11650</v>
      </c>
      <c r="V3889" t="s">
        <v>11650</v>
      </c>
      <c r="W3889" t="s">
        <v>15485</v>
      </c>
      <c r="X3889">
        <v>16</v>
      </c>
      <c r="Y3889" t="s">
        <v>21162</v>
      </c>
      <c r="Z3889" t="s">
        <v>26951</v>
      </c>
      <c r="AA3889">
        <v>0.51614633837140378</v>
      </c>
      <c r="AB3889" t="str">
        <f>HYPERLINK("Melting_Curves/meltCurve_Q86TI2_DPP9.pdf", "Melting_Curves/meltCurve_Q86TI2_DPP9.pdf")</f>
        <v>Melting_Curves/meltCurve_Q86TI2_DPP9.pdf</v>
      </c>
    </row>
    <row r="3890" spans="1:28" x14ac:dyDescent="0.25">
      <c r="A3890" t="s">
        <v>3894</v>
      </c>
      <c r="B3890">
        <v>0.99996721820229495</v>
      </c>
      <c r="C3890">
        <v>0.94519428588960797</v>
      </c>
      <c r="D3890">
        <v>1.0160922739024401</v>
      </c>
      <c r="E3890">
        <v>1.0839190297064301</v>
      </c>
      <c r="F3890">
        <v>1.3659825234921099</v>
      </c>
      <c r="G3890">
        <v>1.07663688215287</v>
      </c>
      <c r="H3890">
        <v>0.70267735443871304</v>
      </c>
      <c r="I3890">
        <v>0.40340386381993099</v>
      </c>
      <c r="J3890">
        <v>0.32549022521078802</v>
      </c>
      <c r="K3890">
        <v>0.26835382097006899</v>
      </c>
      <c r="L3890">
        <v>3146.2297561104401</v>
      </c>
      <c r="M3890">
        <v>51.168372967740098</v>
      </c>
      <c r="N3890">
        <v>62.597632434404503</v>
      </c>
      <c r="O3890">
        <v>61.3940815766938</v>
      </c>
      <c r="P3890">
        <v>-0.14623248185532201</v>
      </c>
      <c r="Q3890">
        <v>0.298175695588347</v>
      </c>
      <c r="R3890">
        <v>0.87713766225804901</v>
      </c>
      <c r="S3890" t="s">
        <v>9716</v>
      </c>
      <c r="T3890" t="s">
        <v>11650</v>
      </c>
      <c r="U3890" t="s">
        <v>11650</v>
      </c>
      <c r="V3890" t="s">
        <v>11650</v>
      </c>
      <c r="W3890" t="s">
        <v>15486</v>
      </c>
      <c r="X3890">
        <v>2</v>
      </c>
      <c r="Y3890" t="s">
        <v>21163</v>
      </c>
      <c r="Z3890" t="s">
        <v>26952</v>
      </c>
      <c r="AA3890">
        <v>0.80260537734430548</v>
      </c>
      <c r="AB3890" t="str">
        <f>HYPERLINK("Melting_Curves/meltCurve_Q86TM6_2_SYVN1.pdf", "Melting_Curves/meltCurve_Q86TM6_2_SYVN1.pdf")</f>
        <v>Melting_Curves/meltCurve_Q86TM6_2_SYVN1.pdf</v>
      </c>
    </row>
    <row r="3891" spans="1:28" x14ac:dyDescent="0.25">
      <c r="A3891" t="s">
        <v>3895</v>
      </c>
      <c r="B3891">
        <v>0.99996721820229495</v>
      </c>
      <c r="C3891">
        <v>0.87523555975825296</v>
      </c>
      <c r="D3891">
        <v>0.83918930995754204</v>
      </c>
      <c r="E3891">
        <v>1.0131658867754401</v>
      </c>
      <c r="F3891">
        <v>0.85809302504376195</v>
      </c>
      <c r="G3891">
        <v>0.47246515689211599</v>
      </c>
      <c r="H3891">
        <v>0.27193362431830498</v>
      </c>
      <c r="I3891">
        <v>0.19331719845780501</v>
      </c>
      <c r="J3891">
        <v>0.11976390747422</v>
      </c>
      <c r="K3891">
        <v>0.11236938577534999</v>
      </c>
      <c r="L3891">
        <v>1354.3555109536901</v>
      </c>
      <c r="M3891">
        <v>24.018279622042201</v>
      </c>
      <c r="N3891">
        <v>57.041383469099102</v>
      </c>
      <c r="O3891">
        <v>56.001999149000603</v>
      </c>
      <c r="P3891">
        <v>-9.4336945008995796E-2</v>
      </c>
      <c r="Q3891">
        <v>0.120174413097275</v>
      </c>
      <c r="R3891">
        <v>0.964051063618793</v>
      </c>
      <c r="S3891" t="s">
        <v>9717</v>
      </c>
      <c r="T3891" t="s">
        <v>11650</v>
      </c>
      <c r="U3891" t="s">
        <v>11650</v>
      </c>
      <c r="V3891" t="s">
        <v>11650</v>
      </c>
      <c r="W3891" t="s">
        <v>15487</v>
      </c>
      <c r="X3891">
        <v>3</v>
      </c>
      <c r="Y3891" t="s">
        <v>21164</v>
      </c>
      <c r="Z3891" t="s">
        <v>26953</v>
      </c>
      <c r="AA3891">
        <v>0.60936926542512715</v>
      </c>
      <c r="AB3891" t="str">
        <f>HYPERLINK("Melting_Curves/meltCurve_Q86TN4_TRPT1.pdf", "Melting_Curves/meltCurve_Q86TN4_TRPT1.pdf")</f>
        <v>Melting_Curves/meltCurve_Q86TN4_TRPT1.pdf</v>
      </c>
    </row>
    <row r="3892" spans="1:28" x14ac:dyDescent="0.25">
      <c r="A3892" t="s">
        <v>3896</v>
      </c>
      <c r="B3892">
        <v>0.99996721820229495</v>
      </c>
      <c r="C3892">
        <v>1.1344074944027001</v>
      </c>
      <c r="D3892">
        <v>0.81425636900155896</v>
      </c>
      <c r="E3892">
        <v>0.32472037032812101</v>
      </c>
      <c r="F3892">
        <v>0.21841240092198599</v>
      </c>
      <c r="G3892">
        <v>0.22011640762675599</v>
      </c>
      <c r="H3892">
        <v>0.15790666559161901</v>
      </c>
      <c r="I3892">
        <v>0.118947543358058</v>
      </c>
      <c r="J3892">
        <v>0.100105904782633</v>
      </c>
      <c r="K3892">
        <v>5.4760051111421598E-2</v>
      </c>
      <c r="L3892">
        <v>1536.2871123996299</v>
      </c>
      <c r="M3892">
        <v>31.925891133890701</v>
      </c>
      <c r="N3892">
        <v>48.597723246505801</v>
      </c>
      <c r="O3892">
        <v>47.932817527549297</v>
      </c>
      <c r="P3892">
        <v>-0.14410489810613</v>
      </c>
      <c r="Q3892">
        <v>0.13458132493834299</v>
      </c>
      <c r="R3892">
        <v>0.97307224217462995</v>
      </c>
      <c r="S3892" t="s">
        <v>9718</v>
      </c>
      <c r="T3892" t="s">
        <v>11650</v>
      </c>
      <c r="U3892" t="s">
        <v>11650</v>
      </c>
      <c r="V3892" t="s">
        <v>11650</v>
      </c>
      <c r="W3892" t="s">
        <v>15488</v>
      </c>
      <c r="X3892">
        <v>4</v>
      </c>
      <c r="Y3892" t="s">
        <v>21165</v>
      </c>
      <c r="Z3892" t="s">
        <v>26954</v>
      </c>
      <c r="AA3892">
        <v>0.37341552527588662</v>
      </c>
      <c r="AB3892" t="str">
        <f>HYPERLINK("Melting_Curves/meltCurve_Q86TP1_PRUNE.pdf", "Melting_Curves/meltCurve_Q86TP1_PRUNE.pdf")</f>
        <v>Melting_Curves/meltCurve_Q86TP1_PRUNE.pdf</v>
      </c>
    </row>
    <row r="3893" spans="1:28" x14ac:dyDescent="0.25">
      <c r="A3893" t="s">
        <v>3897</v>
      </c>
      <c r="B3893">
        <v>0.99996721820229495</v>
      </c>
      <c r="C3893">
        <v>1.0008041590249499</v>
      </c>
      <c r="D3893">
        <v>1.0014202574125699</v>
      </c>
      <c r="E3893">
        <v>1.20305311162446</v>
      </c>
      <c r="F3893">
        <v>2.6777503332352599</v>
      </c>
      <c r="G3893">
        <v>2.3809435593292201</v>
      </c>
      <c r="H3893">
        <v>1.65661279487674</v>
      </c>
      <c r="I3893">
        <v>1.4929845602014</v>
      </c>
      <c r="J3893">
        <v>1.5384849638163201</v>
      </c>
      <c r="K3893">
        <v>0.99807267558214097</v>
      </c>
      <c r="L3893">
        <v>12519.002331182</v>
      </c>
      <c r="M3893">
        <v>250</v>
      </c>
      <c r="O3893">
        <v>50.072804832107401</v>
      </c>
      <c r="P3893">
        <v>0.62409126403576898</v>
      </c>
      <c r="Q3893">
        <v>1.5</v>
      </c>
      <c r="R3893">
        <v>0.25503957627083801</v>
      </c>
      <c r="S3893" t="s">
        <v>9719</v>
      </c>
      <c r="T3893" t="s">
        <v>11650</v>
      </c>
      <c r="U3893" t="s">
        <v>11650</v>
      </c>
      <c r="V3893" t="s">
        <v>11650</v>
      </c>
      <c r="W3893" t="s">
        <v>15489</v>
      </c>
      <c r="X3893">
        <v>1</v>
      </c>
      <c r="Y3893" t="s">
        <v>21166</v>
      </c>
      <c r="Z3893" t="s">
        <v>26955</v>
      </c>
      <c r="AA3893">
        <v>1.332022569946028</v>
      </c>
      <c r="AB3893" t="str">
        <f>HYPERLINK("Melting_Curves/meltCurve_Q86TS9_3_MRPL52.pdf", "Melting_Curves/meltCurve_Q86TS9_3_MRPL52.pdf")</f>
        <v>Melting_Curves/meltCurve_Q86TS9_3_MRPL52.pdf</v>
      </c>
    </row>
    <row r="3894" spans="1:28" x14ac:dyDescent="0.25">
      <c r="A3894" t="s">
        <v>3898</v>
      </c>
      <c r="B3894">
        <v>0.99996721820229495</v>
      </c>
      <c r="C3894">
        <v>1.0480063195687499</v>
      </c>
      <c r="D3894">
        <v>1.0206140865748701</v>
      </c>
      <c r="E3894">
        <v>0.87308473212209903</v>
      </c>
      <c r="F3894">
        <v>0.33832433858032501</v>
      </c>
      <c r="G3894">
        <v>0.234732844976937</v>
      </c>
      <c r="H3894">
        <v>0.15131792725090101</v>
      </c>
      <c r="I3894">
        <v>0.12200683298330101</v>
      </c>
      <c r="J3894">
        <v>8.3602104835355906E-2</v>
      </c>
      <c r="K3894">
        <v>7.1845382911168695E-2</v>
      </c>
      <c r="L3894">
        <v>2415.0221284600002</v>
      </c>
      <c r="M3894">
        <v>46.623700250927598</v>
      </c>
      <c r="N3894">
        <v>52.128790496223203</v>
      </c>
      <c r="O3894">
        <v>51.703142816985498</v>
      </c>
      <c r="P3894">
        <v>-0.196583792646711</v>
      </c>
      <c r="Q3894">
        <v>0.127998147912953</v>
      </c>
      <c r="R3894">
        <v>0.98940943757790201</v>
      </c>
      <c r="S3894" t="s">
        <v>9720</v>
      </c>
      <c r="T3894" t="s">
        <v>11650</v>
      </c>
      <c r="U3894" t="s">
        <v>11650</v>
      </c>
      <c r="V3894" t="s">
        <v>11650</v>
      </c>
      <c r="W3894" t="s">
        <v>15490</v>
      </c>
      <c r="X3894">
        <v>13</v>
      </c>
      <c r="Y3894" t="s">
        <v>21167</v>
      </c>
      <c r="Z3894" t="s">
        <v>26956</v>
      </c>
      <c r="AA3894">
        <v>0.47322522781846471</v>
      </c>
      <c r="AB3894" t="str">
        <f>HYPERLINK("Melting_Curves/meltCurve_Q86TU7_SETD3.pdf", "Melting_Curves/meltCurve_Q86TU7_SETD3.pdf")</f>
        <v>Melting_Curves/meltCurve_Q86TU7_SETD3.pdf</v>
      </c>
    </row>
    <row r="3895" spans="1:28" x14ac:dyDescent="0.25">
      <c r="A3895" t="s">
        <v>3899</v>
      </c>
      <c r="B3895">
        <v>0.99996721820229495</v>
      </c>
      <c r="C3895">
        <v>0.95527198472667796</v>
      </c>
      <c r="D3895">
        <v>0.90605038035421903</v>
      </c>
      <c r="E3895">
        <v>0.83138794645285496</v>
      </c>
      <c r="F3895">
        <v>0.71138056915142101</v>
      </c>
      <c r="G3895">
        <v>0.64052482490155604</v>
      </c>
      <c r="H3895">
        <v>0.31121517063147203</v>
      </c>
      <c r="I3895">
        <v>0.20640380504622499</v>
      </c>
      <c r="J3895">
        <v>0.19124490351525</v>
      </c>
      <c r="K3895">
        <v>0.146004122137703</v>
      </c>
      <c r="L3895">
        <v>635.14462653047201</v>
      </c>
      <c r="M3895">
        <v>10.988987430757099</v>
      </c>
      <c r="N3895">
        <v>57.798281317606801</v>
      </c>
      <c r="O3895">
        <v>55.983162113033401</v>
      </c>
      <c r="P3895">
        <v>-4.9089351665423497E-2</v>
      </c>
      <c r="Q3895">
        <v>0</v>
      </c>
      <c r="R3895">
        <v>0.98270039548329102</v>
      </c>
      <c r="S3895" t="s">
        <v>9721</v>
      </c>
      <c r="T3895" t="s">
        <v>11650</v>
      </c>
      <c r="U3895" t="s">
        <v>11650</v>
      </c>
      <c r="V3895" t="s">
        <v>11650</v>
      </c>
      <c r="W3895" t="s">
        <v>15491</v>
      </c>
      <c r="X3895">
        <v>8</v>
      </c>
      <c r="Y3895" t="s">
        <v>21168</v>
      </c>
      <c r="Z3895" t="s">
        <v>26957</v>
      </c>
      <c r="AA3895">
        <v>0.605948617902063</v>
      </c>
      <c r="AB3895" t="str">
        <f>HYPERLINK("Melting_Curves/meltCurve_Q86TV2_LGMN.pdf", "Melting_Curves/meltCurve_Q86TV2_LGMN.pdf")</f>
        <v>Melting_Curves/meltCurve_Q86TV2_LGMN.pdf</v>
      </c>
    </row>
    <row r="3896" spans="1:28" x14ac:dyDescent="0.25">
      <c r="A3896" t="s">
        <v>3900</v>
      </c>
      <c r="B3896">
        <v>0.99996721820229495</v>
      </c>
      <c r="C3896">
        <v>1.0250184897913499</v>
      </c>
      <c r="D3896">
        <v>0.87681319439583305</v>
      </c>
      <c r="E3896">
        <v>0.56329774662589605</v>
      </c>
      <c r="F3896">
        <v>0.26775969157771801</v>
      </c>
      <c r="G3896">
        <v>0.15907045627779601</v>
      </c>
      <c r="H3896">
        <v>0.106764144339812</v>
      </c>
      <c r="I3896">
        <v>8.1631931760850596E-2</v>
      </c>
      <c r="J3896">
        <v>6.4983256396035902E-2</v>
      </c>
      <c r="K3896">
        <v>4.6949821400322701E-2</v>
      </c>
      <c r="L3896">
        <v>1115.98751510805</v>
      </c>
      <c r="M3896">
        <v>22.2388848389811</v>
      </c>
      <c r="N3896">
        <v>50.528505677211903</v>
      </c>
      <c r="O3896">
        <v>49.7813339850386</v>
      </c>
      <c r="P3896">
        <v>-0.103782530947331</v>
      </c>
      <c r="Q3896">
        <v>7.0758730965061301E-2</v>
      </c>
      <c r="R3896">
        <v>0.99687265170995198</v>
      </c>
      <c r="S3896" t="s">
        <v>9722</v>
      </c>
      <c r="T3896" t="s">
        <v>11650</v>
      </c>
      <c r="U3896" t="s">
        <v>11650</v>
      </c>
      <c r="V3896" t="s">
        <v>11650</v>
      </c>
      <c r="W3896" t="s">
        <v>15492</v>
      </c>
      <c r="X3896">
        <v>22</v>
      </c>
      <c r="Y3896" t="s">
        <v>21169</v>
      </c>
      <c r="Z3896" t="s">
        <v>26958</v>
      </c>
      <c r="AA3896">
        <v>0.39664089553549681</v>
      </c>
      <c r="AB3896" t="str">
        <f>HYPERLINK("Melting_Curves/meltCurve_Q86TX2_ACOT1.pdf", "Melting_Curves/meltCurve_Q86TX2_ACOT1.pdf")</f>
        <v>Melting_Curves/meltCurve_Q86TX2_ACOT1.pdf</v>
      </c>
    </row>
    <row r="3897" spans="1:28" x14ac:dyDescent="0.25">
      <c r="A3897" t="s">
        <v>3901</v>
      </c>
      <c r="B3897">
        <v>0.99996721820229495</v>
      </c>
      <c r="C3897">
        <v>1.1034733857380301</v>
      </c>
      <c r="D3897">
        <v>0.99938780667424598</v>
      </c>
      <c r="E3897">
        <v>0.74126494443145297</v>
      </c>
      <c r="F3897">
        <v>0.47682743315255199</v>
      </c>
      <c r="G3897">
        <v>0.38484045200003902</v>
      </c>
      <c r="H3897">
        <v>0.20365071047819</v>
      </c>
      <c r="I3897">
        <v>0.185186827528354</v>
      </c>
      <c r="J3897">
        <v>0.140298935765786</v>
      </c>
      <c r="K3897">
        <v>0.115703039795349</v>
      </c>
      <c r="L3897">
        <v>962.90111140315196</v>
      </c>
      <c r="M3897">
        <v>18.326385922894399</v>
      </c>
      <c r="N3897">
        <v>53.499919420021797</v>
      </c>
      <c r="O3897">
        <v>51.9281686095742</v>
      </c>
      <c r="P3897">
        <v>-7.5890525367060799E-2</v>
      </c>
      <c r="Q3897">
        <v>0.13989045541536499</v>
      </c>
      <c r="R3897">
        <v>0.97927871662872301</v>
      </c>
      <c r="S3897" t="s">
        <v>9723</v>
      </c>
      <c r="T3897" t="s">
        <v>11650</v>
      </c>
      <c r="U3897" t="s">
        <v>11650</v>
      </c>
      <c r="V3897" t="s">
        <v>11650</v>
      </c>
      <c r="W3897" t="s">
        <v>15493</v>
      </c>
      <c r="X3897">
        <v>4</v>
      </c>
      <c r="Y3897" t="s">
        <v>21170</v>
      </c>
      <c r="Z3897" t="s">
        <v>26959</v>
      </c>
      <c r="AA3897">
        <v>0.51324808574645397</v>
      </c>
      <c r="AB3897" t="str">
        <f>HYPERLINK("Melting_Curves/meltCurve_Q86U28_ISCA2.pdf", "Melting_Curves/meltCurve_Q86U28_ISCA2.pdf")</f>
        <v>Melting_Curves/meltCurve_Q86U28_ISCA2.pdf</v>
      </c>
    </row>
    <row r="3898" spans="1:28" x14ac:dyDescent="0.25">
      <c r="A3898" t="s">
        <v>3902</v>
      </c>
      <c r="B3898">
        <v>0.99996721820229495</v>
      </c>
      <c r="C3898">
        <v>1.06202704525172</v>
      </c>
      <c r="D3898">
        <v>0.93663890954609297</v>
      </c>
      <c r="E3898">
        <v>0.83123435521211697</v>
      </c>
      <c r="F3898">
        <v>0.46744695750806198</v>
      </c>
      <c r="G3898">
        <v>0.40585942780315398</v>
      </c>
      <c r="H3898">
        <v>0.309668142033377</v>
      </c>
      <c r="I3898">
        <v>0.23936267435910599</v>
      </c>
      <c r="J3898">
        <v>0.18888328428871801</v>
      </c>
      <c r="K3898">
        <v>0.12480951611132</v>
      </c>
      <c r="L3898">
        <v>900.13133804577706</v>
      </c>
      <c r="M3898">
        <v>17.058450346456699</v>
      </c>
      <c r="N3898">
        <v>54.161655315476096</v>
      </c>
      <c r="O3898">
        <v>52.0583165273503</v>
      </c>
      <c r="P3898">
        <v>-6.7367426236260894E-2</v>
      </c>
      <c r="Q3898">
        <v>0.17769295542243099</v>
      </c>
      <c r="R3898">
        <v>0.97345714904012703</v>
      </c>
      <c r="S3898" t="s">
        <v>9724</v>
      </c>
      <c r="T3898" t="s">
        <v>11650</v>
      </c>
      <c r="U3898" t="s">
        <v>11650</v>
      </c>
      <c r="V3898" t="s">
        <v>11650</v>
      </c>
      <c r="W3898" t="s">
        <v>15494</v>
      </c>
      <c r="X3898">
        <v>4</v>
      </c>
      <c r="Y3898" t="s">
        <v>21171</v>
      </c>
      <c r="Z3898" t="s">
        <v>26960</v>
      </c>
      <c r="AA3898">
        <v>0.54238669613799939</v>
      </c>
      <c r="AB3898" t="str">
        <f>HYPERLINK("Melting_Curves/meltCurve_Q86U44_METTL3.pdf", "Melting_Curves/meltCurve_Q86U44_METTL3.pdf")</f>
        <v>Melting_Curves/meltCurve_Q86U44_METTL3.pdf</v>
      </c>
    </row>
    <row r="3899" spans="1:28" x14ac:dyDescent="0.25">
      <c r="A3899" t="s">
        <v>3903</v>
      </c>
      <c r="B3899">
        <v>0.99996721820229495</v>
      </c>
      <c r="C3899">
        <v>1.7040543505229999</v>
      </c>
      <c r="D3899">
        <v>1.3961924562000401</v>
      </c>
      <c r="E3899">
        <v>1.23049833025325</v>
      </c>
      <c r="F3899">
        <v>1.4880934062517699</v>
      </c>
      <c r="G3899">
        <v>0.87999496078416795</v>
      </c>
      <c r="H3899">
        <v>0.387802503777746</v>
      </c>
      <c r="I3899">
        <v>0.49017122288598802</v>
      </c>
      <c r="J3899">
        <v>0.227733095746467</v>
      </c>
      <c r="K3899">
        <v>0.24558299077901399</v>
      </c>
      <c r="L3899">
        <v>3115.3788982993101</v>
      </c>
      <c r="M3899">
        <v>52.953192523104697</v>
      </c>
      <c r="N3899">
        <v>59.941232185402797</v>
      </c>
      <c r="O3899">
        <v>58.748954514096198</v>
      </c>
      <c r="P3899">
        <v>-0.15498362435381999</v>
      </c>
      <c r="Q3899">
        <v>0.312213591683003</v>
      </c>
      <c r="R3899">
        <v>0.63025637056796702</v>
      </c>
      <c r="S3899" t="s">
        <v>9725</v>
      </c>
      <c r="T3899" t="s">
        <v>11650</v>
      </c>
      <c r="U3899" t="s">
        <v>11650</v>
      </c>
      <c r="V3899" t="s">
        <v>11650</v>
      </c>
      <c r="W3899" t="s">
        <v>15495</v>
      </c>
      <c r="X3899">
        <v>1</v>
      </c>
      <c r="Y3899" t="s">
        <v>21172</v>
      </c>
      <c r="Z3899" t="s">
        <v>26961</v>
      </c>
      <c r="AA3899">
        <v>0.74555821501162134</v>
      </c>
      <c r="AB3899" t="str">
        <f>HYPERLINK("Melting_Curves/meltCurve_Q86U70_3_LDB1.pdf", "Melting_Curves/meltCurve_Q86U70_3_LDB1.pdf")</f>
        <v>Melting_Curves/meltCurve_Q86U70_3_LDB1.pdf</v>
      </c>
    </row>
    <row r="3900" spans="1:28" x14ac:dyDescent="0.25">
      <c r="A3900" t="s">
        <v>3904</v>
      </c>
      <c r="B3900">
        <v>0.99996721820229495</v>
      </c>
      <c r="C3900">
        <v>0.99738168717488795</v>
      </c>
      <c r="D3900">
        <v>0.87835653533899205</v>
      </c>
      <c r="E3900">
        <v>0.73229526466014605</v>
      </c>
      <c r="F3900">
        <v>0.49652949731232099</v>
      </c>
      <c r="G3900">
        <v>0.32881850423898901</v>
      </c>
      <c r="H3900">
        <v>0.22241834115013501</v>
      </c>
      <c r="I3900">
        <v>0.168318457186278</v>
      </c>
      <c r="J3900">
        <v>9.4443725065866804E-2</v>
      </c>
      <c r="K3900">
        <v>8.2418012855662401E-2</v>
      </c>
      <c r="L3900">
        <v>714.2108408309</v>
      </c>
      <c r="M3900">
        <v>13.475573533650101</v>
      </c>
      <c r="N3900">
        <v>53.526036393261997</v>
      </c>
      <c r="O3900">
        <v>51.874063227403802</v>
      </c>
      <c r="P3900">
        <v>-6.09281751906397E-2</v>
      </c>
      <c r="Q3900">
        <v>6.19748755691601E-2</v>
      </c>
      <c r="R3900">
        <v>0.99607506660543998</v>
      </c>
      <c r="S3900" t="s">
        <v>9726</v>
      </c>
      <c r="T3900" t="s">
        <v>11650</v>
      </c>
      <c r="U3900" t="s">
        <v>11650</v>
      </c>
      <c r="V3900" t="s">
        <v>11650</v>
      </c>
      <c r="W3900" t="s">
        <v>15496</v>
      </c>
      <c r="X3900">
        <v>6</v>
      </c>
      <c r="Y3900" t="s">
        <v>21173</v>
      </c>
      <c r="Z3900" t="s">
        <v>26962</v>
      </c>
      <c r="AA3900">
        <v>0.49173268927708358</v>
      </c>
      <c r="AB3900" t="str">
        <f>HYPERLINK("Melting_Curves/meltCurve_Q86U90_YRDC.pdf", "Melting_Curves/meltCurve_Q86U90_YRDC.pdf")</f>
        <v>Melting_Curves/meltCurve_Q86U90_YRDC.pdf</v>
      </c>
    </row>
    <row r="3901" spans="1:28" x14ac:dyDescent="0.25">
      <c r="A3901" t="s">
        <v>3905</v>
      </c>
      <c r="B3901">
        <v>0.99996721820229495</v>
      </c>
      <c r="C3901">
        <v>1.0145827973400601</v>
      </c>
      <c r="D3901">
        <v>0.98601966154050802</v>
      </c>
      <c r="E3901">
        <v>1.18503978455009</v>
      </c>
      <c r="F3901">
        <v>1.5692454182783599</v>
      </c>
      <c r="G3901">
        <v>1.68274698503267</v>
      </c>
      <c r="H3901">
        <v>1.2305089995670699</v>
      </c>
      <c r="I3901">
        <v>0.74456209687615105</v>
      </c>
      <c r="J3901">
        <v>0.588211529319566</v>
      </c>
      <c r="K3901">
        <v>0.53640881715954702</v>
      </c>
      <c r="L3901">
        <v>15000</v>
      </c>
      <c r="M3901">
        <v>234.71240561623699</v>
      </c>
      <c r="O3901">
        <v>63.903359640387599</v>
      </c>
      <c r="P3901">
        <v>-0.40190757468338001</v>
      </c>
      <c r="Q3901">
        <v>0.56230274712539696</v>
      </c>
      <c r="R3901">
        <v>0.32299968411644803</v>
      </c>
      <c r="S3901" t="s">
        <v>9727</v>
      </c>
      <c r="T3901" t="s">
        <v>11650</v>
      </c>
      <c r="U3901" t="s">
        <v>11650</v>
      </c>
      <c r="V3901" t="s">
        <v>11650</v>
      </c>
      <c r="W3901" t="s">
        <v>15497</v>
      </c>
      <c r="X3901">
        <v>19</v>
      </c>
      <c r="Y3901" t="s">
        <v>21174</v>
      </c>
      <c r="Z3901" t="s">
        <v>26963</v>
      </c>
      <c r="AA3901">
        <v>0.91117394774358085</v>
      </c>
      <c r="AB3901" t="str">
        <f>HYPERLINK("Melting_Curves/meltCurve_Q86UE4_MTDH.pdf", "Melting_Curves/meltCurve_Q86UE4_MTDH.pdf")</f>
        <v>Melting_Curves/meltCurve_Q86UE4_MTDH.pdf</v>
      </c>
    </row>
    <row r="3902" spans="1:28" x14ac:dyDescent="0.25">
      <c r="A3902" t="s">
        <v>3906</v>
      </c>
      <c r="B3902">
        <v>0.99996721820229495</v>
      </c>
      <c r="C3902">
        <v>0.932352711942801</v>
      </c>
      <c r="D3902">
        <v>0.72601596540798696</v>
      </c>
      <c r="E3902">
        <v>0.47053422500649</v>
      </c>
      <c r="F3902">
        <v>0.51235929620407905</v>
      </c>
      <c r="G3902">
        <v>0.38775046967245702</v>
      </c>
      <c r="H3902">
        <v>0.27134058726552401</v>
      </c>
      <c r="I3902">
        <v>0.18452049396763501</v>
      </c>
      <c r="J3902">
        <v>0.13928121918741501</v>
      </c>
      <c r="K3902">
        <v>0.103526893926981</v>
      </c>
      <c r="L3902">
        <v>463.63058547124302</v>
      </c>
      <c r="M3902">
        <v>8.9947403970692701</v>
      </c>
      <c r="N3902">
        <v>52.152314999088702</v>
      </c>
      <c r="O3902">
        <v>49.188129118842603</v>
      </c>
      <c r="P3902">
        <v>-4.3473298250690497E-2</v>
      </c>
      <c r="Q3902">
        <v>4.9749175844868203E-2</v>
      </c>
      <c r="R3902">
        <v>0.966233592752342</v>
      </c>
      <c r="S3902" t="s">
        <v>9728</v>
      </c>
      <c r="T3902" t="s">
        <v>11650</v>
      </c>
      <c r="U3902" t="s">
        <v>11650</v>
      </c>
      <c r="V3902" t="s">
        <v>11650</v>
      </c>
      <c r="W3902" t="s">
        <v>15498</v>
      </c>
      <c r="X3902">
        <v>9</v>
      </c>
      <c r="Y3902" t="s">
        <v>21175</v>
      </c>
      <c r="Z3902" t="s">
        <v>26964</v>
      </c>
      <c r="AA3902">
        <v>0.45773418071097538</v>
      </c>
      <c r="AB3902" t="str">
        <f>HYPERLINK("Melting_Curves/meltCurve_Q86UK7_2_ZNF598.pdf", "Melting_Curves/meltCurve_Q86UK7_2_ZNF598.pdf")</f>
        <v>Melting_Curves/meltCurve_Q86UK7_2_ZNF598.pdf</v>
      </c>
    </row>
    <row r="3903" spans="1:28" x14ac:dyDescent="0.25">
      <c r="A3903" t="s">
        <v>3907</v>
      </c>
      <c r="B3903">
        <v>0.99996721820229495</v>
      </c>
      <c r="C3903">
        <v>1.21893094650918</v>
      </c>
      <c r="D3903">
        <v>1.30939619660618</v>
      </c>
      <c r="E3903">
        <v>1.3562399571730499</v>
      </c>
      <c r="F3903">
        <v>1.0782482111444101</v>
      </c>
      <c r="G3903">
        <v>0.76962794683686397</v>
      </c>
      <c r="H3903">
        <v>0.441112936135647</v>
      </c>
      <c r="I3903">
        <v>0.29461489979117</v>
      </c>
      <c r="J3903">
        <v>0.16868895079268001</v>
      </c>
      <c r="K3903">
        <v>0.13764844927342601</v>
      </c>
      <c r="L3903">
        <v>1715.2181284509199</v>
      </c>
      <c r="M3903">
        <v>28.770102039293</v>
      </c>
      <c r="N3903">
        <v>60.347586277255601</v>
      </c>
      <c r="O3903">
        <v>59.3322884503159</v>
      </c>
      <c r="P3903">
        <v>-0.103420492529543</v>
      </c>
      <c r="Q3903">
        <v>0.14687475573447001</v>
      </c>
      <c r="R3903">
        <v>0.86131031899240096</v>
      </c>
      <c r="S3903" t="s">
        <v>9729</v>
      </c>
      <c r="T3903" t="s">
        <v>11650</v>
      </c>
      <c r="U3903" t="s">
        <v>11650</v>
      </c>
      <c r="V3903" t="s">
        <v>11650</v>
      </c>
      <c r="W3903" t="s">
        <v>15499</v>
      </c>
      <c r="X3903">
        <v>4</v>
      </c>
      <c r="Y3903" t="s">
        <v>21176</v>
      </c>
      <c r="Z3903" t="s">
        <v>26965</v>
      </c>
      <c r="AA3903">
        <v>0.71038176620497662</v>
      </c>
      <c r="AB3903" t="str">
        <f>HYPERLINK("Melting_Curves/meltCurve_Q86UL3_AGPAT6.pdf", "Melting_Curves/meltCurve_Q86UL3_AGPAT6.pdf")</f>
        <v>Melting_Curves/meltCurve_Q86UL3_AGPAT6.pdf</v>
      </c>
    </row>
    <row r="3904" spans="1:28" x14ac:dyDescent="0.25">
      <c r="A3904" t="s">
        <v>3908</v>
      </c>
      <c r="B3904">
        <v>0.99996721820229495</v>
      </c>
      <c r="C3904">
        <v>1.16317410680313</v>
      </c>
      <c r="D3904">
        <v>1.23069053862116</v>
      </c>
      <c r="E3904">
        <v>1.28302821649386</v>
      </c>
      <c r="F3904">
        <v>1.5385189756362201</v>
      </c>
      <c r="G3904">
        <v>1.60249815253769</v>
      </c>
      <c r="H3904">
        <v>1.23081819113923</v>
      </c>
      <c r="I3904">
        <v>0.93156653680868295</v>
      </c>
      <c r="J3904">
        <v>0.77472672357109795</v>
      </c>
      <c r="K3904">
        <v>0.64832919302547398</v>
      </c>
      <c r="L3904">
        <v>3938.38472198715</v>
      </c>
      <c r="M3904">
        <v>59.348746970156903</v>
      </c>
      <c r="O3904">
        <v>66.284815306470193</v>
      </c>
      <c r="P3904">
        <v>-8.1624218550891095E-2</v>
      </c>
      <c r="Q3904">
        <v>0.63534571121521899</v>
      </c>
      <c r="R3904">
        <v>-2.3377065173314698E-2</v>
      </c>
      <c r="S3904" t="s">
        <v>9730</v>
      </c>
      <c r="T3904" t="s">
        <v>11650</v>
      </c>
      <c r="U3904" t="s">
        <v>11650</v>
      </c>
      <c r="V3904" t="s">
        <v>11650</v>
      </c>
      <c r="W3904" t="s">
        <v>15500</v>
      </c>
      <c r="X3904">
        <v>79</v>
      </c>
      <c r="Y3904" t="s">
        <v>21177</v>
      </c>
      <c r="Z3904" t="s">
        <v>26966</v>
      </c>
      <c r="AA3904">
        <v>0.9558108570833217</v>
      </c>
      <c r="AB3904" t="str">
        <f>HYPERLINK("Melting_Curves/meltCurve_Q86UP2_KTN1.pdf", "Melting_Curves/meltCurve_Q86UP2_KTN1.pdf")</f>
        <v>Melting_Curves/meltCurve_Q86UP2_KTN1.pdf</v>
      </c>
    </row>
    <row r="3905" spans="1:28" x14ac:dyDescent="0.25">
      <c r="A3905" t="s">
        <v>3909</v>
      </c>
      <c r="B3905">
        <v>0.99996721820229495</v>
      </c>
      <c r="C3905">
        <v>0.98781252099118799</v>
      </c>
      <c r="D3905">
        <v>0.96018291772860398</v>
      </c>
      <c r="E3905">
        <v>1.05368217524372</v>
      </c>
      <c r="F3905">
        <v>1.2524441611572601</v>
      </c>
      <c r="G3905">
        <v>1.35082387679141</v>
      </c>
      <c r="H3905">
        <v>0.92761506877177502</v>
      </c>
      <c r="I3905">
        <v>0.80796571698330899</v>
      </c>
      <c r="J3905">
        <v>0.76768927541424203</v>
      </c>
      <c r="K3905">
        <v>0.56833798939663605</v>
      </c>
      <c r="L3905">
        <v>1877.97354231909</v>
      </c>
      <c r="M3905">
        <v>28.304268717301301</v>
      </c>
      <c r="O3905">
        <v>66.020932930601603</v>
      </c>
      <c r="P3905">
        <v>-5.4164179903293502E-2</v>
      </c>
      <c r="Q3905">
        <v>0.49464296579355799</v>
      </c>
      <c r="R3905">
        <v>0.56153617859052996</v>
      </c>
      <c r="S3905" t="s">
        <v>9731</v>
      </c>
      <c r="T3905" t="s">
        <v>11650</v>
      </c>
      <c r="U3905" t="s">
        <v>11650</v>
      </c>
      <c r="V3905" t="s">
        <v>11650</v>
      </c>
      <c r="W3905" t="s">
        <v>15501</v>
      </c>
      <c r="X3905">
        <v>12</v>
      </c>
      <c r="Y3905" t="s">
        <v>21178</v>
      </c>
      <c r="Z3905" t="s">
        <v>26967</v>
      </c>
      <c r="AA3905">
        <v>0.93332534935318123</v>
      </c>
      <c r="AB3905" t="str">
        <f>HYPERLINK("Melting_Curves/meltCurve_Q86UU0_4_BCL9L.pdf", "Melting_Curves/meltCurve_Q86UU0_4_BCL9L.pdf")</f>
        <v>Melting_Curves/meltCurve_Q86UU0_4_BCL9L.pdf</v>
      </c>
    </row>
    <row r="3906" spans="1:28" x14ac:dyDescent="0.25">
      <c r="A3906" t="s">
        <v>3910</v>
      </c>
      <c r="B3906">
        <v>0.99996721820229495</v>
      </c>
      <c r="C3906">
        <v>0.86474817864550002</v>
      </c>
      <c r="D3906">
        <v>0.653596480372582</v>
      </c>
      <c r="E3906">
        <v>0.51507998938306698</v>
      </c>
      <c r="F3906">
        <v>0.47402965168188299</v>
      </c>
      <c r="G3906">
        <v>0.37274645701332698</v>
      </c>
      <c r="H3906">
        <v>0.25883519965810498</v>
      </c>
      <c r="I3906">
        <v>0.24386325132937101</v>
      </c>
      <c r="J3906">
        <v>0.21117953413933499</v>
      </c>
      <c r="K3906">
        <v>0.16219158537499101</v>
      </c>
      <c r="L3906">
        <v>482.81743807201599</v>
      </c>
      <c r="M3906">
        <v>9.7797521107734404</v>
      </c>
      <c r="N3906">
        <v>51.252009053717899</v>
      </c>
      <c r="O3906">
        <v>47.437647772850099</v>
      </c>
      <c r="P3906">
        <v>-4.3785035030342201E-2</v>
      </c>
      <c r="Q3906">
        <v>0.15091520133623099</v>
      </c>
      <c r="R3906">
        <v>0.97748596186574799</v>
      </c>
      <c r="S3906" t="s">
        <v>9732</v>
      </c>
      <c r="T3906" t="s">
        <v>11650</v>
      </c>
      <c r="U3906" t="s">
        <v>11650</v>
      </c>
      <c r="V3906" t="s">
        <v>11650</v>
      </c>
      <c r="W3906" t="s">
        <v>15502</v>
      </c>
      <c r="X3906">
        <v>58</v>
      </c>
      <c r="Y3906" t="s">
        <v>21179</v>
      </c>
      <c r="Z3906" t="s">
        <v>26968</v>
      </c>
      <c r="AA3906">
        <v>0.4577521919997275</v>
      </c>
      <c r="AB3906" t="str">
        <f>HYPERLINK("Melting_Curves/meltCurve_Q86UU1_2_PHLDB1.pdf", "Melting_Curves/meltCurve_Q86UU1_2_PHLDB1.pdf")</f>
        <v>Melting_Curves/meltCurve_Q86UU1_2_PHLDB1.pdf</v>
      </c>
    </row>
    <row r="3907" spans="1:28" x14ac:dyDescent="0.25">
      <c r="A3907" t="s">
        <v>3911</v>
      </c>
      <c r="B3907">
        <v>0.99996721820229495</v>
      </c>
      <c r="C3907">
        <v>0.86050082160553598</v>
      </c>
      <c r="D3907">
        <v>0.57330244435506394</v>
      </c>
      <c r="E3907">
        <v>0.1730895822513</v>
      </c>
      <c r="F3907">
        <v>0.148364836954334</v>
      </c>
      <c r="G3907">
        <v>0.13527587552297601</v>
      </c>
      <c r="H3907">
        <v>7.4147766808699306E-2</v>
      </c>
      <c r="I3907">
        <v>4.73311290049531E-2</v>
      </c>
      <c r="J3907">
        <v>1.75399985062091E-2</v>
      </c>
      <c r="K3907">
        <v>3.5058251514489901E-2</v>
      </c>
      <c r="L3907">
        <v>1052.4196516664199</v>
      </c>
      <c r="M3907">
        <v>22.727251591774699</v>
      </c>
      <c r="N3907">
        <v>46.567423313541902</v>
      </c>
      <c r="O3907">
        <v>45.952486610794097</v>
      </c>
      <c r="P3907">
        <v>-0.11625593745240601</v>
      </c>
      <c r="Q3907">
        <v>5.9782020001062801E-2</v>
      </c>
      <c r="R3907">
        <v>0.99165044823051895</v>
      </c>
      <c r="S3907" t="s">
        <v>9733</v>
      </c>
      <c r="T3907" t="s">
        <v>11650</v>
      </c>
      <c r="U3907" t="s">
        <v>11650</v>
      </c>
      <c r="V3907" t="s">
        <v>11650</v>
      </c>
      <c r="W3907" t="s">
        <v>15503</v>
      </c>
      <c r="X3907">
        <v>3</v>
      </c>
      <c r="Y3907" t="s">
        <v>21180</v>
      </c>
      <c r="Z3907" t="s">
        <v>26969</v>
      </c>
      <c r="AA3907">
        <v>0.26807739948261722</v>
      </c>
      <c r="AB3907" t="str">
        <f>HYPERLINK("Melting_Curves/meltCurve_Q86UV5_USP48.pdf", "Melting_Curves/meltCurve_Q86UV5_USP48.pdf")</f>
        <v>Melting_Curves/meltCurve_Q86UV5_USP48.pdf</v>
      </c>
    </row>
    <row r="3908" spans="1:28" x14ac:dyDescent="0.25">
      <c r="A3908" t="s">
        <v>3912</v>
      </c>
      <c r="B3908">
        <v>0.99996721820229495</v>
      </c>
      <c r="C3908">
        <v>1.04156225986507</v>
      </c>
      <c r="D3908">
        <v>1.0202288058768301</v>
      </c>
      <c r="E3908">
        <v>0.96875488922436104</v>
      </c>
      <c r="F3908">
        <v>1.0904578612553699</v>
      </c>
      <c r="G3908">
        <v>0.74869924791793896</v>
      </c>
      <c r="H3908">
        <v>0.38820277510595003</v>
      </c>
      <c r="I3908">
        <v>0.247454287451954</v>
      </c>
      <c r="J3908">
        <v>0.19038263323457899</v>
      </c>
      <c r="K3908">
        <v>0.166166472576358</v>
      </c>
      <c r="L3908">
        <v>1879.4733077390899</v>
      </c>
      <c r="M3908">
        <v>31.957515657613602</v>
      </c>
      <c r="N3908">
        <v>59.623428778815402</v>
      </c>
      <c r="O3908">
        <v>58.582769535040903</v>
      </c>
      <c r="P3908">
        <v>-0.112320294532784</v>
      </c>
      <c r="Q3908">
        <v>0.176406492859533</v>
      </c>
      <c r="R3908">
        <v>0.98718778337683399</v>
      </c>
      <c r="S3908" t="s">
        <v>9734</v>
      </c>
      <c r="T3908" t="s">
        <v>11650</v>
      </c>
      <c r="U3908" t="s">
        <v>11650</v>
      </c>
      <c r="V3908" t="s">
        <v>11650</v>
      </c>
      <c r="W3908" t="s">
        <v>15504</v>
      </c>
      <c r="X3908">
        <v>24</v>
      </c>
      <c r="Y3908" t="s">
        <v>21181</v>
      </c>
      <c r="Z3908" t="s">
        <v>26970</v>
      </c>
      <c r="AA3908">
        <v>0.69764969589980264</v>
      </c>
      <c r="AB3908" t="str">
        <f>HYPERLINK("Melting_Curves/meltCurve_Q86UY0_TXNDC5.pdf", "Melting_Curves/meltCurve_Q86UY0_TXNDC5.pdf")</f>
        <v>Melting_Curves/meltCurve_Q86UY0_TXNDC5.pdf</v>
      </c>
    </row>
    <row r="3909" spans="1:28" x14ac:dyDescent="0.25">
      <c r="A3909" t="s">
        <v>3913</v>
      </c>
      <c r="B3909">
        <v>0.99996721820229495</v>
      </c>
      <c r="C3909">
        <v>0.91960135927192599</v>
      </c>
      <c r="D3909">
        <v>0.76154972368566698</v>
      </c>
      <c r="E3909">
        <v>0.97327907808564795</v>
      </c>
      <c r="F3909">
        <v>0.99221139761663102</v>
      </c>
      <c r="G3909">
        <v>1.0507069859367999</v>
      </c>
      <c r="H3909">
        <v>0.55332120185061195</v>
      </c>
      <c r="I3909">
        <v>0.30440410760492698</v>
      </c>
      <c r="J3909">
        <v>0.186454680504967</v>
      </c>
      <c r="K3909">
        <v>0.310217449465989</v>
      </c>
      <c r="L3909">
        <v>5065.3961409247604</v>
      </c>
      <c r="M3909">
        <v>83.4556981958021</v>
      </c>
      <c r="N3909">
        <v>61.243774609158301</v>
      </c>
      <c r="O3909">
        <v>60.660807151293398</v>
      </c>
      <c r="P3909">
        <v>-0.25345432034320797</v>
      </c>
      <c r="Q3909">
        <v>0.26309447266003999</v>
      </c>
      <c r="R3909">
        <v>0.92523075496489504</v>
      </c>
      <c r="S3909" t="s">
        <v>9735</v>
      </c>
      <c r="T3909" t="s">
        <v>11650</v>
      </c>
      <c r="U3909" t="s">
        <v>11650</v>
      </c>
      <c r="V3909" t="s">
        <v>11650</v>
      </c>
      <c r="W3909" t="s">
        <v>15505</v>
      </c>
      <c r="X3909">
        <v>4</v>
      </c>
      <c r="Y3909" t="s">
        <v>21182</v>
      </c>
      <c r="Z3909" t="s">
        <v>26971</v>
      </c>
      <c r="AA3909">
        <v>0.77215719399488558</v>
      </c>
      <c r="AB3909" t="str">
        <f>HYPERLINK("Melting_Curves/meltCurve_Q86UY8_2_NT5DC3.pdf", "Melting_Curves/meltCurve_Q86UY8_2_NT5DC3.pdf")</f>
        <v>Melting_Curves/meltCurve_Q86UY8_2_NT5DC3.pdf</v>
      </c>
    </row>
    <row r="3910" spans="1:28" x14ac:dyDescent="0.25">
      <c r="A3910" t="s">
        <v>3914</v>
      </c>
      <c r="B3910">
        <v>0.99996721820229495</v>
      </c>
      <c r="C3910">
        <v>0.71267517063157504</v>
      </c>
      <c r="D3910">
        <v>0.259882564927226</v>
      </c>
      <c r="E3910">
        <v>0.27500087735657702</v>
      </c>
      <c r="F3910">
        <v>0.31597041008886201</v>
      </c>
      <c r="G3910">
        <v>0.195615436331079</v>
      </c>
      <c r="H3910">
        <v>0.17916400371439301</v>
      </c>
      <c r="I3910">
        <v>0.190570550540374</v>
      </c>
      <c r="J3910">
        <v>0.131861803991843</v>
      </c>
      <c r="K3910">
        <v>0.162147922767157</v>
      </c>
      <c r="L3910">
        <v>2020.9805320682401</v>
      </c>
      <c r="M3910">
        <v>46.535371393353799</v>
      </c>
      <c r="N3910">
        <v>43.932310174784</v>
      </c>
      <c r="O3910">
        <v>43.348944856679701</v>
      </c>
      <c r="P3910">
        <v>-0.212918124096662</v>
      </c>
      <c r="Q3910">
        <v>0.20664525329813599</v>
      </c>
      <c r="R3910">
        <v>0.96536572335533299</v>
      </c>
      <c r="S3910" t="s">
        <v>9736</v>
      </c>
      <c r="T3910" t="s">
        <v>11650</v>
      </c>
      <c r="U3910" t="s">
        <v>11650</v>
      </c>
      <c r="V3910" t="s">
        <v>11650</v>
      </c>
      <c r="W3910" t="s">
        <v>15506</v>
      </c>
      <c r="X3910">
        <v>10</v>
      </c>
      <c r="Y3910" t="s">
        <v>21183</v>
      </c>
      <c r="Z3910" t="s">
        <v>26972</v>
      </c>
      <c r="AA3910">
        <v>0.29944910157535609</v>
      </c>
      <c r="AB3910" t="str">
        <f>HYPERLINK("Melting_Curves/meltCurve_Q86V21_AACS.pdf", "Melting_Curves/meltCurve_Q86V21_AACS.pdf")</f>
        <v>Melting_Curves/meltCurve_Q86V21_AACS.pdf</v>
      </c>
    </row>
    <row r="3911" spans="1:28" x14ac:dyDescent="0.25">
      <c r="A3911" t="s">
        <v>3915</v>
      </c>
      <c r="B3911">
        <v>0.99996721820229495</v>
      </c>
      <c r="C3911">
        <v>0.93076920453272605</v>
      </c>
      <c r="D3911">
        <v>0.78976857767174002</v>
      </c>
      <c r="E3911">
        <v>0.72075649766414296</v>
      </c>
      <c r="F3911">
        <v>0.77319535545964402</v>
      </c>
      <c r="G3911">
        <v>0.69264727484187105</v>
      </c>
      <c r="H3911">
        <v>0.47000529180476203</v>
      </c>
      <c r="I3911">
        <v>0.39088917891152097</v>
      </c>
      <c r="J3911">
        <v>0.35774562479688099</v>
      </c>
      <c r="K3911">
        <v>0.25056272929807699</v>
      </c>
      <c r="L3911">
        <v>383.84206353729297</v>
      </c>
      <c r="M3911">
        <v>6.3494186559667902</v>
      </c>
      <c r="N3911">
        <v>60.453104153747297</v>
      </c>
      <c r="O3911">
        <v>55.289741895110403</v>
      </c>
      <c r="P3911">
        <v>-2.8785639095793299E-2</v>
      </c>
      <c r="Q3911">
        <v>0</v>
      </c>
      <c r="R3911">
        <v>0.94723641124334401</v>
      </c>
      <c r="S3911" t="s">
        <v>9737</v>
      </c>
      <c r="T3911" t="s">
        <v>11650</v>
      </c>
      <c r="U3911" t="s">
        <v>11650</v>
      </c>
      <c r="V3911" t="s">
        <v>11650</v>
      </c>
      <c r="W3911" t="s">
        <v>15507</v>
      </c>
      <c r="X3911">
        <v>32</v>
      </c>
      <c r="Y3911" t="s">
        <v>21184</v>
      </c>
      <c r="Z3911" t="s">
        <v>26973</v>
      </c>
      <c r="AA3911">
        <v>0.64609150385633818</v>
      </c>
      <c r="AB3911" t="str">
        <f>HYPERLINK("Melting_Curves/meltCurve_Q86V48_LUZP1.pdf", "Melting_Curves/meltCurve_Q86V48_LUZP1.pdf")</f>
        <v>Melting_Curves/meltCurve_Q86V48_LUZP1.pdf</v>
      </c>
    </row>
    <row r="3912" spans="1:28" x14ac:dyDescent="0.25">
      <c r="A3912" t="s">
        <v>3916</v>
      </c>
      <c r="B3912">
        <v>0.99996721820229495</v>
      </c>
      <c r="C3912">
        <v>0.78945972837975098</v>
      </c>
      <c r="D3912">
        <v>1.1615241675553301</v>
      </c>
      <c r="E3912">
        <v>1.04027240314652</v>
      </c>
      <c r="F3912">
        <v>0.52369061240588299</v>
      </c>
      <c r="G3912">
        <v>0.43388022733908299</v>
      </c>
      <c r="H3912">
        <v>0.28602956838740901</v>
      </c>
      <c r="I3912">
        <v>0.25545124963525701</v>
      </c>
      <c r="J3912">
        <v>0.24851750223741501</v>
      </c>
      <c r="K3912">
        <v>0.18901266755415899</v>
      </c>
      <c r="L3912">
        <v>13213.9174057003</v>
      </c>
      <c r="M3912">
        <v>250</v>
      </c>
      <c r="N3912">
        <v>53.032327665874902</v>
      </c>
      <c r="O3912">
        <v>52.852265250398901</v>
      </c>
      <c r="P3912">
        <v>-0.84838070445333302</v>
      </c>
      <c r="Q3912">
        <v>0.28257822841340202</v>
      </c>
      <c r="R3912">
        <v>0.91536628020047694</v>
      </c>
      <c r="S3912" t="s">
        <v>9738</v>
      </c>
      <c r="T3912" t="s">
        <v>11650</v>
      </c>
      <c r="U3912" t="s">
        <v>11650</v>
      </c>
      <c r="V3912" t="s">
        <v>11650</v>
      </c>
      <c r="W3912" t="s">
        <v>15508</v>
      </c>
      <c r="X3912">
        <v>2</v>
      </c>
      <c r="Y3912" t="s">
        <v>21185</v>
      </c>
      <c r="Z3912" t="s">
        <v>26974</v>
      </c>
      <c r="AA3912">
        <v>0.5900760196105892</v>
      </c>
      <c r="AB3912" t="str">
        <f>HYPERLINK("Melting_Curves/meltCurve_Q86V85_GPR180.pdf", "Melting_Curves/meltCurve_Q86V85_GPR180.pdf")</f>
        <v>Melting_Curves/meltCurve_Q86V85_GPR180.pdf</v>
      </c>
    </row>
    <row r="3913" spans="1:28" x14ac:dyDescent="0.25">
      <c r="A3913" t="s">
        <v>3917</v>
      </c>
      <c r="B3913">
        <v>0.99996721820229495</v>
      </c>
      <c r="C3913">
        <v>1.0081598736695501</v>
      </c>
      <c r="D3913">
        <v>0.99876416368043996</v>
      </c>
      <c r="E3913">
        <v>0.66634420611719503</v>
      </c>
      <c r="F3913">
        <v>0.51739086370951204</v>
      </c>
      <c r="G3913">
        <v>0.27840069729614803</v>
      </c>
      <c r="H3913">
        <v>0.102179154687681</v>
      </c>
      <c r="I3913">
        <v>6.2161848791621899E-2</v>
      </c>
      <c r="J3913">
        <v>2.0120093847234899E-2</v>
      </c>
      <c r="K3913">
        <v>2.22583046938125E-2</v>
      </c>
      <c r="L3913">
        <v>855.475744683637</v>
      </c>
      <c r="M3913">
        <v>16.1101994825022</v>
      </c>
      <c r="N3913">
        <v>53.101503635998199</v>
      </c>
      <c r="O3913">
        <v>52.303532541654299</v>
      </c>
      <c r="P3913">
        <v>-7.7009298962399594E-2</v>
      </c>
      <c r="Q3913">
        <v>0</v>
      </c>
      <c r="R3913">
        <v>0.99266337858541898</v>
      </c>
      <c r="S3913" t="s">
        <v>9739</v>
      </c>
      <c r="T3913" t="s">
        <v>11650</v>
      </c>
      <c r="U3913" t="s">
        <v>11650</v>
      </c>
      <c r="V3913" t="s">
        <v>11650</v>
      </c>
      <c r="W3913" t="s">
        <v>15509</v>
      </c>
      <c r="X3913">
        <v>5</v>
      </c>
      <c r="Y3913" t="s">
        <v>21186</v>
      </c>
      <c r="Z3913" t="s">
        <v>26975</v>
      </c>
      <c r="AA3913">
        <v>0.45607564031908099</v>
      </c>
      <c r="AB3913" t="str">
        <f>HYPERLINK("Melting_Curves/meltCurve_Q86V87_FAM160B2.pdf", "Melting_Curves/meltCurve_Q86V87_FAM160B2.pdf")</f>
        <v>Melting_Curves/meltCurve_Q86V87_FAM160B2.pdf</v>
      </c>
    </row>
    <row r="3914" spans="1:28" x14ac:dyDescent="0.25">
      <c r="A3914" t="s">
        <v>3918</v>
      </c>
      <c r="B3914">
        <v>0.99996721820229495</v>
      </c>
      <c r="C3914">
        <v>1.03216484720558</v>
      </c>
      <c r="D3914">
        <v>1.3324808464603799</v>
      </c>
      <c r="E3914">
        <v>1.75486158826171</v>
      </c>
      <c r="F3914">
        <v>2.4164575608493202</v>
      </c>
      <c r="G3914">
        <v>2.6176383065404201</v>
      </c>
      <c r="H3914">
        <v>2.0552205521459799</v>
      </c>
      <c r="I3914">
        <v>2.09278046824083</v>
      </c>
      <c r="J3914">
        <v>2.2962366891024999</v>
      </c>
      <c r="K3914">
        <v>1.47868571673838</v>
      </c>
      <c r="L3914">
        <v>4958.6656905671598</v>
      </c>
      <c r="M3914">
        <v>108.48458524824601</v>
      </c>
      <c r="O3914">
        <v>45.6929316953834</v>
      </c>
      <c r="P3914">
        <v>0.29677602577331902</v>
      </c>
      <c r="Q3914">
        <v>1.5</v>
      </c>
      <c r="R3914">
        <v>-0.15025506946931499</v>
      </c>
      <c r="S3914" t="s">
        <v>9740</v>
      </c>
      <c r="T3914" t="s">
        <v>11650</v>
      </c>
      <c r="U3914" t="s">
        <v>11650</v>
      </c>
      <c r="V3914" t="s">
        <v>11650</v>
      </c>
      <c r="W3914" t="s">
        <v>15510</v>
      </c>
      <c r="X3914">
        <v>5</v>
      </c>
      <c r="Y3914" t="s">
        <v>21187</v>
      </c>
      <c r="Z3914" t="s">
        <v>26976</v>
      </c>
      <c r="AA3914">
        <v>1.4046454298883251</v>
      </c>
      <c r="AB3914" t="str">
        <f>HYPERLINK("Melting_Curves/meltCurve_Q86VG3_C11orf74.pdf", "Melting_Curves/meltCurve_Q86VG3_C11orf74.pdf")</f>
        <v>Melting_Curves/meltCurve_Q86VG3_C11orf74.pdf</v>
      </c>
    </row>
    <row r="3915" spans="1:28" x14ac:dyDescent="0.25">
      <c r="A3915" t="s">
        <v>3919</v>
      </c>
      <c r="B3915">
        <v>0.99996721820229495</v>
      </c>
      <c r="C3915">
        <v>1.03899845974965</v>
      </c>
      <c r="D3915">
        <v>0.95092973185554497</v>
      </c>
      <c r="E3915">
        <v>0.85504403970609699</v>
      </c>
      <c r="F3915">
        <v>0.46671266252556898</v>
      </c>
      <c r="G3915">
        <v>0.36642883634108703</v>
      </c>
      <c r="H3915">
        <v>0.24346244202866399</v>
      </c>
      <c r="I3915">
        <v>0.218909320386828</v>
      </c>
      <c r="J3915">
        <v>0.21333321639083</v>
      </c>
      <c r="K3915">
        <v>0.165405602827258</v>
      </c>
      <c r="L3915">
        <v>1312.59132163607</v>
      </c>
      <c r="M3915">
        <v>25.141194336700298</v>
      </c>
      <c r="N3915">
        <v>53.3728353954358</v>
      </c>
      <c r="O3915">
        <v>51.881838659338598</v>
      </c>
      <c r="P3915">
        <v>-9.5580985156163006E-2</v>
      </c>
      <c r="Q3915">
        <v>0.21103954294799501</v>
      </c>
      <c r="R3915">
        <v>0.98626287616771602</v>
      </c>
      <c r="S3915" t="s">
        <v>9741</v>
      </c>
      <c r="T3915" t="s">
        <v>11650</v>
      </c>
      <c r="U3915" t="s">
        <v>11650</v>
      </c>
      <c r="V3915" t="s">
        <v>11650</v>
      </c>
      <c r="W3915" t="s">
        <v>15511</v>
      </c>
      <c r="X3915">
        <v>12</v>
      </c>
      <c r="Y3915" t="s">
        <v>21188</v>
      </c>
      <c r="Z3915" t="s">
        <v>26977</v>
      </c>
      <c r="AA3915">
        <v>0.53925391893643271</v>
      </c>
      <c r="AB3915" t="str">
        <f>HYPERLINK("Melting_Curves/meltCurve_Q86VN1_2_VPS36.pdf", "Melting_Curves/meltCurve_Q86VN1_2_VPS36.pdf")</f>
        <v>Melting_Curves/meltCurve_Q86VN1_2_VPS36.pdf</v>
      </c>
    </row>
    <row r="3916" spans="1:28" x14ac:dyDescent="0.25">
      <c r="A3916" t="s">
        <v>3920</v>
      </c>
      <c r="B3916">
        <v>0.99996721820229495</v>
      </c>
      <c r="C3916">
        <v>1.03877202786212</v>
      </c>
      <c r="D3916">
        <v>1.26298912202086</v>
      </c>
      <c r="E3916">
        <v>1.9061547922084701</v>
      </c>
      <c r="F3916">
        <v>2.8640294678649698</v>
      </c>
      <c r="G3916">
        <v>3.9059729645401098</v>
      </c>
      <c r="H3916">
        <v>0.70511876109542804</v>
      </c>
      <c r="I3916">
        <v>0.25895416460113002</v>
      </c>
      <c r="J3916">
        <v>0.15719061261852299</v>
      </c>
      <c r="K3916">
        <v>0.125325856372491</v>
      </c>
      <c r="L3916">
        <v>7506.4602265662797</v>
      </c>
      <c r="M3916">
        <v>122.46064899393301</v>
      </c>
      <c r="N3916">
        <v>61.518797299364302</v>
      </c>
      <c r="O3916">
        <v>61.2805754086707</v>
      </c>
      <c r="P3916">
        <v>-0.41039926635465102</v>
      </c>
      <c r="Q3916">
        <v>0.17852787865251801</v>
      </c>
      <c r="R3916">
        <v>7.6515693640550206E-2</v>
      </c>
      <c r="S3916" t="s">
        <v>9742</v>
      </c>
      <c r="T3916" t="s">
        <v>11650</v>
      </c>
      <c r="U3916" t="s">
        <v>11650</v>
      </c>
      <c r="V3916" t="s">
        <v>11650</v>
      </c>
      <c r="W3916" t="s">
        <v>15512</v>
      </c>
      <c r="X3916">
        <v>54</v>
      </c>
      <c r="Y3916" t="s">
        <v>21189</v>
      </c>
      <c r="Z3916" t="s">
        <v>26978</v>
      </c>
      <c r="AA3916">
        <v>0.76205720801419086</v>
      </c>
      <c r="AB3916" t="str">
        <f>HYPERLINK("Melting_Curves/meltCurve_Q86VP6_CAND1.pdf", "Melting_Curves/meltCurve_Q86VP6_CAND1.pdf")</f>
        <v>Melting_Curves/meltCurve_Q86VP6_CAND1.pdf</v>
      </c>
    </row>
    <row r="3917" spans="1:28" x14ac:dyDescent="0.25">
      <c r="A3917" t="s">
        <v>3921</v>
      </c>
      <c r="B3917">
        <v>0.99996721820229495</v>
      </c>
      <c r="C3917">
        <v>1.0589052307436599</v>
      </c>
      <c r="D3917">
        <v>0.84371441261760904</v>
      </c>
      <c r="E3917">
        <v>0.78373219578596798</v>
      </c>
      <c r="F3917">
        <v>1.05210217334051</v>
      </c>
      <c r="G3917">
        <v>1.0995925210867901</v>
      </c>
      <c r="H3917">
        <v>0.73036131784925895</v>
      </c>
      <c r="I3917">
        <v>0.60938996596705997</v>
      </c>
      <c r="J3917">
        <v>0.62474167287243099</v>
      </c>
      <c r="K3917">
        <v>0.37969771795496199</v>
      </c>
      <c r="L3917">
        <v>1995.65276757124</v>
      </c>
      <c r="M3917">
        <v>32.252552039101602</v>
      </c>
      <c r="N3917">
        <v>67.507222012179199</v>
      </c>
      <c r="O3917">
        <v>61.639393816105297</v>
      </c>
      <c r="P3917">
        <v>-6.9843729338952901E-2</v>
      </c>
      <c r="Q3917">
        <v>0.466075870883493</v>
      </c>
      <c r="R3917">
        <v>0.75917558011369801</v>
      </c>
      <c r="S3917" t="s">
        <v>9743</v>
      </c>
      <c r="T3917" t="s">
        <v>11650</v>
      </c>
      <c r="U3917" t="s">
        <v>11650</v>
      </c>
      <c r="V3917" t="s">
        <v>11650</v>
      </c>
      <c r="W3917" t="s">
        <v>15513</v>
      </c>
      <c r="X3917">
        <v>4</v>
      </c>
      <c r="Y3917" t="s">
        <v>21190</v>
      </c>
      <c r="Z3917" t="s">
        <v>26979</v>
      </c>
      <c r="AA3917">
        <v>0.85783678938663854</v>
      </c>
      <c r="AB3917" t="str">
        <f>HYPERLINK("Melting_Curves/meltCurve_Q86VQ1_GLCCI1.pdf", "Melting_Curves/meltCurve_Q86VQ1_GLCCI1.pdf")</f>
        <v>Melting_Curves/meltCurve_Q86VQ1_GLCCI1.pdf</v>
      </c>
    </row>
    <row r="3918" spans="1:28" x14ac:dyDescent="0.25">
      <c r="A3918" t="s">
        <v>3922</v>
      </c>
      <c r="B3918">
        <v>0.99996721820229495</v>
      </c>
      <c r="C3918">
        <v>0.70904234031709801</v>
      </c>
      <c r="D3918">
        <v>0.54247151788957204</v>
      </c>
      <c r="E3918">
        <v>0.615866884295452</v>
      </c>
      <c r="F3918">
        <v>0.70769003776930695</v>
      </c>
      <c r="G3918">
        <v>0.526043044785381</v>
      </c>
      <c r="H3918">
        <v>0.45942146325077099</v>
      </c>
      <c r="I3918">
        <v>0.37752460094272899</v>
      </c>
      <c r="J3918">
        <v>0.30226080177185299</v>
      </c>
      <c r="K3918">
        <v>0.28284657450268502</v>
      </c>
      <c r="L3918">
        <v>232.24903816421701</v>
      </c>
      <c r="M3918">
        <v>4.1037516573613804</v>
      </c>
      <c r="N3918">
        <v>56.594320892184101</v>
      </c>
      <c r="O3918">
        <v>46.834351507538798</v>
      </c>
      <c r="P3918">
        <v>-2.2164946560257401E-2</v>
      </c>
      <c r="Q3918">
        <v>0</v>
      </c>
      <c r="R3918">
        <v>0.79922522230508997</v>
      </c>
      <c r="S3918" t="s">
        <v>9744</v>
      </c>
      <c r="T3918" t="s">
        <v>11650</v>
      </c>
      <c r="U3918" t="s">
        <v>11650</v>
      </c>
      <c r="V3918" t="s">
        <v>11650</v>
      </c>
      <c r="W3918" t="s">
        <v>15514</v>
      </c>
      <c r="X3918">
        <v>1</v>
      </c>
      <c r="Y3918" t="s">
        <v>21191</v>
      </c>
      <c r="Z3918" t="s">
        <v>26980</v>
      </c>
      <c r="AA3918">
        <v>0.54869274735752804</v>
      </c>
      <c r="AB3918" t="str">
        <f>HYPERLINK("Melting_Curves/meltCurve_Q86VQ2_WASF3.pdf", "Melting_Curves/meltCurve_Q86VQ2_WASF3.pdf")</f>
        <v>Melting_Curves/meltCurve_Q86VQ2_WASF3.pdf</v>
      </c>
    </row>
    <row r="3919" spans="1:28" x14ac:dyDescent="0.25">
      <c r="A3919" t="s">
        <v>3923</v>
      </c>
      <c r="B3919">
        <v>0.99996721820229495</v>
      </c>
      <c r="C3919">
        <v>0.89980584472643799</v>
      </c>
      <c r="D3919">
        <v>0.91690203409042204</v>
      </c>
      <c r="E3919">
        <v>1.04303331156462</v>
      </c>
      <c r="F3919">
        <v>1.34953817614758</v>
      </c>
      <c r="G3919">
        <v>1.0620981977903601</v>
      </c>
      <c r="H3919">
        <v>0.50177328039713798</v>
      </c>
      <c r="I3919">
        <v>0.34349134089580102</v>
      </c>
      <c r="J3919">
        <v>0.23348071932044001</v>
      </c>
      <c r="K3919">
        <v>0.239146751281609</v>
      </c>
      <c r="L3919">
        <v>4973.8442756539698</v>
      </c>
      <c r="M3919">
        <v>82.263356748905096</v>
      </c>
      <c r="N3919">
        <v>61.032635009359801</v>
      </c>
      <c r="O3919">
        <v>60.426749847965702</v>
      </c>
      <c r="P3919">
        <v>-0.24907966464710299</v>
      </c>
      <c r="Q3919">
        <v>0.26815178667766099</v>
      </c>
      <c r="R3919">
        <v>0.89205250721043805</v>
      </c>
      <c r="S3919" t="s">
        <v>9745</v>
      </c>
      <c r="T3919" t="s">
        <v>11650</v>
      </c>
      <c r="U3919" t="s">
        <v>11650</v>
      </c>
      <c r="V3919" t="s">
        <v>11650</v>
      </c>
      <c r="W3919" t="s">
        <v>15515</v>
      </c>
      <c r="X3919">
        <v>5</v>
      </c>
      <c r="Y3919" t="s">
        <v>21192</v>
      </c>
      <c r="Z3919" t="s">
        <v>26981</v>
      </c>
      <c r="AA3919">
        <v>0.7680502778399092</v>
      </c>
      <c r="AB3919" t="str">
        <f>HYPERLINK("Melting_Curves/meltCurve_Q86VR2_FAM134C.pdf", "Melting_Curves/meltCurve_Q86VR2_FAM134C.pdf")</f>
        <v>Melting_Curves/meltCurve_Q86VR2_FAM134C.pdf</v>
      </c>
    </row>
    <row r="3920" spans="1:28" x14ac:dyDescent="0.25">
      <c r="A3920" t="s">
        <v>3924</v>
      </c>
      <c r="B3920">
        <v>0.99996721820229495</v>
      </c>
      <c r="C3920">
        <v>0.97074948720107301</v>
      </c>
      <c r="D3920">
        <v>1.0658726213257299</v>
      </c>
      <c r="E3920">
        <v>1.29480724639809</v>
      </c>
      <c r="F3920">
        <v>1.0906307660602601</v>
      </c>
      <c r="G3920">
        <v>0.84179831811151695</v>
      </c>
      <c r="H3920">
        <v>0.508588639118981</v>
      </c>
      <c r="I3920">
        <v>0.34674399588600602</v>
      </c>
      <c r="J3920">
        <v>0.23842966962786</v>
      </c>
      <c r="K3920">
        <v>0.209705474156299</v>
      </c>
      <c r="L3920">
        <v>1838.38000727501</v>
      </c>
      <c r="M3920">
        <v>30.619110460245501</v>
      </c>
      <c r="N3920">
        <v>61.154711743248598</v>
      </c>
      <c r="O3920">
        <v>59.785924521085001</v>
      </c>
      <c r="P3920">
        <v>-0.10066080786996701</v>
      </c>
      <c r="Q3920">
        <v>0.21381604929883999</v>
      </c>
      <c r="R3920">
        <v>0.92465447756024599</v>
      </c>
      <c r="S3920" t="s">
        <v>9746</v>
      </c>
      <c r="T3920" t="s">
        <v>11650</v>
      </c>
      <c r="U3920" t="s">
        <v>11650</v>
      </c>
      <c r="V3920" t="s">
        <v>11650</v>
      </c>
      <c r="W3920" t="s">
        <v>15516</v>
      </c>
      <c r="X3920">
        <v>38</v>
      </c>
      <c r="Y3920" t="s">
        <v>21193</v>
      </c>
      <c r="Z3920" t="s">
        <v>26982</v>
      </c>
      <c r="AA3920">
        <v>0.74363262303910771</v>
      </c>
      <c r="AB3920" t="str">
        <f>HYPERLINK("Melting_Curves/meltCurve_Q86VS8_HOOK3.pdf", "Melting_Curves/meltCurve_Q86VS8_HOOK3.pdf")</f>
        <v>Melting_Curves/meltCurve_Q86VS8_HOOK3.pdf</v>
      </c>
    </row>
    <row r="3921" spans="1:28" x14ac:dyDescent="0.25">
      <c r="A3921" t="s">
        <v>3925</v>
      </c>
      <c r="B3921">
        <v>0.99996721820229495</v>
      </c>
      <c r="C3921">
        <v>1.0315651618617201</v>
      </c>
      <c r="D3921">
        <v>1.0051342794690501</v>
      </c>
      <c r="E3921">
        <v>0.56680733771867498</v>
      </c>
      <c r="F3921">
        <v>0.25049208273940698</v>
      </c>
      <c r="G3921">
        <v>0.23263745781841899</v>
      </c>
      <c r="H3921">
        <v>0.14078013209240001</v>
      </c>
      <c r="I3921">
        <v>9.1463591482754403E-2</v>
      </c>
      <c r="J3921">
        <v>6.9034179404698706E-2</v>
      </c>
      <c r="K3921">
        <v>5.7212952240842198E-2</v>
      </c>
      <c r="L3921">
        <v>1573.74457078656</v>
      </c>
      <c r="M3921">
        <v>31.339001764809399</v>
      </c>
      <c r="N3921">
        <v>50.621241500012303</v>
      </c>
      <c r="O3921">
        <v>50.013667897082101</v>
      </c>
      <c r="P3921">
        <v>-0.13930404957756301</v>
      </c>
      <c r="Q3921">
        <v>0.110747998257841</v>
      </c>
      <c r="R3921">
        <v>0.98702726727032197</v>
      </c>
      <c r="S3921" t="s">
        <v>9747</v>
      </c>
      <c r="T3921" t="s">
        <v>11650</v>
      </c>
      <c r="U3921" t="s">
        <v>11650</v>
      </c>
      <c r="V3921" t="s">
        <v>11650</v>
      </c>
      <c r="W3921" t="s">
        <v>15517</v>
      </c>
      <c r="X3921">
        <v>4</v>
      </c>
      <c r="Y3921" t="s">
        <v>21194</v>
      </c>
      <c r="Z3921" t="s">
        <v>26983</v>
      </c>
      <c r="AA3921">
        <v>0.41864553933547299</v>
      </c>
      <c r="AB3921" t="str">
        <f>HYPERLINK("Melting_Curves/meltCurve_Q86VW0_SESTD1.pdf", "Melting_Curves/meltCurve_Q86VW0_SESTD1.pdf")</f>
        <v>Melting_Curves/meltCurve_Q86VW0_SESTD1.pdf</v>
      </c>
    </row>
    <row r="3922" spans="1:28" x14ac:dyDescent="0.25">
      <c r="A3922" t="s">
        <v>3926</v>
      </c>
      <c r="B3922">
        <v>0.99996721820229495</v>
      </c>
      <c r="C3922">
        <v>0.89079315274950899</v>
      </c>
      <c r="D3922">
        <v>0.77381797972366695</v>
      </c>
      <c r="E3922">
        <v>0.52709672609941005</v>
      </c>
      <c r="F3922">
        <v>0.65714889014833799</v>
      </c>
      <c r="G3922">
        <v>0.40197584651566598</v>
      </c>
      <c r="H3922">
        <v>0.25847668826530901</v>
      </c>
      <c r="I3922">
        <v>0.20169238903662901</v>
      </c>
      <c r="J3922">
        <v>0.18045678783719701</v>
      </c>
      <c r="K3922">
        <v>9.7362832994901893E-2</v>
      </c>
      <c r="L3922">
        <v>436.904500659635</v>
      </c>
      <c r="M3922">
        <v>8.1269832225384206</v>
      </c>
      <c r="N3922">
        <v>53.759739239279497</v>
      </c>
      <c r="O3922">
        <v>50.798561074646997</v>
      </c>
      <c r="P3922">
        <v>-4.00387777777702E-2</v>
      </c>
      <c r="Q3922">
        <v>0</v>
      </c>
      <c r="R3922">
        <v>0.95995507985950501</v>
      </c>
      <c r="S3922" t="s">
        <v>9748</v>
      </c>
      <c r="T3922" t="s">
        <v>11650</v>
      </c>
      <c r="U3922" t="s">
        <v>11650</v>
      </c>
      <c r="V3922" t="s">
        <v>11650</v>
      </c>
      <c r="W3922" t="s">
        <v>15518</v>
      </c>
      <c r="X3922">
        <v>1</v>
      </c>
      <c r="Y3922" t="s">
        <v>21195</v>
      </c>
      <c r="Z3922" t="s">
        <v>26984</v>
      </c>
      <c r="AA3922">
        <v>0.4940998475779757</v>
      </c>
      <c r="AB3922" t="str">
        <f>HYPERLINK("Melting_Curves/meltCurve_Q86VW2_2_ARHGEF25.pdf", "Melting_Curves/meltCurve_Q86VW2_2_ARHGEF25.pdf")</f>
        <v>Melting_Curves/meltCurve_Q86VW2_2_ARHGEF25.pdf</v>
      </c>
    </row>
    <row r="3923" spans="1:28" x14ac:dyDescent="0.25">
      <c r="A3923" t="s">
        <v>3927</v>
      </c>
      <c r="B3923">
        <v>0.99996721820229495</v>
      </c>
      <c r="C3923">
        <v>1.3866449647440999</v>
      </c>
      <c r="D3923">
        <v>1.5532911853351801</v>
      </c>
      <c r="E3923">
        <v>2.0535286124340999</v>
      </c>
      <c r="F3923">
        <v>6.4253088741616002</v>
      </c>
      <c r="G3923">
        <v>3.6376570149741698</v>
      </c>
      <c r="H3923">
        <v>0.69306499607134198</v>
      </c>
      <c r="I3923">
        <v>0.37892100789817201</v>
      </c>
      <c r="J3923">
        <v>0.29738765361767699</v>
      </c>
      <c r="K3923">
        <v>0.14851278624369901</v>
      </c>
      <c r="L3923">
        <v>7861.7270722160501</v>
      </c>
      <c r="M3923">
        <v>128.55429316326001</v>
      </c>
      <c r="N3923">
        <v>61.534475421242099</v>
      </c>
      <c r="O3923">
        <v>61.1401393374964</v>
      </c>
      <c r="P3923">
        <v>-0.38175454527318498</v>
      </c>
      <c r="Q3923">
        <v>0.273753744998529</v>
      </c>
      <c r="R3923">
        <v>-0.119860398059601</v>
      </c>
      <c r="S3923" t="s">
        <v>9749</v>
      </c>
      <c r="T3923" t="s">
        <v>11650</v>
      </c>
      <c r="U3923" t="s">
        <v>11650</v>
      </c>
      <c r="V3923" t="s">
        <v>11650</v>
      </c>
      <c r="W3923" t="s">
        <v>15519</v>
      </c>
      <c r="X3923">
        <v>1</v>
      </c>
      <c r="Y3923" t="s">
        <v>21196</v>
      </c>
      <c r="Z3923" t="s">
        <v>26985</v>
      </c>
      <c r="AA3923">
        <v>0.78617133451548205</v>
      </c>
      <c r="AB3923" t="str">
        <f>HYPERLINK("Melting_Curves/meltCurve_Q86VX2_2_COMMD7.pdf", "Melting_Curves/meltCurve_Q86VX2_2_COMMD7.pdf")</f>
        <v>Melting_Curves/meltCurve_Q86VX2_2_COMMD7.pdf</v>
      </c>
    </row>
    <row r="3924" spans="1:28" x14ac:dyDescent="0.25">
      <c r="A3924" t="s">
        <v>3928</v>
      </c>
      <c r="B3924">
        <v>0.99996721820229495</v>
      </c>
      <c r="C3924">
        <v>1.02932102131607</v>
      </c>
      <c r="D3924">
        <v>0.78274858597706998</v>
      </c>
      <c r="E3924">
        <v>0.52308626111174805</v>
      </c>
      <c r="F3924">
        <v>0.39933226705063501</v>
      </c>
      <c r="G3924">
        <v>0.299604894934897</v>
      </c>
      <c r="H3924">
        <v>0.240455775174367</v>
      </c>
      <c r="I3924">
        <v>0.13255211714469001</v>
      </c>
      <c r="J3924">
        <v>0.11355524839548201</v>
      </c>
      <c r="K3924">
        <v>9.5986149527291301E-2</v>
      </c>
      <c r="L3924">
        <v>711.67846059068802</v>
      </c>
      <c r="M3924">
        <v>14.168848238723699</v>
      </c>
      <c r="N3924">
        <v>51.153616613090797</v>
      </c>
      <c r="O3924">
        <v>49.259613639639099</v>
      </c>
      <c r="P3924">
        <v>-6.3788845905312502E-2</v>
      </c>
      <c r="Q3924">
        <v>0.113035144592495</v>
      </c>
      <c r="R3924">
        <v>0.98111486526869995</v>
      </c>
      <c r="S3924" t="s">
        <v>9750</v>
      </c>
      <c r="T3924" t="s">
        <v>11650</v>
      </c>
      <c r="U3924" t="s">
        <v>11650</v>
      </c>
      <c r="V3924" t="s">
        <v>11650</v>
      </c>
      <c r="W3924" t="s">
        <v>15520</v>
      </c>
      <c r="X3924">
        <v>4</v>
      </c>
      <c r="Y3924" t="s">
        <v>21197</v>
      </c>
      <c r="Z3924" t="s">
        <v>26986</v>
      </c>
      <c r="AA3924">
        <v>0.43860304729044558</v>
      </c>
      <c r="AB3924" t="str">
        <f>HYPERLINK("Melting_Curves/meltCurve_Q86W34_AMZ2.pdf", "Melting_Curves/meltCurve_Q86W34_AMZ2.pdf")</f>
        <v>Melting_Curves/meltCurve_Q86W34_AMZ2.pdf</v>
      </c>
    </row>
    <row r="3925" spans="1:28" x14ac:dyDescent="0.25">
      <c r="A3925" t="s">
        <v>3929</v>
      </c>
      <c r="B3925">
        <v>0.99996721820229495</v>
      </c>
      <c r="C3925">
        <v>1.0174458946153599</v>
      </c>
      <c r="D3925">
        <v>1.06498150707859</v>
      </c>
      <c r="E3925">
        <v>1.4647501583320599</v>
      </c>
      <c r="F3925">
        <v>1.5543717936505099</v>
      </c>
      <c r="G3925">
        <v>0.73539944841043503</v>
      </c>
      <c r="H3925">
        <v>0.45599940442030701</v>
      </c>
      <c r="I3925">
        <v>0.45967900944119899</v>
      </c>
      <c r="J3925">
        <v>0.27513067618547399</v>
      </c>
      <c r="K3925">
        <v>0.199786148561998</v>
      </c>
      <c r="L3925">
        <v>2320.4826990711199</v>
      </c>
      <c r="M3925">
        <v>39.5967471114201</v>
      </c>
      <c r="N3925">
        <v>60.022846842409102</v>
      </c>
      <c r="O3925">
        <v>58.453989880277703</v>
      </c>
      <c r="P3925">
        <v>-0.11785894496308599</v>
      </c>
      <c r="Q3925">
        <v>0.30405288290926202</v>
      </c>
      <c r="R3925">
        <v>0.715637529594495</v>
      </c>
      <c r="S3925" t="s">
        <v>9751</v>
      </c>
      <c r="T3925" t="s">
        <v>11650</v>
      </c>
      <c r="U3925" t="s">
        <v>11650</v>
      </c>
      <c r="V3925" t="s">
        <v>11650</v>
      </c>
      <c r="W3925" t="s">
        <v>15521</v>
      </c>
      <c r="X3925">
        <v>2</v>
      </c>
      <c r="Y3925" t="s">
        <v>21198</v>
      </c>
      <c r="Z3925" t="s">
        <v>26987</v>
      </c>
      <c r="AA3925">
        <v>0.73840193002553134</v>
      </c>
      <c r="AB3925" t="str">
        <f>HYPERLINK("Melting_Curves/meltCurve_Q86W42_3_THOC6.pdf", "Melting_Curves/meltCurve_Q86W42_3_THOC6.pdf")</f>
        <v>Melting_Curves/meltCurve_Q86W42_3_THOC6.pdf</v>
      </c>
    </row>
    <row r="3926" spans="1:28" x14ac:dyDescent="0.25">
      <c r="A3926" t="s">
        <v>3930</v>
      </c>
      <c r="B3926">
        <v>0.99996721820229495</v>
      </c>
      <c r="C3926">
        <v>0.97779587045872496</v>
      </c>
      <c r="D3926">
        <v>0.86949944879214203</v>
      </c>
      <c r="E3926">
        <v>0.64125703731654204</v>
      </c>
      <c r="F3926">
        <v>0.52909043481201801</v>
      </c>
      <c r="G3926">
        <v>0.63223080722032698</v>
      </c>
      <c r="H3926">
        <v>0.42007750421248802</v>
      </c>
      <c r="I3926">
        <v>0.48517894152247099</v>
      </c>
      <c r="J3926">
        <v>0.41336651552458198</v>
      </c>
      <c r="K3926">
        <v>0.28789881002937601</v>
      </c>
      <c r="L3926">
        <v>574.437234132051</v>
      </c>
      <c r="M3926">
        <v>11.342202317467001</v>
      </c>
      <c r="N3926">
        <v>57.1123078237393</v>
      </c>
      <c r="O3926">
        <v>49.148285538412999</v>
      </c>
      <c r="P3926">
        <v>-3.68450621772171E-2</v>
      </c>
      <c r="Q3926">
        <v>0.361560000673954</v>
      </c>
      <c r="R3926">
        <v>0.91753243971239395</v>
      </c>
      <c r="S3926" t="s">
        <v>9752</v>
      </c>
      <c r="T3926" t="s">
        <v>11650</v>
      </c>
      <c r="U3926" t="s">
        <v>11650</v>
      </c>
      <c r="V3926" t="s">
        <v>11650</v>
      </c>
      <c r="W3926" t="s">
        <v>15522</v>
      </c>
      <c r="X3926">
        <v>1</v>
      </c>
      <c r="Y3926" t="s">
        <v>21199</v>
      </c>
      <c r="Z3926" t="s">
        <v>26988</v>
      </c>
      <c r="AA3926">
        <v>0.61120367798963449</v>
      </c>
      <c r="AB3926" t="str">
        <f>HYPERLINK("Melting_Curves/meltCurve_Q86W56_2_PARG.pdf", "Melting_Curves/meltCurve_Q86W56_2_PARG.pdf")</f>
        <v>Melting_Curves/meltCurve_Q86W56_2_PARG.pdf</v>
      </c>
    </row>
    <row r="3927" spans="1:28" x14ac:dyDescent="0.25">
      <c r="A3927" t="s">
        <v>3931</v>
      </c>
      <c r="B3927">
        <v>0.99996721820229495</v>
      </c>
      <c r="C3927">
        <v>0.71980974188983904</v>
      </c>
      <c r="D3927">
        <v>0.71053000258063104</v>
      </c>
      <c r="E3927">
        <v>0.79033809557797796</v>
      </c>
      <c r="F3927">
        <v>0.37774410590301499</v>
      </c>
      <c r="G3927">
        <v>0.30674282456378799</v>
      </c>
      <c r="H3927">
        <v>0.22181501976396301</v>
      </c>
      <c r="I3927">
        <v>0.229851344075543</v>
      </c>
      <c r="J3927">
        <v>0.23444042437580101</v>
      </c>
      <c r="K3927">
        <v>0.17858303422852201</v>
      </c>
      <c r="L3927">
        <v>448.57422342211601</v>
      </c>
      <c r="M3927">
        <v>8.8165385149246909</v>
      </c>
      <c r="N3927">
        <v>52.142641949275998</v>
      </c>
      <c r="O3927">
        <v>48.465016712944497</v>
      </c>
      <c r="P3927">
        <v>-4.11356886177641E-2</v>
      </c>
      <c r="Q3927">
        <v>9.6208584482940507E-2</v>
      </c>
      <c r="R3927">
        <v>0.89783224336316503</v>
      </c>
      <c r="S3927" t="s">
        <v>9753</v>
      </c>
      <c r="T3927" t="s">
        <v>11650</v>
      </c>
      <c r="U3927" t="s">
        <v>11650</v>
      </c>
      <c r="V3927" t="s">
        <v>11650</v>
      </c>
      <c r="W3927" t="s">
        <v>15523</v>
      </c>
      <c r="X3927">
        <v>21</v>
      </c>
      <c r="Y3927" t="s">
        <v>21200</v>
      </c>
      <c r="Z3927" t="s">
        <v>26989</v>
      </c>
      <c r="AA3927">
        <v>0.46804685689529552</v>
      </c>
      <c r="AB3927" t="str">
        <f>HYPERLINK("Melting_Curves/meltCurve_Q86W92_2_PPFIBP1.pdf", "Melting_Curves/meltCurve_Q86W92_2_PPFIBP1.pdf")</f>
        <v>Melting_Curves/meltCurve_Q86W92_2_PPFIBP1.pdf</v>
      </c>
    </row>
    <row r="3928" spans="1:28" x14ac:dyDescent="0.25">
      <c r="A3928" t="s">
        <v>3932</v>
      </c>
      <c r="B3928">
        <v>0.99996721820229495</v>
      </c>
      <c r="C3928">
        <v>0.98588510782030303</v>
      </c>
      <c r="D3928">
        <v>0.88235826648031501</v>
      </c>
      <c r="E3928">
        <v>0.71867821807834598</v>
      </c>
      <c r="F3928">
        <v>0.35985917309243298</v>
      </c>
      <c r="G3928">
        <v>0.22365182677075501</v>
      </c>
      <c r="H3928">
        <v>0.14354454140280601</v>
      </c>
      <c r="I3928">
        <v>0.10355958663817499</v>
      </c>
      <c r="J3928">
        <v>7.8290081249168503E-2</v>
      </c>
      <c r="K3928">
        <v>8.6079456552591596E-2</v>
      </c>
      <c r="L3928">
        <v>1025.3208971173599</v>
      </c>
      <c r="M3928">
        <v>19.9405481689422</v>
      </c>
      <c r="N3928">
        <v>51.910773763288198</v>
      </c>
      <c r="O3928">
        <v>50.910139135417403</v>
      </c>
      <c r="P3928">
        <v>-8.9494076371862102E-2</v>
      </c>
      <c r="Q3928">
        <v>8.6082097256187901E-2</v>
      </c>
      <c r="R3928">
        <v>0.99440549473166595</v>
      </c>
      <c r="S3928" t="s">
        <v>9754</v>
      </c>
      <c r="T3928" t="s">
        <v>11650</v>
      </c>
      <c r="U3928" t="s">
        <v>11650</v>
      </c>
      <c r="V3928" t="s">
        <v>11650</v>
      </c>
      <c r="W3928" t="s">
        <v>15524</v>
      </c>
      <c r="X3928">
        <v>6</v>
      </c>
      <c r="Y3928" t="s">
        <v>21201</v>
      </c>
      <c r="Z3928" t="s">
        <v>26990</v>
      </c>
      <c r="AA3928">
        <v>0.44668870369546748</v>
      </c>
      <c r="AB3928" t="str">
        <f>HYPERLINK("Melting_Curves/meltCurve_Q86WA6_2_BPHL.pdf", "Melting_Curves/meltCurve_Q86WA6_2_BPHL.pdf")</f>
        <v>Melting_Curves/meltCurve_Q86WA6_2_BPHL.pdf</v>
      </c>
    </row>
    <row r="3929" spans="1:28" x14ac:dyDescent="0.25">
      <c r="A3929" t="s">
        <v>3933</v>
      </c>
      <c r="B3929">
        <v>0.99996721820229495</v>
      </c>
      <c r="C3929">
        <v>0.89182731630125001</v>
      </c>
      <c r="D3929">
        <v>1.10362066172878</v>
      </c>
      <c r="E3929">
        <v>1.41355513104599</v>
      </c>
      <c r="F3929">
        <v>1.75175998470344</v>
      </c>
      <c r="G3929">
        <v>2.2573618801627102</v>
      </c>
      <c r="H3929">
        <v>1.3510795466426</v>
      </c>
      <c r="I3929">
        <v>0.71185286460029995</v>
      </c>
      <c r="J3929">
        <v>0.52903721825691297</v>
      </c>
      <c r="K3929">
        <v>0.80270288332983897</v>
      </c>
      <c r="L3929">
        <v>15000</v>
      </c>
      <c r="M3929">
        <v>236.20435810720201</v>
      </c>
      <c r="O3929">
        <v>63.499788143520398</v>
      </c>
      <c r="P3929">
        <v>-0.31078220697123099</v>
      </c>
      <c r="Q3929">
        <v>0.66580461391787205</v>
      </c>
      <c r="R3929">
        <v>-9.0041423052835707E-3</v>
      </c>
      <c r="S3929" t="s">
        <v>9755</v>
      </c>
      <c r="T3929" t="s">
        <v>11650</v>
      </c>
      <c r="U3929" t="s">
        <v>11650</v>
      </c>
      <c r="V3929" t="s">
        <v>11650</v>
      </c>
      <c r="W3929" t="s">
        <v>15525</v>
      </c>
      <c r="X3929">
        <v>2</v>
      </c>
      <c r="Y3929" t="s">
        <v>21202</v>
      </c>
      <c r="Z3929" t="s">
        <v>26991</v>
      </c>
      <c r="AA3929">
        <v>0.9276809832376508</v>
      </c>
      <c r="AB3929" t="str">
        <f>HYPERLINK("Melting_Curves/meltCurve_Q86WA9_SLC26A11.pdf", "Melting_Curves/meltCurve_Q86WA9_SLC26A11.pdf")</f>
        <v>Melting_Curves/meltCurve_Q86WA9_SLC26A11.pdf</v>
      </c>
    </row>
    <row r="3930" spans="1:28" x14ac:dyDescent="0.25">
      <c r="A3930" t="s">
        <v>3934</v>
      </c>
      <c r="B3930">
        <v>0.99996721820229495</v>
      </c>
      <c r="C3930">
        <v>0.66650761270681602</v>
      </c>
      <c r="D3930">
        <v>0.75666322904443695</v>
      </c>
      <c r="E3930">
        <v>0.88265898512516905</v>
      </c>
      <c r="F3930">
        <v>0.87376640855146104</v>
      </c>
      <c r="G3930">
        <v>1.08618843650479</v>
      </c>
      <c r="H3930">
        <v>0.76520751666933595</v>
      </c>
      <c r="I3930">
        <v>0.62536696022944505</v>
      </c>
      <c r="J3930">
        <v>0.555481467857872</v>
      </c>
      <c r="K3930">
        <v>0.54761850262565304</v>
      </c>
      <c r="L3930">
        <v>228.557406953401</v>
      </c>
      <c r="M3930">
        <v>2.8047103986686999</v>
      </c>
      <c r="O3930">
        <v>58.187657901702998</v>
      </c>
      <c r="P3930">
        <v>-1.2500890063545E-2</v>
      </c>
      <c r="Q3930">
        <v>0</v>
      </c>
      <c r="R3930">
        <v>0.30154956050520898</v>
      </c>
      <c r="S3930" t="s">
        <v>9756</v>
      </c>
      <c r="T3930" t="s">
        <v>11650</v>
      </c>
      <c r="U3930" t="s">
        <v>11650</v>
      </c>
      <c r="V3930" t="s">
        <v>11650</v>
      </c>
      <c r="W3930" t="s">
        <v>15526</v>
      </c>
      <c r="X3930">
        <v>2</v>
      </c>
      <c r="Y3930" t="s">
        <v>21203</v>
      </c>
      <c r="Z3930" t="s">
        <v>26992</v>
      </c>
      <c r="AA3930">
        <v>0.79001942370870071</v>
      </c>
      <c r="AB3930" t="str">
        <f>HYPERLINK("Melting_Curves/meltCurve_Q86WC4_OSTM1.pdf", "Melting_Curves/meltCurve_Q86WC4_OSTM1.pdf")</f>
        <v>Melting_Curves/meltCurve_Q86WC4_OSTM1.pdf</v>
      </c>
    </row>
    <row r="3931" spans="1:28" x14ac:dyDescent="0.25">
      <c r="A3931" t="s">
        <v>3935</v>
      </c>
      <c r="B3931">
        <v>0.99996721820229495</v>
      </c>
      <c r="C3931">
        <v>1.0010917469382401</v>
      </c>
      <c r="D3931">
        <v>0.91428335468158795</v>
      </c>
      <c r="E3931">
        <v>0.60997785562839202</v>
      </c>
      <c r="F3931">
        <v>0.60842591069356</v>
      </c>
      <c r="G3931">
        <v>0.473448808163694</v>
      </c>
      <c r="H3931">
        <v>0.319115361603304</v>
      </c>
      <c r="I3931">
        <v>0.26916473999490598</v>
      </c>
      <c r="J3931">
        <v>0.20608598179906301</v>
      </c>
      <c r="K3931">
        <v>0.147124702287035</v>
      </c>
      <c r="L3931">
        <v>538.86844547866997</v>
      </c>
      <c r="M3931">
        <v>9.9423437769724998</v>
      </c>
      <c r="N3931">
        <v>55.272912078861999</v>
      </c>
      <c r="O3931">
        <v>52.143447010402198</v>
      </c>
      <c r="P3931">
        <v>-4.3504333703289502E-2</v>
      </c>
      <c r="Q3931">
        <v>8.7805236888725102E-2</v>
      </c>
      <c r="R3931">
        <v>0.97649217935203803</v>
      </c>
      <c r="S3931" t="s">
        <v>9757</v>
      </c>
      <c r="T3931" t="s">
        <v>11650</v>
      </c>
      <c r="U3931" t="s">
        <v>11650</v>
      </c>
      <c r="V3931" t="s">
        <v>11650</v>
      </c>
      <c r="W3931" t="s">
        <v>15527</v>
      </c>
      <c r="X3931">
        <v>2</v>
      </c>
      <c r="Y3931" t="s">
        <v>21204</v>
      </c>
      <c r="Z3931" t="s">
        <v>26993</v>
      </c>
      <c r="AA3931">
        <v>0.5464507055334008</v>
      </c>
      <c r="AB3931" t="str">
        <f>HYPERLINK("Melting_Curves/meltCurve_Q86WG5_SBF2.pdf", "Melting_Curves/meltCurve_Q86WG5_SBF2.pdf")</f>
        <v>Melting_Curves/meltCurve_Q86WG5_SBF2.pdf</v>
      </c>
    </row>
    <row r="3932" spans="1:28" x14ac:dyDescent="0.25">
      <c r="A3932" t="s">
        <v>3936</v>
      </c>
      <c r="B3932">
        <v>0.99996721820229495</v>
      </c>
      <c r="C3932">
        <v>0.90463010473655003</v>
      </c>
      <c r="D3932">
        <v>0.89757272172059699</v>
      </c>
      <c r="E3932">
        <v>1.15562325038712</v>
      </c>
      <c r="F3932">
        <v>0.50247669972058995</v>
      </c>
      <c r="G3932">
        <v>0.34233122698873902</v>
      </c>
      <c r="H3932">
        <v>0.20861678789962601</v>
      </c>
      <c r="I3932">
        <v>0.159799336208374</v>
      </c>
      <c r="J3932">
        <v>0.117132427448816</v>
      </c>
      <c r="K3932">
        <v>0.10747844047105699</v>
      </c>
      <c r="L3932">
        <v>13225.8435137215</v>
      </c>
      <c r="M3932">
        <v>250</v>
      </c>
      <c r="N3932">
        <v>53.002729443163297</v>
      </c>
      <c r="O3932">
        <v>52.8999908945068</v>
      </c>
      <c r="P3932">
        <v>-0.96045434938432805</v>
      </c>
      <c r="Q3932">
        <v>0.18707161495296801</v>
      </c>
      <c r="R3932">
        <v>0.94686538684334298</v>
      </c>
      <c r="S3932" t="s">
        <v>9758</v>
      </c>
      <c r="T3932" t="s">
        <v>11650</v>
      </c>
      <c r="U3932" t="s">
        <v>11650</v>
      </c>
      <c r="V3932" t="s">
        <v>11650</v>
      </c>
      <c r="W3932" t="s">
        <v>15528</v>
      </c>
      <c r="X3932">
        <v>9</v>
      </c>
      <c r="Y3932" t="s">
        <v>21205</v>
      </c>
      <c r="Z3932" t="s">
        <v>26994</v>
      </c>
      <c r="AA3932">
        <v>0.53679772536537773</v>
      </c>
      <c r="AB3932" t="str">
        <f>HYPERLINK("Melting_Curves/meltCurve_Q86WN1_FCHSD1.pdf", "Melting_Curves/meltCurve_Q86WN1_FCHSD1.pdf")</f>
        <v>Melting_Curves/meltCurve_Q86WN1_FCHSD1.pdf</v>
      </c>
    </row>
    <row r="3933" spans="1:28" x14ac:dyDescent="0.25">
      <c r="A3933" t="s">
        <v>3937</v>
      </c>
      <c r="B3933">
        <v>0.99996721820229495</v>
      </c>
      <c r="C3933">
        <v>0.98138439968953395</v>
      </c>
      <c r="D3933">
        <v>0.91720289527013898</v>
      </c>
      <c r="E3933">
        <v>0.65916866677101005</v>
      </c>
      <c r="F3933">
        <v>0.70890457779207905</v>
      </c>
      <c r="G3933">
        <v>0.55019231907359001</v>
      </c>
      <c r="H3933">
        <v>0.424220962648031</v>
      </c>
      <c r="I3933">
        <v>0.25859667405389097</v>
      </c>
      <c r="J3933">
        <v>0.234774169662917</v>
      </c>
      <c r="K3933">
        <v>0.16234739327672301</v>
      </c>
      <c r="L3933">
        <v>482.58792626312197</v>
      </c>
      <c r="M3933">
        <v>8.3944733977438997</v>
      </c>
      <c r="N3933">
        <v>57.4887728760188</v>
      </c>
      <c r="O3933">
        <v>54.504058458685201</v>
      </c>
      <c r="P3933">
        <v>-3.8540257059050599E-2</v>
      </c>
      <c r="Q3933">
        <v>0</v>
      </c>
      <c r="R3933">
        <v>0.97409072124954899</v>
      </c>
      <c r="S3933" t="s">
        <v>9759</v>
      </c>
      <c r="T3933" t="s">
        <v>11650</v>
      </c>
      <c r="U3933" t="s">
        <v>11650</v>
      </c>
      <c r="V3933" t="s">
        <v>11650</v>
      </c>
      <c r="W3933" t="s">
        <v>15529</v>
      </c>
      <c r="X3933">
        <v>3</v>
      </c>
      <c r="Y3933" t="s">
        <v>21206</v>
      </c>
      <c r="Z3933" t="s">
        <v>26995</v>
      </c>
      <c r="AA3933">
        <v>0.5922507643674032</v>
      </c>
      <c r="AB3933" t="str">
        <f>HYPERLINK("Melting_Curves/meltCurve_Q86WQ0_NR2C2AP.pdf", "Melting_Curves/meltCurve_Q86WQ0_NR2C2AP.pdf")</f>
        <v>Melting_Curves/meltCurve_Q86WQ0_NR2C2AP.pdf</v>
      </c>
    </row>
    <row r="3934" spans="1:28" x14ac:dyDescent="0.25">
      <c r="A3934" t="s">
        <v>3938</v>
      </c>
      <c r="B3934">
        <v>0.99996721820229495</v>
      </c>
      <c r="C3934">
        <v>1.0095179204410201</v>
      </c>
      <c r="D3934">
        <v>0.92392424102117898</v>
      </c>
      <c r="E3934">
        <v>0.81445176190068402</v>
      </c>
      <c r="F3934">
        <v>0.31183217972906502</v>
      </c>
      <c r="G3934">
        <v>0.24096620492125501</v>
      </c>
      <c r="H3934">
        <v>0.145698358565366</v>
      </c>
      <c r="I3934">
        <v>0.103643180623379</v>
      </c>
      <c r="J3934">
        <v>8.1838156391248695E-2</v>
      </c>
      <c r="K3934">
        <v>6.1592713804911402E-2</v>
      </c>
      <c r="L3934">
        <v>1929.7080975992201</v>
      </c>
      <c r="M3934">
        <v>37.446482272175601</v>
      </c>
      <c r="N3934">
        <v>51.900519048282</v>
      </c>
      <c r="O3934">
        <v>51.386121282007103</v>
      </c>
      <c r="P3934">
        <v>-0.16093539851048799</v>
      </c>
      <c r="Q3934">
        <v>0.116624780945507</v>
      </c>
      <c r="R3934">
        <v>0.98574698399596405</v>
      </c>
      <c r="S3934" t="s">
        <v>9760</v>
      </c>
      <c r="T3934" t="s">
        <v>11650</v>
      </c>
      <c r="U3934" t="s">
        <v>11650</v>
      </c>
      <c r="V3934" t="s">
        <v>11650</v>
      </c>
      <c r="W3934" t="s">
        <v>15530</v>
      </c>
      <c r="X3934">
        <v>10</v>
      </c>
      <c r="Y3934" t="s">
        <v>21207</v>
      </c>
      <c r="Z3934" t="s">
        <v>26996</v>
      </c>
      <c r="AA3934">
        <v>0.45979909766951849</v>
      </c>
      <c r="AB3934" t="str">
        <f>HYPERLINK("Melting_Curves/meltCurve_Q86WR0_CCDC25.pdf", "Melting_Curves/meltCurve_Q86WR0_CCDC25.pdf")</f>
        <v>Melting_Curves/meltCurve_Q86WR0_CCDC25.pdf</v>
      </c>
    </row>
    <row r="3935" spans="1:28" x14ac:dyDescent="0.25">
      <c r="A3935" t="s">
        <v>3939</v>
      </c>
      <c r="B3935">
        <v>0.99996721820229495</v>
      </c>
      <c r="C3935">
        <v>0.71134644905193201</v>
      </c>
      <c r="D3935">
        <v>1.04461490179098</v>
      </c>
      <c r="E3935">
        <v>0.93536704465693898</v>
      </c>
      <c r="F3935">
        <v>0.58017655015206504</v>
      </c>
      <c r="G3935">
        <v>0.31324879595264599</v>
      </c>
      <c r="H3935">
        <v>0.17901716570256401</v>
      </c>
      <c r="I3935">
        <v>0.114125305559758</v>
      </c>
      <c r="J3935">
        <v>7.99665278512703E-2</v>
      </c>
      <c r="K3935">
        <v>7.6207123994515499E-2</v>
      </c>
      <c r="L3935">
        <v>1243.29827003529</v>
      </c>
      <c r="M3935">
        <v>23.053131392177999</v>
      </c>
      <c r="N3935">
        <v>54.390495597672398</v>
      </c>
      <c r="O3935">
        <v>53.530959644778399</v>
      </c>
      <c r="P3935">
        <v>-9.8154421642404899E-2</v>
      </c>
      <c r="Q3935">
        <v>8.8331657287623502E-2</v>
      </c>
      <c r="R3935">
        <v>0.93371099140797198</v>
      </c>
      <c r="S3935" t="s">
        <v>9761</v>
      </c>
      <c r="T3935" t="s">
        <v>11650</v>
      </c>
      <c r="U3935" t="s">
        <v>11650</v>
      </c>
      <c r="V3935" t="s">
        <v>11650</v>
      </c>
      <c r="W3935" t="s">
        <v>15531</v>
      </c>
      <c r="X3935">
        <v>4</v>
      </c>
      <c r="Y3935" t="s">
        <v>21208</v>
      </c>
      <c r="Z3935" t="s">
        <v>26997</v>
      </c>
      <c r="AA3935">
        <v>0.52146087854625889</v>
      </c>
      <c r="AB3935" t="str">
        <f>HYPERLINK("Melting_Curves/meltCurve_Q86WV6_TMEM173.pdf", "Melting_Curves/meltCurve_Q86WV6_TMEM173.pdf")</f>
        <v>Melting_Curves/meltCurve_Q86WV6_TMEM173.pdf</v>
      </c>
    </row>
    <row r="3936" spans="1:28" x14ac:dyDescent="0.25">
      <c r="A3936" t="s">
        <v>3940</v>
      </c>
      <c r="B3936">
        <v>0.99996721820229495</v>
      </c>
      <c r="C3936">
        <v>0.886580350052524</v>
      </c>
      <c r="D3936">
        <v>0.84877193743468904</v>
      </c>
      <c r="E3936">
        <v>0.94882963854139701</v>
      </c>
      <c r="F3936">
        <v>1.2193505529812301</v>
      </c>
      <c r="G3936">
        <v>0.92789500861790497</v>
      </c>
      <c r="H3936">
        <v>0.70619494474556499</v>
      </c>
      <c r="I3936">
        <v>0.63738489198360404</v>
      </c>
      <c r="J3936">
        <v>0.53059428448428103</v>
      </c>
      <c r="K3936">
        <v>0.37627996050505702</v>
      </c>
      <c r="L3936">
        <v>1350.2998954699599</v>
      </c>
      <c r="M3936">
        <v>21.5406250380451</v>
      </c>
      <c r="N3936">
        <v>66.508038582917294</v>
      </c>
      <c r="O3936">
        <v>62.153436559411297</v>
      </c>
      <c r="P3936">
        <v>-5.5886763535608897E-2</v>
      </c>
      <c r="Q3936">
        <v>0.35499176898037998</v>
      </c>
      <c r="R3936">
        <v>0.81745659474258603</v>
      </c>
      <c r="S3936" t="s">
        <v>9762</v>
      </c>
      <c r="T3936" t="s">
        <v>11650</v>
      </c>
      <c r="U3936" t="s">
        <v>11650</v>
      </c>
      <c r="V3936" t="s">
        <v>11650</v>
      </c>
      <c r="W3936" t="s">
        <v>15532</v>
      </c>
      <c r="X3936">
        <v>5</v>
      </c>
      <c r="Y3936" t="s">
        <v>21209</v>
      </c>
      <c r="Z3936" t="s">
        <v>26998</v>
      </c>
      <c r="AA3936">
        <v>0.84380106382731279</v>
      </c>
      <c r="AB3936" t="str">
        <f>HYPERLINK("Melting_Curves/meltCurve_Q86WV7_CCDC43.pdf", "Melting_Curves/meltCurve_Q86WV7_CCDC43.pdf")</f>
        <v>Melting_Curves/meltCurve_Q86WV7_CCDC43.pdf</v>
      </c>
    </row>
    <row r="3937" spans="1:28" x14ac:dyDescent="0.25">
      <c r="A3937" t="s">
        <v>3941</v>
      </c>
      <c r="B3937">
        <v>0.99996721820229495</v>
      </c>
      <c r="C3937">
        <v>0.95658199569692903</v>
      </c>
      <c r="D3937">
        <v>0.96772644312821798</v>
      </c>
      <c r="E3937">
        <v>1.0430199294787701</v>
      </c>
      <c r="F3937">
        <v>0.85985630166756</v>
      </c>
      <c r="G3937">
        <v>0.66437538524097595</v>
      </c>
      <c r="H3937">
        <v>0.38763307107217099</v>
      </c>
      <c r="I3937">
        <v>0.32642010333056498</v>
      </c>
      <c r="J3937">
        <v>0.26744188167659499</v>
      </c>
      <c r="K3937">
        <v>0.19488994998797099</v>
      </c>
      <c r="L3937">
        <v>1173.86439319018</v>
      </c>
      <c r="M3937">
        <v>20.304451563213199</v>
      </c>
      <c r="N3937">
        <v>59.3208403809316</v>
      </c>
      <c r="O3937">
        <v>57.261135283628001</v>
      </c>
      <c r="P3937">
        <v>-7.0782396967815395E-2</v>
      </c>
      <c r="Q3937">
        <v>0.20156304597984301</v>
      </c>
      <c r="R3937">
        <v>0.98888407056457195</v>
      </c>
      <c r="S3937" t="s">
        <v>9763</v>
      </c>
      <c r="T3937" t="s">
        <v>11650</v>
      </c>
      <c r="U3937" t="s">
        <v>11650</v>
      </c>
      <c r="V3937" t="s">
        <v>11650</v>
      </c>
      <c r="W3937" t="s">
        <v>15533</v>
      </c>
      <c r="X3937">
        <v>13</v>
      </c>
      <c r="Y3937" t="s">
        <v>21210</v>
      </c>
      <c r="Z3937" t="s">
        <v>26999</v>
      </c>
      <c r="AA3937">
        <v>0.68471289672848179</v>
      </c>
      <c r="AB3937" t="str">
        <f>HYPERLINK("Melting_Curves/meltCurve_Q86X02_CDR2L.pdf", "Melting_Curves/meltCurve_Q86X02_CDR2L.pdf")</f>
        <v>Melting_Curves/meltCurve_Q86X02_CDR2L.pdf</v>
      </c>
    </row>
    <row r="3938" spans="1:28" x14ac:dyDescent="0.25">
      <c r="A3938" t="s">
        <v>3942</v>
      </c>
      <c r="B3938">
        <v>0.99996721820229495</v>
      </c>
      <c r="C3938">
        <v>0.81390799727587704</v>
      </c>
      <c r="D3938">
        <v>0.71345446350306796</v>
      </c>
      <c r="E3938">
        <v>1.0188610012510699</v>
      </c>
      <c r="F3938">
        <v>1.2633234308915899</v>
      </c>
      <c r="G3938">
        <v>0.78397852673393698</v>
      </c>
      <c r="H3938">
        <v>0.62823789491466597</v>
      </c>
      <c r="I3938">
        <v>0.88399835867383003</v>
      </c>
      <c r="J3938">
        <v>0.70098774927736696</v>
      </c>
      <c r="K3938">
        <v>0.50803324964074204</v>
      </c>
      <c r="L3938">
        <v>589.02609670476795</v>
      </c>
      <c r="M3938">
        <v>8.1651341697870894</v>
      </c>
      <c r="O3938">
        <v>68.199396969843207</v>
      </c>
      <c r="P3938">
        <v>-2.9962469380017599E-2</v>
      </c>
      <c r="Q3938">
        <v>0</v>
      </c>
      <c r="R3938">
        <v>0.341175246092978</v>
      </c>
      <c r="S3938" t="s">
        <v>9764</v>
      </c>
      <c r="T3938" t="s">
        <v>11650</v>
      </c>
      <c r="U3938" t="s">
        <v>11650</v>
      </c>
      <c r="V3938" t="s">
        <v>11650</v>
      </c>
      <c r="W3938" t="s">
        <v>15534</v>
      </c>
      <c r="X3938">
        <v>3</v>
      </c>
      <c r="Y3938" t="s">
        <v>21211</v>
      </c>
      <c r="Z3938" t="s">
        <v>27000</v>
      </c>
      <c r="AA3938">
        <v>0.87261839357161919</v>
      </c>
      <c r="AB3938" t="str">
        <f>HYPERLINK("Melting_Curves/meltCurve_Q86X19_TMEM17.pdf", "Melting_Curves/meltCurve_Q86X19_TMEM17.pdf")</f>
        <v>Melting_Curves/meltCurve_Q86X19_TMEM17.pdf</v>
      </c>
    </row>
    <row r="3939" spans="1:28" x14ac:dyDescent="0.25">
      <c r="A3939" t="s">
        <v>3943</v>
      </c>
      <c r="B3939">
        <v>0.99996721820229495</v>
      </c>
      <c r="C3939">
        <v>1.0566696078304001</v>
      </c>
      <c r="D3939">
        <v>1.0263911400614001</v>
      </c>
      <c r="E3939">
        <v>0.97593186676685195</v>
      </c>
      <c r="F3939">
        <v>0.72734798025910996</v>
      </c>
      <c r="G3939">
        <v>0.48814402976075699</v>
      </c>
      <c r="H3939">
        <v>0.31950326314705502</v>
      </c>
      <c r="I3939">
        <v>0.22501803716169999</v>
      </c>
      <c r="J3939">
        <v>0.167304042892361</v>
      </c>
      <c r="K3939">
        <v>0.149107188628119</v>
      </c>
      <c r="L3939">
        <v>1065.6526558135299</v>
      </c>
      <c r="M3939">
        <v>19.0783782066515</v>
      </c>
      <c r="N3939">
        <v>56.885208010627402</v>
      </c>
      <c r="O3939">
        <v>55.253740624872599</v>
      </c>
      <c r="P3939">
        <v>-7.3731426896633798E-2</v>
      </c>
      <c r="Q3939">
        <v>0.14588602667629899</v>
      </c>
      <c r="R3939">
        <v>0.99072694842575704</v>
      </c>
      <c r="S3939" t="s">
        <v>9765</v>
      </c>
      <c r="T3939" t="s">
        <v>11650</v>
      </c>
      <c r="U3939" t="s">
        <v>11650</v>
      </c>
      <c r="V3939" t="s">
        <v>11650</v>
      </c>
      <c r="W3939" t="s">
        <v>15535</v>
      </c>
      <c r="X3939">
        <v>7</v>
      </c>
      <c r="Y3939" t="s">
        <v>21212</v>
      </c>
      <c r="Z3939" t="s">
        <v>27001</v>
      </c>
      <c r="AA3939">
        <v>0.60911917960498718</v>
      </c>
      <c r="AB3939" t="str">
        <f>HYPERLINK("Melting_Curves/meltCurve_Q86X27_RALGPS2.pdf", "Melting_Curves/meltCurve_Q86X27_RALGPS2.pdf")</f>
        <v>Melting_Curves/meltCurve_Q86X27_RALGPS2.pdf</v>
      </c>
    </row>
    <row r="3940" spans="1:28" x14ac:dyDescent="0.25">
      <c r="A3940" t="s">
        <v>3944</v>
      </c>
      <c r="B3940">
        <v>0.99996721820229495</v>
      </c>
      <c r="C3940">
        <v>1.01995756577388</v>
      </c>
      <c r="D3940">
        <v>1.3252160818502501</v>
      </c>
      <c r="E3940">
        <v>1.9603215067239499</v>
      </c>
      <c r="F3940">
        <v>2.48555600989005</v>
      </c>
      <c r="G3940">
        <v>2.0045447859073899</v>
      </c>
      <c r="H3940">
        <v>0.37646000633704302</v>
      </c>
      <c r="I3940">
        <v>0.24549263059267101</v>
      </c>
      <c r="J3940">
        <v>0.15198008637822599</v>
      </c>
      <c r="K3940">
        <v>0.122558808124849</v>
      </c>
      <c r="L3940">
        <v>13873.112721584501</v>
      </c>
      <c r="M3940">
        <v>228.54966313586499</v>
      </c>
      <c r="N3940">
        <v>60.813925993644098</v>
      </c>
      <c r="O3940">
        <v>60.696003844107203</v>
      </c>
      <c r="P3940">
        <v>-0.77819277048175794</v>
      </c>
      <c r="Q3940">
        <v>0.17334047859099899</v>
      </c>
      <c r="R3940">
        <v>0.35989376906567699</v>
      </c>
      <c r="S3940" t="s">
        <v>9766</v>
      </c>
      <c r="T3940" t="s">
        <v>11650</v>
      </c>
      <c r="U3940" t="s">
        <v>11650</v>
      </c>
      <c r="V3940" t="s">
        <v>11650</v>
      </c>
      <c r="W3940" t="s">
        <v>15536</v>
      </c>
      <c r="X3940">
        <v>11</v>
      </c>
      <c r="Y3940" t="s">
        <v>21213</v>
      </c>
      <c r="Z3940" t="s">
        <v>27002</v>
      </c>
      <c r="AA3940">
        <v>0.74385878593674926</v>
      </c>
      <c r="AB3940" t="str">
        <f>HYPERLINK("Melting_Curves/meltCurve_Q86X55_1_CARM1.pdf", "Melting_Curves/meltCurve_Q86X55_1_CARM1.pdf")</f>
        <v>Melting_Curves/meltCurve_Q86X55_1_CARM1.pdf</v>
      </c>
    </row>
    <row r="3941" spans="1:28" x14ac:dyDescent="0.25">
      <c r="A3941" t="s">
        <v>3945</v>
      </c>
      <c r="B3941">
        <v>0.99996721820229495</v>
      </c>
      <c r="C3941">
        <v>0.96146417841661402</v>
      </c>
      <c r="D3941">
        <v>1.0529536152726899</v>
      </c>
      <c r="E3941">
        <v>1.20675274887845</v>
      </c>
      <c r="F3941">
        <v>1.5784040095790599</v>
      </c>
      <c r="G3941">
        <v>1.7558781523584399</v>
      </c>
      <c r="H3941">
        <v>1.14897864873608</v>
      </c>
      <c r="I3941">
        <v>0.89732842802522195</v>
      </c>
      <c r="J3941">
        <v>0.35269974875337001</v>
      </c>
      <c r="K3941">
        <v>0.13555572029624599</v>
      </c>
      <c r="L3941">
        <v>4595.9963292349103</v>
      </c>
      <c r="M3941">
        <v>69.645975983760195</v>
      </c>
      <c r="N3941">
        <v>66.255391041783895</v>
      </c>
      <c r="O3941">
        <v>65.936494040049197</v>
      </c>
      <c r="P3941">
        <v>-0.23201317824709</v>
      </c>
      <c r="Q3941">
        <v>0.12137740684656199</v>
      </c>
      <c r="R3941">
        <v>0.54618835274826405</v>
      </c>
      <c r="S3941" t="s">
        <v>9767</v>
      </c>
      <c r="T3941" t="s">
        <v>11650</v>
      </c>
      <c r="U3941" t="s">
        <v>11650</v>
      </c>
      <c r="V3941" t="s">
        <v>11650</v>
      </c>
      <c r="W3941" t="s">
        <v>15537</v>
      </c>
      <c r="X3941">
        <v>11</v>
      </c>
      <c r="Y3941" t="s">
        <v>21214</v>
      </c>
      <c r="Z3941" t="s">
        <v>27003</v>
      </c>
      <c r="AA3941">
        <v>0.8833052050650988</v>
      </c>
      <c r="AB3941" t="str">
        <f>HYPERLINK("Melting_Curves/meltCurve_Q86X76_2_NIT1.pdf", "Melting_Curves/meltCurve_Q86X76_2_NIT1.pdf")</f>
        <v>Melting_Curves/meltCurve_Q86X76_2_NIT1.pdf</v>
      </c>
    </row>
    <row r="3942" spans="1:28" x14ac:dyDescent="0.25">
      <c r="A3942" t="s">
        <v>3946</v>
      </c>
      <c r="B3942">
        <v>0.99996721820229495</v>
      </c>
      <c r="C3942">
        <v>0.98691447944718702</v>
      </c>
      <c r="D3942">
        <v>0.84231268173190799</v>
      </c>
      <c r="E3942">
        <v>0.76689369219656001</v>
      </c>
      <c r="F3942">
        <v>0.40867228485446699</v>
      </c>
      <c r="G3942">
        <v>0.23719332499645199</v>
      </c>
      <c r="H3942">
        <v>0.15749936548713001</v>
      </c>
      <c r="I3942">
        <v>0.12847401933778599</v>
      </c>
      <c r="J3942">
        <v>9.6075663112954193E-2</v>
      </c>
      <c r="K3942">
        <v>7.4437658417356001E-2</v>
      </c>
      <c r="L3942">
        <v>916.35957826872504</v>
      </c>
      <c r="M3942">
        <v>17.647853435686699</v>
      </c>
      <c r="N3942">
        <v>52.4480261051147</v>
      </c>
      <c r="O3942">
        <v>51.271775560033603</v>
      </c>
      <c r="P3942">
        <v>-7.9108111446794499E-2</v>
      </c>
      <c r="Q3942">
        <v>8.0727811903791497E-2</v>
      </c>
      <c r="R3942">
        <v>0.98934416377286605</v>
      </c>
      <c r="S3942" t="s">
        <v>9768</v>
      </c>
      <c r="T3942" t="s">
        <v>11650</v>
      </c>
      <c r="U3942" t="s">
        <v>11650</v>
      </c>
      <c r="V3942" t="s">
        <v>11650</v>
      </c>
      <c r="W3942" t="s">
        <v>15538</v>
      </c>
      <c r="X3942">
        <v>2</v>
      </c>
      <c r="Y3942" t="s">
        <v>21215</v>
      </c>
      <c r="Z3942" t="s">
        <v>27004</v>
      </c>
      <c r="AA3942">
        <v>0.4619671955791691</v>
      </c>
      <c r="AB3942" t="str">
        <f>HYPERLINK("Melting_Curves/meltCurve_Q86X83_COMMD2.pdf", "Melting_Curves/meltCurve_Q86X83_COMMD2.pdf")</f>
        <v>Melting_Curves/meltCurve_Q86X83_COMMD2.pdf</v>
      </c>
    </row>
    <row r="3943" spans="1:28" x14ac:dyDescent="0.25">
      <c r="A3943" t="s">
        <v>3947</v>
      </c>
      <c r="B3943">
        <v>0.99996721820229495</v>
      </c>
      <c r="C3943">
        <v>1.02396403776185</v>
      </c>
      <c r="D3943">
        <v>0.84281550688933504</v>
      </c>
      <c r="E3943">
        <v>0.26448634560822099</v>
      </c>
      <c r="F3943">
        <v>0.25747707650323398</v>
      </c>
      <c r="G3943">
        <v>0.23001080952025499</v>
      </c>
      <c r="H3943">
        <v>0.16093676174700999</v>
      </c>
      <c r="I3943">
        <v>0.112680541053126</v>
      </c>
      <c r="J3943">
        <v>8.5745981922085504E-2</v>
      </c>
      <c r="K3943">
        <v>7.0012058034065905E-2</v>
      </c>
      <c r="L3943">
        <v>1721.5832399830599</v>
      </c>
      <c r="M3943">
        <v>35.9793645901076</v>
      </c>
      <c r="N3943">
        <v>48.304617241275103</v>
      </c>
      <c r="O3943">
        <v>47.702088954131</v>
      </c>
      <c r="P3943">
        <v>-0.16144065281558301</v>
      </c>
      <c r="Q3943">
        <v>0.14383901609935101</v>
      </c>
      <c r="R3943">
        <v>0.98001257821584398</v>
      </c>
      <c r="S3943" t="s">
        <v>9769</v>
      </c>
      <c r="T3943" t="s">
        <v>11650</v>
      </c>
      <c r="U3943" t="s">
        <v>11650</v>
      </c>
      <c r="V3943" t="s">
        <v>11650</v>
      </c>
      <c r="W3943" t="s">
        <v>15539</v>
      </c>
      <c r="X3943">
        <v>21</v>
      </c>
      <c r="Y3943" t="s">
        <v>21216</v>
      </c>
      <c r="Z3943" t="s">
        <v>27005</v>
      </c>
      <c r="AA3943">
        <v>0.37137366921012271</v>
      </c>
      <c r="AB3943" t="str">
        <f>HYPERLINK("Melting_Curves/meltCurve_Q86XP3_DDX42.pdf", "Melting_Curves/meltCurve_Q86XP3_DDX42.pdf")</f>
        <v>Melting_Curves/meltCurve_Q86XP3_DDX42.pdf</v>
      </c>
    </row>
    <row r="3944" spans="1:28" x14ac:dyDescent="0.25">
      <c r="A3944" t="s">
        <v>3948</v>
      </c>
      <c r="B3944">
        <v>0.99996721820229495</v>
      </c>
      <c r="C3944">
        <v>1.04143516750688</v>
      </c>
      <c r="D3944">
        <v>0.71876314651472195</v>
      </c>
      <c r="E3944">
        <v>0.96583120359205499</v>
      </c>
      <c r="F3944">
        <v>0.78996408308227695</v>
      </c>
      <c r="G3944">
        <v>0.80374624864529098</v>
      </c>
      <c r="H3944">
        <v>0.61087918022772703</v>
      </c>
      <c r="I3944">
        <v>0.48176875208511599</v>
      </c>
      <c r="J3944">
        <v>0.56196167161266897</v>
      </c>
      <c r="K3944">
        <v>0.28372746738646198</v>
      </c>
      <c r="L3944">
        <v>449.88421222059998</v>
      </c>
      <c r="M3944">
        <v>6.91322065667954</v>
      </c>
      <c r="N3944">
        <v>65.075922448142506</v>
      </c>
      <c r="O3944">
        <v>60.2848614401045</v>
      </c>
      <c r="P3944">
        <v>-2.8724609977202002E-2</v>
      </c>
      <c r="Q3944">
        <v>0</v>
      </c>
      <c r="R3944">
        <v>0.82535543348516005</v>
      </c>
      <c r="S3944" t="s">
        <v>9770</v>
      </c>
      <c r="T3944" t="s">
        <v>11650</v>
      </c>
      <c r="U3944" t="s">
        <v>11650</v>
      </c>
      <c r="V3944" t="s">
        <v>11650</v>
      </c>
      <c r="W3944" t="s">
        <v>15540</v>
      </c>
      <c r="X3944">
        <v>1</v>
      </c>
      <c r="Y3944" t="s">
        <v>21217</v>
      </c>
      <c r="Z3944" t="s">
        <v>27006</v>
      </c>
      <c r="AA3944">
        <v>0.74356983343773098</v>
      </c>
      <c r="AB3944" t="str">
        <f>HYPERLINK("Melting_Curves/meltCurve_Q86XZ4_SPATS2.pdf", "Melting_Curves/meltCurve_Q86XZ4_SPATS2.pdf")</f>
        <v>Melting_Curves/meltCurve_Q86XZ4_SPATS2.pdf</v>
      </c>
    </row>
    <row r="3945" spans="1:28" x14ac:dyDescent="0.25">
      <c r="A3945" t="s">
        <v>3949</v>
      </c>
      <c r="B3945">
        <v>0.99996721820229495</v>
      </c>
      <c r="C3945">
        <v>0.92460081620443002</v>
      </c>
      <c r="D3945">
        <v>0.78785899357086198</v>
      </c>
      <c r="E3945">
        <v>0.41367470708434001</v>
      </c>
      <c r="F3945">
        <v>0.54553375603909404</v>
      </c>
      <c r="G3945">
        <v>0.32047648158284803</v>
      </c>
      <c r="H3945">
        <v>0.20218196068212399</v>
      </c>
      <c r="I3945">
        <v>8.0364307755423303E-2</v>
      </c>
      <c r="J3945">
        <v>2.0891500605600102E-2</v>
      </c>
      <c r="K3945">
        <v>7.1089620239710896E-2</v>
      </c>
      <c r="L3945">
        <v>527.42829371233904</v>
      </c>
      <c r="M3945">
        <v>10.225630174353</v>
      </c>
      <c r="N3945">
        <v>51.579037011257597</v>
      </c>
      <c r="O3945">
        <v>49.723163851765598</v>
      </c>
      <c r="P3945">
        <v>-5.1435769856537999E-2</v>
      </c>
      <c r="Q3945">
        <v>0</v>
      </c>
      <c r="R3945">
        <v>0.95502389025615997</v>
      </c>
      <c r="S3945" t="s">
        <v>9771</v>
      </c>
      <c r="T3945" t="s">
        <v>11650</v>
      </c>
      <c r="U3945" t="s">
        <v>11650</v>
      </c>
      <c r="V3945" t="s">
        <v>11650</v>
      </c>
      <c r="W3945" t="s">
        <v>15541</v>
      </c>
      <c r="X3945">
        <v>1</v>
      </c>
      <c r="Y3945" t="s">
        <v>21218</v>
      </c>
      <c r="Z3945" t="s">
        <v>27007</v>
      </c>
      <c r="AA3945">
        <v>0.42445899051950559</v>
      </c>
      <c r="AB3945" t="str">
        <f>HYPERLINK("Melting_Curves/meltCurve_Q86Y07_4_VRK2.pdf", "Melting_Curves/meltCurve_Q86Y07_4_VRK2.pdf")</f>
        <v>Melting_Curves/meltCurve_Q86Y07_4_VRK2.pdf</v>
      </c>
    </row>
    <row r="3946" spans="1:28" x14ac:dyDescent="0.25">
      <c r="A3946" t="s">
        <v>3950</v>
      </c>
      <c r="B3946">
        <v>0.99996721820229495</v>
      </c>
      <c r="C3946">
        <v>0.67303286645028404</v>
      </c>
      <c r="D3946">
        <v>0.40902520315067298</v>
      </c>
      <c r="E3946">
        <v>0.25548411381395703</v>
      </c>
      <c r="F3946">
        <v>0.168671144286516</v>
      </c>
      <c r="G3946">
        <v>0.11244733533619899</v>
      </c>
      <c r="H3946">
        <v>0.106089004675889</v>
      </c>
      <c r="I3946">
        <v>0.108555132459962</v>
      </c>
      <c r="J3946">
        <v>8.7869478922706704E-2</v>
      </c>
      <c r="K3946">
        <v>8.28613672159485E-2</v>
      </c>
      <c r="L3946">
        <v>854.94435137235303</v>
      </c>
      <c r="M3946">
        <v>19.159026199506499</v>
      </c>
      <c r="N3946">
        <v>45.1769360498959</v>
      </c>
      <c r="O3946">
        <v>44.145961481642502</v>
      </c>
      <c r="P3946">
        <v>-9.7154987436648299E-2</v>
      </c>
      <c r="Q3946">
        <v>0.104581859977373</v>
      </c>
      <c r="R3946">
        <v>0.98390063516609305</v>
      </c>
      <c r="S3946" t="s">
        <v>9772</v>
      </c>
      <c r="T3946" t="s">
        <v>11650</v>
      </c>
      <c r="U3946" t="s">
        <v>11650</v>
      </c>
      <c r="V3946" t="s">
        <v>11650</v>
      </c>
      <c r="W3946" t="s">
        <v>15542</v>
      </c>
      <c r="X3946">
        <v>1</v>
      </c>
      <c r="Y3946" t="s">
        <v>21219</v>
      </c>
      <c r="Z3946" t="s">
        <v>27008</v>
      </c>
      <c r="AA3946">
        <v>0.26011384043854602</v>
      </c>
      <c r="AB3946" t="str">
        <f>HYPERLINK("Melting_Curves/meltCurve_Q86Y37_CACUL1.pdf", "Melting_Curves/meltCurve_Q86Y37_CACUL1.pdf")</f>
        <v>Melting_Curves/meltCurve_Q86Y37_CACUL1.pdf</v>
      </c>
    </row>
    <row r="3947" spans="1:28" x14ac:dyDescent="0.25">
      <c r="A3947" t="s">
        <v>3951</v>
      </c>
      <c r="B3947">
        <v>0.99996721820229495</v>
      </c>
      <c r="C3947">
        <v>0.96817164582452298</v>
      </c>
      <c r="D3947">
        <v>1.02311719340206</v>
      </c>
      <c r="E3947">
        <v>1.0585879634958899</v>
      </c>
      <c r="F3947">
        <v>1.7902614197606499</v>
      </c>
      <c r="G3947">
        <v>1.44478926171754</v>
      </c>
      <c r="H3947">
        <v>1.1667267209746599</v>
      </c>
      <c r="I3947">
        <v>0.87591507643154198</v>
      </c>
      <c r="J3947">
        <v>0.639171720755774</v>
      </c>
      <c r="K3947">
        <v>0.487541992416405</v>
      </c>
      <c r="L3947">
        <v>3613.02463549397</v>
      </c>
      <c r="M3947">
        <v>54.851951189362097</v>
      </c>
      <c r="N3947">
        <v>69.677073315563604</v>
      </c>
      <c r="O3947">
        <v>65.781286383043195</v>
      </c>
      <c r="P3947">
        <v>-0.109431068238683</v>
      </c>
      <c r="Q3947">
        <v>0.475058809521684</v>
      </c>
      <c r="R3947">
        <v>0.30875127149478898</v>
      </c>
      <c r="S3947" t="s">
        <v>9773</v>
      </c>
      <c r="T3947" t="s">
        <v>11650</v>
      </c>
      <c r="U3947" t="s">
        <v>11650</v>
      </c>
      <c r="V3947" t="s">
        <v>11650</v>
      </c>
      <c r="W3947" t="s">
        <v>15543</v>
      </c>
      <c r="X3947">
        <v>3</v>
      </c>
      <c r="Y3947" t="s">
        <v>21220</v>
      </c>
      <c r="Z3947" t="s">
        <v>27009</v>
      </c>
      <c r="AA3947">
        <v>0.92802370717795357</v>
      </c>
      <c r="AB3947" t="str">
        <f>HYPERLINK("Melting_Curves/meltCurve_Q86Y39_NDUFA11.pdf", "Melting_Curves/meltCurve_Q86Y39_NDUFA11.pdf")</f>
        <v>Melting_Curves/meltCurve_Q86Y39_NDUFA11.pdf</v>
      </c>
    </row>
    <row r="3948" spans="1:28" x14ac:dyDescent="0.25">
      <c r="A3948" t="s">
        <v>3952</v>
      </c>
      <c r="B3948">
        <v>0.99996721820229495</v>
      </c>
      <c r="C3948">
        <v>0.90365193304444302</v>
      </c>
      <c r="D3948">
        <v>0.39259436097812</v>
      </c>
      <c r="E3948">
        <v>0.24550251967287401</v>
      </c>
      <c r="F3948">
        <v>0.26955901990842102</v>
      </c>
      <c r="G3948">
        <v>0.23848133611053199</v>
      </c>
      <c r="H3948">
        <v>0.163987925106892</v>
      </c>
      <c r="I3948">
        <v>0.13088471282356001</v>
      </c>
      <c r="J3948">
        <v>8.3057405913238305E-2</v>
      </c>
      <c r="K3948">
        <v>7.56805638962708E-2</v>
      </c>
      <c r="L3948">
        <v>1774.1021239909401</v>
      </c>
      <c r="M3948">
        <v>39.4767118818028</v>
      </c>
      <c r="N3948">
        <v>45.413460793317299</v>
      </c>
      <c r="O3948">
        <v>44.825639880322299</v>
      </c>
      <c r="P3948">
        <v>-0.18305852186760599</v>
      </c>
      <c r="Q3948">
        <v>0.16855355677591599</v>
      </c>
      <c r="R3948">
        <v>0.96330945090555098</v>
      </c>
      <c r="S3948" t="s">
        <v>9774</v>
      </c>
      <c r="T3948" t="s">
        <v>11650</v>
      </c>
      <c r="U3948" t="s">
        <v>11650</v>
      </c>
      <c r="V3948" t="s">
        <v>11650</v>
      </c>
      <c r="W3948" t="s">
        <v>15544</v>
      </c>
      <c r="X3948">
        <v>10</v>
      </c>
      <c r="Y3948" t="s">
        <v>21221</v>
      </c>
      <c r="Z3948" t="s">
        <v>27010</v>
      </c>
      <c r="AA3948">
        <v>0.3083131812453796</v>
      </c>
      <c r="AB3948" t="str">
        <f>HYPERLINK("Melting_Curves/meltCurve_Q86Y56_HEATR2.pdf", "Melting_Curves/meltCurve_Q86Y56_HEATR2.pdf")</f>
        <v>Melting_Curves/meltCurve_Q86Y56_HEATR2.pdf</v>
      </c>
    </row>
    <row r="3949" spans="1:28" x14ac:dyDescent="0.25">
      <c r="A3949" t="s">
        <v>3953</v>
      </c>
      <c r="B3949">
        <v>0.99996721820229495</v>
      </c>
      <c r="C3949">
        <v>0.82797116412120997</v>
      </c>
      <c r="D3949">
        <v>0.871686519643595</v>
      </c>
      <c r="E3949">
        <v>0.96799815788573196</v>
      </c>
      <c r="F3949">
        <v>1.2480024641788401</v>
      </c>
      <c r="G3949">
        <v>1.0908029745583001</v>
      </c>
      <c r="H3949">
        <v>0.91153115344614699</v>
      </c>
      <c r="I3949">
        <v>0.83766127916186095</v>
      </c>
      <c r="J3949">
        <v>0.66071473634754596</v>
      </c>
      <c r="K3949">
        <v>0.61137228673539901</v>
      </c>
      <c r="L3949">
        <v>2255.2300674530902</v>
      </c>
      <c r="M3949">
        <v>34.967345782394901</v>
      </c>
      <c r="O3949">
        <v>64.285470360912399</v>
      </c>
      <c r="P3949">
        <v>-5.68116563224242E-2</v>
      </c>
      <c r="Q3949">
        <v>0.58222152332468502</v>
      </c>
      <c r="R3949">
        <v>0.62902612363494803</v>
      </c>
      <c r="S3949" t="s">
        <v>9775</v>
      </c>
      <c r="T3949" t="s">
        <v>11650</v>
      </c>
      <c r="U3949" t="s">
        <v>11650</v>
      </c>
      <c r="V3949" t="s">
        <v>11650</v>
      </c>
      <c r="W3949" t="s">
        <v>15545</v>
      </c>
      <c r="X3949">
        <v>14</v>
      </c>
      <c r="Y3949" t="s">
        <v>21222</v>
      </c>
      <c r="Z3949" t="s">
        <v>27011</v>
      </c>
      <c r="AA3949">
        <v>0.92378035419489923</v>
      </c>
      <c r="AB3949" t="str">
        <f>HYPERLINK("Melting_Curves/meltCurve_Q86Y82_STX12.pdf", "Melting_Curves/meltCurve_Q86Y82_STX12.pdf")</f>
        <v>Melting_Curves/meltCurve_Q86Y82_STX12.pdf</v>
      </c>
    </row>
    <row r="3950" spans="1:28" x14ac:dyDescent="0.25">
      <c r="A3950" t="s">
        <v>3954</v>
      </c>
      <c r="B3950">
        <v>0.99996721820229495</v>
      </c>
      <c r="C3950">
        <v>0.97062872020943203</v>
      </c>
      <c r="D3950">
        <v>1.0045880791197901</v>
      </c>
      <c r="E3950">
        <v>0.90301976299034703</v>
      </c>
      <c r="F3950">
        <v>0.49728222321152599</v>
      </c>
      <c r="G3950">
        <v>0.36528657872537701</v>
      </c>
      <c r="H3950">
        <v>0.24521874905652899</v>
      </c>
      <c r="I3950">
        <v>0.131362145281536</v>
      </c>
      <c r="J3950">
        <v>0.12593112194046899</v>
      </c>
      <c r="K3950">
        <v>0.124708167827792</v>
      </c>
      <c r="L3950">
        <v>1134.02045575598</v>
      </c>
      <c r="M3950">
        <v>21.283007907507201</v>
      </c>
      <c r="N3950">
        <v>54.0930837025915</v>
      </c>
      <c r="O3950">
        <v>52.819205362178202</v>
      </c>
      <c r="P3950">
        <v>-8.6989407013126893E-2</v>
      </c>
      <c r="Q3950">
        <v>0.13647675879016299</v>
      </c>
      <c r="R3950">
        <v>0.982543770806794</v>
      </c>
      <c r="S3950" t="s">
        <v>9776</v>
      </c>
      <c r="T3950" t="s">
        <v>11650</v>
      </c>
      <c r="U3950" t="s">
        <v>11650</v>
      </c>
      <c r="V3950" t="s">
        <v>11650</v>
      </c>
      <c r="W3950" t="s">
        <v>15546</v>
      </c>
      <c r="X3950">
        <v>4</v>
      </c>
      <c r="Y3950" t="s">
        <v>21223</v>
      </c>
      <c r="Z3950" t="s">
        <v>27012</v>
      </c>
      <c r="AA3950">
        <v>0.52946336469473465</v>
      </c>
      <c r="AB3950" t="str">
        <f>HYPERLINK("Melting_Curves/meltCurve_Q86YB8_ERO1LB.pdf", "Melting_Curves/meltCurve_Q86YB8_ERO1LB.pdf")</f>
        <v>Melting_Curves/meltCurve_Q86YB8_ERO1LB.pdf</v>
      </c>
    </row>
    <row r="3951" spans="1:28" x14ac:dyDescent="0.25">
      <c r="A3951" t="s">
        <v>3955</v>
      </c>
      <c r="B3951">
        <v>0.99996721820229495</v>
      </c>
      <c r="C3951">
        <v>1.08663170632156</v>
      </c>
      <c r="D3951">
        <v>1.05992775760068</v>
      </c>
      <c r="E3951">
        <v>1.0959367693088999</v>
      </c>
      <c r="F3951">
        <v>1.25967176563949</v>
      </c>
      <c r="G3951">
        <v>1.2107313348228901</v>
      </c>
      <c r="H3951">
        <v>0.61724216919818098</v>
      </c>
      <c r="I3951">
        <v>0.25112121319391401</v>
      </c>
      <c r="J3951">
        <v>0.16471940378015901</v>
      </c>
      <c r="K3951">
        <v>0.12444463685492101</v>
      </c>
      <c r="L3951">
        <v>4126.8502883840301</v>
      </c>
      <c r="M3951">
        <v>67.409144755864503</v>
      </c>
      <c r="N3951">
        <v>61.580134224094202</v>
      </c>
      <c r="O3951">
        <v>61.167112440709403</v>
      </c>
      <c r="P3951">
        <v>-0.230728306691174</v>
      </c>
      <c r="Q3951">
        <v>0.16254799245337601</v>
      </c>
      <c r="R3951">
        <v>0.92521599285114298</v>
      </c>
      <c r="S3951" t="s">
        <v>9777</v>
      </c>
      <c r="T3951" t="s">
        <v>11650</v>
      </c>
      <c r="U3951" t="s">
        <v>11650</v>
      </c>
      <c r="V3951" t="s">
        <v>11650</v>
      </c>
      <c r="W3951" t="s">
        <v>15547</v>
      </c>
      <c r="X3951">
        <v>12</v>
      </c>
      <c r="Y3951" t="s">
        <v>21224</v>
      </c>
      <c r="Z3951" t="s">
        <v>27013</v>
      </c>
      <c r="AA3951">
        <v>0.75616536134074486</v>
      </c>
      <c r="AB3951" t="str">
        <f>HYPERLINK("Melting_Curves/meltCurve_Q86YH6_PDSS2.pdf", "Melting_Curves/meltCurve_Q86YH6_PDSS2.pdf")</f>
        <v>Melting_Curves/meltCurve_Q86YH6_PDSS2.pdf</v>
      </c>
    </row>
    <row r="3952" spans="1:28" x14ac:dyDescent="0.25">
      <c r="A3952" t="s">
        <v>3956</v>
      </c>
      <c r="B3952">
        <v>0.99996721820229495</v>
      </c>
      <c r="C3952">
        <v>1.1701266777075401</v>
      </c>
      <c r="D3952">
        <v>1.0965318770058501</v>
      </c>
      <c r="E3952">
        <v>0.99475479703973202</v>
      </c>
      <c r="F3952">
        <v>1.1386631363134301</v>
      </c>
      <c r="G3952">
        <v>0.97903774858512405</v>
      </c>
      <c r="H3952">
        <v>0.39414967854038901</v>
      </c>
      <c r="I3952">
        <v>0.24344314443548901</v>
      </c>
      <c r="J3952">
        <v>0.214600495186059</v>
      </c>
      <c r="K3952">
        <v>0.14606539693373199</v>
      </c>
      <c r="L3952">
        <v>3738.3612903829098</v>
      </c>
      <c r="M3952">
        <v>62.357892949038302</v>
      </c>
      <c r="N3952">
        <v>60.427207892141297</v>
      </c>
      <c r="O3952">
        <v>59.888526802060397</v>
      </c>
      <c r="P3952">
        <v>-0.20970134623577899</v>
      </c>
      <c r="Q3952">
        <v>0.19441151026835901</v>
      </c>
      <c r="R3952">
        <v>0.96282053953451296</v>
      </c>
      <c r="S3952" t="s">
        <v>9778</v>
      </c>
      <c r="T3952" t="s">
        <v>11650</v>
      </c>
      <c r="U3952" t="s">
        <v>11650</v>
      </c>
      <c r="V3952" t="s">
        <v>11650</v>
      </c>
      <c r="W3952" t="s">
        <v>15548</v>
      </c>
      <c r="X3952">
        <v>1</v>
      </c>
      <c r="Y3952" t="s">
        <v>21225</v>
      </c>
      <c r="Z3952" t="s">
        <v>27014</v>
      </c>
      <c r="AA3952">
        <v>0.73149241669602416</v>
      </c>
      <c r="AB3952" t="str">
        <f>HYPERLINK("Melting_Curves/meltCurve_Q86YJ6_4_THNSL2.pdf", "Melting_Curves/meltCurve_Q86YJ6_4_THNSL2.pdf")</f>
        <v>Melting_Curves/meltCurve_Q86YJ6_4_THNSL2.pdf</v>
      </c>
    </row>
    <row r="3953" spans="1:28" x14ac:dyDescent="0.25">
      <c r="A3953" t="s">
        <v>3957</v>
      </c>
      <c r="B3953">
        <v>0.99996721820229495</v>
      </c>
      <c r="C3953">
        <v>0.907627451608639</v>
      </c>
      <c r="D3953">
        <v>0.876862654041481</v>
      </c>
      <c r="E3953">
        <v>1.0275679516417999</v>
      </c>
      <c r="F3953">
        <v>1.42692502317653</v>
      </c>
      <c r="G3953">
        <v>2.0985328518056598</v>
      </c>
      <c r="H3953">
        <v>1.60656410564351</v>
      </c>
      <c r="I3953">
        <v>1.6835612808389999</v>
      </c>
      <c r="J3953">
        <v>1.34190683104579</v>
      </c>
      <c r="K3953">
        <v>0.90745577166076297</v>
      </c>
      <c r="L3953">
        <v>4465.5112576679103</v>
      </c>
      <c r="M3953">
        <v>86.098249962780002</v>
      </c>
      <c r="O3953">
        <v>51.8373351174669</v>
      </c>
      <c r="P3953">
        <v>0.207616426756211</v>
      </c>
      <c r="Q3953">
        <v>1.5</v>
      </c>
      <c r="R3953">
        <v>0.48045919050710001</v>
      </c>
      <c r="S3953" t="s">
        <v>9779</v>
      </c>
      <c r="T3953" t="s">
        <v>11650</v>
      </c>
      <c r="U3953" t="s">
        <v>11650</v>
      </c>
      <c r="V3953" t="s">
        <v>11650</v>
      </c>
      <c r="W3953" t="s">
        <v>15549</v>
      </c>
      <c r="X3953">
        <v>4</v>
      </c>
      <c r="Y3953" t="s">
        <v>21226</v>
      </c>
      <c r="Z3953" t="s">
        <v>27015</v>
      </c>
      <c r="AA3953">
        <v>1.3018607085909819</v>
      </c>
      <c r="AB3953" t="str">
        <f>HYPERLINK("Melting_Curves/meltCurve_Q86YP4_2_GATAD2A.pdf", "Melting_Curves/meltCurve_Q86YP4_2_GATAD2A.pdf")</f>
        <v>Melting_Curves/meltCurve_Q86YP4_2_GATAD2A.pdf</v>
      </c>
    </row>
    <row r="3954" spans="1:28" x14ac:dyDescent="0.25">
      <c r="A3954" t="s">
        <v>3958</v>
      </c>
      <c r="B3954">
        <v>0.99996721820229495</v>
      </c>
      <c r="C3954">
        <v>0.95514383654814605</v>
      </c>
      <c r="D3954">
        <v>0.75554787766240805</v>
      </c>
      <c r="E3954">
        <v>0.379007951324492</v>
      </c>
      <c r="F3954">
        <v>0.33946548833304302</v>
      </c>
      <c r="G3954">
        <v>0.29061069174617699</v>
      </c>
      <c r="H3954">
        <v>0.17507315883241001</v>
      </c>
      <c r="I3954">
        <v>0.121414850926859</v>
      </c>
      <c r="J3954">
        <v>8.3754026623485897E-2</v>
      </c>
      <c r="K3954">
        <v>5.9322417303202597E-2</v>
      </c>
      <c r="L3954">
        <v>744.57181671296701</v>
      </c>
      <c r="M3954">
        <v>15.2606584653265</v>
      </c>
      <c r="N3954">
        <v>49.552384826470799</v>
      </c>
      <c r="O3954">
        <v>47.975478052329898</v>
      </c>
      <c r="P3954">
        <v>-7.1211941830402206E-2</v>
      </c>
      <c r="Q3954">
        <v>0.104598018512255</v>
      </c>
      <c r="R3954">
        <v>0.97614560170118803</v>
      </c>
      <c r="S3954" t="s">
        <v>9780</v>
      </c>
      <c r="T3954" t="s">
        <v>11650</v>
      </c>
      <c r="U3954" t="s">
        <v>11650</v>
      </c>
      <c r="V3954" t="s">
        <v>11650</v>
      </c>
      <c r="W3954" t="s">
        <v>15550</v>
      </c>
      <c r="X3954">
        <v>7</v>
      </c>
      <c r="Y3954" t="s">
        <v>21227</v>
      </c>
      <c r="Z3954" t="s">
        <v>27016</v>
      </c>
      <c r="AA3954">
        <v>0.38851452197059289</v>
      </c>
      <c r="AB3954" t="str">
        <f>HYPERLINK("Melting_Curves/meltCurve_Q86YQ8_CPNE8.pdf", "Melting_Curves/meltCurve_Q86YQ8_CPNE8.pdf")</f>
        <v>Melting_Curves/meltCurve_Q86YQ8_CPNE8.pdf</v>
      </c>
    </row>
    <row r="3955" spans="1:28" x14ac:dyDescent="0.25">
      <c r="A3955" t="s">
        <v>3959</v>
      </c>
      <c r="B3955">
        <v>0.99996721820229495</v>
      </c>
      <c r="C3955">
        <v>0.84843833912451405</v>
      </c>
      <c r="D3955">
        <v>0.32891530986766498</v>
      </c>
      <c r="E3955">
        <v>0.28387658151471401</v>
      </c>
      <c r="F3955">
        <v>0.34052715833785002</v>
      </c>
      <c r="G3955">
        <v>0.249248005385791</v>
      </c>
      <c r="H3955">
        <v>0.17552610265569801</v>
      </c>
      <c r="I3955">
        <v>0.12662087995844501</v>
      </c>
      <c r="J3955">
        <v>0.10041169083998901</v>
      </c>
      <c r="K3955">
        <v>8.1889532643447394E-2</v>
      </c>
      <c r="L3955">
        <v>1836.19989479796</v>
      </c>
      <c r="M3955">
        <v>41.386423508423299</v>
      </c>
      <c r="N3955">
        <v>44.890100207968302</v>
      </c>
      <c r="O3955">
        <v>44.263997020935697</v>
      </c>
      <c r="P3955">
        <v>-0.18904319471367101</v>
      </c>
      <c r="Q3955">
        <v>0.191252485918633</v>
      </c>
      <c r="R3955">
        <v>0.93610400131584204</v>
      </c>
      <c r="S3955" t="s">
        <v>9781</v>
      </c>
      <c r="T3955" t="s">
        <v>11650</v>
      </c>
      <c r="U3955" t="s">
        <v>11650</v>
      </c>
      <c r="V3955" t="s">
        <v>11650</v>
      </c>
      <c r="W3955" t="s">
        <v>15551</v>
      </c>
      <c r="X3955">
        <v>15</v>
      </c>
      <c r="Y3955" t="s">
        <v>21228</v>
      </c>
      <c r="Z3955" t="s">
        <v>27017</v>
      </c>
      <c r="AA3955">
        <v>0.31154512796264427</v>
      </c>
      <c r="AB3955" t="str">
        <f>HYPERLINK("Melting_Curves/meltCurve_Q86YR5_4_GPSM1.pdf", "Melting_Curves/meltCurve_Q86YR5_4_GPSM1.pdf")</f>
        <v>Melting_Curves/meltCurve_Q86YR5_4_GPSM1.pdf</v>
      </c>
    </row>
    <row r="3956" spans="1:28" x14ac:dyDescent="0.25">
      <c r="A3956" t="s">
        <v>3960</v>
      </c>
      <c r="B3956">
        <v>0.99996721820229495</v>
      </c>
      <c r="C3956">
        <v>0.82784234006044599</v>
      </c>
      <c r="D3956">
        <v>0.80010953227243797</v>
      </c>
      <c r="E3956">
        <v>0.71479472281640899</v>
      </c>
      <c r="F3956">
        <v>0.86580097884465002</v>
      </c>
      <c r="G3956">
        <v>0.73923699059334702</v>
      </c>
      <c r="H3956">
        <v>0.388440815804517</v>
      </c>
      <c r="I3956">
        <v>0.14256995547314899</v>
      </c>
      <c r="J3956">
        <v>7.7411088870749906E-2</v>
      </c>
      <c r="K3956">
        <v>6.0816628910940397E-2</v>
      </c>
      <c r="L3956">
        <v>886.33074107896402</v>
      </c>
      <c r="M3956">
        <v>15.088192826150999</v>
      </c>
      <c r="N3956">
        <v>58.743333697787101</v>
      </c>
      <c r="O3956">
        <v>57.740432057630699</v>
      </c>
      <c r="P3956">
        <v>-6.5334137095382994E-2</v>
      </c>
      <c r="Q3956">
        <v>0</v>
      </c>
      <c r="R3956">
        <v>0.88089455379808901</v>
      </c>
      <c r="S3956" t="s">
        <v>9782</v>
      </c>
      <c r="T3956" t="s">
        <v>11650</v>
      </c>
      <c r="U3956" t="s">
        <v>11650</v>
      </c>
      <c r="V3956" t="s">
        <v>11650</v>
      </c>
      <c r="W3956" t="s">
        <v>15552</v>
      </c>
      <c r="X3956">
        <v>10</v>
      </c>
      <c r="Y3956" t="s">
        <v>21229</v>
      </c>
      <c r="Z3956" t="s">
        <v>27018</v>
      </c>
      <c r="AA3956">
        <v>0.63609352731581648</v>
      </c>
      <c r="AB3956" t="str">
        <f>HYPERLINK("Melting_Curves/meltCurve_Q86YS6_RAB43.pdf", "Melting_Curves/meltCurve_Q86YS6_RAB43.pdf")</f>
        <v>Melting_Curves/meltCurve_Q86YS6_RAB43.pdf</v>
      </c>
    </row>
    <row r="3957" spans="1:28" x14ac:dyDescent="0.25">
      <c r="A3957" t="s">
        <v>3961</v>
      </c>
      <c r="B3957">
        <v>0.99996721820229495</v>
      </c>
      <c r="C3957">
        <v>1.17257644277704</v>
      </c>
      <c r="D3957">
        <v>0.93844408243667299</v>
      </c>
      <c r="E3957">
        <v>0.84089491449648701</v>
      </c>
      <c r="F3957">
        <v>0.78746079139734104</v>
      </c>
      <c r="G3957">
        <v>0.91474109728804498</v>
      </c>
      <c r="H3957">
        <v>0.63643297926971298</v>
      </c>
      <c r="I3957">
        <v>0.60600284738798105</v>
      </c>
      <c r="J3957">
        <v>0.58887299927052605</v>
      </c>
      <c r="K3957">
        <v>0.46596628559779302</v>
      </c>
      <c r="L3957">
        <v>461.79034496430398</v>
      </c>
      <c r="M3957">
        <v>6.9968181345080396</v>
      </c>
      <c r="N3957">
        <v>69.299990459056005</v>
      </c>
      <c r="O3957">
        <v>61.243008036591803</v>
      </c>
      <c r="P3957">
        <v>-2.4560669578653199E-2</v>
      </c>
      <c r="Q3957">
        <v>0.14167774699074001</v>
      </c>
      <c r="R3957">
        <v>0.83486586863621703</v>
      </c>
      <c r="S3957" t="s">
        <v>9783</v>
      </c>
      <c r="T3957" t="s">
        <v>11650</v>
      </c>
      <c r="U3957" t="s">
        <v>11650</v>
      </c>
      <c r="V3957" t="s">
        <v>11650</v>
      </c>
      <c r="W3957" t="s">
        <v>15553</v>
      </c>
      <c r="X3957">
        <v>5</v>
      </c>
      <c r="Y3957" t="s">
        <v>21230</v>
      </c>
      <c r="Z3957" t="s">
        <v>27019</v>
      </c>
      <c r="AA3957">
        <v>0.79509738962251508</v>
      </c>
      <c r="AB3957" t="str">
        <f>HYPERLINK("Melting_Curves/meltCurve_Q86YV5_SGK223.pdf", "Melting_Curves/meltCurve_Q86YV5_SGK223.pdf")</f>
        <v>Melting_Curves/meltCurve_Q86YV5_SGK223.pdf</v>
      </c>
    </row>
    <row r="3958" spans="1:28" x14ac:dyDescent="0.25">
      <c r="A3958" t="s">
        <v>3962</v>
      </c>
      <c r="B3958">
        <v>0.99996721820229495</v>
      </c>
      <c r="C3958">
        <v>1.0281860383663199</v>
      </c>
      <c r="D3958">
        <v>0.93498384824875902</v>
      </c>
      <c r="E3958">
        <v>0.66778989048943105</v>
      </c>
      <c r="F3958">
        <v>0.35094098711703098</v>
      </c>
      <c r="G3958">
        <v>0.254044643801352</v>
      </c>
      <c r="H3958">
        <v>0.190585131733396</v>
      </c>
      <c r="I3958">
        <v>8.5745828630736098E-2</v>
      </c>
      <c r="J3958">
        <v>5.2684896480614099E-2</v>
      </c>
      <c r="K3958">
        <v>7.5042085909564807E-2</v>
      </c>
      <c r="L3958">
        <v>1020.19194554313</v>
      </c>
      <c r="M3958">
        <v>19.887195110368701</v>
      </c>
      <c r="N3958">
        <v>51.808249582514399</v>
      </c>
      <c r="O3958">
        <v>50.788687250184097</v>
      </c>
      <c r="P3958">
        <v>-8.9203286747420896E-2</v>
      </c>
      <c r="Q3958">
        <v>8.8787091121191805E-2</v>
      </c>
      <c r="R3958">
        <v>0.98948517131119895</v>
      </c>
      <c r="S3958" t="s">
        <v>9784</v>
      </c>
      <c r="T3958" t="s">
        <v>11650</v>
      </c>
      <c r="U3958" t="s">
        <v>11650</v>
      </c>
      <c r="V3958" t="s">
        <v>11650</v>
      </c>
      <c r="W3958" t="s">
        <v>15554</v>
      </c>
      <c r="X3958">
        <v>9</v>
      </c>
      <c r="Y3958" t="s">
        <v>21231</v>
      </c>
      <c r="Z3958" t="s">
        <v>27020</v>
      </c>
      <c r="AA3958">
        <v>0.4447504148891544</v>
      </c>
      <c r="AB3958" t="str">
        <f>HYPERLINK("Melting_Curves/meltCurve_Q8IU85_2_CAMK1D.pdf", "Melting_Curves/meltCurve_Q8IU85_2_CAMK1D.pdf")</f>
        <v>Melting_Curves/meltCurve_Q8IU85_2_CAMK1D.pdf</v>
      </c>
    </row>
    <row r="3959" spans="1:28" x14ac:dyDescent="0.25">
      <c r="A3959" t="s">
        <v>3963</v>
      </c>
      <c r="B3959">
        <v>0.99996721820229495</v>
      </c>
      <c r="C3959">
        <v>0.86996760902144099</v>
      </c>
      <c r="D3959">
        <v>0.757283697469462</v>
      </c>
      <c r="E3959">
        <v>0.53119677331547099</v>
      </c>
      <c r="F3959">
        <v>0.62857246066214501</v>
      </c>
      <c r="G3959">
        <v>0.459653024887196</v>
      </c>
      <c r="H3959">
        <v>0.16541957364202101</v>
      </c>
      <c r="I3959">
        <v>0.12986893396628399</v>
      </c>
      <c r="J3959">
        <v>3.4557812634807998E-2</v>
      </c>
      <c r="K3959">
        <v>8.0689420698605699E-2</v>
      </c>
      <c r="L3959">
        <v>496.89474031112297</v>
      </c>
      <c r="M3959">
        <v>9.3775184907723101</v>
      </c>
      <c r="N3959">
        <v>52.987869721493603</v>
      </c>
      <c r="O3959">
        <v>50.7457534437955</v>
      </c>
      <c r="P3959">
        <v>-4.6227247071194598E-2</v>
      </c>
      <c r="Q3959">
        <v>0</v>
      </c>
      <c r="R3959">
        <v>0.94527745082009695</v>
      </c>
      <c r="S3959" t="s">
        <v>9785</v>
      </c>
      <c r="T3959" t="s">
        <v>11650</v>
      </c>
      <c r="U3959" t="s">
        <v>11650</v>
      </c>
      <c r="V3959" t="s">
        <v>11650</v>
      </c>
      <c r="W3959" t="s">
        <v>15555</v>
      </c>
      <c r="X3959">
        <v>1</v>
      </c>
      <c r="Y3959" t="s">
        <v>21232</v>
      </c>
      <c r="Z3959" t="s">
        <v>27021</v>
      </c>
      <c r="AA3959">
        <v>0.46914831872625812</v>
      </c>
      <c r="AB3959" t="str">
        <f>HYPERLINK("Melting_Curves/meltCurve_Q8IUC6_TICAM1.pdf", "Melting_Curves/meltCurve_Q8IUC6_TICAM1.pdf")</f>
        <v>Melting_Curves/meltCurve_Q8IUC6_TICAM1.pdf</v>
      </c>
    </row>
    <row r="3960" spans="1:28" x14ac:dyDescent="0.25">
      <c r="A3960" t="s">
        <v>3964</v>
      </c>
      <c r="B3960">
        <v>0.99996721820229495</v>
      </c>
      <c r="C3960">
        <v>0.94349792475809502</v>
      </c>
      <c r="D3960">
        <v>0.75759610441110203</v>
      </c>
      <c r="E3960">
        <v>0.79559506722496698</v>
      </c>
      <c r="F3960">
        <v>0.74627834315269703</v>
      </c>
      <c r="G3960">
        <v>0.63807372172795096</v>
      </c>
      <c r="H3960">
        <v>0.44168347066073099</v>
      </c>
      <c r="I3960">
        <v>0.37124996762273799</v>
      </c>
      <c r="J3960">
        <v>0.30100654361176898</v>
      </c>
      <c r="K3960">
        <v>0.25504992237511798</v>
      </c>
      <c r="L3960">
        <v>408.91440102900202</v>
      </c>
      <c r="M3960">
        <v>6.8604283099965899</v>
      </c>
      <c r="N3960">
        <v>59.604792584537002</v>
      </c>
      <c r="O3960">
        <v>55.156853522439697</v>
      </c>
      <c r="P3960">
        <v>-3.11571442139696E-2</v>
      </c>
      <c r="Q3960">
        <v>0</v>
      </c>
      <c r="R3960">
        <v>0.96305123097566203</v>
      </c>
      <c r="S3960" t="s">
        <v>9786</v>
      </c>
      <c r="T3960" t="s">
        <v>11650</v>
      </c>
      <c r="U3960" t="s">
        <v>11650</v>
      </c>
      <c r="V3960" t="s">
        <v>11650</v>
      </c>
      <c r="W3960" t="s">
        <v>15556</v>
      </c>
      <c r="X3960">
        <v>27</v>
      </c>
      <c r="Y3960" t="s">
        <v>21233</v>
      </c>
      <c r="Z3960" t="s">
        <v>27022</v>
      </c>
      <c r="AA3960">
        <v>0.6334192998446686</v>
      </c>
      <c r="AB3960" t="str">
        <f>HYPERLINK("Melting_Curves/meltCurve_Q8IUD2_ERC1.pdf", "Melting_Curves/meltCurve_Q8IUD2_ERC1.pdf")</f>
        <v>Melting_Curves/meltCurve_Q8IUD2_ERC1.pdf</v>
      </c>
    </row>
    <row r="3961" spans="1:28" x14ac:dyDescent="0.25">
      <c r="A3961" t="s">
        <v>3965</v>
      </c>
      <c r="B3961">
        <v>0.99996721820229495</v>
      </c>
      <c r="C3961">
        <v>0.71225709951905503</v>
      </c>
      <c r="D3961">
        <v>0.96013145000985101</v>
      </c>
      <c r="E3961">
        <v>0.70557725981671104</v>
      </c>
      <c r="F3961">
        <v>0.40329853485581202</v>
      </c>
      <c r="G3961">
        <v>0.40095197875932798</v>
      </c>
      <c r="H3961">
        <v>0.20000661458219299</v>
      </c>
      <c r="I3961">
        <v>0.126595602232389</v>
      </c>
      <c r="J3961">
        <v>5.0155294368391501E-2</v>
      </c>
      <c r="K3961">
        <v>5.3526235085858097E-2</v>
      </c>
      <c r="L3961">
        <v>570.90278677553897</v>
      </c>
      <c r="M3961">
        <v>10.7615321136464</v>
      </c>
      <c r="N3961">
        <v>53.050324122170103</v>
      </c>
      <c r="O3961">
        <v>51.3169605178661</v>
      </c>
      <c r="P3961">
        <v>-5.2446028808586898E-2</v>
      </c>
      <c r="Q3961">
        <v>0</v>
      </c>
      <c r="R3961">
        <v>0.93024122858468805</v>
      </c>
      <c r="S3961" t="s">
        <v>9787</v>
      </c>
      <c r="T3961" t="s">
        <v>11650</v>
      </c>
      <c r="U3961" t="s">
        <v>11650</v>
      </c>
      <c r="V3961" t="s">
        <v>11650</v>
      </c>
      <c r="W3961" t="s">
        <v>15557</v>
      </c>
      <c r="X3961">
        <v>1</v>
      </c>
      <c r="Y3961" t="s">
        <v>21234</v>
      </c>
      <c r="Z3961" t="s">
        <v>27023</v>
      </c>
      <c r="AA3961">
        <v>0.46677536719386958</v>
      </c>
      <c r="AB3961" t="str">
        <f>HYPERLINK("Melting_Curves/meltCurve_Q8IUH4_2_ZDHHC13.pdf", "Melting_Curves/meltCurve_Q8IUH4_2_ZDHHC13.pdf")</f>
        <v>Melting_Curves/meltCurve_Q8IUH4_2_ZDHHC13.pdf</v>
      </c>
    </row>
    <row r="3962" spans="1:28" x14ac:dyDescent="0.25">
      <c r="A3962" t="s">
        <v>3966</v>
      </c>
      <c r="B3962">
        <v>0.99996721820229495</v>
      </c>
      <c r="C3962">
        <v>1.0634700077404</v>
      </c>
      <c r="D3962">
        <v>0.99356554138497499</v>
      </c>
      <c r="E3962">
        <v>0.63707481711953196</v>
      </c>
      <c r="F3962">
        <v>0.41870214044549098</v>
      </c>
      <c r="G3962">
        <v>0.36257952837159202</v>
      </c>
      <c r="H3962">
        <v>0.25291431417931298</v>
      </c>
      <c r="I3962">
        <v>0.159779272551513</v>
      </c>
      <c r="J3962">
        <v>0.11380546304375901</v>
      </c>
      <c r="K3962">
        <v>0.102756840615813</v>
      </c>
      <c r="L3962">
        <v>921.30278654327401</v>
      </c>
      <c r="M3962">
        <v>17.866582427710501</v>
      </c>
      <c r="N3962">
        <v>52.542577755875797</v>
      </c>
      <c r="O3962">
        <v>50.932718867440997</v>
      </c>
      <c r="P3962">
        <v>-7.5307438894630693E-2</v>
      </c>
      <c r="Q3962">
        <v>0.141320336252829</v>
      </c>
      <c r="R3962">
        <v>0.974009261349988</v>
      </c>
      <c r="S3962" t="s">
        <v>9788</v>
      </c>
      <c r="T3962" t="s">
        <v>11650</v>
      </c>
      <c r="U3962" t="s">
        <v>11650</v>
      </c>
      <c r="V3962" t="s">
        <v>11650</v>
      </c>
      <c r="W3962" t="s">
        <v>15558</v>
      </c>
      <c r="X3962">
        <v>14</v>
      </c>
      <c r="Y3962" t="s">
        <v>21235</v>
      </c>
      <c r="Z3962" t="s">
        <v>27024</v>
      </c>
      <c r="AA3962">
        <v>0.4869197188883515</v>
      </c>
      <c r="AB3962" t="str">
        <f>HYPERLINK("Melting_Curves/meltCurve_Q8IUI8_CRLF3.pdf", "Melting_Curves/meltCurve_Q8IUI8_CRLF3.pdf")</f>
        <v>Melting_Curves/meltCurve_Q8IUI8_CRLF3.pdf</v>
      </c>
    </row>
    <row r="3963" spans="1:28" x14ac:dyDescent="0.25">
      <c r="A3963" t="s">
        <v>3967</v>
      </c>
      <c r="B3963">
        <v>0.99996721820229495</v>
      </c>
      <c r="C3963">
        <v>1.0419855246874901</v>
      </c>
      <c r="D3963">
        <v>0.90683442741354803</v>
      </c>
      <c r="E3963">
        <v>0.58986583475786603</v>
      </c>
      <c r="F3963">
        <v>0.45414841589826199</v>
      </c>
      <c r="G3963">
        <v>0.24297770432128599</v>
      </c>
      <c r="H3963">
        <v>0.15291467224512001</v>
      </c>
      <c r="I3963">
        <v>0.110408528943912</v>
      </c>
      <c r="J3963">
        <v>8.9279747393313097E-2</v>
      </c>
      <c r="K3963">
        <v>7.2918258729053095E-2</v>
      </c>
      <c r="L3963">
        <v>854.453986149907</v>
      </c>
      <c r="M3963">
        <v>16.6123826488205</v>
      </c>
      <c r="N3963">
        <v>51.959020156290798</v>
      </c>
      <c r="O3963">
        <v>50.7067790126086</v>
      </c>
      <c r="P3963">
        <v>-7.5589537249953598E-2</v>
      </c>
      <c r="Q3963">
        <v>7.7160065968135905E-2</v>
      </c>
      <c r="R3963">
        <v>0.992420884346216</v>
      </c>
      <c r="S3963" t="s">
        <v>9789</v>
      </c>
      <c r="T3963" t="s">
        <v>11650</v>
      </c>
      <c r="U3963" t="s">
        <v>11650</v>
      </c>
      <c r="V3963" t="s">
        <v>11650</v>
      </c>
      <c r="W3963" t="s">
        <v>15559</v>
      </c>
      <c r="X3963">
        <v>3</v>
      </c>
      <c r="Y3963" t="s">
        <v>21236</v>
      </c>
      <c r="Z3963" t="s">
        <v>27025</v>
      </c>
      <c r="AA3963">
        <v>0.44667918097260723</v>
      </c>
      <c r="AB3963" t="str">
        <f>HYPERLINK("Melting_Curves/meltCurve_Q8IUR0_TRAPPC5.pdf", "Melting_Curves/meltCurve_Q8IUR0_TRAPPC5.pdf")</f>
        <v>Melting_Curves/meltCurve_Q8IUR0_TRAPPC5.pdf</v>
      </c>
    </row>
    <row r="3964" spans="1:28" x14ac:dyDescent="0.25">
      <c r="A3964" t="s">
        <v>3968</v>
      </c>
      <c r="B3964">
        <v>0.99996721820229495</v>
      </c>
      <c r="C3964">
        <v>0.87727959887860996</v>
      </c>
      <c r="D3964">
        <v>0.96632867889652696</v>
      </c>
      <c r="E3964">
        <v>1.26913164393776</v>
      </c>
      <c r="F3964">
        <v>1.93130695828942</v>
      </c>
      <c r="G3964">
        <v>1.8949719635364699</v>
      </c>
      <c r="H3964">
        <v>1.5373741769028799</v>
      </c>
      <c r="I3964">
        <v>1.2344864918007401</v>
      </c>
      <c r="J3964">
        <v>0.91055243941589104</v>
      </c>
      <c r="K3964">
        <v>0.79880564793450803</v>
      </c>
      <c r="L3964">
        <v>15000</v>
      </c>
      <c r="M3964">
        <v>223.657400196704</v>
      </c>
      <c r="O3964">
        <v>67.061495043415704</v>
      </c>
      <c r="P3964">
        <v>-0.16776900629458</v>
      </c>
      <c r="Q3964">
        <v>0.79878437016489401</v>
      </c>
      <c r="R3964">
        <v>-0.343642807525188</v>
      </c>
      <c r="S3964" t="s">
        <v>9790</v>
      </c>
      <c r="T3964" t="s">
        <v>11650</v>
      </c>
      <c r="U3964" t="s">
        <v>11650</v>
      </c>
      <c r="V3964" t="s">
        <v>11650</v>
      </c>
      <c r="W3964" t="s">
        <v>15560</v>
      </c>
      <c r="X3964">
        <v>2</v>
      </c>
      <c r="Y3964" t="s">
        <v>21237</v>
      </c>
      <c r="Z3964" t="s">
        <v>27026</v>
      </c>
      <c r="AA3964">
        <v>0.98035629737285446</v>
      </c>
      <c r="AB3964" t="str">
        <f>HYPERLINK("Melting_Curves/meltCurve_Q8IUW5_RELL1.pdf", "Melting_Curves/meltCurve_Q8IUW5_RELL1.pdf")</f>
        <v>Melting_Curves/meltCurve_Q8IUW5_RELL1.pdf</v>
      </c>
    </row>
    <row r="3965" spans="1:28" x14ac:dyDescent="0.25">
      <c r="A3965" t="s">
        <v>3969</v>
      </c>
      <c r="B3965">
        <v>0.99996721820229495</v>
      </c>
      <c r="C3965">
        <v>0.94446708610265695</v>
      </c>
      <c r="D3965">
        <v>0.97417676221099003</v>
      </c>
      <c r="E3965">
        <v>1.04408212252958</v>
      </c>
      <c r="F3965">
        <v>1.2436287611438099</v>
      </c>
      <c r="G3965">
        <v>1.1795033022591199</v>
      </c>
      <c r="H3965">
        <v>0.58666377440141204</v>
      </c>
      <c r="I3965">
        <v>0.25340054485198099</v>
      </c>
      <c r="J3965">
        <v>0.220465251351805</v>
      </c>
      <c r="K3965">
        <v>0.37349408321414901</v>
      </c>
      <c r="L3965">
        <v>15000</v>
      </c>
      <c r="M3965">
        <v>246.20818067731</v>
      </c>
      <c r="N3965">
        <v>61.130679647229798</v>
      </c>
      <c r="O3965">
        <v>60.920032313604501</v>
      </c>
      <c r="P3965">
        <v>-0.72499239333004595</v>
      </c>
      <c r="Q3965">
        <v>0.28245178840048002</v>
      </c>
      <c r="R3965">
        <v>0.91836107670340394</v>
      </c>
      <c r="S3965" t="s">
        <v>9791</v>
      </c>
      <c r="T3965" t="s">
        <v>11650</v>
      </c>
      <c r="U3965" t="s">
        <v>11650</v>
      </c>
      <c r="V3965" t="s">
        <v>11650</v>
      </c>
      <c r="W3965" t="s">
        <v>15561</v>
      </c>
      <c r="X3965">
        <v>9</v>
      </c>
      <c r="Y3965" t="s">
        <v>21238</v>
      </c>
      <c r="Z3965" t="s">
        <v>27027</v>
      </c>
      <c r="AA3965">
        <v>0.78299809390992192</v>
      </c>
      <c r="AB3965" t="str">
        <f>HYPERLINK("Melting_Curves/meltCurve_Q8IUZ5_AGXT2L2.pdf", "Melting_Curves/meltCurve_Q8IUZ5_AGXT2L2.pdf")</f>
        <v>Melting_Curves/meltCurve_Q8IUZ5_AGXT2L2.pdf</v>
      </c>
    </row>
    <row r="3966" spans="1:28" x14ac:dyDescent="0.25">
      <c r="A3966" t="s">
        <v>3970</v>
      </c>
      <c r="B3966">
        <v>0.99996721820229495</v>
      </c>
      <c r="C3966">
        <v>0.89589273413833204</v>
      </c>
      <c r="D3966">
        <v>0.96184418377324699</v>
      </c>
      <c r="E3966">
        <v>1.01531516177836</v>
      </c>
      <c r="F3966">
        <v>1.3898263683154</v>
      </c>
      <c r="G3966">
        <v>1.19671223473822</v>
      </c>
      <c r="H3966">
        <v>0.73689079190170104</v>
      </c>
      <c r="I3966">
        <v>0.30211803823058497</v>
      </c>
      <c r="J3966">
        <v>0.179084248811434</v>
      </c>
      <c r="K3966">
        <v>0.14779674156480399</v>
      </c>
      <c r="L3966">
        <v>3473.8497523527899</v>
      </c>
      <c r="M3966">
        <v>56.061305482019797</v>
      </c>
      <c r="N3966">
        <v>62.403450738433797</v>
      </c>
      <c r="O3966">
        <v>61.886497882203003</v>
      </c>
      <c r="P3966">
        <v>-0.18961603032201699</v>
      </c>
      <c r="Q3966">
        <v>0.16272618769962</v>
      </c>
      <c r="R3966">
        <v>0.877429049073158</v>
      </c>
      <c r="S3966" t="s">
        <v>9792</v>
      </c>
      <c r="T3966" t="s">
        <v>11650</v>
      </c>
      <c r="U3966" t="s">
        <v>11650</v>
      </c>
      <c r="V3966" t="s">
        <v>11650</v>
      </c>
      <c r="W3966" t="s">
        <v>15562</v>
      </c>
      <c r="X3966">
        <v>7</v>
      </c>
      <c r="Y3966" t="s">
        <v>21239</v>
      </c>
      <c r="Z3966" t="s">
        <v>27028</v>
      </c>
      <c r="AA3966">
        <v>0.77750811030564082</v>
      </c>
      <c r="AB3966" t="str">
        <f>HYPERLINK("Melting_Curves/meltCurve_Q8IV08_PLD3.pdf", "Melting_Curves/meltCurve_Q8IV08_PLD3.pdf")</f>
        <v>Melting_Curves/meltCurve_Q8IV08_PLD3.pdf</v>
      </c>
    </row>
    <row r="3967" spans="1:28" x14ac:dyDescent="0.25">
      <c r="A3967" t="s">
        <v>3971</v>
      </c>
      <c r="B3967">
        <v>0.99996721820229495</v>
      </c>
      <c r="C3967">
        <v>0.93281700547179303</v>
      </c>
      <c r="D3967">
        <v>0.87368925912138995</v>
      </c>
      <c r="E3967">
        <v>0.80965843458986897</v>
      </c>
      <c r="F3967">
        <v>0.890490825599344</v>
      </c>
      <c r="G3967">
        <v>0.564310696846688</v>
      </c>
      <c r="H3967">
        <v>0.32491402955516502</v>
      </c>
      <c r="I3967">
        <v>0.19909616958890899</v>
      </c>
      <c r="J3967">
        <v>0.138712270516999</v>
      </c>
      <c r="K3967">
        <v>0.12479117737628501</v>
      </c>
      <c r="L3967">
        <v>767.72931829202105</v>
      </c>
      <c r="M3967">
        <v>13.2202186520166</v>
      </c>
      <c r="N3967">
        <v>58.072361662695201</v>
      </c>
      <c r="O3967">
        <v>56.791847505032301</v>
      </c>
      <c r="P3967">
        <v>-5.82055652995822E-2</v>
      </c>
      <c r="Q3967">
        <v>0</v>
      </c>
      <c r="R3967">
        <v>0.970236650035599</v>
      </c>
      <c r="S3967" t="s">
        <v>9793</v>
      </c>
      <c r="T3967" t="s">
        <v>11650</v>
      </c>
      <c r="U3967" t="s">
        <v>11650</v>
      </c>
      <c r="V3967" t="s">
        <v>11650</v>
      </c>
      <c r="W3967" t="s">
        <v>15563</v>
      </c>
      <c r="X3967">
        <v>5</v>
      </c>
      <c r="Y3967" t="s">
        <v>21240</v>
      </c>
      <c r="Z3967" t="s">
        <v>27029</v>
      </c>
      <c r="AA3967">
        <v>0.61549823644643498</v>
      </c>
      <c r="AB3967" t="str">
        <f>HYPERLINK("Melting_Curves/meltCurve_Q8IV20_LACC1.pdf", "Melting_Curves/meltCurve_Q8IV20_LACC1.pdf")</f>
        <v>Melting_Curves/meltCurve_Q8IV20_LACC1.pdf</v>
      </c>
    </row>
    <row r="3968" spans="1:28" x14ac:dyDescent="0.25">
      <c r="A3968" t="s">
        <v>3972</v>
      </c>
      <c r="B3968">
        <v>0.99996721820229495</v>
      </c>
      <c r="C3968">
        <v>0.95787494790334904</v>
      </c>
      <c r="D3968">
        <v>0.92098913426635398</v>
      </c>
      <c r="E3968">
        <v>0.71615846616304302</v>
      </c>
      <c r="F3968">
        <v>0.29230914538849201</v>
      </c>
      <c r="G3968">
        <v>0.24640801712789201</v>
      </c>
      <c r="H3968">
        <v>0.150808715831072</v>
      </c>
      <c r="I3968">
        <v>9.3892168994430605E-2</v>
      </c>
      <c r="J3968">
        <v>6.2971858643942794E-2</v>
      </c>
      <c r="K3968">
        <v>4.8163716430200398E-2</v>
      </c>
      <c r="L3968">
        <v>1147.6219695700599</v>
      </c>
      <c r="M3968">
        <v>22.414253335990299</v>
      </c>
      <c r="N3968">
        <v>51.634155322626299</v>
      </c>
      <c r="O3968">
        <v>50.798221215366603</v>
      </c>
      <c r="P3968">
        <v>-0.10084905310504901</v>
      </c>
      <c r="Q3968">
        <v>8.5787698248339206E-2</v>
      </c>
      <c r="R3968">
        <v>0.98562939531966298</v>
      </c>
      <c r="S3968" t="s">
        <v>9794</v>
      </c>
      <c r="T3968" t="s">
        <v>11650</v>
      </c>
      <c r="U3968" t="s">
        <v>11650</v>
      </c>
      <c r="V3968" t="s">
        <v>11650</v>
      </c>
      <c r="W3968" t="s">
        <v>15564</v>
      </c>
      <c r="X3968">
        <v>11</v>
      </c>
      <c r="Y3968" t="s">
        <v>21241</v>
      </c>
      <c r="Z3968" t="s">
        <v>27030</v>
      </c>
      <c r="AA3968">
        <v>0.43733898097557111</v>
      </c>
      <c r="AB3968" t="str">
        <f>HYPERLINK("Melting_Curves/meltCurve_Q8IV38_ANKMY2.pdf", "Melting_Curves/meltCurve_Q8IV38_ANKMY2.pdf")</f>
        <v>Melting_Curves/meltCurve_Q8IV38_ANKMY2.pdf</v>
      </c>
    </row>
    <row r="3969" spans="1:28" x14ac:dyDescent="0.25">
      <c r="A3969" t="s">
        <v>3973</v>
      </c>
      <c r="B3969">
        <v>0.99996721820229495</v>
      </c>
      <c r="C3969">
        <v>0.98962815860041298</v>
      </c>
      <c r="D3969">
        <v>0.94977748119326799</v>
      </c>
      <c r="E3969">
        <v>0.94951108132058903</v>
      </c>
      <c r="F3969">
        <v>1.03078480586385</v>
      </c>
      <c r="G3969">
        <v>0.81959816573140198</v>
      </c>
      <c r="H3969">
        <v>0.47756881764274101</v>
      </c>
      <c r="I3969">
        <v>0.48661352304121702</v>
      </c>
      <c r="J3969">
        <v>0.40663709021597</v>
      </c>
      <c r="K3969">
        <v>0.25248537940217097</v>
      </c>
      <c r="L3969">
        <v>1496.60738351641</v>
      </c>
      <c r="M3969">
        <v>25.280415468493601</v>
      </c>
      <c r="N3969">
        <v>61.697964023577498</v>
      </c>
      <c r="O3969">
        <v>58.833546468271201</v>
      </c>
      <c r="P3969">
        <v>-7.3014612456685501E-2</v>
      </c>
      <c r="Q3969">
        <v>0.32031897717644497</v>
      </c>
      <c r="R3969">
        <v>0.96479458145572405</v>
      </c>
      <c r="S3969" t="s">
        <v>9795</v>
      </c>
      <c r="T3969" t="s">
        <v>11650</v>
      </c>
      <c r="U3969" t="s">
        <v>11650</v>
      </c>
      <c r="V3969" t="s">
        <v>11650</v>
      </c>
      <c r="W3969" t="s">
        <v>15565</v>
      </c>
      <c r="X3969">
        <v>7</v>
      </c>
      <c r="Y3969" t="s">
        <v>21242</v>
      </c>
      <c r="Z3969" t="s">
        <v>27031</v>
      </c>
      <c r="AA3969">
        <v>0.76073230965737726</v>
      </c>
      <c r="AB3969" t="str">
        <f>HYPERLINK("Melting_Curves/meltCurve_Q8IV50_LYSMD2.pdf", "Melting_Curves/meltCurve_Q8IV50_LYSMD2.pdf")</f>
        <v>Melting_Curves/meltCurve_Q8IV50_LYSMD2.pdf</v>
      </c>
    </row>
    <row r="3970" spans="1:28" x14ac:dyDescent="0.25">
      <c r="A3970" t="s">
        <v>3974</v>
      </c>
      <c r="B3970">
        <v>0.99996721820229495</v>
      </c>
      <c r="C3970">
        <v>0.94240514686934596</v>
      </c>
      <c r="D3970">
        <v>0.72809163558291401</v>
      </c>
      <c r="E3970">
        <v>0.37117808430074201</v>
      </c>
      <c r="F3970">
        <v>0.32360967475226698</v>
      </c>
      <c r="G3970">
        <v>0.27315000536947698</v>
      </c>
      <c r="H3970">
        <v>0.16809666290418801</v>
      </c>
      <c r="I3970">
        <v>0.135661095165312</v>
      </c>
      <c r="J3970">
        <v>8.0052092354430698E-2</v>
      </c>
      <c r="K3970">
        <v>6.2339231894032003E-2</v>
      </c>
      <c r="L3970">
        <v>757.43389008064401</v>
      </c>
      <c r="M3970">
        <v>15.6404311343644</v>
      </c>
      <c r="N3970">
        <v>49.203033252952601</v>
      </c>
      <c r="O3970">
        <v>47.656991126796598</v>
      </c>
      <c r="P3970">
        <v>-7.3094592915716405E-2</v>
      </c>
      <c r="Q3970">
        <v>0.10918836752630801</v>
      </c>
      <c r="R3970">
        <v>0.97980348707834497</v>
      </c>
      <c r="S3970" t="s">
        <v>9796</v>
      </c>
      <c r="T3970" t="s">
        <v>11650</v>
      </c>
      <c r="U3970" t="s">
        <v>11650</v>
      </c>
      <c r="V3970" t="s">
        <v>11650</v>
      </c>
      <c r="W3970" t="s">
        <v>15566</v>
      </c>
      <c r="X3970">
        <v>5</v>
      </c>
      <c r="Y3970" t="s">
        <v>21243</v>
      </c>
      <c r="Z3970" t="s">
        <v>27032</v>
      </c>
      <c r="AA3970">
        <v>0.38017054301210801</v>
      </c>
      <c r="AB3970" t="str">
        <f>HYPERLINK("Melting_Curves/meltCurve_Q8IVB5_LIX1L.pdf", "Melting_Curves/meltCurve_Q8IVB5_LIX1L.pdf")</f>
        <v>Melting_Curves/meltCurve_Q8IVB5_LIX1L.pdf</v>
      </c>
    </row>
    <row r="3971" spans="1:28" x14ac:dyDescent="0.25">
      <c r="A3971" t="s">
        <v>3975</v>
      </c>
      <c r="B3971">
        <v>0.99996721820229495</v>
      </c>
      <c r="C3971">
        <v>1.0159236817660899</v>
      </c>
      <c r="D3971">
        <v>0.97430506631683</v>
      </c>
      <c r="E3971">
        <v>0.75585005893171298</v>
      </c>
      <c r="F3971">
        <v>0.45473961552827702</v>
      </c>
      <c r="G3971">
        <v>0.35685755212324899</v>
      </c>
      <c r="H3971">
        <v>0.20989072754718899</v>
      </c>
      <c r="I3971">
        <v>0.131861204786522</v>
      </c>
      <c r="J3971">
        <v>9.1802652719045502E-2</v>
      </c>
      <c r="K3971">
        <v>7.8327560968863202E-2</v>
      </c>
      <c r="L3971">
        <v>863.84652985510695</v>
      </c>
      <c r="M3971">
        <v>16.339001726151999</v>
      </c>
      <c r="N3971">
        <v>53.469263369579899</v>
      </c>
      <c r="O3971">
        <v>52.097272051535498</v>
      </c>
      <c r="P3971">
        <v>-7.1853587372362707E-2</v>
      </c>
      <c r="Q3971">
        <v>8.3639116370064395E-2</v>
      </c>
      <c r="R3971">
        <v>0.98905093017402101</v>
      </c>
      <c r="S3971" t="s">
        <v>9797</v>
      </c>
      <c r="T3971" t="s">
        <v>11650</v>
      </c>
      <c r="U3971" t="s">
        <v>11650</v>
      </c>
      <c r="V3971" t="s">
        <v>11650</v>
      </c>
      <c r="W3971" t="s">
        <v>15567</v>
      </c>
      <c r="X3971">
        <v>23</v>
      </c>
      <c r="Y3971" t="s">
        <v>21244</v>
      </c>
      <c r="Z3971" t="s">
        <v>27033</v>
      </c>
      <c r="AA3971">
        <v>0.49426284650066982</v>
      </c>
      <c r="AB3971" t="str">
        <f>HYPERLINK("Melting_Curves/meltCurve_Q8IVD9_NUDCD3.pdf", "Melting_Curves/meltCurve_Q8IVD9_NUDCD3.pdf")</f>
        <v>Melting_Curves/meltCurve_Q8IVD9_NUDCD3.pdf</v>
      </c>
    </row>
    <row r="3972" spans="1:28" x14ac:dyDescent="0.25">
      <c r="A3972" t="s">
        <v>3976</v>
      </c>
      <c r="B3972">
        <v>0.99996721820229495</v>
      </c>
      <c r="C3972">
        <v>1.03545100347079</v>
      </c>
      <c r="D3972">
        <v>1.00958974874588</v>
      </c>
      <c r="E3972">
        <v>1.04863375453918</v>
      </c>
      <c r="F3972">
        <v>1.26872395122601</v>
      </c>
      <c r="G3972">
        <v>1.16784888300441</v>
      </c>
      <c r="H3972">
        <v>0.86461442537356503</v>
      </c>
      <c r="I3972">
        <v>0.68601833917864996</v>
      </c>
      <c r="J3972">
        <v>0.54615453126593605</v>
      </c>
      <c r="K3972">
        <v>0.42456511516226503</v>
      </c>
      <c r="L3972">
        <v>2251.7489653809798</v>
      </c>
      <c r="M3972">
        <v>35.340838817559998</v>
      </c>
      <c r="N3972">
        <v>67.349485253910203</v>
      </c>
      <c r="O3972">
        <v>63.512236502639901</v>
      </c>
      <c r="P3972">
        <v>-7.9885702642926701E-2</v>
      </c>
      <c r="Q3972">
        <v>0.425740577398803</v>
      </c>
      <c r="R3972">
        <v>0.83462353620230101</v>
      </c>
      <c r="S3972" t="s">
        <v>9798</v>
      </c>
      <c r="T3972" t="s">
        <v>11650</v>
      </c>
      <c r="U3972" t="s">
        <v>11650</v>
      </c>
      <c r="V3972" t="s">
        <v>11650</v>
      </c>
      <c r="W3972" t="s">
        <v>15568</v>
      </c>
      <c r="X3972">
        <v>160</v>
      </c>
      <c r="Y3972" t="s">
        <v>21245</v>
      </c>
      <c r="Z3972" t="s">
        <v>27034</v>
      </c>
      <c r="AA3972">
        <v>0.88111795691173855</v>
      </c>
      <c r="AB3972" t="str">
        <f>HYPERLINK("Melting_Curves/meltCurve_Q8IVF2_3_AHNAK2.pdf", "Melting_Curves/meltCurve_Q8IVF2_3_AHNAK2.pdf")</f>
        <v>Melting_Curves/meltCurve_Q8IVF2_3_AHNAK2.pdf</v>
      </c>
    </row>
    <row r="3973" spans="1:28" x14ac:dyDescent="0.25">
      <c r="A3973" t="s">
        <v>3977</v>
      </c>
      <c r="B3973">
        <v>0.99996721820229495</v>
      </c>
      <c r="C3973">
        <v>1.00276382551748</v>
      </c>
      <c r="D3973">
        <v>0.95342958248381304</v>
      </c>
      <c r="E3973">
        <v>0.93270286949537495</v>
      </c>
      <c r="F3973">
        <v>0.54019704973531002</v>
      </c>
      <c r="G3973">
        <v>0.38412534073049098</v>
      </c>
      <c r="H3973">
        <v>0.21967322977235099</v>
      </c>
      <c r="I3973">
        <v>0.15223329016293299</v>
      </c>
      <c r="J3973">
        <v>0.106928089601873</v>
      </c>
      <c r="K3973">
        <v>7.6446836788070904E-2</v>
      </c>
      <c r="L3973">
        <v>995.820342909484</v>
      </c>
      <c r="M3973">
        <v>18.3856884944753</v>
      </c>
      <c r="N3973">
        <v>54.755447297494698</v>
      </c>
      <c r="O3973">
        <v>53.534241443040401</v>
      </c>
      <c r="P3973">
        <v>-7.8116271382288494E-2</v>
      </c>
      <c r="Q3973">
        <v>9.0225943754773094E-2</v>
      </c>
      <c r="R3973">
        <v>0.98521417391809296</v>
      </c>
      <c r="S3973" t="s">
        <v>9799</v>
      </c>
      <c r="T3973" t="s">
        <v>11650</v>
      </c>
      <c r="U3973" t="s">
        <v>11650</v>
      </c>
      <c r="V3973" t="s">
        <v>11650</v>
      </c>
      <c r="W3973" t="s">
        <v>15569</v>
      </c>
      <c r="X3973">
        <v>9</v>
      </c>
      <c r="Y3973" t="s">
        <v>21246</v>
      </c>
      <c r="Z3973" t="s">
        <v>27035</v>
      </c>
      <c r="AA3973">
        <v>0.53376610371343536</v>
      </c>
      <c r="AB3973" t="str">
        <f>HYPERLINK("Melting_Curves/meltCurve_Q8IVH4_MMAA.pdf", "Melting_Curves/meltCurve_Q8IVH4_MMAA.pdf")</f>
        <v>Melting_Curves/meltCurve_Q8IVH4_MMAA.pdf</v>
      </c>
    </row>
    <row r="3974" spans="1:28" x14ac:dyDescent="0.25">
      <c r="A3974" t="s">
        <v>3978</v>
      </c>
      <c r="B3974">
        <v>0.99996721820229495</v>
      </c>
      <c r="C3974">
        <v>1.0822666342579501</v>
      </c>
      <c r="D3974">
        <v>0.90843895567744504</v>
      </c>
      <c r="E3974">
        <v>0.76636148960558903</v>
      </c>
      <c r="F3974">
        <v>0.66545821033060304</v>
      </c>
      <c r="G3974">
        <v>0.51071653742672896</v>
      </c>
      <c r="H3974">
        <v>0.33644032428540799</v>
      </c>
      <c r="I3974">
        <v>0.23361378172570901</v>
      </c>
      <c r="J3974">
        <v>0.167260207444415</v>
      </c>
      <c r="K3974">
        <v>0.182404213032199</v>
      </c>
      <c r="L3974">
        <v>645.94496207706402</v>
      </c>
      <c r="M3974">
        <v>11.600597230603199</v>
      </c>
      <c r="N3974">
        <v>56.552850521796699</v>
      </c>
      <c r="O3974">
        <v>54.104560596346801</v>
      </c>
      <c r="P3974">
        <v>-4.9231976425693401E-2</v>
      </c>
      <c r="Q3974">
        <v>8.17911878910621E-2</v>
      </c>
      <c r="R3974">
        <v>0.98462601246695702</v>
      </c>
      <c r="S3974" t="s">
        <v>9800</v>
      </c>
      <c r="T3974" t="s">
        <v>11650</v>
      </c>
      <c r="U3974" t="s">
        <v>11650</v>
      </c>
      <c r="V3974" t="s">
        <v>11650</v>
      </c>
      <c r="W3974" t="s">
        <v>15570</v>
      </c>
      <c r="X3974">
        <v>3</v>
      </c>
      <c r="Y3974" t="s">
        <v>21247</v>
      </c>
      <c r="Z3974" t="s">
        <v>27036</v>
      </c>
      <c r="AA3974">
        <v>0.58173749651693107</v>
      </c>
      <c r="AB3974" t="str">
        <f>HYPERLINK("Melting_Curves/meltCurve_Q8IVL5_LEPREL1.pdf", "Melting_Curves/meltCurve_Q8IVL5_LEPREL1.pdf")</f>
        <v>Melting_Curves/meltCurve_Q8IVL5_LEPREL1.pdf</v>
      </c>
    </row>
    <row r="3975" spans="1:28" x14ac:dyDescent="0.25">
      <c r="A3975" t="s">
        <v>3979</v>
      </c>
      <c r="B3975">
        <v>0.99996721820229495</v>
      </c>
      <c r="C3975">
        <v>0.97655092316714698</v>
      </c>
      <c r="D3975">
        <v>0.92442789458407204</v>
      </c>
      <c r="E3975">
        <v>0.95935447148310005</v>
      </c>
      <c r="F3975">
        <v>1.3998175600007099</v>
      </c>
      <c r="G3975">
        <v>1.58169383363597</v>
      </c>
      <c r="H3975">
        <v>1.26599104442697</v>
      </c>
      <c r="I3975">
        <v>1.2326325360194601</v>
      </c>
      <c r="J3975">
        <v>1.1895556114071599</v>
      </c>
      <c r="K3975">
        <v>0.80882969617412603</v>
      </c>
      <c r="L3975">
        <v>8184.3068454241102</v>
      </c>
      <c r="M3975">
        <v>159.679407575867</v>
      </c>
      <c r="O3975">
        <v>51.2465781809343</v>
      </c>
      <c r="P3975">
        <v>0.19193447419127899</v>
      </c>
      <c r="Q3975">
        <v>1.2463933228316599</v>
      </c>
      <c r="R3975">
        <v>0.35160160731495299</v>
      </c>
      <c r="S3975" t="s">
        <v>9801</v>
      </c>
      <c r="T3975" t="s">
        <v>11650</v>
      </c>
      <c r="U3975" t="s">
        <v>11650</v>
      </c>
      <c r="V3975" t="s">
        <v>11650</v>
      </c>
      <c r="W3975" t="s">
        <v>15571</v>
      </c>
      <c r="X3975">
        <v>27</v>
      </c>
      <c r="Y3975" t="s">
        <v>21248</v>
      </c>
      <c r="Z3975" t="s">
        <v>27037</v>
      </c>
      <c r="AA3975">
        <v>1.1539035638531081</v>
      </c>
      <c r="AB3975" t="str">
        <f>HYPERLINK("Melting_Curves/meltCurve_Q8IVM0_CCDC50.pdf", "Melting_Curves/meltCurve_Q8IVM0_CCDC50.pdf")</f>
        <v>Melting_Curves/meltCurve_Q8IVM0_CCDC50.pdf</v>
      </c>
    </row>
    <row r="3976" spans="1:28" x14ac:dyDescent="0.25">
      <c r="A3976" t="s">
        <v>3980</v>
      </c>
      <c r="B3976">
        <v>0.99996721820229495</v>
      </c>
      <c r="C3976">
        <v>0.93596531725236598</v>
      </c>
      <c r="D3976">
        <v>0.88903819047269395</v>
      </c>
      <c r="E3976">
        <v>1.0257437107590699</v>
      </c>
      <c r="F3976">
        <v>1.42689009985508</v>
      </c>
      <c r="G3976">
        <v>1.4840023740213699</v>
      </c>
      <c r="H3976">
        <v>1.1041537690761201</v>
      </c>
      <c r="I3976">
        <v>1.3042186338801101</v>
      </c>
      <c r="J3976">
        <v>0.71010846542542005</v>
      </c>
      <c r="K3976">
        <v>0.83249455365722702</v>
      </c>
      <c r="L3976">
        <v>3297.69310422525</v>
      </c>
      <c r="M3976">
        <v>49.403819259709998</v>
      </c>
      <c r="O3976">
        <v>66.640672451642303</v>
      </c>
      <c r="P3976">
        <v>-4.6346817076849997E-2</v>
      </c>
      <c r="Q3976">
        <v>0.74993188539854205</v>
      </c>
      <c r="R3976">
        <v>2.7933237729354299E-2</v>
      </c>
      <c r="S3976" t="s">
        <v>9802</v>
      </c>
      <c r="T3976" t="s">
        <v>11650</v>
      </c>
      <c r="U3976" t="s">
        <v>11650</v>
      </c>
      <c r="V3976" t="s">
        <v>11650</v>
      </c>
      <c r="W3976" t="s">
        <v>15572</v>
      </c>
      <c r="X3976">
        <v>2</v>
      </c>
      <c r="Y3976" t="s">
        <v>21249</v>
      </c>
      <c r="Z3976" t="s">
        <v>27038</v>
      </c>
      <c r="AA3976">
        <v>0.97241586021136306</v>
      </c>
      <c r="AB3976" t="str">
        <f>HYPERLINK("Melting_Curves/meltCurve_Q8IVS2_MCAT.pdf", "Melting_Curves/meltCurve_Q8IVS2_MCAT.pdf")</f>
        <v>Melting_Curves/meltCurve_Q8IVS2_MCAT.pdf</v>
      </c>
    </row>
    <row r="3977" spans="1:28" x14ac:dyDescent="0.25">
      <c r="A3977" t="s">
        <v>3981</v>
      </c>
      <c r="B3977">
        <v>0.99996721820229495</v>
      </c>
      <c r="C3977">
        <v>1.0500167310421999</v>
      </c>
      <c r="D3977">
        <v>1.08954827644827</v>
      </c>
      <c r="E3977">
        <v>1.1871420073166099</v>
      </c>
      <c r="F3977">
        <v>1.5115258093780799</v>
      </c>
      <c r="G3977">
        <v>1.7881129394517901</v>
      </c>
      <c r="H3977">
        <v>1.20423555013099</v>
      </c>
      <c r="I3977">
        <v>0.84504762956338098</v>
      </c>
      <c r="J3977">
        <v>0.50264546120564402</v>
      </c>
      <c r="K3977">
        <v>0.77203668361377698</v>
      </c>
      <c r="L3977">
        <v>15000</v>
      </c>
      <c r="M3977">
        <v>234.08215037839301</v>
      </c>
      <c r="O3977">
        <v>64.075390237240498</v>
      </c>
      <c r="P3977">
        <v>-0.33121952693224199</v>
      </c>
      <c r="Q3977">
        <v>0.63734064526205203</v>
      </c>
      <c r="R3977">
        <v>0.16353608341956699</v>
      </c>
      <c r="S3977" t="s">
        <v>9803</v>
      </c>
      <c r="T3977" t="s">
        <v>11650</v>
      </c>
      <c r="U3977" t="s">
        <v>11650</v>
      </c>
      <c r="V3977" t="s">
        <v>11650</v>
      </c>
      <c r="W3977" t="s">
        <v>15573</v>
      </c>
      <c r="X3977">
        <v>13</v>
      </c>
      <c r="Y3977" t="s">
        <v>21250</v>
      </c>
      <c r="Z3977" t="s">
        <v>27039</v>
      </c>
      <c r="AA3977">
        <v>0.92848255812624392</v>
      </c>
      <c r="AB3977" t="str">
        <f>HYPERLINK("Melting_Curves/meltCurve_Q8IW45_CARKD.pdf", "Melting_Curves/meltCurve_Q8IW45_CARKD.pdf")</f>
        <v>Melting_Curves/meltCurve_Q8IW45_CARKD.pdf</v>
      </c>
    </row>
    <row r="3978" spans="1:28" x14ac:dyDescent="0.25">
      <c r="A3978" t="s">
        <v>3982</v>
      </c>
      <c r="B3978">
        <v>0.99996721820229495</v>
      </c>
      <c r="C3978">
        <v>1.00308779433708</v>
      </c>
      <c r="D3978">
        <v>0.96651843583900798</v>
      </c>
      <c r="E3978">
        <v>0.88155678119118996</v>
      </c>
      <c r="F3978">
        <v>0.42052097139912298</v>
      </c>
      <c r="G3978">
        <v>0.30794837171703598</v>
      </c>
      <c r="H3978">
        <v>0.18478523446321399</v>
      </c>
      <c r="I3978">
        <v>0.133256984538418</v>
      </c>
      <c r="J3978">
        <v>9.3506816379493707E-2</v>
      </c>
      <c r="K3978">
        <v>9.5452912991110694E-2</v>
      </c>
      <c r="L3978">
        <v>1428.1007500527201</v>
      </c>
      <c r="M3978">
        <v>27.252661400204701</v>
      </c>
      <c r="N3978">
        <v>52.997518921706202</v>
      </c>
      <c r="O3978">
        <v>52.122536028355199</v>
      </c>
      <c r="P3978">
        <v>-0.11348149764323701</v>
      </c>
      <c r="Q3978">
        <v>0.13184453691484399</v>
      </c>
      <c r="R3978">
        <v>0.98427809297091795</v>
      </c>
      <c r="S3978" t="s">
        <v>9804</v>
      </c>
      <c r="T3978" t="s">
        <v>11650</v>
      </c>
      <c r="U3978" t="s">
        <v>11650</v>
      </c>
      <c r="V3978" t="s">
        <v>11650</v>
      </c>
      <c r="W3978" t="s">
        <v>15574</v>
      </c>
      <c r="X3978">
        <v>8</v>
      </c>
      <c r="Y3978" t="s">
        <v>21251</v>
      </c>
      <c r="Z3978" t="s">
        <v>27040</v>
      </c>
      <c r="AA3978">
        <v>0.49748442080916527</v>
      </c>
      <c r="AB3978" t="str">
        <f>HYPERLINK("Melting_Curves/meltCurve_Q8IWA4_MFN1.pdf", "Melting_Curves/meltCurve_Q8IWA4_MFN1.pdf")</f>
        <v>Melting_Curves/meltCurve_Q8IWA4_MFN1.pdf</v>
      </c>
    </row>
    <row r="3979" spans="1:28" x14ac:dyDescent="0.25">
      <c r="A3979" t="s">
        <v>3983</v>
      </c>
      <c r="B3979">
        <v>0.99996721820229495</v>
      </c>
      <c r="C3979">
        <v>0.64735646765733501</v>
      </c>
      <c r="D3979">
        <v>0.626017757116062</v>
      </c>
      <c r="E3979">
        <v>1.0855702678464301</v>
      </c>
      <c r="F3979">
        <v>1.1916178484793001</v>
      </c>
      <c r="G3979">
        <v>0.92873540650153297</v>
      </c>
      <c r="H3979">
        <v>0.84138383237570802</v>
      </c>
      <c r="I3979">
        <v>0.468905286473558</v>
      </c>
      <c r="J3979">
        <v>0.30244806559331899</v>
      </c>
      <c r="K3979">
        <v>0.46704912038255297</v>
      </c>
      <c r="L3979">
        <v>3952.80202774179</v>
      </c>
      <c r="M3979">
        <v>63.746414930175</v>
      </c>
      <c r="N3979">
        <v>63.480190592512798</v>
      </c>
      <c r="O3979">
        <v>61.947301272546099</v>
      </c>
      <c r="P3979">
        <v>-0.157966102487825</v>
      </c>
      <c r="Q3979">
        <v>0.38596902347312101</v>
      </c>
      <c r="R3979">
        <v>0.58824355597522204</v>
      </c>
      <c r="S3979" t="s">
        <v>9805</v>
      </c>
      <c r="T3979" t="s">
        <v>11650</v>
      </c>
      <c r="U3979" t="s">
        <v>11650</v>
      </c>
      <c r="V3979" t="s">
        <v>11650</v>
      </c>
      <c r="W3979" t="s">
        <v>15575</v>
      </c>
      <c r="X3979">
        <v>4</v>
      </c>
      <c r="Y3979" t="s">
        <v>21252</v>
      </c>
      <c r="Z3979" t="s">
        <v>27041</v>
      </c>
      <c r="AA3979">
        <v>0.83743960384400118</v>
      </c>
      <c r="AB3979" t="str">
        <f>HYPERLINK("Melting_Curves/meltCurve_Q8IWA5_SLC44A2.pdf", "Melting_Curves/meltCurve_Q8IWA5_SLC44A2.pdf")</f>
        <v>Melting_Curves/meltCurve_Q8IWA5_SLC44A2.pdf</v>
      </c>
    </row>
    <row r="3980" spans="1:28" x14ac:dyDescent="0.25">
      <c r="A3980" t="s">
        <v>3984</v>
      </c>
      <c r="B3980">
        <v>0.99996721820229495</v>
      </c>
      <c r="C3980">
        <v>0.94172272706451199</v>
      </c>
      <c r="D3980">
        <v>1.0036171236413201</v>
      </c>
      <c r="E3980">
        <v>0.88915981122849397</v>
      </c>
      <c r="F3980">
        <v>0.58629876872027098</v>
      </c>
      <c r="G3980">
        <v>0.41399588779977797</v>
      </c>
      <c r="H3980">
        <v>0.25427364426681498</v>
      </c>
      <c r="I3980">
        <v>0.156629198993533</v>
      </c>
      <c r="J3980">
        <v>0.136191254665671</v>
      </c>
      <c r="K3980">
        <v>8.6977414916264498E-2</v>
      </c>
      <c r="L3980">
        <v>894.547928985368</v>
      </c>
      <c r="M3980">
        <v>16.370801217473499</v>
      </c>
      <c r="N3980">
        <v>55.281061469381498</v>
      </c>
      <c r="O3980">
        <v>53.847058971747103</v>
      </c>
      <c r="P3980">
        <v>-6.9466864576611401E-2</v>
      </c>
      <c r="Q3980">
        <v>8.6100129277864604E-2</v>
      </c>
      <c r="R3980">
        <v>0.98956071715328298</v>
      </c>
      <c r="S3980" t="s">
        <v>9806</v>
      </c>
      <c r="T3980" t="s">
        <v>11650</v>
      </c>
      <c r="U3980" t="s">
        <v>11650</v>
      </c>
      <c r="V3980" t="s">
        <v>11650</v>
      </c>
      <c r="W3980" t="s">
        <v>15576</v>
      </c>
      <c r="X3980">
        <v>6</v>
      </c>
      <c r="Y3980" t="s">
        <v>21253</v>
      </c>
      <c r="Z3980" t="s">
        <v>27042</v>
      </c>
      <c r="AA3980">
        <v>0.54843184631788167</v>
      </c>
      <c r="AB3980" t="str">
        <f>HYPERLINK("Melting_Curves/meltCurve_Q8IWB1_ITPRIP.pdf", "Melting_Curves/meltCurve_Q8IWB1_ITPRIP.pdf")</f>
        <v>Melting_Curves/meltCurve_Q8IWB1_ITPRIP.pdf</v>
      </c>
    </row>
    <row r="3981" spans="1:28" x14ac:dyDescent="0.25">
      <c r="A3981" t="s">
        <v>3985</v>
      </c>
      <c r="B3981">
        <v>0.99996721820229495</v>
      </c>
      <c r="C3981">
        <v>1.0251248605299801</v>
      </c>
      <c r="D3981">
        <v>1.0059816258060099</v>
      </c>
      <c r="E3981">
        <v>0.99418955698394695</v>
      </c>
      <c r="F3981">
        <v>1.13474789462331</v>
      </c>
      <c r="G3981">
        <v>0.93643251139967898</v>
      </c>
      <c r="H3981">
        <v>0.34207988049569699</v>
      </c>
      <c r="I3981">
        <v>0.13376511442257999</v>
      </c>
      <c r="J3981">
        <v>7.4864425427484602E-2</v>
      </c>
      <c r="K3981">
        <v>6.5288074465835705E-2</v>
      </c>
      <c r="L3981">
        <v>3011.17679948662</v>
      </c>
      <c r="M3981">
        <v>50.242758265915199</v>
      </c>
      <c r="N3981">
        <v>60.1300213669371</v>
      </c>
      <c r="O3981">
        <v>59.837845209434903</v>
      </c>
      <c r="P3981">
        <v>-0.19394754804612899</v>
      </c>
      <c r="Q3981">
        <v>7.6054557710665202E-2</v>
      </c>
      <c r="R3981">
        <v>0.98929813759297602</v>
      </c>
      <c r="S3981" t="s">
        <v>9807</v>
      </c>
      <c r="T3981" t="s">
        <v>11650</v>
      </c>
      <c r="U3981" t="s">
        <v>11650</v>
      </c>
      <c r="V3981" t="s">
        <v>11650</v>
      </c>
      <c r="W3981" t="s">
        <v>15577</v>
      </c>
      <c r="X3981">
        <v>13</v>
      </c>
      <c r="Y3981" t="s">
        <v>21254</v>
      </c>
      <c r="Z3981" t="s">
        <v>27043</v>
      </c>
      <c r="AA3981">
        <v>0.69232159875097321</v>
      </c>
      <c r="AB3981" t="str">
        <f>HYPERLINK("Melting_Curves/meltCurve_Q8IWB7_WDFY1.pdf", "Melting_Curves/meltCurve_Q8IWB7_WDFY1.pdf")</f>
        <v>Melting_Curves/meltCurve_Q8IWB7_WDFY1.pdf</v>
      </c>
    </row>
    <row r="3982" spans="1:28" x14ac:dyDescent="0.25">
      <c r="A3982" t="s">
        <v>3986</v>
      </c>
      <c r="B3982">
        <v>0.99996721820229495</v>
      </c>
      <c r="C3982">
        <v>0.98258032852680399</v>
      </c>
      <c r="D3982">
        <v>1.0870742456818201</v>
      </c>
      <c r="E3982">
        <v>0.91920721420168106</v>
      </c>
      <c r="F3982">
        <v>0.42713083542075803</v>
      </c>
      <c r="G3982">
        <v>0.40817439655585003</v>
      </c>
      <c r="H3982">
        <v>0.267487331653534</v>
      </c>
      <c r="I3982">
        <v>0.19011010848582999</v>
      </c>
      <c r="J3982">
        <v>0.15530978585952601</v>
      </c>
      <c r="K3982">
        <v>0.114400922677056</v>
      </c>
      <c r="L3982">
        <v>2282.4919247133598</v>
      </c>
      <c r="M3982">
        <v>43.853276287898801</v>
      </c>
      <c r="N3982">
        <v>52.739825775182702</v>
      </c>
      <c r="O3982">
        <v>51.940493628391003</v>
      </c>
      <c r="P3982">
        <v>-0.16492669960773801</v>
      </c>
      <c r="Q3982">
        <v>0.21863426283381901</v>
      </c>
      <c r="R3982">
        <v>0.95848936032554899</v>
      </c>
      <c r="S3982" t="s">
        <v>9808</v>
      </c>
      <c r="T3982" t="s">
        <v>11650</v>
      </c>
      <c r="U3982" t="s">
        <v>11650</v>
      </c>
      <c r="V3982" t="s">
        <v>11650</v>
      </c>
      <c r="W3982" t="s">
        <v>15578</v>
      </c>
      <c r="X3982">
        <v>22</v>
      </c>
      <c r="Y3982" t="s">
        <v>21255</v>
      </c>
      <c r="Z3982" t="s">
        <v>27044</v>
      </c>
      <c r="AA3982">
        <v>0.5347758710297883</v>
      </c>
      <c r="AB3982" t="str">
        <f>HYPERLINK("Melting_Curves/meltCurve_Q8IWB9_TEX2.pdf", "Melting_Curves/meltCurve_Q8IWB9_TEX2.pdf")</f>
        <v>Melting_Curves/meltCurve_Q8IWB9_TEX2.pdf</v>
      </c>
    </row>
    <row r="3983" spans="1:28" x14ac:dyDescent="0.25">
      <c r="A3983" t="s">
        <v>3987</v>
      </c>
      <c r="B3983">
        <v>0.99996721820229495</v>
      </c>
      <c r="C3983">
        <v>0.94232883070395501</v>
      </c>
      <c r="D3983">
        <v>0.77791933457755702</v>
      </c>
      <c r="E3983">
        <v>0.68426792447298201</v>
      </c>
      <c r="F3983">
        <v>0.77473949660305796</v>
      </c>
      <c r="G3983">
        <v>0.66630937791435496</v>
      </c>
      <c r="H3983">
        <v>0.47323429007364498</v>
      </c>
      <c r="I3983">
        <v>0.412016302626947</v>
      </c>
      <c r="J3983">
        <v>0.36019939789319</v>
      </c>
      <c r="K3983">
        <v>0.24731854437398801</v>
      </c>
      <c r="L3983">
        <v>364.21089244102399</v>
      </c>
      <c r="M3983">
        <v>6.0392275833290299</v>
      </c>
      <c r="N3983">
        <v>60.307531374240902</v>
      </c>
      <c r="O3983">
        <v>54.694344666657301</v>
      </c>
      <c r="P3983">
        <v>-2.7691782964711101E-2</v>
      </c>
      <c r="Q3983">
        <v>0</v>
      </c>
      <c r="R3983">
        <v>0.939735583921817</v>
      </c>
      <c r="S3983" t="s">
        <v>9809</v>
      </c>
      <c r="T3983" t="s">
        <v>11650</v>
      </c>
      <c r="U3983" t="s">
        <v>11650</v>
      </c>
      <c r="V3983" t="s">
        <v>11650</v>
      </c>
      <c r="W3983" t="s">
        <v>15579</v>
      </c>
      <c r="X3983">
        <v>7</v>
      </c>
      <c r="Y3983" t="s">
        <v>21256</v>
      </c>
      <c r="Z3983" t="s">
        <v>27045</v>
      </c>
      <c r="AA3983">
        <v>0.63939575786127001</v>
      </c>
      <c r="AB3983" t="str">
        <f>HYPERLINK("Melting_Curves/meltCurve_Q8IWC1_2_MAP7D3.pdf", "Melting_Curves/meltCurve_Q8IWC1_2_MAP7D3.pdf")</f>
        <v>Melting_Curves/meltCurve_Q8IWC1_2_MAP7D3.pdf</v>
      </c>
    </row>
    <row r="3984" spans="1:28" x14ac:dyDescent="0.25">
      <c r="A3984" t="s">
        <v>3988</v>
      </c>
      <c r="B3984">
        <v>0.99996721820229495</v>
      </c>
      <c r="C3984">
        <v>1.0591878222203901</v>
      </c>
      <c r="D3984">
        <v>1.0150592898295301</v>
      </c>
      <c r="E3984">
        <v>0.95645554398326504</v>
      </c>
      <c r="F3984">
        <v>0.95142015166735305</v>
      </c>
      <c r="G3984">
        <v>0.47837201111796901</v>
      </c>
      <c r="H3984">
        <v>0.26547485088080203</v>
      </c>
      <c r="I3984">
        <v>0.16899335694064599</v>
      </c>
      <c r="J3984">
        <v>0.127023222044124</v>
      </c>
      <c r="K3984">
        <v>8.8823207395398202E-2</v>
      </c>
      <c r="L3984">
        <v>1704.5972557784501</v>
      </c>
      <c r="M3984">
        <v>30.113271522379598</v>
      </c>
      <c r="N3984">
        <v>57.154644843428002</v>
      </c>
      <c r="O3984">
        <v>56.358306432535201</v>
      </c>
      <c r="P3984">
        <v>-0.11681829924056999</v>
      </c>
      <c r="Q3984">
        <v>0.125483367969358</v>
      </c>
      <c r="R3984">
        <v>0.99176288349132302</v>
      </c>
      <c r="S3984" t="s">
        <v>9810</v>
      </c>
      <c r="T3984" t="s">
        <v>11650</v>
      </c>
      <c r="U3984" t="s">
        <v>11650</v>
      </c>
      <c r="V3984" t="s">
        <v>11650</v>
      </c>
      <c r="W3984" t="s">
        <v>15580</v>
      </c>
      <c r="X3984">
        <v>18</v>
      </c>
      <c r="Y3984" t="s">
        <v>21257</v>
      </c>
      <c r="Z3984" t="s">
        <v>27046</v>
      </c>
      <c r="AA3984">
        <v>0.61535589599668072</v>
      </c>
      <c r="AB3984" t="str">
        <f>HYPERLINK("Melting_Curves/meltCurve_Q8IWE2_FAM114A1.pdf", "Melting_Curves/meltCurve_Q8IWE2_FAM114A1.pdf")</f>
        <v>Melting_Curves/meltCurve_Q8IWE2_FAM114A1.pdf</v>
      </c>
    </row>
    <row r="3985" spans="1:28" x14ac:dyDescent="0.25">
      <c r="A3985" t="s">
        <v>3989</v>
      </c>
      <c r="B3985">
        <v>0.99996721820229495</v>
      </c>
      <c r="C3985">
        <v>0.85064401450114802</v>
      </c>
      <c r="D3985">
        <v>0.70690850180592002</v>
      </c>
      <c r="E3985">
        <v>0.34891682215127301</v>
      </c>
      <c r="F3985">
        <v>0.278362681852653</v>
      </c>
      <c r="G3985">
        <v>0.24353211850846701</v>
      </c>
      <c r="H3985">
        <v>0.163824786996077</v>
      </c>
      <c r="I3985">
        <v>0.13136934349727999</v>
      </c>
      <c r="J3985">
        <v>0.110146696623955</v>
      </c>
      <c r="K3985">
        <v>0.100924878842462</v>
      </c>
      <c r="L3985">
        <v>770.47847743719899</v>
      </c>
      <c r="M3985">
        <v>16.1974146145606</v>
      </c>
      <c r="N3985">
        <v>48.428295372662802</v>
      </c>
      <c r="O3985">
        <v>46.860669873061603</v>
      </c>
      <c r="P3985">
        <v>-7.5614886083746696E-2</v>
      </c>
      <c r="Q3985">
        <v>0.125021294834159</v>
      </c>
      <c r="R3985">
        <v>0.98915887772602995</v>
      </c>
      <c r="S3985" t="s">
        <v>9811</v>
      </c>
      <c r="T3985" t="s">
        <v>11650</v>
      </c>
      <c r="U3985" t="s">
        <v>11650</v>
      </c>
      <c r="V3985" t="s">
        <v>11650</v>
      </c>
      <c r="W3985" t="s">
        <v>15581</v>
      </c>
      <c r="X3985">
        <v>11</v>
      </c>
      <c r="Y3985" t="s">
        <v>21258</v>
      </c>
      <c r="Z3985" t="s">
        <v>27047</v>
      </c>
      <c r="AA3985">
        <v>0.3654129879584892</v>
      </c>
      <c r="AB3985" t="str">
        <f>HYPERLINK("Melting_Curves/meltCurve_Q8IWE4_DCUN1D3.pdf", "Melting_Curves/meltCurve_Q8IWE4_DCUN1D3.pdf")</f>
        <v>Melting_Curves/meltCurve_Q8IWE4_DCUN1D3.pdf</v>
      </c>
    </row>
    <row r="3986" spans="1:28" x14ac:dyDescent="0.25">
      <c r="A3986" t="s">
        <v>3990</v>
      </c>
      <c r="B3986">
        <v>0.99996721820229495</v>
      </c>
      <c r="C3986">
        <v>1.0069533494441001</v>
      </c>
      <c r="D3986">
        <v>0.65206509752149799</v>
      </c>
      <c r="E3986">
        <v>0.47831868199312799</v>
      </c>
      <c r="F3986">
        <v>0.51241026606958495</v>
      </c>
      <c r="G3986">
        <v>0.44151826308514502</v>
      </c>
      <c r="H3986">
        <v>0.31248150852968398</v>
      </c>
      <c r="I3986">
        <v>0.259395713355283</v>
      </c>
      <c r="J3986">
        <v>0.21039670014336001</v>
      </c>
      <c r="K3986">
        <v>0.17997604626079799</v>
      </c>
      <c r="L3986">
        <v>537.47331568505399</v>
      </c>
      <c r="M3986">
        <v>10.8525496105841</v>
      </c>
      <c r="N3986">
        <v>51.8856477065926</v>
      </c>
      <c r="O3986">
        <v>47.932493440793003</v>
      </c>
      <c r="P3986">
        <v>-4.5591398717076799E-2</v>
      </c>
      <c r="Q3986">
        <v>0.19483139934885901</v>
      </c>
      <c r="R3986">
        <v>0.93091794539770001</v>
      </c>
      <c r="S3986" t="s">
        <v>9812</v>
      </c>
      <c r="T3986" t="s">
        <v>11650</v>
      </c>
      <c r="U3986" t="s">
        <v>11650</v>
      </c>
      <c r="V3986" t="s">
        <v>11650</v>
      </c>
      <c r="W3986" t="s">
        <v>15582</v>
      </c>
      <c r="X3986">
        <v>47</v>
      </c>
      <c r="Y3986" t="s">
        <v>21259</v>
      </c>
      <c r="Z3986" t="s">
        <v>27048</v>
      </c>
      <c r="AA3986">
        <v>0.48401646601715648</v>
      </c>
      <c r="AB3986" t="str">
        <f>HYPERLINK("Melting_Curves/meltCurve_Q8IWJ2_GCC2.pdf", "Melting_Curves/meltCurve_Q8IWJ2_GCC2.pdf")</f>
        <v>Melting_Curves/meltCurve_Q8IWJ2_GCC2.pdf</v>
      </c>
    </row>
    <row r="3987" spans="1:28" x14ac:dyDescent="0.25">
      <c r="A3987" t="s">
        <v>3991</v>
      </c>
      <c r="B3987">
        <v>0.99996721820229495</v>
      </c>
      <c r="C3987">
        <v>1.09614104263304</v>
      </c>
      <c r="D3987">
        <v>1.2014742337298601</v>
      </c>
      <c r="E3987">
        <v>0.73374823811168199</v>
      </c>
      <c r="F3987">
        <v>0.80920412026786703</v>
      </c>
      <c r="G3987">
        <v>0.64654952128739296</v>
      </c>
      <c r="H3987">
        <v>0.45836476259677</v>
      </c>
      <c r="I3987">
        <v>0.223399728389546</v>
      </c>
      <c r="J3987">
        <v>0.11229794295085301</v>
      </c>
      <c r="K3987">
        <v>0.109481830765573</v>
      </c>
      <c r="L3987">
        <v>795.07681909385497</v>
      </c>
      <c r="M3987">
        <v>13.481507710475199</v>
      </c>
      <c r="N3987">
        <v>58.975363726143797</v>
      </c>
      <c r="O3987">
        <v>57.72311012734</v>
      </c>
      <c r="P3987">
        <v>-5.8397645263706402E-2</v>
      </c>
      <c r="Q3987">
        <v>0</v>
      </c>
      <c r="R3987">
        <v>0.928392366509316</v>
      </c>
      <c r="S3987" t="s">
        <v>9813</v>
      </c>
      <c r="T3987" t="s">
        <v>11650</v>
      </c>
      <c r="U3987" t="s">
        <v>11650</v>
      </c>
      <c r="V3987" t="s">
        <v>11650</v>
      </c>
      <c r="W3987" t="s">
        <v>15583</v>
      </c>
      <c r="X3987">
        <v>4</v>
      </c>
      <c r="Y3987" t="s">
        <v>21260</v>
      </c>
      <c r="Z3987" t="s">
        <v>27049</v>
      </c>
      <c r="AA3987">
        <v>0.64225219473890927</v>
      </c>
      <c r="AB3987" t="str">
        <f>HYPERLINK("Melting_Curves/meltCurve_Q8IWV7_UBR1.pdf", "Melting_Curves/meltCurve_Q8IWV7_UBR1.pdf")</f>
        <v>Melting_Curves/meltCurve_Q8IWV7_UBR1.pdf</v>
      </c>
    </row>
    <row r="3988" spans="1:28" x14ac:dyDescent="0.25">
      <c r="A3988" t="s">
        <v>3992</v>
      </c>
      <c r="B3988">
        <v>0.99996721820229495</v>
      </c>
      <c r="C3988">
        <v>0.96629833370673202</v>
      </c>
      <c r="D3988">
        <v>1.0509235623355999</v>
      </c>
      <c r="E3988">
        <v>1.45352814231514</v>
      </c>
      <c r="F3988">
        <v>2.4871092933452799</v>
      </c>
      <c r="G3988">
        <v>3.5090595719332698</v>
      </c>
      <c r="H3988">
        <v>2.6256700945418001</v>
      </c>
      <c r="I3988">
        <v>1.31104540563389</v>
      </c>
      <c r="J3988">
        <v>1.0597193206389</v>
      </c>
      <c r="K3988">
        <v>0.63795884585306595</v>
      </c>
      <c r="L3988">
        <v>3469.64275687188</v>
      </c>
      <c r="M3988">
        <v>73.161419849260994</v>
      </c>
      <c r="O3988">
        <v>47.389103275889298</v>
      </c>
      <c r="P3988">
        <v>0.19298068755356701</v>
      </c>
      <c r="Q3988">
        <v>1.5</v>
      </c>
      <c r="R3988">
        <v>7.8109003027307902E-2</v>
      </c>
      <c r="S3988" t="s">
        <v>9814</v>
      </c>
      <c r="T3988" t="s">
        <v>11650</v>
      </c>
      <c r="U3988" t="s">
        <v>11650</v>
      </c>
      <c r="V3988" t="s">
        <v>11650</v>
      </c>
      <c r="W3988" t="s">
        <v>15584</v>
      </c>
      <c r="X3988">
        <v>1</v>
      </c>
      <c r="Y3988" t="s">
        <v>21261</v>
      </c>
      <c r="Z3988" t="s">
        <v>27050</v>
      </c>
      <c r="AA3988">
        <v>1.375771480785684</v>
      </c>
      <c r="AB3988" t="str">
        <f>HYPERLINK("Melting_Curves/meltCurve_Q8IWV8_4_UBR2.pdf", "Melting_Curves/meltCurve_Q8IWV8_4_UBR2.pdf")</f>
        <v>Melting_Curves/meltCurve_Q8IWV8_4_UBR2.pdf</v>
      </c>
    </row>
    <row r="3989" spans="1:28" x14ac:dyDescent="0.25">
      <c r="A3989" t="s">
        <v>3993</v>
      </c>
      <c r="B3989">
        <v>0.99996721820229495</v>
      </c>
      <c r="C3989">
        <v>0.75880917105322798</v>
      </c>
      <c r="D3989">
        <v>0.95235749025555005</v>
      </c>
      <c r="E3989">
        <v>1.03195643965367</v>
      </c>
      <c r="F3989">
        <v>1.58081142278596</v>
      </c>
      <c r="G3989">
        <v>1.5984447121515</v>
      </c>
      <c r="H3989">
        <v>0.98518655360254304</v>
      </c>
      <c r="I3989">
        <v>0.67023914357782899</v>
      </c>
      <c r="J3989">
        <v>0.37404135384429699</v>
      </c>
      <c r="K3989">
        <v>0.20328024444366599</v>
      </c>
      <c r="L3989">
        <v>3105.7908428434398</v>
      </c>
      <c r="M3989">
        <v>48.034822754324203</v>
      </c>
      <c r="N3989">
        <v>65.395602129735593</v>
      </c>
      <c r="O3989">
        <v>64.545307738344604</v>
      </c>
      <c r="P3989">
        <v>-0.147101554215606</v>
      </c>
      <c r="Q3989">
        <v>0.20934819386953399</v>
      </c>
      <c r="R3989">
        <v>0.58135385674369799</v>
      </c>
      <c r="S3989" t="s">
        <v>9815</v>
      </c>
      <c r="T3989" t="s">
        <v>11650</v>
      </c>
      <c r="U3989" t="s">
        <v>11650</v>
      </c>
      <c r="V3989" t="s">
        <v>11650</v>
      </c>
      <c r="W3989" t="s">
        <v>15585</v>
      </c>
      <c r="X3989">
        <v>2</v>
      </c>
      <c r="Y3989" t="s">
        <v>21262</v>
      </c>
      <c r="Z3989" t="s">
        <v>27051</v>
      </c>
      <c r="AA3989">
        <v>0.86053016764544288</v>
      </c>
      <c r="AB3989" t="str">
        <f>HYPERLINK("Melting_Curves/meltCurve_Q8IWW8_2_ADHFE1.pdf", "Melting_Curves/meltCurve_Q8IWW8_2_ADHFE1.pdf")</f>
        <v>Melting_Curves/meltCurve_Q8IWW8_2_ADHFE1.pdf</v>
      </c>
    </row>
    <row r="3990" spans="1:28" x14ac:dyDescent="0.25">
      <c r="A3990" t="s">
        <v>3994</v>
      </c>
      <c r="B3990">
        <v>0.99996721820229495</v>
      </c>
      <c r="C3990">
        <v>0.98192540774464299</v>
      </c>
      <c r="D3990">
        <v>0.76374721540159496</v>
      </c>
      <c r="E3990">
        <v>0.76779778212253402</v>
      </c>
      <c r="F3990">
        <v>0.98070566761371503</v>
      </c>
      <c r="G3990">
        <v>1.37523183105028</v>
      </c>
      <c r="H3990">
        <v>0.80130259206364296</v>
      </c>
      <c r="I3990">
        <v>0.65036490401122404</v>
      </c>
      <c r="J3990">
        <v>0.375073848813188</v>
      </c>
      <c r="K3990">
        <v>0.393090692206578</v>
      </c>
      <c r="L3990">
        <v>2633.4952605122398</v>
      </c>
      <c r="M3990">
        <v>41.658057049941903</v>
      </c>
      <c r="N3990">
        <v>65.235423708861305</v>
      </c>
      <c r="O3990">
        <v>63.071794075089699</v>
      </c>
      <c r="P3990">
        <v>-0.10531100797852901</v>
      </c>
      <c r="Q3990">
        <v>0.36222253462804199</v>
      </c>
      <c r="R3990">
        <v>0.66792761300618497</v>
      </c>
      <c r="S3990" t="s">
        <v>9816</v>
      </c>
      <c r="T3990" t="s">
        <v>11650</v>
      </c>
      <c r="U3990" t="s">
        <v>11650</v>
      </c>
      <c r="V3990" t="s">
        <v>11650</v>
      </c>
      <c r="W3990" t="s">
        <v>15586</v>
      </c>
      <c r="X3990">
        <v>4</v>
      </c>
      <c r="Y3990" t="s">
        <v>21263</v>
      </c>
      <c r="Z3990" t="s">
        <v>27052</v>
      </c>
      <c r="AA3990">
        <v>0.857633293076007</v>
      </c>
      <c r="AB3990" t="str">
        <f>HYPERLINK("Melting_Curves/meltCurve_Q8IWZ3_6_ANKHD1.pdf", "Melting_Curves/meltCurve_Q8IWZ3_6_ANKHD1.pdf")</f>
        <v>Melting_Curves/meltCurve_Q8IWZ3_6_ANKHD1.pdf</v>
      </c>
    </row>
    <row r="3991" spans="1:28" x14ac:dyDescent="0.25">
      <c r="A3991" t="s">
        <v>3995</v>
      </c>
      <c r="B3991">
        <v>0.99996721820229495</v>
      </c>
      <c r="C3991">
        <v>1.0922764178836299</v>
      </c>
      <c r="D3991">
        <v>0.92102407415857601</v>
      </c>
      <c r="E3991">
        <v>0.62492117553182702</v>
      </c>
      <c r="F3991">
        <v>0.81461991357914998</v>
      </c>
      <c r="G3991">
        <v>0.61511338575361296</v>
      </c>
      <c r="H3991">
        <v>0.40647293999505602</v>
      </c>
      <c r="I3991">
        <v>0.31907612072443697</v>
      </c>
      <c r="J3991">
        <v>0.26617081271989002</v>
      </c>
      <c r="K3991">
        <v>0.18164731269574999</v>
      </c>
      <c r="L3991">
        <v>509.10311494267802</v>
      </c>
      <c r="M3991">
        <v>8.6606773899865406</v>
      </c>
      <c r="N3991">
        <v>58.783290470352398</v>
      </c>
      <c r="O3991">
        <v>55.901387061350498</v>
      </c>
      <c r="P3991">
        <v>-3.8764466787835898E-2</v>
      </c>
      <c r="Q3991">
        <v>0</v>
      </c>
      <c r="R3991">
        <v>0.92852173906743996</v>
      </c>
      <c r="S3991" t="s">
        <v>9817</v>
      </c>
      <c r="T3991" t="s">
        <v>11650</v>
      </c>
      <c r="U3991" t="s">
        <v>11650</v>
      </c>
      <c r="V3991" t="s">
        <v>11650</v>
      </c>
      <c r="W3991" t="s">
        <v>15587</v>
      </c>
      <c r="X3991">
        <v>5</v>
      </c>
      <c r="Y3991" t="s">
        <v>21264</v>
      </c>
      <c r="Z3991" t="s">
        <v>27053</v>
      </c>
      <c r="AA3991">
        <v>0.62600324556173925</v>
      </c>
      <c r="AB3991" t="str">
        <f>HYPERLINK("Melting_Curves/meltCurve_Q8IWZ8_SUGP1.pdf", "Melting_Curves/meltCurve_Q8IWZ8_SUGP1.pdf")</f>
        <v>Melting_Curves/meltCurve_Q8IWZ8_SUGP1.pdf</v>
      </c>
    </row>
    <row r="3992" spans="1:28" x14ac:dyDescent="0.25">
      <c r="A3992" t="s">
        <v>3996</v>
      </c>
      <c r="B3992">
        <v>0.99996721820229495</v>
      </c>
      <c r="C3992">
        <v>1.0331075149725799</v>
      </c>
      <c r="D3992">
        <v>0.96811525337703697</v>
      </c>
      <c r="E3992">
        <v>0.84492691359891103</v>
      </c>
      <c r="F3992">
        <v>0.41933379344729399</v>
      </c>
      <c r="G3992">
        <v>0.29464261101366501</v>
      </c>
      <c r="H3992">
        <v>0.192489545000498</v>
      </c>
      <c r="I3992">
        <v>0.13734732798594201</v>
      </c>
      <c r="J3992">
        <v>0.10519264027628999</v>
      </c>
      <c r="K3992">
        <v>6.2609489138588006E-2</v>
      </c>
      <c r="L3992">
        <v>1277.3792697167501</v>
      </c>
      <c r="M3992">
        <v>24.3964880417413</v>
      </c>
      <c r="N3992">
        <v>52.958490418010499</v>
      </c>
      <c r="O3992">
        <v>52.011154364872503</v>
      </c>
      <c r="P3992">
        <v>-0.103121195052759</v>
      </c>
      <c r="Q3992">
        <v>0.120631969806624</v>
      </c>
      <c r="R3992">
        <v>0.98589852569280501</v>
      </c>
      <c r="S3992" t="s">
        <v>9818</v>
      </c>
      <c r="T3992" t="s">
        <v>11650</v>
      </c>
      <c r="U3992" t="s">
        <v>11650</v>
      </c>
      <c r="V3992" t="s">
        <v>11650</v>
      </c>
      <c r="W3992" t="s">
        <v>15588</v>
      </c>
      <c r="X3992">
        <v>7</v>
      </c>
      <c r="Y3992" t="s">
        <v>21265</v>
      </c>
      <c r="Z3992" t="s">
        <v>27054</v>
      </c>
      <c r="AA3992">
        <v>0.49134467461503117</v>
      </c>
      <c r="AB3992" t="str">
        <f>HYPERLINK("Melting_Curves/meltCurve_Q8IX04_UEVLD.pdf", "Melting_Curves/meltCurve_Q8IX04_UEVLD.pdf")</f>
        <v>Melting_Curves/meltCurve_Q8IX04_UEVLD.pdf</v>
      </c>
    </row>
    <row r="3993" spans="1:28" x14ac:dyDescent="0.25">
      <c r="A3993" t="s">
        <v>3997</v>
      </c>
      <c r="B3993">
        <v>0.99996721820229495</v>
      </c>
      <c r="C3993">
        <v>1.0462972404570801</v>
      </c>
      <c r="D3993">
        <v>0.95057127492594495</v>
      </c>
      <c r="E3993">
        <v>0.91286458247507996</v>
      </c>
      <c r="F3993">
        <v>0.56712293627891996</v>
      </c>
      <c r="G3993">
        <v>0.411949780627268</v>
      </c>
      <c r="H3993">
        <v>0.228528489157622</v>
      </c>
      <c r="I3993">
        <v>0.205844507942328</v>
      </c>
      <c r="J3993">
        <v>0.18296427513840499</v>
      </c>
      <c r="K3993">
        <v>0.13260647194277</v>
      </c>
      <c r="L3993">
        <v>1052.7795940329299</v>
      </c>
      <c r="M3993">
        <v>19.561503277936598</v>
      </c>
      <c r="N3993">
        <v>54.867641532419</v>
      </c>
      <c r="O3993">
        <v>53.2659720178128</v>
      </c>
      <c r="P3993">
        <v>-7.7493556974118999E-2</v>
      </c>
      <c r="Q3993">
        <v>0.15597019031027701</v>
      </c>
      <c r="R3993">
        <v>0.98723128834534601</v>
      </c>
      <c r="S3993" t="s">
        <v>9819</v>
      </c>
      <c r="T3993" t="s">
        <v>11650</v>
      </c>
      <c r="U3993" t="s">
        <v>11650</v>
      </c>
      <c r="V3993" t="s">
        <v>11650</v>
      </c>
      <c r="W3993" t="s">
        <v>15589</v>
      </c>
      <c r="X3993">
        <v>3</v>
      </c>
      <c r="Y3993" t="s">
        <v>21266</v>
      </c>
      <c r="Z3993" t="s">
        <v>27055</v>
      </c>
      <c r="AA3993">
        <v>0.55667935124439405</v>
      </c>
      <c r="AB3993" t="str">
        <f>HYPERLINK("Melting_Curves/meltCurve_Q8IX12_2_CCAR1.pdf", "Melting_Curves/meltCurve_Q8IX12_2_CCAR1.pdf")</f>
        <v>Melting_Curves/meltCurve_Q8IX12_2_CCAR1.pdf</v>
      </c>
    </row>
    <row r="3994" spans="1:28" x14ac:dyDescent="0.25">
      <c r="A3994" t="s">
        <v>3998</v>
      </c>
      <c r="B3994">
        <v>0.99996721820229495</v>
      </c>
      <c r="C3994">
        <v>0.98504588571943696</v>
      </c>
      <c r="D3994">
        <v>1.0175817095431301</v>
      </c>
      <c r="E3994">
        <v>1.20542730708736</v>
      </c>
      <c r="F3994">
        <v>1.0771619814215501</v>
      </c>
      <c r="G3994">
        <v>0.53817460665948502</v>
      </c>
      <c r="H3994">
        <v>0.27493158114113198</v>
      </c>
      <c r="I3994">
        <v>0.15261140218455099</v>
      </c>
      <c r="J3994">
        <v>0.104198914299269</v>
      </c>
      <c r="K3994">
        <v>9.2472580013947606E-2</v>
      </c>
      <c r="L3994">
        <v>2651.4541062581402</v>
      </c>
      <c r="M3994">
        <v>46.531307441515999</v>
      </c>
      <c r="N3994">
        <v>57.390853268400598</v>
      </c>
      <c r="O3994">
        <v>56.877205816634003</v>
      </c>
      <c r="P3994">
        <v>-0.17568140715757299</v>
      </c>
      <c r="Q3994">
        <v>0.14102940524153801</v>
      </c>
      <c r="R3994">
        <v>0.96385602207254295</v>
      </c>
      <c r="S3994" t="s">
        <v>9820</v>
      </c>
      <c r="T3994" t="s">
        <v>11650</v>
      </c>
      <c r="U3994" t="s">
        <v>11650</v>
      </c>
      <c r="V3994" t="s">
        <v>11650</v>
      </c>
      <c r="W3994" t="s">
        <v>15590</v>
      </c>
      <c r="X3994">
        <v>17</v>
      </c>
      <c r="Y3994" t="s">
        <v>21267</v>
      </c>
      <c r="Z3994" t="s">
        <v>27056</v>
      </c>
      <c r="AA3994">
        <v>0.62975375504116538</v>
      </c>
      <c r="AB3994" t="str">
        <f>HYPERLINK("Melting_Curves/meltCurve_Q8IXB1_DNAJC10.pdf", "Melting_Curves/meltCurve_Q8IXB1_DNAJC10.pdf")</f>
        <v>Melting_Curves/meltCurve_Q8IXB1_DNAJC10.pdf</v>
      </c>
    </row>
    <row r="3995" spans="1:28" x14ac:dyDescent="0.25">
      <c r="A3995" t="s">
        <v>3999</v>
      </c>
      <c r="B3995">
        <v>0.99996721820229495</v>
      </c>
      <c r="C3995">
        <v>0.81322847063482595</v>
      </c>
      <c r="D3995">
        <v>0.87858698152561898</v>
      </c>
      <c r="E3995">
        <v>0.82925982235004703</v>
      </c>
      <c r="F3995">
        <v>0.50353648910367499</v>
      </c>
      <c r="G3995">
        <v>0.30038313949647499</v>
      </c>
      <c r="H3995">
        <v>0.17748724501838101</v>
      </c>
      <c r="I3995">
        <v>0.11628456521238401</v>
      </c>
      <c r="J3995">
        <v>3.2920783936763502E-2</v>
      </c>
      <c r="K3995">
        <v>7.9070505480066694E-2</v>
      </c>
      <c r="L3995">
        <v>702.59530498907395</v>
      </c>
      <c r="M3995">
        <v>13.081161670160601</v>
      </c>
      <c r="N3995">
        <v>53.710468392234397</v>
      </c>
      <c r="O3995">
        <v>52.5017594220772</v>
      </c>
      <c r="P3995">
        <v>-6.2299899473585801E-2</v>
      </c>
      <c r="Q3995">
        <v>0</v>
      </c>
      <c r="R3995">
        <v>0.96971654987482803</v>
      </c>
      <c r="S3995" t="s">
        <v>9821</v>
      </c>
      <c r="T3995" t="s">
        <v>11650</v>
      </c>
      <c r="U3995" t="s">
        <v>11650</v>
      </c>
      <c r="V3995" t="s">
        <v>11650</v>
      </c>
      <c r="W3995" t="s">
        <v>15591</v>
      </c>
      <c r="X3995">
        <v>6</v>
      </c>
      <c r="Y3995" t="s">
        <v>21268</v>
      </c>
      <c r="Z3995" t="s">
        <v>27057</v>
      </c>
      <c r="AA3995">
        <v>0.48153841242192141</v>
      </c>
      <c r="AB3995" t="str">
        <f>HYPERLINK("Melting_Curves/meltCurve_Q8IXI2_4_RHOT1.pdf", "Melting_Curves/meltCurve_Q8IXI2_4_RHOT1.pdf")</f>
        <v>Melting_Curves/meltCurve_Q8IXI2_4_RHOT1.pdf</v>
      </c>
    </row>
    <row r="3996" spans="1:28" x14ac:dyDescent="0.25">
      <c r="A3996" t="s">
        <v>4000</v>
      </c>
      <c r="B3996">
        <v>0.99996721820229495</v>
      </c>
      <c r="C3996">
        <v>1.0425175940807301</v>
      </c>
      <c r="D3996">
        <v>1.0110583551013299</v>
      </c>
      <c r="E3996">
        <v>0.88045683068953995</v>
      </c>
      <c r="F3996">
        <v>0.435564433636629</v>
      </c>
      <c r="G3996">
        <v>0.33812958060395099</v>
      </c>
      <c r="H3996">
        <v>0.185281508250115</v>
      </c>
      <c r="I3996">
        <v>8.2847543777149701E-2</v>
      </c>
      <c r="J3996">
        <v>5.6262445535117799E-2</v>
      </c>
      <c r="K3996">
        <v>4.5956548050179201E-2</v>
      </c>
      <c r="L3996">
        <v>1089.78641545711</v>
      </c>
      <c r="M3996">
        <v>20.475428131207199</v>
      </c>
      <c r="N3996">
        <v>53.616379768430299</v>
      </c>
      <c r="O3996">
        <v>52.724227311810601</v>
      </c>
      <c r="P3996">
        <v>-9.0336685423299701E-2</v>
      </c>
      <c r="Q3996">
        <v>6.9559739943467397E-2</v>
      </c>
      <c r="R3996">
        <v>0.97862111862210799</v>
      </c>
      <c r="S3996" t="s">
        <v>9822</v>
      </c>
      <c r="T3996" t="s">
        <v>11650</v>
      </c>
      <c r="U3996" t="s">
        <v>11650</v>
      </c>
      <c r="V3996" t="s">
        <v>11650</v>
      </c>
      <c r="W3996" t="s">
        <v>15592</v>
      </c>
      <c r="X3996">
        <v>14</v>
      </c>
      <c r="Y3996" t="s">
        <v>21269</v>
      </c>
      <c r="Z3996" t="s">
        <v>27058</v>
      </c>
      <c r="AA3996">
        <v>0.49197257940066402</v>
      </c>
      <c r="AB3996" t="str">
        <f>HYPERLINK("Melting_Curves/meltCurve_Q8IXJ6_2_SIRT2.pdf", "Melting_Curves/meltCurve_Q8IXJ6_2_SIRT2.pdf")</f>
        <v>Melting_Curves/meltCurve_Q8IXJ6_2_SIRT2.pdf</v>
      </c>
    </row>
    <row r="3997" spans="1:28" x14ac:dyDescent="0.25">
      <c r="A3997" t="s">
        <v>4001</v>
      </c>
      <c r="B3997">
        <v>0.99996721820229495</v>
      </c>
      <c r="C3997">
        <v>0.98049060436495905</v>
      </c>
      <c r="D3997">
        <v>0.83547773040265305</v>
      </c>
      <c r="E3997">
        <v>0.77108986238597399</v>
      </c>
      <c r="F3997">
        <v>1.07895635605963</v>
      </c>
      <c r="G3997">
        <v>1.09597544713391</v>
      </c>
      <c r="H3997">
        <v>0.82994958123682805</v>
      </c>
      <c r="I3997">
        <v>1.14950862786914</v>
      </c>
      <c r="J3997">
        <v>1.22012474681313</v>
      </c>
      <c r="K3997">
        <v>0.90244795525688204</v>
      </c>
      <c r="L3997">
        <v>3100.6333666159398</v>
      </c>
      <c r="M3997">
        <v>49.310190129433501</v>
      </c>
      <c r="O3997">
        <v>62.7770146260372</v>
      </c>
      <c r="P3997">
        <v>1.5107851381804401E-2</v>
      </c>
      <c r="Q3997">
        <v>1.0769354124249999</v>
      </c>
      <c r="R3997">
        <v>6.30463548099022E-2</v>
      </c>
      <c r="S3997" t="s">
        <v>9823</v>
      </c>
      <c r="T3997" t="s">
        <v>11650</v>
      </c>
      <c r="U3997" t="s">
        <v>11650</v>
      </c>
      <c r="V3997" t="s">
        <v>11650</v>
      </c>
      <c r="W3997" t="s">
        <v>15593</v>
      </c>
      <c r="X3997">
        <v>2</v>
      </c>
      <c r="Y3997" t="s">
        <v>21270</v>
      </c>
      <c r="Z3997" t="s">
        <v>27059</v>
      </c>
      <c r="AA3997">
        <v>1.018067552397673</v>
      </c>
      <c r="AB3997" t="str">
        <f>HYPERLINK("Melting_Curves/meltCurve_Q8IXQ3_C9orf40.pdf", "Melting_Curves/meltCurve_Q8IXQ3_C9orf40.pdf")</f>
        <v>Melting_Curves/meltCurve_Q8IXQ3_C9orf40.pdf</v>
      </c>
    </row>
    <row r="3998" spans="1:28" x14ac:dyDescent="0.25">
      <c r="A3998" t="s">
        <v>4002</v>
      </c>
      <c r="B3998">
        <v>0.99996721820229495</v>
      </c>
      <c r="C3998">
        <v>0.95037562891468697</v>
      </c>
      <c r="D3998">
        <v>0.94930897817777804</v>
      </c>
      <c r="E3998">
        <v>1.06515375970566</v>
      </c>
      <c r="F3998">
        <v>1.5150109560157701</v>
      </c>
      <c r="G3998">
        <v>1.54771017144154</v>
      </c>
      <c r="H3998">
        <v>1.25563277703998</v>
      </c>
      <c r="I3998">
        <v>1.2386051716408999</v>
      </c>
      <c r="J3998">
        <v>1.1264884580885599</v>
      </c>
      <c r="K3998">
        <v>0.85547375517110502</v>
      </c>
      <c r="L3998">
        <v>12553.860655762101</v>
      </c>
      <c r="M3998">
        <v>250</v>
      </c>
      <c r="O3998">
        <v>50.212229991796299</v>
      </c>
      <c r="P3998">
        <v>0.31925336912908397</v>
      </c>
      <c r="Q3998">
        <v>1.2564867730332001</v>
      </c>
      <c r="R3998">
        <v>0.34053601156705099</v>
      </c>
      <c r="S3998" t="s">
        <v>9824</v>
      </c>
      <c r="T3998" t="s">
        <v>11650</v>
      </c>
      <c r="U3998" t="s">
        <v>11650</v>
      </c>
      <c r="V3998" t="s">
        <v>11650</v>
      </c>
      <c r="W3998" t="s">
        <v>15594</v>
      </c>
      <c r="X3998">
        <v>14</v>
      </c>
      <c r="Y3998" t="s">
        <v>21271</v>
      </c>
      <c r="Z3998" t="s">
        <v>27060</v>
      </c>
      <c r="AA3998">
        <v>1.169126639091489</v>
      </c>
      <c r="AB3998" t="str">
        <f>HYPERLINK("Melting_Curves/meltCurve_Q8IXQ4_KIAA1704.pdf", "Melting_Curves/meltCurve_Q8IXQ4_KIAA1704.pdf")</f>
        <v>Melting_Curves/meltCurve_Q8IXQ4_KIAA1704.pdf</v>
      </c>
    </row>
    <row r="3999" spans="1:28" x14ac:dyDescent="0.25">
      <c r="A3999" t="s">
        <v>4003</v>
      </c>
      <c r="B3999">
        <v>0.99996721820229495</v>
      </c>
      <c r="C3999">
        <v>0.98502305457346195</v>
      </c>
      <c r="D3999">
        <v>1.14080738298558</v>
      </c>
      <c r="E3999">
        <v>1.27661491426169</v>
      </c>
      <c r="F3999">
        <v>1.69829205212478</v>
      </c>
      <c r="G3999">
        <v>0.63649985401088605</v>
      </c>
      <c r="H3999">
        <v>0.39133758709281502</v>
      </c>
      <c r="I3999">
        <v>0.176443909369212</v>
      </c>
      <c r="J3999">
        <v>0</v>
      </c>
      <c r="K3999">
        <v>0</v>
      </c>
      <c r="L3999">
        <v>1886.09039265767</v>
      </c>
      <c r="M3999">
        <v>31.585265424441999</v>
      </c>
      <c r="N3999">
        <v>59.757991736392</v>
      </c>
      <c r="O3999">
        <v>59.476414310408103</v>
      </c>
      <c r="P3999">
        <v>-0.13124734834648999</v>
      </c>
      <c r="Q3999">
        <v>1.14276656032796E-2</v>
      </c>
      <c r="R3999">
        <v>0.78547114900904902</v>
      </c>
      <c r="S3999" t="s">
        <v>9825</v>
      </c>
      <c r="T3999" t="s">
        <v>11650</v>
      </c>
      <c r="U3999" t="s">
        <v>11650</v>
      </c>
      <c r="V3999" t="s">
        <v>11650</v>
      </c>
      <c r="W3999" t="s">
        <v>15595</v>
      </c>
      <c r="X3999">
        <v>2</v>
      </c>
      <c r="Y3999" t="s">
        <v>21272</v>
      </c>
      <c r="Z3999" t="s">
        <v>27061</v>
      </c>
      <c r="AA3999">
        <v>0.66675037416920568</v>
      </c>
      <c r="AB3999" t="str">
        <f>HYPERLINK("Melting_Curves/meltCurve_Q8IY17_3_PNPLA6.pdf", "Melting_Curves/meltCurve_Q8IY17_3_PNPLA6.pdf")</f>
        <v>Melting_Curves/meltCurve_Q8IY17_3_PNPLA6.pdf</v>
      </c>
    </row>
    <row r="4000" spans="1:28" x14ac:dyDescent="0.25">
      <c r="A4000" t="s">
        <v>4004</v>
      </c>
      <c r="B4000">
        <v>0.99996721820229495</v>
      </c>
      <c r="C4000">
        <v>0.97590855993203196</v>
      </c>
      <c r="D4000">
        <v>1.1363217824315299</v>
      </c>
      <c r="E4000">
        <v>0.79461627967166004</v>
      </c>
      <c r="F4000">
        <v>0.70054715235639198</v>
      </c>
      <c r="G4000">
        <v>0.65544201129051005</v>
      </c>
      <c r="H4000">
        <v>0.421863555500127</v>
      </c>
      <c r="I4000">
        <v>0.34051613030483002</v>
      </c>
      <c r="J4000">
        <v>0.29197188213591102</v>
      </c>
      <c r="K4000">
        <v>0.21127900281280501</v>
      </c>
      <c r="L4000">
        <v>656.57748400479295</v>
      </c>
      <c r="M4000">
        <v>11.3811063240032</v>
      </c>
      <c r="N4000">
        <v>59.202139058066003</v>
      </c>
      <c r="O4000">
        <v>55.995198202994899</v>
      </c>
      <c r="P4000">
        <v>-4.4417548857294903E-2</v>
      </c>
      <c r="Q4000">
        <v>0.126119049813298</v>
      </c>
      <c r="R4000">
        <v>0.94983105392810196</v>
      </c>
      <c r="S4000" t="s">
        <v>9826</v>
      </c>
      <c r="T4000" t="s">
        <v>11650</v>
      </c>
      <c r="U4000" t="s">
        <v>11650</v>
      </c>
      <c r="V4000" t="s">
        <v>11650</v>
      </c>
      <c r="W4000" t="s">
        <v>15596</v>
      </c>
      <c r="X4000">
        <v>3</v>
      </c>
      <c r="Y4000" t="s">
        <v>21273</v>
      </c>
      <c r="Z4000" t="s">
        <v>27062</v>
      </c>
      <c r="AA4000">
        <v>0.65331372000113974</v>
      </c>
      <c r="AB4000" t="str">
        <f>HYPERLINK("Melting_Curves/meltCurve_Q8IY31_IFT20.pdf", "Melting_Curves/meltCurve_Q8IY31_IFT20.pdf")</f>
        <v>Melting_Curves/meltCurve_Q8IY31_IFT20.pdf</v>
      </c>
    </row>
    <row r="4001" spans="1:28" x14ac:dyDescent="0.25">
      <c r="A4001" t="s">
        <v>4005</v>
      </c>
      <c r="B4001">
        <v>0.99996721820229495</v>
      </c>
      <c r="C4001">
        <v>0.79315975782631698</v>
      </c>
      <c r="D4001">
        <v>0.55375262598783304</v>
      </c>
      <c r="E4001">
        <v>0.55783942574432999</v>
      </c>
      <c r="F4001">
        <v>0.40454450376679002</v>
      </c>
      <c r="G4001">
        <v>0.29083668642566701</v>
      </c>
      <c r="H4001">
        <v>0.19021626484446899</v>
      </c>
      <c r="I4001">
        <v>0.15914106620344101</v>
      </c>
      <c r="J4001">
        <v>0.16081804685560899</v>
      </c>
      <c r="K4001">
        <v>0.13617222174375701</v>
      </c>
      <c r="L4001">
        <v>453.83750062433597</v>
      </c>
      <c r="M4001">
        <v>9.2800235733076999</v>
      </c>
      <c r="N4001">
        <v>49.893057971356399</v>
      </c>
      <c r="O4001">
        <v>46.794798997528197</v>
      </c>
      <c r="P4001">
        <v>-4.5445232816762098E-2</v>
      </c>
      <c r="Q4001">
        <v>8.3956476934952798E-2</v>
      </c>
      <c r="R4001">
        <v>0.96240421612351901</v>
      </c>
      <c r="S4001" t="s">
        <v>9827</v>
      </c>
      <c r="T4001" t="s">
        <v>11650</v>
      </c>
      <c r="U4001" t="s">
        <v>11650</v>
      </c>
      <c r="V4001" t="s">
        <v>11650</v>
      </c>
      <c r="W4001" t="s">
        <v>15597</v>
      </c>
      <c r="X4001">
        <v>10</v>
      </c>
      <c r="Y4001" t="s">
        <v>21274</v>
      </c>
      <c r="Z4001" t="s">
        <v>27063</v>
      </c>
      <c r="AA4001">
        <v>0.40615147786313199</v>
      </c>
      <c r="AB4001" t="str">
        <f>HYPERLINK("Melting_Curves/meltCurve_Q8IY33_MICALL2.pdf", "Melting_Curves/meltCurve_Q8IY33_MICALL2.pdf")</f>
        <v>Melting_Curves/meltCurve_Q8IY33_MICALL2.pdf</v>
      </c>
    </row>
    <row r="4002" spans="1:28" x14ac:dyDescent="0.25">
      <c r="A4002" t="s">
        <v>4006</v>
      </c>
      <c r="B4002">
        <v>0.99996721820229495</v>
      </c>
      <c r="C4002">
        <v>1.03399173470834</v>
      </c>
      <c r="D4002">
        <v>1.06549902057965</v>
      </c>
      <c r="E4002">
        <v>1.11034292461197</v>
      </c>
      <c r="F4002">
        <v>1.4337387519218801</v>
      </c>
      <c r="G4002">
        <v>1.4647206152221</v>
      </c>
      <c r="H4002">
        <v>0.98160568781813595</v>
      </c>
      <c r="I4002">
        <v>0.58449794089100804</v>
      </c>
      <c r="J4002">
        <v>0.38513739962733901</v>
      </c>
      <c r="K4002">
        <v>0.26867141827514102</v>
      </c>
      <c r="L4002">
        <v>4219.9860268164302</v>
      </c>
      <c r="M4002">
        <v>66.2857102246182</v>
      </c>
      <c r="N4002">
        <v>64.607973127846606</v>
      </c>
      <c r="O4002">
        <v>63.605716467852901</v>
      </c>
      <c r="P4002">
        <v>-0.179702635724828</v>
      </c>
      <c r="Q4002">
        <v>0.310251837296383</v>
      </c>
      <c r="R4002">
        <v>0.70813264487518501</v>
      </c>
      <c r="S4002" t="s">
        <v>9828</v>
      </c>
      <c r="T4002" t="s">
        <v>11650</v>
      </c>
      <c r="U4002" t="s">
        <v>11650</v>
      </c>
      <c r="V4002" t="s">
        <v>11650</v>
      </c>
      <c r="W4002" t="s">
        <v>15598</v>
      </c>
      <c r="X4002">
        <v>6</v>
      </c>
      <c r="Y4002" t="s">
        <v>21275</v>
      </c>
      <c r="Z4002" t="s">
        <v>27064</v>
      </c>
      <c r="AA4002">
        <v>0.85534672661929578</v>
      </c>
      <c r="AB4002" t="str">
        <f>HYPERLINK("Melting_Curves/meltCurve_Q8IY95_2_TMEM192.pdf", "Melting_Curves/meltCurve_Q8IY95_2_TMEM192.pdf")</f>
        <v>Melting_Curves/meltCurve_Q8IY95_2_TMEM192.pdf</v>
      </c>
    </row>
    <row r="4003" spans="1:28" x14ac:dyDescent="0.25">
      <c r="A4003" t="s">
        <v>4007</v>
      </c>
      <c r="B4003">
        <v>0.99996721820229495</v>
      </c>
      <c r="C4003">
        <v>0.72491698529409199</v>
      </c>
      <c r="D4003">
        <v>0.79837184162725106</v>
      </c>
      <c r="E4003">
        <v>1.0263159355974201</v>
      </c>
      <c r="F4003">
        <v>1.02696626082784</v>
      </c>
      <c r="G4003">
        <v>0.76509448223062704</v>
      </c>
      <c r="H4003">
        <v>0.62941329225194198</v>
      </c>
      <c r="I4003">
        <v>0.355078186371866</v>
      </c>
      <c r="J4003">
        <v>0.13342819655668001</v>
      </c>
      <c r="K4003">
        <v>0.17757634126854499</v>
      </c>
      <c r="L4003">
        <v>1234.4031164591399</v>
      </c>
      <c r="M4003">
        <v>20.045125155373601</v>
      </c>
      <c r="N4003">
        <v>61.911869091424599</v>
      </c>
      <c r="O4003">
        <v>60.978150205959302</v>
      </c>
      <c r="P4003">
        <v>-7.8012384792699896E-2</v>
      </c>
      <c r="Q4003">
        <v>5.0762222940144902E-2</v>
      </c>
      <c r="R4003">
        <v>0.86486042983817102</v>
      </c>
      <c r="S4003" t="s">
        <v>9829</v>
      </c>
      <c r="T4003" t="s">
        <v>11650</v>
      </c>
      <c r="U4003" t="s">
        <v>11650</v>
      </c>
      <c r="V4003" t="s">
        <v>11650</v>
      </c>
      <c r="W4003" t="s">
        <v>15599</v>
      </c>
      <c r="X4003">
        <v>7</v>
      </c>
      <c r="Y4003" t="s">
        <v>21276</v>
      </c>
      <c r="Z4003" t="s">
        <v>27065</v>
      </c>
      <c r="AA4003">
        <v>0.73784085515422915</v>
      </c>
      <c r="AB4003" t="str">
        <f>HYPERLINK("Melting_Curves/meltCurve_Q8IYB1_MB21D2.pdf", "Melting_Curves/meltCurve_Q8IYB1_MB21D2.pdf")</f>
        <v>Melting_Curves/meltCurve_Q8IYB1_MB21D2.pdf</v>
      </c>
    </row>
    <row r="4004" spans="1:28" x14ac:dyDescent="0.25">
      <c r="A4004" t="s">
        <v>4008</v>
      </c>
      <c r="B4004">
        <v>0.99996721820229495</v>
      </c>
      <c r="C4004">
        <v>0.88990504393736203</v>
      </c>
      <c r="D4004">
        <v>0.72193775511510405</v>
      </c>
      <c r="E4004">
        <v>0.81539504153764097</v>
      </c>
      <c r="F4004">
        <v>0.38961800942354202</v>
      </c>
      <c r="G4004">
        <v>0.23217982727961101</v>
      </c>
      <c r="H4004">
        <v>0.14082557956817399</v>
      </c>
      <c r="I4004">
        <v>8.7173819202158206E-2</v>
      </c>
      <c r="J4004">
        <v>6.8532774519716094E-2</v>
      </c>
      <c r="K4004">
        <v>6.3527131191584804E-2</v>
      </c>
      <c r="L4004">
        <v>640.85965698770406</v>
      </c>
      <c r="M4004">
        <v>12.2626846325679</v>
      </c>
      <c r="N4004">
        <v>52.2609831308095</v>
      </c>
      <c r="O4004">
        <v>50.929440778486203</v>
      </c>
      <c r="P4004">
        <v>-6.0207821686095397E-2</v>
      </c>
      <c r="Q4004">
        <v>0</v>
      </c>
      <c r="R4004">
        <v>0.95641649004509099</v>
      </c>
      <c r="S4004" t="s">
        <v>9830</v>
      </c>
      <c r="T4004" t="s">
        <v>11650</v>
      </c>
      <c r="U4004" t="s">
        <v>11650</v>
      </c>
      <c r="V4004" t="s">
        <v>11650</v>
      </c>
      <c r="W4004" t="s">
        <v>15600</v>
      </c>
      <c r="X4004">
        <v>8</v>
      </c>
      <c r="Y4004" t="s">
        <v>21277</v>
      </c>
      <c r="Z4004" t="s">
        <v>27066</v>
      </c>
      <c r="AA4004">
        <v>0.43795578523354078</v>
      </c>
      <c r="AB4004" t="str">
        <f>HYPERLINK("Melting_Curves/meltCurve_Q8IYB5_3_SMAP1.pdf", "Melting_Curves/meltCurve_Q8IYB5_3_SMAP1.pdf")</f>
        <v>Melting_Curves/meltCurve_Q8IYB5_3_SMAP1.pdf</v>
      </c>
    </row>
    <row r="4005" spans="1:28" x14ac:dyDescent="0.25">
      <c r="A4005" t="s">
        <v>4009</v>
      </c>
      <c r="B4005">
        <v>0.99996721820229495</v>
      </c>
      <c r="C4005">
        <v>0.95285639246204801</v>
      </c>
      <c r="D4005">
        <v>0.96886300633637801</v>
      </c>
      <c r="E4005">
        <v>1.06274191372056</v>
      </c>
      <c r="F4005">
        <v>0.94112612017165898</v>
      </c>
      <c r="G4005">
        <v>0.73242646552103097</v>
      </c>
      <c r="H4005">
        <v>0.41280825678878502</v>
      </c>
      <c r="I4005">
        <v>0.221084806548903</v>
      </c>
      <c r="J4005">
        <v>8.7195603595423096E-2</v>
      </c>
      <c r="K4005">
        <v>0.10381505797520001</v>
      </c>
      <c r="L4005">
        <v>1359.20293420038</v>
      </c>
      <c r="M4005">
        <v>22.828645226593899</v>
      </c>
      <c r="N4005">
        <v>59.8298128032691</v>
      </c>
      <c r="O4005">
        <v>59.0881281518283</v>
      </c>
      <c r="P4005">
        <v>-9.1523030733344196E-2</v>
      </c>
      <c r="Q4005">
        <v>5.2449969580936798E-2</v>
      </c>
      <c r="R4005">
        <v>0.99243342555074099</v>
      </c>
      <c r="S4005" t="s">
        <v>9831</v>
      </c>
      <c r="T4005" t="s">
        <v>11650</v>
      </c>
      <c r="U4005" t="s">
        <v>11650</v>
      </c>
      <c r="V4005" t="s">
        <v>11650</v>
      </c>
      <c r="W4005" t="s">
        <v>15601</v>
      </c>
      <c r="X4005">
        <v>6</v>
      </c>
      <c r="Y4005" t="s">
        <v>21278</v>
      </c>
      <c r="Z4005" t="s">
        <v>27067</v>
      </c>
      <c r="AA4005">
        <v>0.67765222112429124</v>
      </c>
      <c r="AB4005" t="str">
        <f>HYPERLINK("Melting_Curves/meltCurve_Q8IYB7_DIS3L2.pdf", "Melting_Curves/meltCurve_Q8IYB7_DIS3L2.pdf")</f>
        <v>Melting_Curves/meltCurve_Q8IYB7_DIS3L2.pdf</v>
      </c>
    </row>
    <row r="4006" spans="1:28" x14ac:dyDescent="0.25">
      <c r="A4006" t="s">
        <v>4010</v>
      </c>
      <c r="B4006">
        <v>0.99996721820229495</v>
      </c>
      <c r="C4006">
        <v>0.99462855793128802</v>
      </c>
      <c r="D4006">
        <v>0.89040606627347496</v>
      </c>
      <c r="E4006">
        <v>0.89336519948476001</v>
      </c>
      <c r="F4006">
        <v>0.57209673468204703</v>
      </c>
      <c r="G4006">
        <v>0.48642450737483101</v>
      </c>
      <c r="H4006">
        <v>0.306455034153849</v>
      </c>
      <c r="I4006">
        <v>0.20829644224616001</v>
      </c>
      <c r="J4006">
        <v>0.130492920369532</v>
      </c>
      <c r="K4006">
        <v>0.117376368825029</v>
      </c>
      <c r="L4006">
        <v>662.34654398432497</v>
      </c>
      <c r="M4006">
        <v>11.865361436897601</v>
      </c>
      <c r="N4006">
        <v>56.138124808528403</v>
      </c>
      <c r="O4006">
        <v>54.3070929927366</v>
      </c>
      <c r="P4006">
        <v>-5.28689799210081E-2</v>
      </c>
      <c r="Q4006">
        <v>3.2330285260250502E-2</v>
      </c>
      <c r="R4006">
        <v>0.98331879502849295</v>
      </c>
      <c r="S4006" t="s">
        <v>9832</v>
      </c>
      <c r="T4006" t="s">
        <v>11650</v>
      </c>
      <c r="U4006" t="s">
        <v>11650</v>
      </c>
      <c r="V4006" t="s">
        <v>11650</v>
      </c>
      <c r="W4006" t="s">
        <v>15602</v>
      </c>
      <c r="X4006">
        <v>3</v>
      </c>
      <c r="Y4006" t="s">
        <v>21279</v>
      </c>
      <c r="Z4006" t="s">
        <v>27068</v>
      </c>
      <c r="AA4006">
        <v>0.5630615001472592</v>
      </c>
      <c r="AB4006" t="str">
        <f>HYPERLINK("Melting_Curves/meltCurve_Q8IYB8_SUPV3L1.pdf", "Melting_Curves/meltCurve_Q8IYB8_SUPV3L1.pdf")</f>
        <v>Melting_Curves/meltCurve_Q8IYB8_SUPV3L1.pdf</v>
      </c>
    </row>
    <row r="4007" spans="1:28" x14ac:dyDescent="0.25">
      <c r="A4007" t="s">
        <v>4011</v>
      </c>
      <c r="B4007">
        <v>0.99996721820229495</v>
      </c>
      <c r="C4007">
        <v>1.0472232837228801</v>
      </c>
      <c r="D4007">
        <v>0.97804919577291805</v>
      </c>
      <c r="E4007">
        <v>0.78611778734071802</v>
      </c>
      <c r="F4007">
        <v>0.55796014163347196</v>
      </c>
      <c r="G4007">
        <v>0.501336734079045</v>
      </c>
      <c r="H4007">
        <v>0.33895120941686702</v>
      </c>
      <c r="I4007">
        <v>0.16020442655696801</v>
      </c>
      <c r="J4007">
        <v>0.100768980855101</v>
      </c>
      <c r="K4007">
        <v>8.9489870783970707E-2</v>
      </c>
      <c r="L4007">
        <v>643.87575386141498</v>
      </c>
      <c r="M4007">
        <v>11.5084170574042</v>
      </c>
      <c r="N4007">
        <v>55.948255851565101</v>
      </c>
      <c r="O4007">
        <v>54.338914219956003</v>
      </c>
      <c r="P4007">
        <v>-5.2962388250430703E-2</v>
      </c>
      <c r="Q4007">
        <v>0</v>
      </c>
      <c r="R4007">
        <v>0.97936247891529304</v>
      </c>
      <c r="S4007" t="s">
        <v>9833</v>
      </c>
      <c r="T4007" t="s">
        <v>11650</v>
      </c>
      <c r="U4007" t="s">
        <v>11650</v>
      </c>
      <c r="V4007" t="s">
        <v>11650</v>
      </c>
      <c r="W4007" t="s">
        <v>15603</v>
      </c>
      <c r="X4007">
        <v>28</v>
      </c>
      <c r="Y4007" t="s">
        <v>21280</v>
      </c>
      <c r="Z4007" t="s">
        <v>27069</v>
      </c>
      <c r="AA4007">
        <v>0.55247674791934454</v>
      </c>
      <c r="AB4007" t="str">
        <f>HYPERLINK("Melting_Curves/meltCurve_Q8IYD1_GSPT2.pdf", "Melting_Curves/meltCurve_Q8IYD1_GSPT2.pdf")</f>
        <v>Melting_Curves/meltCurve_Q8IYD1_GSPT2.pdf</v>
      </c>
    </row>
    <row r="4008" spans="1:28" x14ac:dyDescent="0.25">
      <c r="A4008" t="s">
        <v>4012</v>
      </c>
      <c r="B4008">
        <v>0.99996721820229495</v>
      </c>
      <c r="C4008">
        <v>1.1162126821751801</v>
      </c>
      <c r="D4008">
        <v>1.03358455265119</v>
      </c>
      <c r="E4008">
        <v>1.0024306200080799</v>
      </c>
      <c r="F4008">
        <v>1.45149759682043</v>
      </c>
      <c r="G4008">
        <v>1.5010071854797</v>
      </c>
      <c r="H4008">
        <v>1.0309582426903701</v>
      </c>
      <c r="I4008">
        <v>1.0835520230825499</v>
      </c>
      <c r="J4008">
        <v>1.14953130458022</v>
      </c>
      <c r="K4008">
        <v>0.5675179049786</v>
      </c>
      <c r="L4008">
        <v>15000</v>
      </c>
      <c r="M4008">
        <v>214.01385412094899</v>
      </c>
      <c r="Q4008">
        <v>0</v>
      </c>
      <c r="R4008">
        <v>0.16583872469924199</v>
      </c>
      <c r="S4008" t="s">
        <v>9834</v>
      </c>
      <c r="T4008" t="s">
        <v>11650</v>
      </c>
      <c r="U4008" t="s">
        <v>11650</v>
      </c>
      <c r="V4008" t="s">
        <v>11650</v>
      </c>
      <c r="W4008" t="s">
        <v>15604</v>
      </c>
      <c r="X4008">
        <v>1</v>
      </c>
      <c r="Y4008" t="s">
        <v>21281</v>
      </c>
      <c r="Z4008" t="s">
        <v>27070</v>
      </c>
      <c r="AA4008">
        <v>0.99389748538248279</v>
      </c>
      <c r="AB4008" t="str">
        <f>HYPERLINK("Melting_Curves/meltCurve_Q8IYE0_2_CCDC146.pdf", "Melting_Curves/meltCurve_Q8IYE0_2_CCDC146.pdf")</f>
        <v>Melting_Curves/meltCurve_Q8IYE0_2_CCDC146.pdf</v>
      </c>
    </row>
    <row r="4009" spans="1:28" x14ac:dyDescent="0.25">
      <c r="A4009" t="s">
        <v>4013</v>
      </c>
      <c r="B4009">
        <v>0.99996721820229495</v>
      </c>
      <c r="C4009">
        <v>0.87052587475255905</v>
      </c>
      <c r="D4009">
        <v>0.85514362742654904</v>
      </c>
      <c r="E4009">
        <v>0.66512507200994897</v>
      </c>
      <c r="F4009">
        <v>0.29798317301471999</v>
      </c>
      <c r="G4009">
        <v>0.29268958575966098</v>
      </c>
      <c r="H4009">
        <v>0.15651684530498</v>
      </c>
      <c r="I4009">
        <v>9.4388896609964704E-2</v>
      </c>
      <c r="J4009">
        <v>6.4278442526673404E-2</v>
      </c>
      <c r="K4009">
        <v>5.5512570149955399E-2</v>
      </c>
      <c r="L4009">
        <v>696.70741037929702</v>
      </c>
      <c r="M4009">
        <v>13.6065468485944</v>
      </c>
      <c r="N4009">
        <v>51.518135174787901</v>
      </c>
      <c r="O4009">
        <v>50.135820778280703</v>
      </c>
      <c r="P4009">
        <v>-6.5155755263659104E-2</v>
      </c>
      <c r="Q4009">
        <v>3.9828892248071797E-2</v>
      </c>
      <c r="R4009">
        <v>0.97851016522858902</v>
      </c>
      <c r="S4009" t="s">
        <v>9835</v>
      </c>
      <c r="T4009" t="s">
        <v>11650</v>
      </c>
      <c r="U4009" t="s">
        <v>11650</v>
      </c>
      <c r="V4009" t="s">
        <v>11650</v>
      </c>
      <c r="W4009" t="s">
        <v>15605</v>
      </c>
      <c r="X4009">
        <v>22</v>
      </c>
      <c r="Y4009" t="s">
        <v>21282</v>
      </c>
      <c r="Z4009" t="s">
        <v>27071</v>
      </c>
      <c r="AA4009">
        <v>0.42413191442784509</v>
      </c>
      <c r="AB4009" t="str">
        <f>HYPERLINK("Melting_Curves/meltCurve_Q8IYI6_EXOC8.pdf", "Melting_Curves/meltCurve_Q8IYI6_EXOC8.pdf")</f>
        <v>Melting_Curves/meltCurve_Q8IYI6_EXOC8.pdf</v>
      </c>
    </row>
    <row r="4010" spans="1:28" x14ac:dyDescent="0.25">
      <c r="A4010" t="s">
        <v>4014</v>
      </c>
      <c r="B4010">
        <v>0.99996721820229495</v>
      </c>
      <c r="C4010">
        <v>0.89691825590391405</v>
      </c>
      <c r="D4010">
        <v>0.54458365630443795</v>
      </c>
      <c r="E4010">
        <v>0.32693648118402302</v>
      </c>
      <c r="F4010">
        <v>0.30248406310533399</v>
      </c>
      <c r="G4010">
        <v>0.27659712247319301</v>
      </c>
      <c r="H4010">
        <v>0.17718607485987301</v>
      </c>
      <c r="I4010">
        <v>0.20727340939955599</v>
      </c>
      <c r="J4010">
        <v>0.34992540836582697</v>
      </c>
      <c r="K4010">
        <v>0.11203530830693</v>
      </c>
      <c r="L4010">
        <v>1170.4254034227999</v>
      </c>
      <c r="M4010">
        <v>25.673119026632801</v>
      </c>
      <c r="N4010">
        <v>46.739102051529699</v>
      </c>
      <c r="O4010">
        <v>45.315644081118698</v>
      </c>
      <c r="P4010">
        <v>-0.108481236372375</v>
      </c>
      <c r="Q4010">
        <v>0.23408836079024301</v>
      </c>
      <c r="R4010">
        <v>0.95349430196637996</v>
      </c>
      <c r="S4010" t="s">
        <v>9836</v>
      </c>
      <c r="T4010" t="s">
        <v>11650</v>
      </c>
      <c r="U4010" t="s">
        <v>11650</v>
      </c>
      <c r="V4010" t="s">
        <v>11650</v>
      </c>
      <c r="W4010" t="s">
        <v>15606</v>
      </c>
      <c r="X4010">
        <v>3</v>
      </c>
      <c r="Y4010" t="s">
        <v>21283</v>
      </c>
      <c r="Z4010" t="s">
        <v>27072</v>
      </c>
      <c r="AA4010">
        <v>0.38360591054580762</v>
      </c>
      <c r="AB4010" t="str">
        <f>HYPERLINK("Melting_Curves/meltCurve_Q8IYM9_2_TRIM22.pdf", "Melting_Curves/meltCurve_Q8IYM9_2_TRIM22.pdf")</f>
        <v>Melting_Curves/meltCurve_Q8IYM9_2_TRIM22.pdf</v>
      </c>
    </row>
    <row r="4011" spans="1:28" x14ac:dyDescent="0.25">
      <c r="A4011" t="s">
        <v>4015</v>
      </c>
      <c r="B4011">
        <v>0.99996721820229495</v>
      </c>
      <c r="C4011">
        <v>0.96442448587955798</v>
      </c>
      <c r="D4011">
        <v>0.92679834947470296</v>
      </c>
      <c r="E4011">
        <v>0.98957979345106495</v>
      </c>
      <c r="F4011">
        <v>0.96537595477221405</v>
      </c>
      <c r="G4011">
        <v>0.71024361146295001</v>
      </c>
      <c r="H4011">
        <v>0.49329587760642601</v>
      </c>
      <c r="I4011">
        <v>0.36571798434521102</v>
      </c>
      <c r="J4011">
        <v>0.26774094990888297</v>
      </c>
      <c r="K4011">
        <v>0.18350068248948101</v>
      </c>
      <c r="L4011">
        <v>1043.74077142736</v>
      </c>
      <c r="M4011">
        <v>17.455237282487801</v>
      </c>
      <c r="N4011">
        <v>60.945783560200603</v>
      </c>
      <c r="O4011">
        <v>59.027020397858202</v>
      </c>
      <c r="P4011">
        <v>-6.3555741854483802E-2</v>
      </c>
      <c r="Q4011">
        <v>0.14036177385277401</v>
      </c>
      <c r="R4011">
        <v>0.98915921777626403</v>
      </c>
      <c r="S4011" t="s">
        <v>9837</v>
      </c>
      <c r="T4011" t="s">
        <v>11650</v>
      </c>
      <c r="U4011" t="s">
        <v>11650</v>
      </c>
      <c r="V4011" t="s">
        <v>11650</v>
      </c>
      <c r="W4011" t="s">
        <v>15607</v>
      </c>
      <c r="X4011">
        <v>10</v>
      </c>
      <c r="Y4011" t="s">
        <v>21284</v>
      </c>
      <c r="Z4011" t="s">
        <v>27073</v>
      </c>
      <c r="AA4011">
        <v>0.71508318147394112</v>
      </c>
      <c r="AB4011" t="str">
        <f>HYPERLINK("Melting_Curves/meltCurve_Q8IYQ7_THNSL1.pdf", "Melting_Curves/meltCurve_Q8IYQ7_THNSL1.pdf")</f>
        <v>Melting_Curves/meltCurve_Q8IYQ7_THNSL1.pdf</v>
      </c>
    </row>
    <row r="4012" spans="1:28" x14ac:dyDescent="0.25">
      <c r="A4012" t="s">
        <v>4016</v>
      </c>
      <c r="B4012">
        <v>0.99996721820229495</v>
      </c>
      <c r="C4012">
        <v>0.88087041172209501</v>
      </c>
      <c r="D4012">
        <v>0.83803966092036697</v>
      </c>
      <c r="E4012">
        <v>0.84756716070760496</v>
      </c>
      <c r="F4012">
        <v>1.38358434513918</v>
      </c>
      <c r="G4012">
        <v>0.98917665689425704</v>
      </c>
      <c r="H4012">
        <v>0.67948347286561805</v>
      </c>
      <c r="I4012">
        <v>0.39469465725332198</v>
      </c>
      <c r="J4012">
        <v>0.564525278919498</v>
      </c>
      <c r="K4012">
        <v>0.234857652654161</v>
      </c>
      <c r="L4012">
        <v>3949.6452052328</v>
      </c>
      <c r="M4012">
        <v>64.857887729714406</v>
      </c>
      <c r="N4012">
        <v>62.347284062213298</v>
      </c>
      <c r="O4012">
        <v>60.839098848837402</v>
      </c>
      <c r="P4012">
        <v>-0.16273105819761699</v>
      </c>
      <c r="Q4012">
        <v>0.38940916640081302</v>
      </c>
      <c r="R4012">
        <v>0.72842348020922598</v>
      </c>
      <c r="S4012" t="s">
        <v>9838</v>
      </c>
      <c r="T4012" t="s">
        <v>11650</v>
      </c>
      <c r="U4012" t="s">
        <v>11650</v>
      </c>
      <c r="V4012" t="s">
        <v>11650</v>
      </c>
      <c r="W4012" t="s">
        <v>15608</v>
      </c>
      <c r="X4012">
        <v>3</v>
      </c>
      <c r="Y4012" t="s">
        <v>21285</v>
      </c>
      <c r="Z4012" t="s">
        <v>27074</v>
      </c>
      <c r="AA4012">
        <v>0.81569149511966377</v>
      </c>
      <c r="AB4012" t="str">
        <f>HYPERLINK("Melting_Curves/meltCurve_Q8IYS2_KIAA2013.pdf", "Melting_Curves/meltCurve_Q8IYS2_KIAA2013.pdf")</f>
        <v>Melting_Curves/meltCurve_Q8IYS2_KIAA2013.pdf</v>
      </c>
    </row>
    <row r="4013" spans="1:28" x14ac:dyDescent="0.25">
      <c r="A4013" t="s">
        <v>4017</v>
      </c>
      <c r="B4013">
        <v>0.99996721820229495</v>
      </c>
      <c r="C4013">
        <v>1.1974060923351799</v>
      </c>
      <c r="D4013">
        <v>1.0648716568060499</v>
      </c>
      <c r="E4013">
        <v>0.97593216584563802</v>
      </c>
      <c r="F4013">
        <v>1.26777607770245</v>
      </c>
      <c r="G4013">
        <v>1.16428880145904</v>
      </c>
      <c r="H4013">
        <v>0.81404981593774195</v>
      </c>
      <c r="I4013">
        <v>0.50922507358775304</v>
      </c>
      <c r="J4013">
        <v>0.35374778556182102</v>
      </c>
      <c r="K4013">
        <v>0.30749494801226801</v>
      </c>
      <c r="L4013">
        <v>2887.7106793791299</v>
      </c>
      <c r="M4013">
        <v>46.147234274685701</v>
      </c>
      <c r="N4013">
        <v>63.955774438288501</v>
      </c>
      <c r="O4013">
        <v>62.458859158348901</v>
      </c>
      <c r="P4013">
        <v>-0.126482405448167</v>
      </c>
      <c r="Q4013">
        <v>0.31524066288137498</v>
      </c>
      <c r="R4013">
        <v>0.87114871327788002</v>
      </c>
      <c r="S4013" t="s">
        <v>9839</v>
      </c>
      <c r="T4013" t="s">
        <v>11650</v>
      </c>
      <c r="U4013" t="s">
        <v>11650</v>
      </c>
      <c r="V4013" t="s">
        <v>11650</v>
      </c>
      <c r="W4013" t="s">
        <v>15609</v>
      </c>
      <c r="X4013">
        <v>2</v>
      </c>
      <c r="Y4013" t="s">
        <v>21286</v>
      </c>
      <c r="Z4013" t="s">
        <v>27075</v>
      </c>
      <c r="AA4013">
        <v>0.83246245268614849</v>
      </c>
      <c r="AB4013" t="str">
        <f>HYPERLINK("Melting_Curves/meltCurve_Q8IYU2_HACE1.pdf", "Melting_Curves/meltCurve_Q8IYU2_HACE1.pdf")</f>
        <v>Melting_Curves/meltCurve_Q8IYU2_HACE1.pdf</v>
      </c>
    </row>
    <row r="4014" spans="1:28" x14ac:dyDescent="0.25">
      <c r="A4014" t="s">
        <v>4018</v>
      </c>
      <c r="B4014">
        <v>0.99996721820229495</v>
      </c>
      <c r="C4014">
        <v>1.2124333056877401</v>
      </c>
      <c r="D4014">
        <v>1.1576137557392301</v>
      </c>
      <c r="E4014">
        <v>1.12229206710478</v>
      </c>
      <c r="F4014">
        <v>1.5319017304295199</v>
      </c>
      <c r="G4014">
        <v>0.96300822488935001</v>
      </c>
      <c r="H4014">
        <v>0.85436305468139495</v>
      </c>
      <c r="I4014">
        <v>0.52644392325898903</v>
      </c>
      <c r="J4014">
        <v>0.41359495703031801</v>
      </c>
      <c r="K4014">
        <v>0.51773514465233905</v>
      </c>
      <c r="L4014">
        <v>4090.9372077242501</v>
      </c>
      <c r="M4014">
        <v>66.082953962203106</v>
      </c>
      <c r="N4014">
        <v>64.537209062123196</v>
      </c>
      <c r="O4014">
        <v>61.849471290692897</v>
      </c>
      <c r="P4014">
        <v>-0.14258452491082299</v>
      </c>
      <c r="Q4014">
        <v>0.46619971131002602</v>
      </c>
      <c r="R4014">
        <v>0.67173241093790104</v>
      </c>
      <c r="S4014" t="s">
        <v>9840</v>
      </c>
      <c r="T4014" t="s">
        <v>11650</v>
      </c>
      <c r="U4014" t="s">
        <v>11650</v>
      </c>
      <c r="V4014" t="s">
        <v>11650</v>
      </c>
      <c r="W4014" t="s">
        <v>15610</v>
      </c>
      <c r="X4014">
        <v>1</v>
      </c>
      <c r="Y4014" t="s">
        <v>21287</v>
      </c>
      <c r="Z4014" t="s">
        <v>27076</v>
      </c>
      <c r="AA4014">
        <v>0.85680413264238175</v>
      </c>
      <c r="AB4014" t="str">
        <f>HYPERLINK("Melting_Curves/meltCurve_Q8IYU8_MICU2.pdf", "Melting_Curves/meltCurve_Q8IYU8_MICU2.pdf")</f>
        <v>Melting_Curves/meltCurve_Q8IYU8_MICU2.pdf</v>
      </c>
    </row>
    <row r="4015" spans="1:28" x14ac:dyDescent="0.25">
      <c r="A4015" t="s">
        <v>4019</v>
      </c>
      <c r="B4015">
        <v>0.99996721820229495</v>
      </c>
      <c r="C4015">
        <v>1.0228825908050201</v>
      </c>
      <c r="D4015">
        <v>1.07122676072927</v>
      </c>
      <c r="E4015">
        <v>0.99999311425847004</v>
      </c>
      <c r="F4015">
        <v>0.49466681183990602</v>
      </c>
      <c r="G4015">
        <v>0.319963673299064</v>
      </c>
      <c r="H4015">
        <v>0.173456426213875</v>
      </c>
      <c r="I4015">
        <v>0.11817843491294699</v>
      </c>
      <c r="J4015">
        <v>9.8665940073265596E-2</v>
      </c>
      <c r="K4015">
        <v>7.11464853542111E-2</v>
      </c>
      <c r="L4015">
        <v>1752.5185481446299</v>
      </c>
      <c r="M4015">
        <v>33.013189185415698</v>
      </c>
      <c r="N4015">
        <v>53.569924300416702</v>
      </c>
      <c r="O4015">
        <v>52.891757775114598</v>
      </c>
      <c r="P4015">
        <v>-0.13590265733478801</v>
      </c>
      <c r="Q4015">
        <v>0.12906343605565199</v>
      </c>
      <c r="R4015">
        <v>0.97629881539915098</v>
      </c>
      <c r="S4015" t="s">
        <v>9841</v>
      </c>
      <c r="T4015" t="s">
        <v>11650</v>
      </c>
      <c r="U4015" t="s">
        <v>11650</v>
      </c>
      <c r="V4015" t="s">
        <v>11650</v>
      </c>
      <c r="W4015" t="s">
        <v>15611</v>
      </c>
      <c r="X4015">
        <v>15</v>
      </c>
      <c r="Y4015" t="s">
        <v>21288</v>
      </c>
      <c r="Z4015" t="s">
        <v>27077</v>
      </c>
      <c r="AA4015">
        <v>0.51363164700411701</v>
      </c>
      <c r="AB4015" t="str">
        <f>HYPERLINK("Melting_Curves/meltCurve_Q8IZ07_ANKRD13A.pdf", "Melting_Curves/meltCurve_Q8IZ07_ANKRD13A.pdf")</f>
        <v>Melting_Curves/meltCurve_Q8IZ07_ANKRD13A.pdf</v>
      </c>
    </row>
    <row r="4016" spans="1:28" x14ac:dyDescent="0.25">
      <c r="A4016" t="s">
        <v>4020</v>
      </c>
      <c r="B4016">
        <v>0.99996721820229495</v>
      </c>
      <c r="C4016">
        <v>0.93264613061995805</v>
      </c>
      <c r="D4016">
        <v>0.95758863974931197</v>
      </c>
      <c r="E4016">
        <v>1.1532974046492399</v>
      </c>
      <c r="F4016">
        <v>1.5557139522387</v>
      </c>
      <c r="G4016">
        <v>1.62246191393396</v>
      </c>
      <c r="H4016">
        <v>1.2025526784423599</v>
      </c>
      <c r="I4016">
        <v>0.90049737572637101</v>
      </c>
      <c r="J4016">
        <v>0.61758631649072004</v>
      </c>
      <c r="K4016">
        <v>0.59502168757250695</v>
      </c>
      <c r="L4016">
        <v>11961.0444087822</v>
      </c>
      <c r="M4016">
        <v>185.805724601283</v>
      </c>
      <c r="O4016">
        <v>64.366476380740906</v>
      </c>
      <c r="P4016">
        <v>-0.28422463754875199</v>
      </c>
      <c r="Q4016">
        <v>0.60615773407259999</v>
      </c>
      <c r="R4016">
        <v>0.27495979322817299</v>
      </c>
      <c r="S4016" t="s">
        <v>9842</v>
      </c>
      <c r="T4016" t="s">
        <v>11650</v>
      </c>
      <c r="U4016" t="s">
        <v>11650</v>
      </c>
      <c r="V4016" t="s">
        <v>11650</v>
      </c>
      <c r="W4016" t="s">
        <v>15612</v>
      </c>
      <c r="X4016">
        <v>15</v>
      </c>
      <c r="Y4016" t="s">
        <v>21289</v>
      </c>
      <c r="Z4016" t="s">
        <v>27078</v>
      </c>
      <c r="AA4016">
        <v>0.92622106990048791</v>
      </c>
      <c r="AB4016" t="str">
        <f>HYPERLINK("Melting_Curves/meltCurve_Q8IZ21_3_PHACTR4.pdf", "Melting_Curves/meltCurve_Q8IZ21_3_PHACTR4.pdf")</f>
        <v>Melting_Curves/meltCurve_Q8IZ21_3_PHACTR4.pdf</v>
      </c>
    </row>
    <row r="4017" spans="1:28" x14ac:dyDescent="0.25">
      <c r="A4017" t="s">
        <v>4021</v>
      </c>
      <c r="B4017">
        <v>0.99996721820229495</v>
      </c>
      <c r="C4017">
        <v>0.77333410699281202</v>
      </c>
      <c r="D4017">
        <v>0.75208663727212599</v>
      </c>
      <c r="E4017">
        <v>0.95490028131814397</v>
      </c>
      <c r="F4017">
        <v>0.89862380879204196</v>
      </c>
      <c r="G4017">
        <v>0.56094559594346205</v>
      </c>
      <c r="H4017">
        <v>0.26006479247285003</v>
      </c>
      <c r="I4017">
        <v>0.314943343732561</v>
      </c>
      <c r="J4017">
        <v>0.10500435791098001</v>
      </c>
      <c r="K4017">
        <v>9.9150262426982994E-2</v>
      </c>
      <c r="L4017">
        <v>892.30721794665601</v>
      </c>
      <c r="M4017">
        <v>15.394391278473799</v>
      </c>
      <c r="N4017">
        <v>58.224543689680303</v>
      </c>
      <c r="O4017">
        <v>57.011439478079403</v>
      </c>
      <c r="P4017">
        <v>-6.5257604036229794E-2</v>
      </c>
      <c r="Q4017">
        <v>3.3390288139037903E-2</v>
      </c>
      <c r="R4017">
        <v>0.88492322699644299</v>
      </c>
      <c r="S4017" t="s">
        <v>9843</v>
      </c>
      <c r="T4017" t="s">
        <v>11650</v>
      </c>
      <c r="U4017" t="s">
        <v>11650</v>
      </c>
      <c r="V4017" t="s">
        <v>11650</v>
      </c>
      <c r="W4017" t="s">
        <v>15613</v>
      </c>
      <c r="X4017">
        <v>5</v>
      </c>
      <c r="Y4017" t="s">
        <v>21290</v>
      </c>
      <c r="Z4017" t="s">
        <v>27079</v>
      </c>
      <c r="AA4017">
        <v>0.62516569445969616</v>
      </c>
      <c r="AB4017" t="str">
        <f>HYPERLINK("Melting_Curves/meltCurve_Q8IZ68_MTX2.pdf", "Melting_Curves/meltCurve_Q8IZ68_MTX2.pdf")</f>
        <v>Melting_Curves/meltCurve_Q8IZ68_MTX2.pdf</v>
      </c>
    </row>
    <row r="4018" spans="1:28" x14ac:dyDescent="0.25">
      <c r="A4018" t="s">
        <v>4022</v>
      </c>
      <c r="B4018">
        <v>0.99996721820229495</v>
      </c>
      <c r="C4018">
        <v>1.03478004303761</v>
      </c>
      <c r="D4018">
        <v>1.0653503902835899</v>
      </c>
      <c r="E4018">
        <v>1.05835191698052</v>
      </c>
      <c r="F4018">
        <v>1.6514450662128399</v>
      </c>
      <c r="G4018">
        <v>1.2572357201680699</v>
      </c>
      <c r="H4018">
        <v>0.45217084146167902</v>
      </c>
      <c r="I4018">
        <v>0.21783305022619201</v>
      </c>
      <c r="J4018">
        <v>0.13906080841625201</v>
      </c>
      <c r="K4018">
        <v>0.125280097364381</v>
      </c>
      <c r="L4018">
        <v>8313.8682748943302</v>
      </c>
      <c r="M4018">
        <v>136.92091670524701</v>
      </c>
      <c r="N4018">
        <v>60.892241837509197</v>
      </c>
      <c r="O4018">
        <v>60.707271919949498</v>
      </c>
      <c r="P4018">
        <v>-0.47342203499129798</v>
      </c>
      <c r="Q4018">
        <v>0.160386609974804</v>
      </c>
      <c r="R4018">
        <v>0.79970659602920302</v>
      </c>
      <c r="S4018" t="s">
        <v>9844</v>
      </c>
      <c r="T4018" t="s">
        <v>11650</v>
      </c>
      <c r="U4018" t="s">
        <v>11650</v>
      </c>
      <c r="V4018" t="s">
        <v>11650</v>
      </c>
      <c r="W4018" t="s">
        <v>15614</v>
      </c>
      <c r="X4018">
        <v>3</v>
      </c>
      <c r="Y4018" t="s">
        <v>21291</v>
      </c>
      <c r="Z4018" t="s">
        <v>27080</v>
      </c>
      <c r="AA4018">
        <v>0.74058420243135525</v>
      </c>
      <c r="AB4018" t="str">
        <f>HYPERLINK("Melting_Curves/meltCurve_Q8IZ73_RPUSD2.pdf", "Melting_Curves/meltCurve_Q8IZ73_RPUSD2.pdf")</f>
        <v>Melting_Curves/meltCurve_Q8IZ73_RPUSD2.pdf</v>
      </c>
    </row>
    <row r="4019" spans="1:28" x14ac:dyDescent="0.25">
      <c r="A4019" t="s">
        <v>4023</v>
      </c>
      <c r="B4019">
        <v>0.99996721820229495</v>
      </c>
      <c r="C4019">
        <v>1.06401122372158</v>
      </c>
      <c r="D4019">
        <v>1.05139124248948</v>
      </c>
      <c r="E4019">
        <v>1.0050651101344801</v>
      </c>
      <c r="F4019">
        <v>0.77766635044722698</v>
      </c>
      <c r="G4019">
        <v>0.35347948110851501</v>
      </c>
      <c r="H4019">
        <v>0.21229881105824699</v>
      </c>
      <c r="I4019">
        <v>0.14654822439096801</v>
      </c>
      <c r="J4019">
        <v>0.12007525425250599</v>
      </c>
      <c r="K4019">
        <v>8.1071436030944105E-2</v>
      </c>
      <c r="L4019">
        <v>1603.2395376480299</v>
      </c>
      <c r="M4019">
        <v>29.077098999691501</v>
      </c>
      <c r="N4019">
        <v>55.657074648019098</v>
      </c>
      <c r="O4019">
        <v>54.878713791469103</v>
      </c>
      <c r="P4019">
        <v>-0.116718089579764</v>
      </c>
      <c r="Q4019">
        <v>0.11885413470358699</v>
      </c>
      <c r="R4019">
        <v>0.99219416974413899</v>
      </c>
      <c r="S4019" t="s">
        <v>9845</v>
      </c>
      <c r="T4019" t="s">
        <v>11650</v>
      </c>
      <c r="U4019" t="s">
        <v>11650</v>
      </c>
      <c r="V4019" t="s">
        <v>11650</v>
      </c>
      <c r="W4019" t="s">
        <v>15615</v>
      </c>
      <c r="X4019">
        <v>11</v>
      </c>
      <c r="Y4019" t="s">
        <v>21292</v>
      </c>
      <c r="Z4019" t="s">
        <v>27081</v>
      </c>
      <c r="AA4019">
        <v>0.56966999238078542</v>
      </c>
      <c r="AB4019" t="str">
        <f>HYPERLINK("Melting_Curves/meltCurve_Q8IZ81_ELMOD2.pdf", "Melting_Curves/meltCurve_Q8IZ81_ELMOD2.pdf")</f>
        <v>Melting_Curves/meltCurve_Q8IZ81_ELMOD2.pdf</v>
      </c>
    </row>
    <row r="4020" spans="1:28" x14ac:dyDescent="0.25">
      <c r="A4020" t="s">
        <v>4024</v>
      </c>
      <c r="B4020">
        <v>0.99996721820229495</v>
      </c>
      <c r="C4020">
        <v>0.99966717423721996</v>
      </c>
      <c r="D4020">
        <v>1.07917621546576</v>
      </c>
      <c r="E4020">
        <v>1.3223451625188101</v>
      </c>
      <c r="F4020">
        <v>2.34559608803387</v>
      </c>
      <c r="G4020">
        <v>2.7967553082062202</v>
      </c>
      <c r="H4020">
        <v>2.2542572822990699</v>
      </c>
      <c r="I4020">
        <v>0.69079088439648195</v>
      </c>
      <c r="J4020">
        <v>0.241713554102929</v>
      </c>
      <c r="K4020">
        <v>0.188439555730021</v>
      </c>
      <c r="L4020">
        <v>15000</v>
      </c>
      <c r="M4020">
        <v>233.94395141506499</v>
      </c>
      <c r="N4020">
        <v>64.272400020111107</v>
      </c>
      <c r="O4020">
        <v>64.113211607224997</v>
      </c>
      <c r="P4020">
        <v>-0.71604936156150101</v>
      </c>
      <c r="Q4020">
        <v>0.21505571476950699</v>
      </c>
      <c r="R4020">
        <v>6.6103669298998094E-2</v>
      </c>
      <c r="S4020" t="s">
        <v>9846</v>
      </c>
      <c r="T4020" t="s">
        <v>11650</v>
      </c>
      <c r="U4020" t="s">
        <v>11650</v>
      </c>
      <c r="V4020" t="s">
        <v>11650</v>
      </c>
      <c r="W4020" t="s">
        <v>15616</v>
      </c>
      <c r="X4020">
        <v>4</v>
      </c>
      <c r="Y4020" t="s">
        <v>21293</v>
      </c>
      <c r="Z4020" t="s">
        <v>27082</v>
      </c>
      <c r="AA4020">
        <v>0.84619741622188782</v>
      </c>
      <c r="AB4020" t="str">
        <f>HYPERLINK("Melting_Curves/meltCurve_Q8IZ83_ALDH16A1.pdf", "Melting_Curves/meltCurve_Q8IZ83_ALDH16A1.pdf")</f>
        <v>Melting_Curves/meltCurve_Q8IZ83_ALDH16A1.pdf</v>
      </c>
    </row>
    <row r="4021" spans="1:28" x14ac:dyDescent="0.25">
      <c r="A4021" t="s">
        <v>4025</v>
      </c>
      <c r="B4021">
        <v>0.99996721820229495</v>
      </c>
      <c r="C4021">
        <v>0.88485781973420496</v>
      </c>
      <c r="D4021">
        <v>0.62487797567137005</v>
      </c>
      <c r="E4021">
        <v>0.51741149933664299</v>
      </c>
      <c r="F4021">
        <v>0.55582101593892896</v>
      </c>
      <c r="G4021">
        <v>0.40043383049964698</v>
      </c>
      <c r="H4021">
        <v>0.31683503576134497</v>
      </c>
      <c r="I4021">
        <v>0.42162666001288202</v>
      </c>
      <c r="J4021">
        <v>0.294050376414076</v>
      </c>
      <c r="K4021">
        <v>0.34401596713610899</v>
      </c>
      <c r="L4021">
        <v>625.09332935560406</v>
      </c>
      <c r="M4021">
        <v>13.3573249518018</v>
      </c>
      <c r="N4021">
        <v>51.183617930466198</v>
      </c>
      <c r="O4021">
        <v>45.786188763220899</v>
      </c>
      <c r="P4021">
        <v>-4.8083804431058801E-2</v>
      </c>
      <c r="Q4021">
        <v>0.34081851780226802</v>
      </c>
      <c r="R4021">
        <v>0.93702542366811403</v>
      </c>
      <c r="S4021" t="s">
        <v>9847</v>
      </c>
      <c r="T4021" t="s">
        <v>11650</v>
      </c>
      <c r="U4021" t="s">
        <v>11650</v>
      </c>
      <c r="V4021" t="s">
        <v>11650</v>
      </c>
      <c r="W4021" t="s">
        <v>15617</v>
      </c>
      <c r="X4021">
        <v>1</v>
      </c>
      <c r="Y4021" t="s">
        <v>21294</v>
      </c>
      <c r="Z4021" t="s">
        <v>27083</v>
      </c>
      <c r="AA4021">
        <v>0.51310898895180557</v>
      </c>
      <c r="AB4021" t="str">
        <f>HYPERLINK("Melting_Curves/meltCurve_Q8IZD4_DCP1B.pdf", "Melting_Curves/meltCurve_Q8IZD4_DCP1B.pdf")</f>
        <v>Melting_Curves/meltCurve_Q8IZD4_DCP1B.pdf</v>
      </c>
    </row>
    <row r="4022" spans="1:28" x14ac:dyDescent="0.25">
      <c r="A4022" t="s">
        <v>4026</v>
      </c>
      <c r="B4022">
        <v>0.99996721820229495</v>
      </c>
      <c r="C4022">
        <v>0.88531915328256205</v>
      </c>
      <c r="D4022">
        <v>0.85404762252603605</v>
      </c>
      <c r="E4022">
        <v>0.63431988752541402</v>
      </c>
      <c r="F4022">
        <v>0.50632265049818903</v>
      </c>
      <c r="G4022">
        <v>0.42762078786142499</v>
      </c>
      <c r="H4022">
        <v>0.296300667536187</v>
      </c>
      <c r="I4022">
        <v>0.141231625398786</v>
      </c>
      <c r="J4022">
        <v>0.10465537208477201</v>
      </c>
      <c r="K4022">
        <v>8.9798464138104397E-2</v>
      </c>
      <c r="L4022">
        <v>502.820132954749</v>
      </c>
      <c r="M4022">
        <v>9.3544068481214797</v>
      </c>
      <c r="N4022">
        <v>53.752219452248198</v>
      </c>
      <c r="O4022">
        <v>51.467286424264302</v>
      </c>
      <c r="P4022">
        <v>-4.5467107354588303E-2</v>
      </c>
      <c r="Q4022">
        <v>0</v>
      </c>
      <c r="R4022">
        <v>0.987104635511869</v>
      </c>
      <c r="S4022" t="s">
        <v>9848</v>
      </c>
      <c r="T4022" t="s">
        <v>11650</v>
      </c>
      <c r="U4022" t="s">
        <v>11650</v>
      </c>
      <c r="V4022" t="s">
        <v>11650</v>
      </c>
      <c r="W4022" t="s">
        <v>15618</v>
      </c>
      <c r="X4022">
        <v>1</v>
      </c>
      <c r="Y4022" t="s">
        <v>21295</v>
      </c>
      <c r="Z4022" t="s">
        <v>27084</v>
      </c>
      <c r="AA4022">
        <v>0.49112416777526968</v>
      </c>
      <c r="AB4022" t="str">
        <f>HYPERLINK("Melting_Curves/meltCurve_Q8IZE3_2_SCYL3.pdf", "Melting_Curves/meltCurve_Q8IZE3_2_SCYL3.pdf")</f>
        <v>Melting_Curves/meltCurve_Q8IZE3_2_SCYL3.pdf</v>
      </c>
    </row>
    <row r="4023" spans="1:28" x14ac:dyDescent="0.25">
      <c r="A4023" t="s">
        <v>4027</v>
      </c>
      <c r="B4023">
        <v>0.99996721820229495</v>
      </c>
      <c r="C4023">
        <v>0.82777759722744004</v>
      </c>
      <c r="D4023">
        <v>0.93885957034452105</v>
      </c>
      <c r="E4023">
        <v>1.32904253921787</v>
      </c>
      <c r="F4023">
        <v>1.52305449920709</v>
      </c>
      <c r="G4023">
        <v>1.69355415208656</v>
      </c>
      <c r="H4023">
        <v>1.3792066851456799</v>
      </c>
      <c r="I4023">
        <v>1.46953550809318</v>
      </c>
      <c r="J4023">
        <v>0.90916273121069902</v>
      </c>
      <c r="K4023">
        <v>0.87272044338791899</v>
      </c>
      <c r="L4023">
        <v>1.0000000000000001E-5</v>
      </c>
      <c r="M4023">
        <v>1.0000000000000001E-5</v>
      </c>
      <c r="Q4023">
        <v>1.38857428419747</v>
      </c>
      <c r="R4023">
        <v>6.0247608013597204E-9</v>
      </c>
      <c r="S4023" t="s">
        <v>9849</v>
      </c>
      <c r="T4023" t="s">
        <v>11650</v>
      </c>
      <c r="U4023" t="s">
        <v>11650</v>
      </c>
      <c r="V4023" t="s">
        <v>11650</v>
      </c>
      <c r="W4023" t="s">
        <v>15619</v>
      </c>
      <c r="X4023">
        <v>2</v>
      </c>
      <c r="Y4023" t="s">
        <v>21296</v>
      </c>
      <c r="Z4023" t="s">
        <v>27085</v>
      </c>
      <c r="AA4023">
        <v>1.1942880954134201</v>
      </c>
      <c r="AB4023" t="str">
        <f>HYPERLINK("Melting_Curves/meltCurve_Q8IZR5_3_CMTM4.pdf", "Melting_Curves/meltCurve_Q8IZR5_3_CMTM4.pdf")</f>
        <v>Melting_Curves/meltCurve_Q8IZR5_3_CMTM4.pdf</v>
      </c>
    </row>
    <row r="4024" spans="1:28" x14ac:dyDescent="0.25">
      <c r="A4024" t="s">
        <v>4028</v>
      </c>
      <c r="B4024">
        <v>0.99996721820229495</v>
      </c>
      <c r="C4024">
        <v>1.02299742325061</v>
      </c>
      <c r="D4024">
        <v>0.94891075498947897</v>
      </c>
      <c r="E4024">
        <v>0.71890938462387399</v>
      </c>
      <c r="F4024">
        <v>0.51839960695753196</v>
      </c>
      <c r="G4024">
        <v>0.28169063009747802</v>
      </c>
      <c r="H4024">
        <v>0.15922057866026401</v>
      </c>
      <c r="I4024">
        <v>0.10337762219181</v>
      </c>
      <c r="J4024">
        <v>6.9313833140287204E-2</v>
      </c>
      <c r="K4024">
        <v>6.2328916624347502E-2</v>
      </c>
      <c r="L4024">
        <v>877.17500749215503</v>
      </c>
      <c r="M4024">
        <v>16.5713508487589</v>
      </c>
      <c r="N4024">
        <v>53.278851138452801</v>
      </c>
      <c r="O4024">
        <v>52.180400604356002</v>
      </c>
      <c r="P4024">
        <v>-7.5353696411872895E-2</v>
      </c>
      <c r="Q4024">
        <v>5.0960311739153899E-2</v>
      </c>
      <c r="R4024">
        <v>0.99793313441397002</v>
      </c>
      <c r="S4024" t="s">
        <v>9850</v>
      </c>
      <c r="T4024" t="s">
        <v>11650</v>
      </c>
      <c r="U4024" t="s">
        <v>11650</v>
      </c>
      <c r="V4024" t="s">
        <v>11650</v>
      </c>
      <c r="W4024" t="s">
        <v>15620</v>
      </c>
      <c r="X4024">
        <v>10</v>
      </c>
      <c r="Y4024" t="s">
        <v>21297</v>
      </c>
      <c r="Z4024" t="s">
        <v>27086</v>
      </c>
      <c r="AA4024">
        <v>0.47780519931517529</v>
      </c>
      <c r="AB4024" t="str">
        <f>HYPERLINK("Melting_Curves/meltCurve_Q8IZV5_RDH10.pdf", "Melting_Curves/meltCurve_Q8IZV5_RDH10.pdf")</f>
        <v>Melting_Curves/meltCurve_Q8IZV5_RDH10.pdf</v>
      </c>
    </row>
    <row r="4025" spans="1:28" x14ac:dyDescent="0.25">
      <c r="A4025" t="s">
        <v>4029</v>
      </c>
      <c r="B4025">
        <v>0.99996721820229495</v>
      </c>
      <c r="C4025">
        <v>0.99971401246353797</v>
      </c>
      <c r="D4025">
        <v>1.0711808824698601</v>
      </c>
      <c r="E4025">
        <v>1.07532013913949</v>
      </c>
      <c r="F4025">
        <v>1.1606387189091101</v>
      </c>
      <c r="G4025">
        <v>0.80562536742451896</v>
      </c>
      <c r="H4025">
        <v>0.41462520108158701</v>
      </c>
      <c r="I4025">
        <v>0.26904173867091402</v>
      </c>
      <c r="J4025">
        <v>0.20880005517154501</v>
      </c>
      <c r="K4025">
        <v>0.18387478888400299</v>
      </c>
      <c r="L4025">
        <v>2110.4299227310598</v>
      </c>
      <c r="M4025">
        <v>35.646350585050399</v>
      </c>
      <c r="N4025">
        <v>60.056340679511301</v>
      </c>
      <c r="O4025">
        <v>59.019265483267603</v>
      </c>
      <c r="P4025">
        <v>-0.12103723769989801</v>
      </c>
      <c r="Q4025">
        <v>0.19840276386883501</v>
      </c>
      <c r="R4025">
        <v>0.97067423499956396</v>
      </c>
      <c r="S4025" t="s">
        <v>9851</v>
      </c>
      <c r="T4025" t="s">
        <v>11650</v>
      </c>
      <c r="U4025" t="s">
        <v>11650</v>
      </c>
      <c r="V4025" t="s">
        <v>11650</v>
      </c>
      <c r="W4025" t="s">
        <v>15621</v>
      </c>
      <c r="X4025">
        <v>1</v>
      </c>
      <c r="Y4025" t="s">
        <v>21298</v>
      </c>
      <c r="Z4025" t="s">
        <v>27087</v>
      </c>
      <c r="AA4025">
        <v>0.71541841012774787</v>
      </c>
      <c r="AB4025" t="str">
        <f>HYPERLINK("Melting_Curves/meltCurve_Q8N0T1_C8orf59.pdf", "Melting_Curves/meltCurve_Q8N0T1_C8orf59.pdf")</f>
        <v>Melting_Curves/meltCurve_Q8N0T1_C8orf59.pdf</v>
      </c>
    </row>
    <row r="4026" spans="1:28" x14ac:dyDescent="0.25">
      <c r="A4026" t="s">
        <v>4030</v>
      </c>
      <c r="B4026">
        <v>0.99996721820229495</v>
      </c>
      <c r="C4026">
        <v>0.71209041168451004</v>
      </c>
      <c r="D4026">
        <v>0.86749183452197698</v>
      </c>
      <c r="E4026">
        <v>0.694371526591541</v>
      </c>
      <c r="F4026">
        <v>0.93599340120410801</v>
      </c>
      <c r="G4026">
        <v>0.73606339993077696</v>
      </c>
      <c r="H4026">
        <v>0.56871759277225598</v>
      </c>
      <c r="I4026">
        <v>0.57109419075906098</v>
      </c>
      <c r="J4026">
        <v>0.414320074552674</v>
      </c>
      <c r="K4026">
        <v>0.42958989543166498</v>
      </c>
      <c r="L4026">
        <v>275.87630762898698</v>
      </c>
      <c r="M4026">
        <v>4.1454178464250999</v>
      </c>
      <c r="N4026">
        <v>66.549698466781606</v>
      </c>
      <c r="O4026">
        <v>55.242861794131599</v>
      </c>
      <c r="P4026">
        <v>-1.8974865780903599E-2</v>
      </c>
      <c r="Q4026">
        <v>0</v>
      </c>
      <c r="R4026">
        <v>0.71716118564630604</v>
      </c>
      <c r="S4026" t="s">
        <v>9852</v>
      </c>
      <c r="T4026" t="s">
        <v>11650</v>
      </c>
      <c r="U4026" t="s">
        <v>11650</v>
      </c>
      <c r="V4026" t="s">
        <v>11650</v>
      </c>
      <c r="W4026" t="s">
        <v>15622</v>
      </c>
      <c r="X4026">
        <v>3</v>
      </c>
      <c r="Y4026" t="s">
        <v>21299</v>
      </c>
      <c r="Z4026" t="s">
        <v>27088</v>
      </c>
      <c r="AA4026">
        <v>0.70233826324021364</v>
      </c>
      <c r="AB4026" t="str">
        <f>HYPERLINK("Melting_Curves/meltCurve_Q8N0U8_VKORC1L1.pdf", "Melting_Curves/meltCurve_Q8N0U8_VKORC1L1.pdf")</f>
        <v>Melting_Curves/meltCurve_Q8N0U8_VKORC1L1.pdf</v>
      </c>
    </row>
    <row r="4027" spans="1:28" x14ac:dyDescent="0.25">
      <c r="A4027" t="s">
        <v>4031</v>
      </c>
      <c r="B4027">
        <v>0.99996721820229495</v>
      </c>
      <c r="C4027">
        <v>0.83872393732445705</v>
      </c>
      <c r="D4027">
        <v>1.05329422626367</v>
      </c>
      <c r="E4027">
        <v>1.4123667376528199</v>
      </c>
      <c r="F4027">
        <v>2.3928647680542299</v>
      </c>
      <c r="G4027">
        <v>3.4616743881358798</v>
      </c>
      <c r="H4027">
        <v>1.2568250246220101</v>
      </c>
      <c r="I4027">
        <v>0.684988027411913</v>
      </c>
      <c r="J4027">
        <v>0</v>
      </c>
      <c r="K4027">
        <v>0.34738713440403801</v>
      </c>
      <c r="L4027">
        <v>15000</v>
      </c>
      <c r="M4027">
        <v>233.89078350427101</v>
      </c>
      <c r="N4027">
        <v>64.249705592065496</v>
      </c>
      <c r="O4027">
        <v>64.127815007731797</v>
      </c>
      <c r="P4027">
        <v>-0.75344663620143804</v>
      </c>
      <c r="Q4027">
        <v>0.173684731198542</v>
      </c>
      <c r="R4027">
        <v>9.4168770302546806E-2</v>
      </c>
      <c r="S4027" t="s">
        <v>9853</v>
      </c>
      <c r="T4027" t="s">
        <v>11650</v>
      </c>
      <c r="U4027" t="s">
        <v>11650</v>
      </c>
      <c r="V4027" t="s">
        <v>11650</v>
      </c>
      <c r="W4027" t="s">
        <v>15623</v>
      </c>
      <c r="X4027">
        <v>4</v>
      </c>
      <c r="Y4027" t="s">
        <v>21300</v>
      </c>
      <c r="Z4027" t="s">
        <v>27089</v>
      </c>
      <c r="AA4027">
        <v>0.83849268479745598</v>
      </c>
      <c r="AB4027" t="str">
        <f>HYPERLINK("Melting_Curves/meltCurve_Q8N0W3_FUK.pdf", "Melting_Curves/meltCurve_Q8N0W3_FUK.pdf")</f>
        <v>Melting_Curves/meltCurve_Q8N0W3_FUK.pdf</v>
      </c>
    </row>
    <row r="4028" spans="1:28" x14ac:dyDescent="0.25">
      <c r="A4028" t="s">
        <v>4032</v>
      </c>
      <c r="B4028">
        <v>0.99996721820229495</v>
      </c>
      <c r="C4028">
        <v>1.13468081540931</v>
      </c>
      <c r="D4028">
        <v>1.13416237409414</v>
      </c>
      <c r="E4028">
        <v>1.1298770543085299</v>
      </c>
      <c r="F4028">
        <v>1.3606145847728801</v>
      </c>
      <c r="G4028">
        <v>1.0547548370034201</v>
      </c>
      <c r="H4028">
        <v>0.32822593348224</v>
      </c>
      <c r="I4028">
        <v>8.3622730220778804E-2</v>
      </c>
      <c r="J4028">
        <v>0</v>
      </c>
      <c r="K4028">
        <v>4.1962409530024503E-2</v>
      </c>
      <c r="L4028">
        <v>6429.6905271366304</v>
      </c>
      <c r="M4028">
        <v>106.248401671064</v>
      </c>
      <c r="N4028">
        <v>60.563972569954899</v>
      </c>
      <c r="O4028">
        <v>60.494214532755102</v>
      </c>
      <c r="P4028">
        <v>-0.42124328975151598</v>
      </c>
      <c r="Q4028">
        <v>4.0633818029631001E-2</v>
      </c>
      <c r="R4028">
        <v>0.928464224365667</v>
      </c>
      <c r="S4028" t="s">
        <v>9854</v>
      </c>
      <c r="T4028" t="s">
        <v>11650</v>
      </c>
      <c r="U4028" t="s">
        <v>11650</v>
      </c>
      <c r="V4028" t="s">
        <v>11650</v>
      </c>
      <c r="W4028" t="s">
        <v>15624</v>
      </c>
      <c r="X4028">
        <v>1</v>
      </c>
      <c r="Y4028" t="s">
        <v>21301</v>
      </c>
      <c r="Z4028" t="s">
        <v>27090</v>
      </c>
      <c r="AA4028">
        <v>0.69726566872674534</v>
      </c>
      <c r="AB4028" t="str">
        <f>HYPERLINK("Melting_Curves/meltCurve_Q8N0X4_CLYBL.pdf", "Melting_Curves/meltCurve_Q8N0X4_CLYBL.pdf")</f>
        <v>Melting_Curves/meltCurve_Q8N0X4_CLYBL.pdf</v>
      </c>
    </row>
    <row r="4029" spans="1:28" x14ac:dyDescent="0.25">
      <c r="A4029" t="s">
        <v>4033</v>
      </c>
      <c r="B4029">
        <v>0.99996721820229495</v>
      </c>
      <c r="C4029">
        <v>1.0334962959260801</v>
      </c>
      <c r="D4029">
        <v>0.90301586069333895</v>
      </c>
      <c r="E4029">
        <v>0.67419227930396697</v>
      </c>
      <c r="F4029">
        <v>0.445480470252617</v>
      </c>
      <c r="G4029">
        <v>0.31076337890292199</v>
      </c>
      <c r="H4029">
        <v>0.19523426098086499</v>
      </c>
      <c r="I4029">
        <v>0.163060546385492</v>
      </c>
      <c r="J4029">
        <v>0.121327923057876</v>
      </c>
      <c r="K4029">
        <v>0.100589598782033</v>
      </c>
      <c r="L4029">
        <v>845.79014331986298</v>
      </c>
      <c r="M4029">
        <v>16.334338111526499</v>
      </c>
      <c r="N4029">
        <v>52.602605823007401</v>
      </c>
      <c r="O4029">
        <v>51.022444221511698</v>
      </c>
      <c r="P4029">
        <v>-7.1018286174928794E-2</v>
      </c>
      <c r="Q4029">
        <v>0.11272421276927801</v>
      </c>
      <c r="R4029">
        <v>0.99432664555672101</v>
      </c>
      <c r="S4029" t="s">
        <v>9855</v>
      </c>
      <c r="T4029" t="s">
        <v>11650</v>
      </c>
      <c r="U4029" t="s">
        <v>11650</v>
      </c>
      <c r="V4029" t="s">
        <v>11650</v>
      </c>
      <c r="W4029" t="s">
        <v>15625</v>
      </c>
      <c r="X4029">
        <v>16</v>
      </c>
      <c r="Y4029" t="s">
        <v>21302</v>
      </c>
      <c r="Z4029" t="s">
        <v>27091</v>
      </c>
      <c r="AA4029">
        <v>0.47856535226678881</v>
      </c>
      <c r="AB4029" t="str">
        <f>HYPERLINK("Melting_Curves/meltCurve_Q8N0X7_SPG20.pdf", "Melting_Curves/meltCurve_Q8N0X7_SPG20.pdf")</f>
        <v>Melting_Curves/meltCurve_Q8N0X7_SPG20.pdf</v>
      </c>
    </row>
    <row r="4030" spans="1:28" x14ac:dyDescent="0.25">
      <c r="A4030" t="s">
        <v>4034</v>
      </c>
      <c r="B4030">
        <v>0.99996721820229495</v>
      </c>
      <c r="C4030">
        <v>1.05276369504901</v>
      </c>
      <c r="D4030">
        <v>0.99981536375417901</v>
      </c>
      <c r="E4030">
        <v>0.53105208696773198</v>
      </c>
      <c r="F4030">
        <v>0.58721313003661502</v>
      </c>
      <c r="G4030">
        <v>0.52203050873704904</v>
      </c>
      <c r="H4030">
        <v>0.32067782962240798</v>
      </c>
      <c r="I4030">
        <v>0.23293874125466399</v>
      </c>
      <c r="J4030">
        <v>0.19708999560264601</v>
      </c>
      <c r="K4030">
        <v>0.152824480019015</v>
      </c>
      <c r="L4030">
        <v>592.41933812116395</v>
      </c>
      <c r="M4030">
        <v>11.039458397103999</v>
      </c>
      <c r="N4030">
        <v>54.9965233497757</v>
      </c>
      <c r="O4030">
        <v>51.9931156949947</v>
      </c>
      <c r="P4030">
        <v>-4.6867338229169601E-2</v>
      </c>
      <c r="Q4030">
        <v>0.11735947521435</v>
      </c>
      <c r="R4030">
        <v>0.93029548145866103</v>
      </c>
      <c r="S4030" t="s">
        <v>9856</v>
      </c>
      <c r="T4030" t="s">
        <v>11650</v>
      </c>
      <c r="U4030" t="s">
        <v>11650</v>
      </c>
      <c r="V4030" t="s">
        <v>11650</v>
      </c>
      <c r="W4030" t="s">
        <v>15626</v>
      </c>
      <c r="X4030">
        <v>4</v>
      </c>
      <c r="Y4030" t="s">
        <v>21303</v>
      </c>
      <c r="Z4030" t="s">
        <v>27092</v>
      </c>
      <c r="AA4030">
        <v>0.54507780407197137</v>
      </c>
      <c r="AB4030" t="str">
        <f>HYPERLINK("Melting_Curves/meltCurve_Q8N0Z6_TTC5.pdf", "Melting_Curves/meltCurve_Q8N0Z6_TTC5.pdf")</f>
        <v>Melting_Curves/meltCurve_Q8N0Z6_TTC5.pdf</v>
      </c>
    </row>
    <row r="4031" spans="1:28" x14ac:dyDescent="0.25">
      <c r="A4031" t="s">
        <v>4035</v>
      </c>
      <c r="B4031">
        <v>0.99996721820229495</v>
      </c>
      <c r="C4031">
        <v>0.96034396016863299</v>
      </c>
      <c r="D4031">
        <v>1.07349154412801</v>
      </c>
      <c r="E4031">
        <v>1.3460214932082899</v>
      </c>
      <c r="F4031">
        <v>1.56156943643487</v>
      </c>
      <c r="G4031">
        <v>1.76634183116796</v>
      </c>
      <c r="H4031">
        <v>1.25270264530708</v>
      </c>
      <c r="I4031">
        <v>0.89847525165258701</v>
      </c>
      <c r="J4031">
        <v>0.50879826536056005</v>
      </c>
      <c r="K4031">
        <v>0.74561974020119204</v>
      </c>
      <c r="L4031">
        <v>15000</v>
      </c>
      <c r="M4031">
        <v>233.39272282031601</v>
      </c>
      <c r="O4031">
        <v>64.264629415869393</v>
      </c>
      <c r="P4031">
        <v>-0.33847361933945602</v>
      </c>
      <c r="Q4031">
        <v>0.62720544072642104</v>
      </c>
      <c r="R4031">
        <v>0.12780199618729099</v>
      </c>
      <c r="S4031" t="s">
        <v>9857</v>
      </c>
      <c r="T4031" t="s">
        <v>11650</v>
      </c>
      <c r="U4031" t="s">
        <v>11650</v>
      </c>
      <c r="V4031" t="s">
        <v>11650</v>
      </c>
      <c r="W4031" t="s">
        <v>15627</v>
      </c>
      <c r="X4031">
        <v>5</v>
      </c>
      <c r="Y4031" t="s">
        <v>21304</v>
      </c>
      <c r="Z4031" t="s">
        <v>27093</v>
      </c>
      <c r="AA4031">
        <v>0.92883648355281589</v>
      </c>
      <c r="AB4031" t="str">
        <f>HYPERLINK("Melting_Curves/meltCurve_Q8N108_17_MIER1.pdf", "Melting_Curves/meltCurve_Q8N108_17_MIER1.pdf")</f>
        <v>Melting_Curves/meltCurve_Q8N108_17_MIER1.pdf</v>
      </c>
    </row>
    <row r="4032" spans="1:28" x14ac:dyDescent="0.25">
      <c r="A4032" t="s">
        <v>4036</v>
      </c>
      <c r="B4032">
        <v>0.99996721820229495</v>
      </c>
      <c r="C4032">
        <v>0.98492383128194305</v>
      </c>
      <c r="D4032">
        <v>1.1135280771267</v>
      </c>
      <c r="E4032">
        <v>1.2059670923247401</v>
      </c>
      <c r="F4032">
        <v>1.8995302710148301</v>
      </c>
      <c r="G4032">
        <v>1.9264662036407201</v>
      </c>
      <c r="H4032">
        <v>1.61720543175333</v>
      </c>
      <c r="I4032">
        <v>1.4900978791100099</v>
      </c>
      <c r="J4032">
        <v>1.4274496966669801</v>
      </c>
      <c r="K4032">
        <v>1.1069951884860401</v>
      </c>
      <c r="L4032">
        <v>12517.7981214909</v>
      </c>
      <c r="M4032">
        <v>250</v>
      </c>
      <c r="O4032">
        <v>50.068006536407701</v>
      </c>
      <c r="P4032">
        <v>0.62415130019329501</v>
      </c>
      <c r="Q4032">
        <v>1.5</v>
      </c>
      <c r="R4032">
        <v>0.52649364903352802</v>
      </c>
      <c r="S4032" t="s">
        <v>9858</v>
      </c>
      <c r="T4032" t="s">
        <v>11650</v>
      </c>
      <c r="U4032" t="s">
        <v>11650</v>
      </c>
      <c r="V4032" t="s">
        <v>11650</v>
      </c>
      <c r="W4032" t="s">
        <v>15628</v>
      </c>
      <c r="X4032">
        <v>2</v>
      </c>
      <c r="Y4032" t="s">
        <v>21305</v>
      </c>
      <c r="Z4032" t="s">
        <v>27094</v>
      </c>
      <c r="AA4032">
        <v>1.3321028548188401</v>
      </c>
      <c r="AB4032" t="str">
        <f>HYPERLINK("Melting_Curves/meltCurve_Q8N111_CEND1.pdf", "Melting_Curves/meltCurve_Q8N111_CEND1.pdf")</f>
        <v>Melting_Curves/meltCurve_Q8N111_CEND1.pdf</v>
      </c>
    </row>
    <row r="4033" spans="1:28" x14ac:dyDescent="0.25">
      <c r="A4033" t="s">
        <v>4037</v>
      </c>
      <c r="B4033">
        <v>0.99996721820229495</v>
      </c>
      <c r="C4033">
        <v>0.93843434382770197</v>
      </c>
      <c r="D4033">
        <v>0.98227197578164704</v>
      </c>
      <c r="E4033">
        <v>1.0110028758402301</v>
      </c>
      <c r="F4033">
        <v>0.61909981673624503</v>
      </c>
      <c r="G4033">
        <v>0.51653271087988495</v>
      </c>
      <c r="H4033">
        <v>0.35441873761060699</v>
      </c>
      <c r="I4033">
        <v>0.21499667054194399</v>
      </c>
      <c r="J4033">
        <v>0.14510978441981001</v>
      </c>
      <c r="K4033">
        <v>0.122836592339749</v>
      </c>
      <c r="L4033">
        <v>822.36784636703101</v>
      </c>
      <c r="M4033">
        <v>14.5735965421828</v>
      </c>
      <c r="N4033">
        <v>57.090475611060199</v>
      </c>
      <c r="O4033">
        <v>55.398072992486497</v>
      </c>
      <c r="P4033">
        <v>-6.0662590514291903E-2</v>
      </c>
      <c r="Q4033">
        <v>7.77264766715665E-2</v>
      </c>
      <c r="R4033">
        <v>0.96908232073744704</v>
      </c>
      <c r="S4033" t="s">
        <v>9859</v>
      </c>
      <c r="T4033" t="s">
        <v>11650</v>
      </c>
      <c r="U4033" t="s">
        <v>11650</v>
      </c>
      <c r="V4033" t="s">
        <v>11650</v>
      </c>
      <c r="W4033" t="s">
        <v>15629</v>
      </c>
      <c r="X4033">
        <v>7</v>
      </c>
      <c r="Y4033" t="s">
        <v>21306</v>
      </c>
      <c r="Z4033" t="s">
        <v>27095</v>
      </c>
      <c r="AA4033">
        <v>0.59875572666415866</v>
      </c>
      <c r="AB4033" t="str">
        <f>HYPERLINK("Melting_Curves/meltCurve_Q8N122_RPTOR.pdf", "Melting_Curves/meltCurve_Q8N122_RPTOR.pdf")</f>
        <v>Melting_Curves/meltCurve_Q8N122_RPTOR.pdf</v>
      </c>
    </row>
    <row r="4034" spans="1:28" x14ac:dyDescent="0.25">
      <c r="A4034" t="s">
        <v>4038</v>
      </c>
      <c r="B4034">
        <v>0.99996721820229495</v>
      </c>
      <c r="C4034">
        <v>1.0146982320110201</v>
      </c>
      <c r="D4034">
        <v>0.97977537769705803</v>
      </c>
      <c r="E4034">
        <v>1.00217829782581</v>
      </c>
      <c r="F4034">
        <v>1.3087971003666601</v>
      </c>
      <c r="G4034">
        <v>1.5427434995362299</v>
      </c>
      <c r="H4034">
        <v>1.13148624789765</v>
      </c>
      <c r="I4034">
        <v>1.05238348919521</v>
      </c>
      <c r="J4034">
        <v>0.95632955954822596</v>
      </c>
      <c r="K4034">
        <v>0.67042576512593</v>
      </c>
      <c r="L4034">
        <v>15000</v>
      </c>
      <c r="M4034">
        <v>222.00104818803101</v>
      </c>
      <c r="O4034">
        <v>67.561764811241304</v>
      </c>
      <c r="P4034">
        <v>-0.27085756282770201</v>
      </c>
      <c r="Q4034">
        <v>0.67027876249354001</v>
      </c>
      <c r="R4034">
        <v>0.14051552159891501</v>
      </c>
      <c r="S4034" t="s">
        <v>9860</v>
      </c>
      <c r="T4034" t="s">
        <v>11650</v>
      </c>
      <c r="U4034" t="s">
        <v>11650</v>
      </c>
      <c r="V4034" t="s">
        <v>11650</v>
      </c>
      <c r="W4034" t="s">
        <v>15630</v>
      </c>
      <c r="X4034">
        <v>12</v>
      </c>
      <c r="Y4034" t="s">
        <v>21307</v>
      </c>
      <c r="Z4034" t="s">
        <v>27096</v>
      </c>
      <c r="AA4034">
        <v>0.97331030868290469</v>
      </c>
      <c r="AB4034" t="str">
        <f>HYPERLINK("Melting_Curves/meltCurve_Q8N129_CNPY4.pdf", "Melting_Curves/meltCurve_Q8N129_CNPY4.pdf")</f>
        <v>Melting_Curves/meltCurve_Q8N129_CNPY4.pdf</v>
      </c>
    </row>
    <row r="4035" spans="1:28" x14ac:dyDescent="0.25">
      <c r="A4035" t="s">
        <v>4039</v>
      </c>
      <c r="B4035">
        <v>0.99996721820229495</v>
      </c>
      <c r="C4035">
        <v>1.0190193554601901</v>
      </c>
      <c r="D4035">
        <v>0.973875924170999</v>
      </c>
      <c r="E4035">
        <v>1.0248176233851001</v>
      </c>
      <c r="F4035">
        <v>1.36531118213681</v>
      </c>
      <c r="G4035">
        <v>1.0771219590744101</v>
      </c>
      <c r="H4035">
        <v>0.632372783718403</v>
      </c>
      <c r="I4035">
        <v>0.50455217868558699</v>
      </c>
      <c r="J4035">
        <v>0.41915277042364602</v>
      </c>
      <c r="K4035">
        <v>0.30448051312987801</v>
      </c>
      <c r="L4035">
        <v>3122.16020633893</v>
      </c>
      <c r="M4035">
        <v>51.362954840501899</v>
      </c>
      <c r="N4035">
        <v>62.590575909531701</v>
      </c>
      <c r="O4035">
        <v>60.694303000969597</v>
      </c>
      <c r="P4035">
        <v>-0.12984577277492201</v>
      </c>
      <c r="Q4035">
        <v>0.38625871490265701</v>
      </c>
      <c r="R4035">
        <v>0.85010433361217397</v>
      </c>
      <c r="S4035" t="s">
        <v>9861</v>
      </c>
      <c r="T4035" t="s">
        <v>11650</v>
      </c>
      <c r="U4035" t="s">
        <v>11650</v>
      </c>
      <c r="V4035" t="s">
        <v>11650</v>
      </c>
      <c r="W4035" t="s">
        <v>15631</v>
      </c>
      <c r="X4035">
        <v>2</v>
      </c>
      <c r="Y4035" t="s">
        <v>21308</v>
      </c>
      <c r="Z4035" t="s">
        <v>27097</v>
      </c>
      <c r="AA4035">
        <v>0.8130242543196885</v>
      </c>
      <c r="AB4035" t="str">
        <f>HYPERLINK("Melting_Curves/meltCurve_Q8N130_SLC34A3.pdf", "Melting_Curves/meltCurve_Q8N130_SLC34A3.pdf")</f>
        <v>Melting_Curves/meltCurve_Q8N130_SLC34A3.pdf</v>
      </c>
    </row>
    <row r="4036" spans="1:28" x14ac:dyDescent="0.25">
      <c r="A4036" t="s">
        <v>4040</v>
      </c>
      <c r="B4036">
        <v>0.99996721820229495</v>
      </c>
      <c r="C4036">
        <v>1.07986342319853</v>
      </c>
      <c r="D4036">
        <v>1.0599100349303201</v>
      </c>
      <c r="E4036">
        <v>0.94711652534678104</v>
      </c>
      <c r="F4036">
        <v>0.97959702794716597</v>
      </c>
      <c r="G4036">
        <v>0.65078835847574901</v>
      </c>
      <c r="H4036">
        <v>0.34187007822316401</v>
      </c>
      <c r="I4036">
        <v>0.227890999979249</v>
      </c>
      <c r="J4036">
        <v>0.166270651226541</v>
      </c>
      <c r="K4036">
        <v>0.11127198992191301</v>
      </c>
      <c r="L4036">
        <v>1437.27539663125</v>
      </c>
      <c r="M4036">
        <v>24.686196581782902</v>
      </c>
      <c r="N4036">
        <v>58.895401150972297</v>
      </c>
      <c r="O4036">
        <v>57.843799872130198</v>
      </c>
      <c r="P4036">
        <v>-9.3572288111643198E-2</v>
      </c>
      <c r="Q4036">
        <v>0.12299164523197099</v>
      </c>
      <c r="R4036">
        <v>0.98921407316175203</v>
      </c>
      <c r="S4036" t="s">
        <v>9862</v>
      </c>
      <c r="T4036" t="s">
        <v>11650</v>
      </c>
      <c r="U4036" t="s">
        <v>11650</v>
      </c>
      <c r="V4036" t="s">
        <v>11650</v>
      </c>
      <c r="W4036" t="s">
        <v>15632</v>
      </c>
      <c r="X4036">
        <v>6</v>
      </c>
      <c r="Y4036" t="s">
        <v>21309</v>
      </c>
      <c r="Z4036" t="s">
        <v>27098</v>
      </c>
      <c r="AA4036">
        <v>0.66335714952782177</v>
      </c>
      <c r="AB4036" t="str">
        <f>HYPERLINK("Melting_Curves/meltCurve_Q8N142_ADSSL1.pdf", "Melting_Curves/meltCurve_Q8N142_ADSSL1.pdf")</f>
        <v>Melting_Curves/meltCurve_Q8N142_ADSSL1.pdf</v>
      </c>
    </row>
    <row r="4037" spans="1:28" x14ac:dyDescent="0.25">
      <c r="A4037" t="s">
        <v>4041</v>
      </c>
      <c r="B4037">
        <v>0.99996721820229495</v>
      </c>
      <c r="C4037">
        <v>0.83449292973009404</v>
      </c>
      <c r="D4037">
        <v>0.95054780981623399</v>
      </c>
      <c r="E4037">
        <v>1.1618850055491301</v>
      </c>
      <c r="F4037">
        <v>1.4286651322791599</v>
      </c>
      <c r="G4037">
        <v>1.0793894199057299</v>
      </c>
      <c r="H4037">
        <v>0.53813741226369105</v>
      </c>
      <c r="I4037">
        <v>0.37722179622881002</v>
      </c>
      <c r="J4037">
        <v>0.179564202728281</v>
      </c>
      <c r="K4037">
        <v>0.14445344894466999</v>
      </c>
      <c r="L4037">
        <v>2676.3038143358899</v>
      </c>
      <c r="M4037">
        <v>43.848768417279203</v>
      </c>
      <c r="N4037">
        <v>61.6819113876644</v>
      </c>
      <c r="O4037">
        <v>60.9083282235528</v>
      </c>
      <c r="P4037">
        <v>-0.14679976865911201</v>
      </c>
      <c r="Q4037">
        <v>0.18434963413040201</v>
      </c>
      <c r="R4037">
        <v>0.84352538500579399</v>
      </c>
      <c r="S4037" t="s">
        <v>9863</v>
      </c>
      <c r="T4037" t="s">
        <v>11650</v>
      </c>
      <c r="U4037" t="s">
        <v>11650</v>
      </c>
      <c r="V4037" t="s">
        <v>11650</v>
      </c>
      <c r="W4037" t="s">
        <v>15633</v>
      </c>
      <c r="X4037">
        <v>3</v>
      </c>
      <c r="Y4037" t="s">
        <v>21310</v>
      </c>
      <c r="Z4037" t="s">
        <v>27099</v>
      </c>
      <c r="AA4037">
        <v>0.75892188768410485</v>
      </c>
      <c r="AB4037" t="str">
        <f>HYPERLINK("Melting_Curves/meltCurve_Q8N163_2_KIAA1967.pdf", "Melting_Curves/meltCurve_Q8N163_2_KIAA1967.pdf")</f>
        <v>Melting_Curves/meltCurve_Q8N163_2_KIAA1967.pdf</v>
      </c>
    </row>
    <row r="4038" spans="1:28" x14ac:dyDescent="0.25">
      <c r="A4038" t="s">
        <v>4042</v>
      </c>
      <c r="B4038">
        <v>0.99996721820229495</v>
      </c>
      <c r="C4038">
        <v>0.93850721025533601</v>
      </c>
      <c r="D4038">
        <v>0.87926295194109205</v>
      </c>
      <c r="E4038">
        <v>0.89695227273756895</v>
      </c>
      <c r="F4038">
        <v>1.09336664325837</v>
      </c>
      <c r="G4038">
        <v>1.0620474974049501</v>
      </c>
      <c r="H4038">
        <v>0.81231924524118804</v>
      </c>
      <c r="I4038">
        <v>0.77277622586347094</v>
      </c>
      <c r="J4038">
        <v>0.65348385343278703</v>
      </c>
      <c r="K4038">
        <v>0.56684078187000997</v>
      </c>
      <c r="L4038">
        <v>1620.3979561356</v>
      </c>
      <c r="M4038">
        <v>25.564086946272699</v>
      </c>
      <c r="O4038">
        <v>63.001680002358697</v>
      </c>
      <c r="P4038">
        <v>-4.6009608869373601E-2</v>
      </c>
      <c r="Q4038">
        <v>0.54645025780388101</v>
      </c>
      <c r="R4038">
        <v>0.80346004847836905</v>
      </c>
      <c r="S4038" t="s">
        <v>9864</v>
      </c>
      <c r="T4038" t="s">
        <v>11650</v>
      </c>
      <c r="U4038" t="s">
        <v>11650</v>
      </c>
      <c r="V4038" t="s">
        <v>11650</v>
      </c>
      <c r="W4038" t="s">
        <v>15634</v>
      </c>
      <c r="X4038">
        <v>15</v>
      </c>
      <c r="Y4038" t="s">
        <v>21311</v>
      </c>
      <c r="Z4038" t="s">
        <v>27100</v>
      </c>
      <c r="AA4038">
        <v>0.90062267920492045</v>
      </c>
      <c r="AB4038" t="str">
        <f>HYPERLINK("Melting_Curves/meltCurve_Q8N183_NDUFAF2.pdf", "Melting_Curves/meltCurve_Q8N183_NDUFAF2.pdf")</f>
        <v>Melting_Curves/meltCurve_Q8N183_NDUFAF2.pdf</v>
      </c>
    </row>
    <row r="4039" spans="1:28" x14ac:dyDescent="0.25">
      <c r="A4039" t="s">
        <v>4043</v>
      </c>
      <c r="B4039">
        <v>0.99996721820229495</v>
      </c>
      <c r="C4039">
        <v>1.04437174534519</v>
      </c>
      <c r="D4039">
        <v>0.99708271356711198</v>
      </c>
      <c r="E4039">
        <v>0.97667866181372198</v>
      </c>
      <c r="F4039">
        <v>0.85819498419698304</v>
      </c>
      <c r="G4039">
        <v>0.62604643220234701</v>
      </c>
      <c r="H4039">
        <v>0.41081601616747099</v>
      </c>
      <c r="I4039">
        <v>0.200647624857235</v>
      </c>
      <c r="J4039">
        <v>0.17743233152190099</v>
      </c>
      <c r="K4039">
        <v>0.11008753311188001</v>
      </c>
      <c r="L4039">
        <v>1008.60122866779</v>
      </c>
      <c r="M4039">
        <v>17.2160981773172</v>
      </c>
      <c r="N4039">
        <v>59.030440258677302</v>
      </c>
      <c r="O4039">
        <v>57.811475944731598</v>
      </c>
      <c r="P4039">
        <v>-6.9916328902513994E-2</v>
      </c>
      <c r="Q4039">
        <v>6.0942042865460302E-2</v>
      </c>
      <c r="R4039">
        <v>0.99544307365314</v>
      </c>
      <c r="S4039" t="s">
        <v>9865</v>
      </c>
      <c r="T4039" t="s">
        <v>11650</v>
      </c>
      <c r="U4039" t="s">
        <v>11650</v>
      </c>
      <c r="V4039" t="s">
        <v>11650</v>
      </c>
      <c r="W4039" t="s">
        <v>15635</v>
      </c>
      <c r="X4039">
        <v>1</v>
      </c>
      <c r="Y4039" t="s">
        <v>21312</v>
      </c>
      <c r="Z4039" t="s">
        <v>27101</v>
      </c>
      <c r="AA4039">
        <v>0.65357679101821675</v>
      </c>
      <c r="AB4039" t="str">
        <f>HYPERLINK("Melting_Curves/meltCurve_Q8N1A6_C4orf33.pdf", "Melting_Curves/meltCurve_Q8N1A6_C4orf33.pdf")</f>
        <v>Melting_Curves/meltCurve_Q8N1A6_C4orf33.pdf</v>
      </c>
    </row>
    <row r="4040" spans="1:28" x14ac:dyDescent="0.25">
      <c r="A4040" t="s">
        <v>4044</v>
      </c>
      <c r="B4040">
        <v>0.99996721820229495</v>
      </c>
      <c r="C4040">
        <v>0.87938246130030795</v>
      </c>
      <c r="D4040">
        <v>0.88011682028491001</v>
      </c>
      <c r="E4040">
        <v>0.92171515266807702</v>
      </c>
      <c r="F4040">
        <v>1.1492022034612701</v>
      </c>
      <c r="G4040">
        <v>0.91810788680544497</v>
      </c>
      <c r="H4040">
        <v>0.69686188805193705</v>
      </c>
      <c r="I4040">
        <v>0.48606904732339801</v>
      </c>
      <c r="J4040">
        <v>0.145313766378148</v>
      </c>
      <c r="K4040">
        <v>8.7904021659372694E-2</v>
      </c>
      <c r="L4040">
        <v>1635.3116402272999</v>
      </c>
      <c r="M4040">
        <v>25.828990651493399</v>
      </c>
      <c r="N4040">
        <v>63.31302944147</v>
      </c>
      <c r="O4040">
        <v>62.937191388550801</v>
      </c>
      <c r="P4040">
        <v>-0.10259952968482999</v>
      </c>
      <c r="Q4040">
        <v>0</v>
      </c>
      <c r="R4040">
        <v>0.94371799840090298</v>
      </c>
      <c r="S4040" t="s">
        <v>9866</v>
      </c>
      <c r="T4040" t="s">
        <v>11650</v>
      </c>
      <c r="U4040" t="s">
        <v>11650</v>
      </c>
      <c r="V4040" t="s">
        <v>11650</v>
      </c>
      <c r="W4040" t="s">
        <v>15636</v>
      </c>
      <c r="X4040">
        <v>2</v>
      </c>
      <c r="Y4040" t="s">
        <v>21313</v>
      </c>
      <c r="Z4040" t="s">
        <v>27102</v>
      </c>
      <c r="AA4040">
        <v>0.77878160697557275</v>
      </c>
      <c r="AB4040" t="str">
        <f>HYPERLINK("Melting_Curves/meltCurve_Q8N1B4_VPS52.pdf", "Melting_Curves/meltCurve_Q8N1B4_VPS52.pdf")</f>
        <v>Melting_Curves/meltCurve_Q8N1B4_VPS52.pdf</v>
      </c>
    </row>
    <row r="4041" spans="1:28" x14ac:dyDescent="0.25">
      <c r="A4041" t="s">
        <v>4045</v>
      </c>
      <c r="B4041">
        <v>0.99996721820229495</v>
      </c>
      <c r="C4041">
        <v>0.97179466714055396</v>
      </c>
      <c r="D4041">
        <v>0.79143774516920695</v>
      </c>
      <c r="E4041">
        <v>0.64807190478655696</v>
      </c>
      <c r="F4041">
        <v>0.38302706930990799</v>
      </c>
      <c r="G4041">
        <v>0.34210592451180499</v>
      </c>
      <c r="H4041">
        <v>0.23534766615479599</v>
      </c>
      <c r="I4041">
        <v>0.179826871648814</v>
      </c>
      <c r="J4041">
        <v>0.13050953438079399</v>
      </c>
      <c r="K4041">
        <v>0.124997768036566</v>
      </c>
      <c r="L4041">
        <v>661.41463880570097</v>
      </c>
      <c r="M4041">
        <v>12.9726923870349</v>
      </c>
      <c r="N4041">
        <v>52.035077497626403</v>
      </c>
      <c r="O4041">
        <v>49.819218479006501</v>
      </c>
      <c r="P4041">
        <v>-5.7612956858174302E-2</v>
      </c>
      <c r="Q4041">
        <v>0.115149920285885</v>
      </c>
      <c r="R4041">
        <v>0.98773355821506803</v>
      </c>
      <c r="S4041" t="s">
        <v>9867</v>
      </c>
      <c r="T4041" t="s">
        <v>11650</v>
      </c>
      <c r="U4041" t="s">
        <v>11650</v>
      </c>
      <c r="V4041" t="s">
        <v>11650</v>
      </c>
      <c r="W4041" t="s">
        <v>15637</v>
      </c>
      <c r="X4041">
        <v>15</v>
      </c>
      <c r="Y4041" t="s">
        <v>21314</v>
      </c>
      <c r="Z4041" t="s">
        <v>27103</v>
      </c>
      <c r="AA4041">
        <v>0.46490773134833779</v>
      </c>
      <c r="AB4041" t="str">
        <f>HYPERLINK("Melting_Curves/meltCurve_Q8N1F7_NUP93.pdf", "Melting_Curves/meltCurve_Q8N1F7_NUP93.pdf")</f>
        <v>Melting_Curves/meltCurve_Q8N1F7_NUP93.pdf</v>
      </c>
    </row>
    <row r="4042" spans="1:28" x14ac:dyDescent="0.25">
      <c r="A4042" t="s">
        <v>4046</v>
      </c>
      <c r="B4042">
        <v>0.99996721820229495</v>
      </c>
      <c r="C4042">
        <v>0.87268855649945098</v>
      </c>
      <c r="D4042">
        <v>0.77567550981265998</v>
      </c>
      <c r="E4042">
        <v>0.37361698599458298</v>
      </c>
      <c r="F4042">
        <v>0.30711592684287797</v>
      </c>
      <c r="G4042">
        <v>0.27208027361375298</v>
      </c>
      <c r="H4042">
        <v>0.16585821447294499</v>
      </c>
      <c r="I4042">
        <v>9.9994782755238695E-2</v>
      </c>
      <c r="J4042">
        <v>7.3243223624834597E-2</v>
      </c>
      <c r="K4042">
        <v>5.1584923675458201E-2</v>
      </c>
      <c r="L4042">
        <v>698.66917361813796</v>
      </c>
      <c r="M4042">
        <v>14.3373202673311</v>
      </c>
      <c r="N4042">
        <v>49.350613910897003</v>
      </c>
      <c r="O4042">
        <v>47.812205726754698</v>
      </c>
      <c r="P4042">
        <v>-6.8798440468662098E-2</v>
      </c>
      <c r="Q4042">
        <v>8.2392581424422906E-2</v>
      </c>
      <c r="R4042">
        <v>0.97951896004875005</v>
      </c>
      <c r="S4042" t="s">
        <v>9868</v>
      </c>
      <c r="T4042" t="s">
        <v>11650</v>
      </c>
      <c r="U4042" t="s">
        <v>11650</v>
      </c>
      <c r="V4042" t="s">
        <v>11650</v>
      </c>
      <c r="W4042" t="s">
        <v>15638</v>
      </c>
      <c r="X4042">
        <v>3</v>
      </c>
      <c r="Y4042" t="s">
        <v>21315</v>
      </c>
      <c r="Z4042" t="s">
        <v>27104</v>
      </c>
      <c r="AA4042">
        <v>0.37436361500103582</v>
      </c>
      <c r="AB4042" t="str">
        <f>HYPERLINK("Melting_Curves/meltCurve_Q8N1G2_FTSJD2.pdf", "Melting_Curves/meltCurve_Q8N1G2_FTSJD2.pdf")</f>
        <v>Melting_Curves/meltCurve_Q8N1G2_FTSJD2.pdf</v>
      </c>
    </row>
    <row r="4043" spans="1:28" x14ac:dyDescent="0.25">
      <c r="A4043" t="s">
        <v>4047</v>
      </c>
      <c r="B4043">
        <v>0.99996721820229495</v>
      </c>
      <c r="C4043">
        <v>0.99987334975806696</v>
      </c>
      <c r="D4043">
        <v>0.92852311850962199</v>
      </c>
      <c r="E4043">
        <v>0.89637967282326103</v>
      </c>
      <c r="F4043">
        <v>0.62211811968397301</v>
      </c>
      <c r="G4043">
        <v>0.270294063810955</v>
      </c>
      <c r="H4043">
        <v>0.146887863424015</v>
      </c>
      <c r="I4043">
        <v>0.102966137738547</v>
      </c>
      <c r="J4043">
        <v>7.9664350983923396E-2</v>
      </c>
      <c r="K4043">
        <v>7.7620650248918094E-2</v>
      </c>
      <c r="L4043">
        <v>1273.7232377166599</v>
      </c>
      <c r="M4043">
        <v>23.638860736876001</v>
      </c>
      <c r="N4043">
        <v>54.271630214042702</v>
      </c>
      <c r="O4043">
        <v>53.501440551281298</v>
      </c>
      <c r="P4043">
        <v>-0.101852086265866</v>
      </c>
      <c r="Q4043">
        <v>7.7935087285426197E-2</v>
      </c>
      <c r="R4043">
        <v>0.99740653593574902</v>
      </c>
      <c r="S4043" t="s">
        <v>9869</v>
      </c>
      <c r="T4043" t="s">
        <v>11650</v>
      </c>
      <c r="U4043" t="s">
        <v>11650</v>
      </c>
      <c r="V4043" t="s">
        <v>11650</v>
      </c>
      <c r="W4043" t="s">
        <v>15639</v>
      </c>
      <c r="X4043">
        <v>22</v>
      </c>
      <c r="Y4043" t="s">
        <v>21316</v>
      </c>
      <c r="Z4043" t="s">
        <v>27105</v>
      </c>
      <c r="AA4043">
        <v>0.51406112755417077</v>
      </c>
      <c r="AB4043" t="str">
        <f>HYPERLINK("Melting_Curves/meltCurve_Q8N1G4_LRRC47.pdf", "Melting_Curves/meltCurve_Q8N1G4_LRRC47.pdf")</f>
        <v>Melting_Curves/meltCurve_Q8N1G4_LRRC47.pdf</v>
      </c>
    </row>
    <row r="4044" spans="1:28" x14ac:dyDescent="0.25">
      <c r="A4044" t="s">
        <v>4048</v>
      </c>
      <c r="B4044">
        <v>0.99996721820229495</v>
      </c>
      <c r="C4044">
        <v>1.0751659152850499</v>
      </c>
      <c r="D4044">
        <v>0.99812622694594799</v>
      </c>
      <c r="E4044">
        <v>0.92885947317789697</v>
      </c>
      <c r="F4044">
        <v>0.73560461771858099</v>
      </c>
      <c r="G4044">
        <v>0.44029122607067001</v>
      </c>
      <c r="H4044">
        <v>0.23444343035264101</v>
      </c>
      <c r="I4044">
        <v>0.12260702834953</v>
      </c>
      <c r="J4044">
        <v>7.9819828190606096E-2</v>
      </c>
      <c r="K4044">
        <v>7.6336720834308203E-2</v>
      </c>
      <c r="L4044">
        <v>1064.5195405551499</v>
      </c>
      <c r="M4044">
        <v>19.033092625170902</v>
      </c>
      <c r="N4044">
        <v>56.252792780808903</v>
      </c>
      <c r="O4044">
        <v>55.323493723329797</v>
      </c>
      <c r="P4044">
        <v>-8.1561146867461104E-2</v>
      </c>
      <c r="Q4044">
        <v>5.1742394668891301E-2</v>
      </c>
      <c r="R4044">
        <v>0.99520580459506403</v>
      </c>
      <c r="S4044" t="s">
        <v>9870</v>
      </c>
      <c r="T4044" t="s">
        <v>11650</v>
      </c>
      <c r="U4044" t="s">
        <v>11650</v>
      </c>
      <c r="V4044" t="s">
        <v>11650</v>
      </c>
      <c r="W4044" t="s">
        <v>15640</v>
      </c>
      <c r="X4044">
        <v>3</v>
      </c>
      <c r="Y4044" t="s">
        <v>21317</v>
      </c>
      <c r="Z4044" t="s">
        <v>27106</v>
      </c>
      <c r="AA4044">
        <v>0.56834945171838547</v>
      </c>
      <c r="AB4044" t="str">
        <f>HYPERLINK("Melting_Curves/meltCurve_Q8N1Q1_CA13.pdf", "Melting_Curves/meltCurve_Q8N1Q1_CA13.pdf")</f>
        <v>Melting_Curves/meltCurve_Q8N1Q1_CA13.pdf</v>
      </c>
    </row>
    <row r="4045" spans="1:28" x14ac:dyDescent="0.25">
      <c r="A4045" t="s">
        <v>4049</v>
      </c>
      <c r="B4045">
        <v>0.99996721820229495</v>
      </c>
      <c r="C4045">
        <v>1.0200505426427799</v>
      </c>
      <c r="D4045">
        <v>1.08253619700621</v>
      </c>
      <c r="E4045">
        <v>1.22343041165758</v>
      </c>
      <c r="F4045">
        <v>1.6412886273496701</v>
      </c>
      <c r="G4045">
        <v>1.8234774319201501</v>
      </c>
      <c r="H4045">
        <v>1.3395649535310801</v>
      </c>
      <c r="I4045">
        <v>0.99022909250874902</v>
      </c>
      <c r="J4045">
        <v>0.45230131306112098</v>
      </c>
      <c r="K4045">
        <v>0.36638149132862902</v>
      </c>
      <c r="L4045">
        <v>8724.9935874743805</v>
      </c>
      <c r="M4045">
        <v>132.07295737158401</v>
      </c>
      <c r="N4045">
        <v>66.727364893081699</v>
      </c>
      <c r="O4045">
        <v>66.046780175992495</v>
      </c>
      <c r="P4045">
        <v>-0.31692701611068802</v>
      </c>
      <c r="Q4045">
        <v>0.36604709969068899</v>
      </c>
      <c r="R4045">
        <v>0.327080097160654</v>
      </c>
      <c r="S4045" t="s">
        <v>9871</v>
      </c>
      <c r="T4045" t="s">
        <v>11650</v>
      </c>
      <c r="U4045" t="s">
        <v>11650</v>
      </c>
      <c r="V4045" t="s">
        <v>11650</v>
      </c>
      <c r="W4045" t="s">
        <v>15641</v>
      </c>
      <c r="X4045">
        <v>4</v>
      </c>
      <c r="Y4045" t="s">
        <v>18439</v>
      </c>
      <c r="Z4045" t="s">
        <v>27107</v>
      </c>
      <c r="AA4045">
        <v>0.91703784521575549</v>
      </c>
      <c r="AB4045" t="str">
        <f>HYPERLINK("Melting_Curves/meltCurve_Q8N1S5_2_SLC39A11.pdf", "Melting_Curves/meltCurve_Q8N1S5_2_SLC39A11.pdf")</f>
        <v>Melting_Curves/meltCurve_Q8N1S5_2_SLC39A11.pdf</v>
      </c>
    </row>
    <row r="4046" spans="1:28" x14ac:dyDescent="0.25">
      <c r="A4046" t="s">
        <v>4050</v>
      </c>
      <c r="B4046">
        <v>0.99996721820229495</v>
      </c>
      <c r="C4046">
        <v>0.51590160358146098</v>
      </c>
      <c r="D4046">
        <v>0.48069830126039298</v>
      </c>
      <c r="E4046">
        <v>0.94415933978150701</v>
      </c>
      <c r="F4046">
        <v>0.38495782419906399</v>
      </c>
      <c r="G4046">
        <v>0.32863564166362902</v>
      </c>
      <c r="H4046">
        <v>0.227337982690971</v>
      </c>
      <c r="I4046">
        <v>0.127938843446601</v>
      </c>
      <c r="J4046">
        <v>9.1427550593804197E-2</v>
      </c>
      <c r="K4046">
        <v>7.8572150998585694E-2</v>
      </c>
      <c r="L4046">
        <v>346.658592579426</v>
      </c>
      <c r="M4046">
        <v>6.8415727399194504</v>
      </c>
      <c r="N4046">
        <v>50.669430294883497</v>
      </c>
      <c r="O4046">
        <v>46.8699418963526</v>
      </c>
      <c r="P4046">
        <v>-3.6565906396392997E-2</v>
      </c>
      <c r="Q4046">
        <v>0</v>
      </c>
      <c r="R4046">
        <v>0.68147668579546095</v>
      </c>
      <c r="S4046" t="s">
        <v>9872</v>
      </c>
      <c r="T4046" t="s">
        <v>11650</v>
      </c>
      <c r="U4046" t="s">
        <v>11650</v>
      </c>
      <c r="V4046" t="s">
        <v>11650</v>
      </c>
      <c r="W4046" t="s">
        <v>15642</v>
      </c>
      <c r="X4046">
        <v>5</v>
      </c>
      <c r="Y4046" t="s">
        <v>21318</v>
      </c>
      <c r="Z4046" t="s">
        <v>27108</v>
      </c>
      <c r="AA4046">
        <v>0.420158672821145</v>
      </c>
      <c r="AB4046" t="str">
        <f>HYPERLINK("Melting_Curves/meltCurve_Q8N283_ANKRD35.pdf", "Melting_Curves/meltCurve_Q8N283_ANKRD35.pdf")</f>
        <v>Melting_Curves/meltCurve_Q8N283_ANKRD35.pdf</v>
      </c>
    </row>
    <row r="4047" spans="1:28" x14ac:dyDescent="0.25">
      <c r="A4047" t="s">
        <v>4051</v>
      </c>
      <c r="B4047">
        <v>0.99996721820229495</v>
      </c>
      <c r="C4047">
        <v>0.89326101633766797</v>
      </c>
      <c r="D4047">
        <v>0.89193430680608299</v>
      </c>
      <c r="E4047">
        <v>0.41629693305177601</v>
      </c>
      <c r="F4047">
        <v>0.32188972425880502</v>
      </c>
      <c r="G4047">
        <v>0.29719737405179902</v>
      </c>
      <c r="H4047">
        <v>0.171978544626053</v>
      </c>
      <c r="I4047">
        <v>0.110165090877079</v>
      </c>
      <c r="J4047">
        <v>7.7390262397986895E-2</v>
      </c>
      <c r="K4047">
        <v>6.0453852565325497E-2</v>
      </c>
      <c r="L4047">
        <v>803.50245836440502</v>
      </c>
      <c r="M4047">
        <v>16.238414828009098</v>
      </c>
      <c r="N4047">
        <v>50.158765426220597</v>
      </c>
      <c r="O4047">
        <v>48.749410620064097</v>
      </c>
      <c r="P4047">
        <v>-7.5083566370108504E-2</v>
      </c>
      <c r="Q4047">
        <v>9.8432018918264794E-2</v>
      </c>
      <c r="R4047">
        <v>0.97084456612273795</v>
      </c>
      <c r="S4047" t="s">
        <v>9873</v>
      </c>
      <c r="T4047" t="s">
        <v>11650</v>
      </c>
      <c r="U4047" t="s">
        <v>11650</v>
      </c>
      <c r="V4047" t="s">
        <v>11650</v>
      </c>
      <c r="W4047" t="s">
        <v>15643</v>
      </c>
      <c r="X4047">
        <v>9</v>
      </c>
      <c r="Y4047" t="s">
        <v>21319</v>
      </c>
      <c r="Z4047" t="s">
        <v>27109</v>
      </c>
      <c r="AA4047">
        <v>0.40224801227590212</v>
      </c>
      <c r="AB4047" t="str">
        <f>HYPERLINK("Melting_Curves/meltCurve_Q8N2F6_3_ARMC10.pdf", "Melting_Curves/meltCurve_Q8N2F6_3_ARMC10.pdf")</f>
        <v>Melting_Curves/meltCurve_Q8N2F6_3_ARMC10.pdf</v>
      </c>
    </row>
    <row r="4048" spans="1:28" x14ac:dyDescent="0.25">
      <c r="A4048" t="s">
        <v>4052</v>
      </c>
      <c r="B4048">
        <v>0.99996721820229495</v>
      </c>
      <c r="C4048">
        <v>0.99099313158951396</v>
      </c>
      <c r="D4048">
        <v>0.98899410899599505</v>
      </c>
      <c r="E4048">
        <v>0.90631950014143603</v>
      </c>
      <c r="F4048">
        <v>0.711200179944393</v>
      </c>
      <c r="G4048">
        <v>0.52730861765889903</v>
      </c>
      <c r="H4048">
        <v>0.260029446792582</v>
      </c>
      <c r="I4048">
        <v>0.176269947424992</v>
      </c>
      <c r="J4048">
        <v>0.14779080747906501</v>
      </c>
      <c r="K4048">
        <v>0.13070443869824799</v>
      </c>
      <c r="L4048">
        <v>919.24668168150902</v>
      </c>
      <c r="M4048">
        <v>16.3703072559303</v>
      </c>
      <c r="N4048">
        <v>56.789477124646901</v>
      </c>
      <c r="O4048">
        <v>55.335414034124</v>
      </c>
      <c r="P4048">
        <v>-6.7768167755536901E-2</v>
      </c>
      <c r="Q4048">
        <v>8.3777514953464499E-2</v>
      </c>
      <c r="R4048">
        <v>0.99668464448178995</v>
      </c>
      <c r="S4048" t="s">
        <v>9874</v>
      </c>
      <c r="T4048" t="s">
        <v>11650</v>
      </c>
      <c r="U4048" t="s">
        <v>11650</v>
      </c>
      <c r="V4048" t="s">
        <v>11650</v>
      </c>
      <c r="W4048" t="s">
        <v>15644</v>
      </c>
      <c r="X4048">
        <v>8</v>
      </c>
      <c r="Y4048" t="s">
        <v>21320</v>
      </c>
      <c r="Z4048" t="s">
        <v>27110</v>
      </c>
      <c r="AA4048">
        <v>0.59191413008584182</v>
      </c>
      <c r="AB4048" t="str">
        <f>HYPERLINK("Melting_Curves/meltCurve_Q8N2G8_3_GHDC.pdf", "Melting_Curves/meltCurve_Q8N2G8_3_GHDC.pdf")</f>
        <v>Melting_Curves/meltCurve_Q8N2G8_3_GHDC.pdf</v>
      </c>
    </row>
    <row r="4049" spans="1:28" x14ac:dyDescent="0.25">
      <c r="A4049" t="s">
        <v>4053</v>
      </c>
      <c r="B4049">
        <v>0.99996721820229495</v>
      </c>
      <c r="C4049">
        <v>0.92107578081167896</v>
      </c>
      <c r="D4049">
        <v>0.94352373633826503</v>
      </c>
      <c r="E4049">
        <v>0.96058397695914399</v>
      </c>
      <c r="F4049">
        <v>1.1058140363307301</v>
      </c>
      <c r="G4049">
        <v>0.86908174973846397</v>
      </c>
      <c r="H4049">
        <v>0.46398021433832098</v>
      </c>
      <c r="I4049">
        <v>0.21331662332777199</v>
      </c>
      <c r="J4049">
        <v>0.107303067734627</v>
      </c>
      <c r="K4049">
        <v>0.103339438601672</v>
      </c>
      <c r="L4049">
        <v>2025.89389546659</v>
      </c>
      <c r="M4049">
        <v>33.577561388209098</v>
      </c>
      <c r="N4049">
        <v>60.6891680811272</v>
      </c>
      <c r="O4049">
        <v>60.121961280688303</v>
      </c>
      <c r="P4049">
        <v>-0.127192371156439</v>
      </c>
      <c r="Q4049">
        <v>8.9031871144211003E-2</v>
      </c>
      <c r="R4049">
        <v>0.98300970768363105</v>
      </c>
      <c r="S4049" t="s">
        <v>9875</v>
      </c>
      <c r="T4049" t="s">
        <v>11650</v>
      </c>
      <c r="U4049" t="s">
        <v>11650</v>
      </c>
      <c r="V4049" t="s">
        <v>11650</v>
      </c>
      <c r="W4049" t="s">
        <v>15645</v>
      </c>
      <c r="X4049">
        <v>6</v>
      </c>
      <c r="Y4049" t="s">
        <v>21321</v>
      </c>
      <c r="Z4049" t="s">
        <v>27111</v>
      </c>
      <c r="AA4049">
        <v>0.71115879241598567</v>
      </c>
      <c r="AB4049" t="str">
        <f>HYPERLINK("Melting_Curves/meltCurve_Q8N2H3_PYROXD2.pdf", "Melting_Curves/meltCurve_Q8N2H3_PYROXD2.pdf")</f>
        <v>Melting_Curves/meltCurve_Q8N2H3_PYROXD2.pdf</v>
      </c>
    </row>
    <row r="4050" spans="1:28" x14ac:dyDescent="0.25">
      <c r="A4050" t="s">
        <v>4054</v>
      </c>
      <c r="B4050">
        <v>0.99996721820229495</v>
      </c>
      <c r="C4050">
        <v>0.76311515927624596</v>
      </c>
      <c r="D4050">
        <v>0.77885203698336702</v>
      </c>
      <c r="E4050">
        <v>0.90579106379584495</v>
      </c>
      <c r="F4050">
        <v>0.410833584353263</v>
      </c>
      <c r="G4050">
        <v>0.27108774721805601</v>
      </c>
      <c r="H4050">
        <v>0.17084746897139</v>
      </c>
      <c r="I4050">
        <v>0.12889826999194101</v>
      </c>
      <c r="J4050">
        <v>8.28627710776495E-2</v>
      </c>
      <c r="K4050">
        <v>0.106677717325165</v>
      </c>
      <c r="L4050">
        <v>612.02107411209397</v>
      </c>
      <c r="M4050">
        <v>11.5461058158577</v>
      </c>
      <c r="N4050">
        <v>53.085333250752903</v>
      </c>
      <c r="O4050">
        <v>51.491478146815297</v>
      </c>
      <c r="P4050">
        <v>-5.5598623813685397E-2</v>
      </c>
      <c r="Q4050">
        <v>8.4780396352108402E-3</v>
      </c>
      <c r="R4050">
        <v>0.91080792967619895</v>
      </c>
      <c r="S4050" t="s">
        <v>9876</v>
      </c>
      <c r="T4050" t="s">
        <v>11650</v>
      </c>
      <c r="U4050" t="s">
        <v>11650</v>
      </c>
      <c r="V4050" t="s">
        <v>11650</v>
      </c>
      <c r="W4050" t="s">
        <v>15646</v>
      </c>
      <c r="X4050">
        <v>13</v>
      </c>
      <c r="Y4050" t="s">
        <v>21322</v>
      </c>
      <c r="Z4050" t="s">
        <v>27112</v>
      </c>
      <c r="AA4050">
        <v>0.46778735812541528</v>
      </c>
      <c r="AB4050" t="str">
        <f>HYPERLINK("Melting_Curves/meltCurve_Q8N2K0_ABHD12.pdf", "Melting_Curves/meltCurve_Q8N2K0_ABHD12.pdf")</f>
        <v>Melting_Curves/meltCurve_Q8N2K0_ABHD12.pdf</v>
      </c>
    </row>
    <row r="4051" spans="1:28" x14ac:dyDescent="0.25">
      <c r="A4051" t="s">
        <v>4055</v>
      </c>
      <c r="B4051">
        <v>0.99996721820229495</v>
      </c>
      <c r="C4051">
        <v>0.95724215826058601</v>
      </c>
      <c r="D4051">
        <v>0.79855914454166099</v>
      </c>
      <c r="E4051">
        <v>0.655084792565921</v>
      </c>
      <c r="F4051">
        <v>0.90796489221574705</v>
      </c>
      <c r="G4051">
        <v>0.81027075661690695</v>
      </c>
      <c r="H4051">
        <v>0.63913556149583095</v>
      </c>
      <c r="I4051">
        <v>0.68145637598860298</v>
      </c>
      <c r="J4051">
        <v>0.56133693856662503</v>
      </c>
      <c r="K4051">
        <v>0.41475509477154998</v>
      </c>
      <c r="L4051">
        <v>276.21260285195001</v>
      </c>
      <c r="M4051">
        <v>3.8943339723909798</v>
      </c>
      <c r="O4051">
        <v>57.726669739533698</v>
      </c>
      <c r="P4051">
        <v>-1.71015445350957E-2</v>
      </c>
      <c r="Q4051">
        <v>0</v>
      </c>
      <c r="R4051">
        <v>0.73340092442767302</v>
      </c>
      <c r="S4051" t="s">
        <v>9877</v>
      </c>
      <c r="T4051" t="s">
        <v>11650</v>
      </c>
      <c r="U4051" t="s">
        <v>11650</v>
      </c>
      <c r="V4051" t="s">
        <v>11650</v>
      </c>
      <c r="W4051" t="s">
        <v>15647</v>
      </c>
      <c r="X4051">
        <v>2</v>
      </c>
      <c r="Y4051" t="s">
        <v>21323</v>
      </c>
      <c r="Z4051" t="s">
        <v>27113</v>
      </c>
      <c r="AA4051">
        <v>0.74823214757987444</v>
      </c>
      <c r="AB4051" t="str">
        <f>HYPERLINK("Melting_Curves/meltCurve_Q8N300_CCDC23.pdf", "Melting_Curves/meltCurve_Q8N300_CCDC23.pdf")</f>
        <v>Melting_Curves/meltCurve_Q8N300_CCDC23.pdf</v>
      </c>
    </row>
    <row r="4052" spans="1:28" x14ac:dyDescent="0.25">
      <c r="A4052" t="s">
        <v>4056</v>
      </c>
      <c r="B4052">
        <v>0.99996721820229495</v>
      </c>
      <c r="C4052">
        <v>1.0589267079840301</v>
      </c>
      <c r="D4052">
        <v>0.97734552692877097</v>
      </c>
      <c r="E4052">
        <v>0.77367677234616905</v>
      </c>
      <c r="F4052">
        <v>0.50148525840728697</v>
      </c>
      <c r="G4052">
        <v>0.311780256020533</v>
      </c>
      <c r="H4052">
        <v>0.19523778355844101</v>
      </c>
      <c r="I4052">
        <v>0.14088822439564699</v>
      </c>
      <c r="J4052">
        <v>0.100645072249826</v>
      </c>
      <c r="K4052">
        <v>7.6063513634179306E-2</v>
      </c>
      <c r="L4052">
        <v>977.71462501194901</v>
      </c>
      <c r="M4052">
        <v>18.4797033301565</v>
      </c>
      <c r="N4052">
        <v>53.519331322796397</v>
      </c>
      <c r="O4052">
        <v>52.299609030405499</v>
      </c>
      <c r="P4052">
        <v>-7.9927983440171296E-2</v>
      </c>
      <c r="Q4052">
        <v>9.5220030058488905E-2</v>
      </c>
      <c r="R4052">
        <v>0.99307309440957803</v>
      </c>
      <c r="S4052" t="s">
        <v>9878</v>
      </c>
      <c r="T4052" t="s">
        <v>11650</v>
      </c>
      <c r="U4052" t="s">
        <v>11650</v>
      </c>
      <c r="V4052" t="s">
        <v>11650</v>
      </c>
      <c r="W4052" t="s">
        <v>15648</v>
      </c>
      <c r="X4052">
        <v>12</v>
      </c>
      <c r="Y4052" t="s">
        <v>21324</v>
      </c>
      <c r="Z4052" t="s">
        <v>27114</v>
      </c>
      <c r="AA4052">
        <v>0.4987208670244957</v>
      </c>
      <c r="AB4052" t="str">
        <f>HYPERLINK("Melting_Curves/meltCurve_Q8N335_GPD1L.pdf", "Melting_Curves/meltCurve_Q8N335_GPD1L.pdf")</f>
        <v>Melting_Curves/meltCurve_Q8N335_GPD1L.pdf</v>
      </c>
    </row>
    <row r="4053" spans="1:28" x14ac:dyDescent="0.25">
      <c r="A4053" t="s">
        <v>4057</v>
      </c>
      <c r="B4053">
        <v>0.99996721820229495</v>
      </c>
      <c r="C4053">
        <v>0.76233925500128097</v>
      </c>
      <c r="D4053">
        <v>0.66331418745440196</v>
      </c>
      <c r="E4053">
        <v>0.75346192950537205</v>
      </c>
      <c r="F4053">
        <v>0.90847377761458104</v>
      </c>
      <c r="G4053">
        <v>1.8692666678721801</v>
      </c>
      <c r="H4053">
        <v>1.31937575933498</v>
      </c>
      <c r="I4053">
        <v>1.2325467587957399</v>
      </c>
      <c r="J4053">
        <v>1.19149155453366</v>
      </c>
      <c r="K4053">
        <v>0.62084439525386104</v>
      </c>
      <c r="L4053">
        <v>15000</v>
      </c>
      <c r="M4053">
        <v>213.79243680858499</v>
      </c>
      <c r="Q4053">
        <v>0</v>
      </c>
      <c r="R4053">
        <v>0.101023384105606</v>
      </c>
      <c r="S4053" t="s">
        <v>9879</v>
      </c>
      <c r="T4053" t="s">
        <v>11650</v>
      </c>
      <c r="U4053" t="s">
        <v>11650</v>
      </c>
      <c r="V4053" t="s">
        <v>11650</v>
      </c>
      <c r="W4053" t="s">
        <v>15649</v>
      </c>
      <c r="X4053">
        <v>4</v>
      </c>
      <c r="Y4053" t="s">
        <v>21325</v>
      </c>
      <c r="Z4053" t="s">
        <v>27115</v>
      </c>
      <c r="AA4053">
        <v>0.99486385288260748</v>
      </c>
      <c r="AB4053" t="str">
        <f>HYPERLINK("Melting_Curves/meltCurve_Q8N339_MT1M.pdf", "Melting_Curves/meltCurve_Q8N339_MT1M.pdf")</f>
        <v>Melting_Curves/meltCurve_Q8N339_MT1M.pdf</v>
      </c>
    </row>
    <row r="4054" spans="1:28" x14ac:dyDescent="0.25">
      <c r="A4054" t="s">
        <v>4058</v>
      </c>
      <c r="B4054">
        <v>0.99996721820229495</v>
      </c>
      <c r="C4054">
        <v>0.86639643355860596</v>
      </c>
      <c r="D4054">
        <v>0.87911422545025197</v>
      </c>
      <c r="E4054">
        <v>0.96519651942096196</v>
      </c>
      <c r="F4054">
        <v>1.40390932643327</v>
      </c>
      <c r="G4054">
        <v>1.2336008649405299</v>
      </c>
      <c r="H4054">
        <v>0.95924990527776199</v>
      </c>
      <c r="I4054">
        <v>0.75521674035651998</v>
      </c>
      <c r="J4054">
        <v>0.54148765193402404</v>
      </c>
      <c r="K4054">
        <v>0.58964320433645401</v>
      </c>
      <c r="L4054">
        <v>4571.4115300055</v>
      </c>
      <c r="M4054">
        <v>71.723186224613301</v>
      </c>
      <c r="O4054">
        <v>63.687376923115799</v>
      </c>
      <c r="P4054">
        <v>-0.12366863262332101</v>
      </c>
      <c r="Q4054">
        <v>0.56074850933159603</v>
      </c>
      <c r="R4054">
        <v>0.59482646576197795</v>
      </c>
      <c r="S4054" t="s">
        <v>9880</v>
      </c>
      <c r="T4054" t="s">
        <v>11650</v>
      </c>
      <c r="U4054" t="s">
        <v>11650</v>
      </c>
      <c r="V4054" t="s">
        <v>11650</v>
      </c>
      <c r="W4054" t="s">
        <v>15650</v>
      </c>
      <c r="X4054">
        <v>10</v>
      </c>
      <c r="Y4054" t="s">
        <v>21326</v>
      </c>
      <c r="Z4054" t="s">
        <v>27116</v>
      </c>
      <c r="AA4054">
        <v>0.90886905403212315</v>
      </c>
      <c r="AB4054" t="str">
        <f>HYPERLINK("Melting_Curves/meltCurve_Q8N350_DOS.pdf", "Melting_Curves/meltCurve_Q8N350_DOS.pdf")</f>
        <v>Melting_Curves/meltCurve_Q8N350_DOS.pdf</v>
      </c>
    </row>
    <row r="4055" spans="1:28" x14ac:dyDescent="0.25">
      <c r="A4055" t="s">
        <v>4059</v>
      </c>
      <c r="B4055">
        <v>0.99996721820229495</v>
      </c>
      <c r="C4055">
        <v>1.0414702821864501</v>
      </c>
      <c r="D4055">
        <v>1.2939492531882499</v>
      </c>
      <c r="E4055">
        <v>1.18664914777061</v>
      </c>
      <c r="F4055">
        <v>1.4992758292320401</v>
      </c>
      <c r="G4055">
        <v>1.58505595893966</v>
      </c>
      <c r="H4055">
        <v>1.25362292398483</v>
      </c>
      <c r="I4055">
        <v>0.91518635431301598</v>
      </c>
      <c r="J4055">
        <v>0.49124681752330002</v>
      </c>
      <c r="K4055">
        <v>0.60788986211863205</v>
      </c>
      <c r="L4055">
        <v>15000</v>
      </c>
      <c r="M4055">
        <v>232.91442086349099</v>
      </c>
      <c r="O4055">
        <v>64.396588643206996</v>
      </c>
      <c r="P4055">
        <v>-0.40730610388139599</v>
      </c>
      <c r="Q4055">
        <v>0.54954917020386496</v>
      </c>
      <c r="R4055">
        <v>0.299880217257677</v>
      </c>
      <c r="S4055" t="s">
        <v>9881</v>
      </c>
      <c r="T4055" t="s">
        <v>11650</v>
      </c>
      <c r="U4055" t="s">
        <v>11650</v>
      </c>
      <c r="V4055" t="s">
        <v>11650</v>
      </c>
      <c r="W4055" t="s">
        <v>15651</v>
      </c>
      <c r="X4055">
        <v>4</v>
      </c>
      <c r="Y4055" t="s">
        <v>21327</v>
      </c>
      <c r="Z4055" t="s">
        <v>27117</v>
      </c>
      <c r="AA4055">
        <v>0.91599456972469229</v>
      </c>
      <c r="AB4055" t="str">
        <f>HYPERLINK("Melting_Curves/meltCurve_Q8N357_SLC35F6.pdf", "Melting_Curves/meltCurve_Q8N357_SLC35F6.pdf")</f>
        <v>Melting_Curves/meltCurve_Q8N357_SLC35F6.pdf</v>
      </c>
    </row>
    <row r="4056" spans="1:28" x14ac:dyDescent="0.25">
      <c r="A4056" t="s">
        <v>4060</v>
      </c>
      <c r="B4056">
        <v>0.99996721820229495</v>
      </c>
      <c r="C4056">
        <v>1.0542906596303201</v>
      </c>
      <c r="D4056">
        <v>1.00880687438306</v>
      </c>
      <c r="E4056">
        <v>0.523908660979856</v>
      </c>
      <c r="F4056">
        <v>0.25731531900076599</v>
      </c>
      <c r="G4056">
        <v>0.21509006769428399</v>
      </c>
      <c r="H4056">
        <v>0.15025585532657099</v>
      </c>
      <c r="I4056">
        <v>0.105233368591195</v>
      </c>
      <c r="J4056">
        <v>8.6421659232060702E-2</v>
      </c>
      <c r="K4056">
        <v>6.6419653812128596E-2</v>
      </c>
      <c r="L4056">
        <v>1660.0921562037699</v>
      </c>
      <c r="M4056">
        <v>33.245135813353698</v>
      </c>
      <c r="N4056">
        <v>50.361821977116101</v>
      </c>
      <c r="O4056">
        <v>49.755233839831902</v>
      </c>
      <c r="P4056">
        <v>-0.14653125974042899</v>
      </c>
      <c r="Q4056">
        <v>0.122798832394093</v>
      </c>
      <c r="R4056">
        <v>0.98751828999090496</v>
      </c>
      <c r="S4056" t="s">
        <v>9882</v>
      </c>
      <c r="T4056" t="s">
        <v>11650</v>
      </c>
      <c r="U4056" t="s">
        <v>11650</v>
      </c>
      <c r="V4056" t="s">
        <v>11650</v>
      </c>
      <c r="W4056" t="s">
        <v>15652</v>
      </c>
      <c r="X4056">
        <v>27</v>
      </c>
      <c r="Y4056" t="s">
        <v>21328</v>
      </c>
      <c r="Z4056" t="s">
        <v>27118</v>
      </c>
      <c r="AA4056">
        <v>0.41769756325900059</v>
      </c>
      <c r="AB4056" t="str">
        <f>HYPERLINK("Melting_Curves/meltCurve_Q8N392_ARHGAP18.pdf", "Melting_Curves/meltCurve_Q8N392_ARHGAP18.pdf")</f>
        <v>Melting_Curves/meltCurve_Q8N392_ARHGAP18.pdf</v>
      </c>
    </row>
    <row r="4057" spans="1:28" x14ac:dyDescent="0.25">
      <c r="A4057" t="s">
        <v>4061</v>
      </c>
      <c r="B4057">
        <v>0.99996721820229495</v>
      </c>
      <c r="C4057">
        <v>1.0880241559732999</v>
      </c>
      <c r="D4057">
        <v>0.95676646277669497</v>
      </c>
      <c r="E4057">
        <v>0.71068058822488001</v>
      </c>
      <c r="F4057">
        <v>0.67938967828260699</v>
      </c>
      <c r="G4057">
        <v>0.49809155698323698</v>
      </c>
      <c r="H4057">
        <v>0.382457409518067</v>
      </c>
      <c r="I4057">
        <v>0.344238333496588</v>
      </c>
      <c r="J4057">
        <v>0.28611887915120798</v>
      </c>
      <c r="K4057">
        <v>0.17509804004247301</v>
      </c>
      <c r="L4057">
        <v>627.47446613986006</v>
      </c>
      <c r="M4057">
        <v>11.420072472115301</v>
      </c>
      <c r="N4057">
        <v>56.980765594624799</v>
      </c>
      <c r="O4057">
        <v>53.3410539727779</v>
      </c>
      <c r="P4057">
        <v>-4.4570425199710301E-2</v>
      </c>
      <c r="Q4057">
        <v>0.16752209808898799</v>
      </c>
      <c r="R4057">
        <v>0.96909414418444395</v>
      </c>
      <c r="S4057" t="s">
        <v>9883</v>
      </c>
      <c r="T4057" t="s">
        <v>11650</v>
      </c>
      <c r="U4057" t="s">
        <v>11650</v>
      </c>
      <c r="V4057" t="s">
        <v>11650</v>
      </c>
      <c r="W4057" t="s">
        <v>15653</v>
      </c>
      <c r="X4057">
        <v>2</v>
      </c>
      <c r="Y4057" t="s">
        <v>21329</v>
      </c>
      <c r="Z4057" t="s">
        <v>27119</v>
      </c>
      <c r="AA4057">
        <v>0.60254078087543084</v>
      </c>
      <c r="AB4057" t="str">
        <f>HYPERLINK("Melting_Curves/meltCurve_Q8N3C0_4_ASCC3.pdf", "Melting_Curves/meltCurve_Q8N3C0_4_ASCC3.pdf")</f>
        <v>Melting_Curves/meltCurve_Q8N3C0_4_ASCC3.pdf</v>
      </c>
    </row>
    <row r="4058" spans="1:28" x14ac:dyDescent="0.25">
      <c r="A4058" t="s">
        <v>4062</v>
      </c>
      <c r="B4058">
        <v>0.99996721820229495</v>
      </c>
      <c r="C4058">
        <v>0.94812290918660302</v>
      </c>
      <c r="D4058">
        <v>0.77563544833764897</v>
      </c>
      <c r="E4058">
        <v>0.526642392504996</v>
      </c>
      <c r="F4058">
        <v>0.51421090134602299</v>
      </c>
      <c r="G4058">
        <v>0.43845094277282198</v>
      </c>
      <c r="H4058">
        <v>0.28222470127516203</v>
      </c>
      <c r="I4058">
        <v>0.17189604187975799</v>
      </c>
      <c r="J4058">
        <v>0.12737327904290899</v>
      </c>
      <c r="K4058">
        <v>0.112730413930737</v>
      </c>
      <c r="L4058">
        <v>453.34170820484002</v>
      </c>
      <c r="M4058">
        <v>8.5302298035826407</v>
      </c>
      <c r="N4058">
        <v>53.200355726361003</v>
      </c>
      <c r="O4058">
        <v>50.4660965703466</v>
      </c>
      <c r="P4058">
        <v>-4.2108972686962898E-2</v>
      </c>
      <c r="Q4058">
        <v>4.3936942758301799E-3</v>
      </c>
      <c r="R4058">
        <v>0.97296139025225403</v>
      </c>
      <c r="S4058" t="s">
        <v>9884</v>
      </c>
      <c r="T4058" t="s">
        <v>11650</v>
      </c>
      <c r="U4058" t="s">
        <v>11650</v>
      </c>
      <c r="V4058" t="s">
        <v>11650</v>
      </c>
      <c r="W4058" t="s">
        <v>15654</v>
      </c>
      <c r="X4058">
        <v>29</v>
      </c>
      <c r="Y4058" t="s">
        <v>21330</v>
      </c>
      <c r="Z4058" t="s">
        <v>27120</v>
      </c>
      <c r="AA4058">
        <v>0.47858524495701332</v>
      </c>
      <c r="AB4058" t="str">
        <f>HYPERLINK("Melting_Curves/meltCurve_Q8N3D4_EHBP1L1.pdf", "Melting_Curves/meltCurve_Q8N3D4_EHBP1L1.pdf")</f>
        <v>Melting_Curves/meltCurve_Q8N3D4_EHBP1L1.pdf</v>
      </c>
    </row>
    <row r="4059" spans="1:28" x14ac:dyDescent="0.25">
      <c r="A4059" t="s">
        <v>4063</v>
      </c>
      <c r="B4059">
        <v>0.99996721820229495</v>
      </c>
      <c r="C4059">
        <v>0.96644596587398601</v>
      </c>
      <c r="D4059">
        <v>1.06761263749709</v>
      </c>
      <c r="E4059">
        <v>1.40786003504819</v>
      </c>
      <c r="F4059">
        <v>2.0802915930193202</v>
      </c>
      <c r="G4059">
        <v>2.8802704894465299</v>
      </c>
      <c r="H4059">
        <v>0.85342550927241001</v>
      </c>
      <c r="I4059">
        <v>0.33814446919086899</v>
      </c>
      <c r="J4059">
        <v>0.23108065442418599</v>
      </c>
      <c r="K4059">
        <v>0.20384614719911001</v>
      </c>
      <c r="L4059">
        <v>4765.8001179584298</v>
      </c>
      <c r="M4059">
        <v>76.421032697907606</v>
      </c>
      <c r="N4059">
        <v>62.846554358547699</v>
      </c>
      <c r="O4059">
        <v>62.319733884551198</v>
      </c>
      <c r="P4059">
        <v>-0.23836333259492901</v>
      </c>
      <c r="Q4059">
        <v>0.222478913393751</v>
      </c>
      <c r="R4059">
        <v>0.24407352976208799</v>
      </c>
      <c r="S4059" t="s">
        <v>9885</v>
      </c>
      <c r="T4059" t="s">
        <v>11650</v>
      </c>
      <c r="U4059" t="s">
        <v>11650</v>
      </c>
      <c r="V4059" t="s">
        <v>11650</v>
      </c>
      <c r="W4059" t="s">
        <v>15655</v>
      </c>
      <c r="X4059">
        <v>12</v>
      </c>
      <c r="Y4059" t="s">
        <v>21331</v>
      </c>
      <c r="Z4059" t="s">
        <v>27121</v>
      </c>
      <c r="AA4059">
        <v>0.80295994232975365</v>
      </c>
      <c r="AB4059" t="str">
        <f>HYPERLINK("Melting_Curves/meltCurve_Q8N3F8_MICALL1.pdf", "Melting_Curves/meltCurve_Q8N3F8_MICALL1.pdf")</f>
        <v>Melting_Curves/meltCurve_Q8N3F8_MICALL1.pdf</v>
      </c>
    </row>
    <row r="4060" spans="1:28" x14ac:dyDescent="0.25">
      <c r="A4060" t="s">
        <v>4064</v>
      </c>
      <c r="B4060">
        <v>0.99996721820229495</v>
      </c>
      <c r="C4060">
        <v>0.81736278407552099</v>
      </c>
      <c r="D4060">
        <v>0.56429373586609299</v>
      </c>
      <c r="E4060">
        <v>0.49960605074865</v>
      </c>
      <c r="F4060">
        <v>0.62522438915650502</v>
      </c>
      <c r="G4060">
        <v>0.67611380436875401</v>
      </c>
      <c r="H4060">
        <v>0.43469119854291499</v>
      </c>
      <c r="I4060">
        <v>0.34042165842584599</v>
      </c>
      <c r="J4060">
        <v>0.240195860326505</v>
      </c>
      <c r="K4060">
        <v>0.196284619886297</v>
      </c>
      <c r="L4060">
        <v>269.80896832197197</v>
      </c>
      <c r="M4060">
        <v>4.8519156432908801</v>
      </c>
      <c r="N4060">
        <v>55.608750879687598</v>
      </c>
      <c r="O4060">
        <v>48.186703803586397</v>
      </c>
      <c r="P4060">
        <v>-2.5343394080499401E-2</v>
      </c>
      <c r="Q4060">
        <v>0</v>
      </c>
      <c r="R4060">
        <v>0.78894577485206596</v>
      </c>
      <c r="S4060" t="s">
        <v>9886</v>
      </c>
      <c r="T4060" t="s">
        <v>11650</v>
      </c>
      <c r="U4060" t="s">
        <v>11650</v>
      </c>
      <c r="V4060" t="s">
        <v>11650</v>
      </c>
      <c r="W4060" t="s">
        <v>15656</v>
      </c>
      <c r="X4060">
        <v>2</v>
      </c>
      <c r="Y4060" t="s">
        <v>21332</v>
      </c>
      <c r="Z4060" t="s">
        <v>27122</v>
      </c>
      <c r="AA4060">
        <v>0.53568770990503611</v>
      </c>
      <c r="AB4060" t="str">
        <f>HYPERLINK("Melting_Curves/meltCurve_Q8N3R9_MPP5.pdf", "Melting_Curves/meltCurve_Q8N3R9_MPP5.pdf")</f>
        <v>Melting_Curves/meltCurve_Q8N3R9_MPP5.pdf</v>
      </c>
    </row>
    <row r="4061" spans="1:28" x14ac:dyDescent="0.25">
      <c r="A4061" t="s">
        <v>4065</v>
      </c>
      <c r="B4061">
        <v>0.99996721820229495</v>
      </c>
      <c r="C4061">
        <v>0.87368067012803396</v>
      </c>
      <c r="D4061">
        <v>0.82958790827260798</v>
      </c>
      <c r="E4061">
        <v>0.88688926347788999</v>
      </c>
      <c r="F4061">
        <v>1.0327514180263899</v>
      </c>
      <c r="G4061">
        <v>0.91141030627367103</v>
      </c>
      <c r="H4061">
        <v>0.62307883340848003</v>
      </c>
      <c r="I4061">
        <v>0.538718537621238</v>
      </c>
      <c r="J4061">
        <v>0.53425790239223603</v>
      </c>
      <c r="K4061">
        <v>0.52016812977779303</v>
      </c>
      <c r="L4061">
        <v>2507.09005354895</v>
      </c>
      <c r="M4061">
        <v>42.4653754274321</v>
      </c>
      <c r="O4061">
        <v>58.907968237683903</v>
      </c>
      <c r="P4061">
        <v>-8.5685164926085397E-2</v>
      </c>
      <c r="Q4061">
        <v>0.52455085190985595</v>
      </c>
      <c r="R4061">
        <v>0.83688073298927201</v>
      </c>
      <c r="S4061" t="s">
        <v>9887</v>
      </c>
      <c r="T4061" t="s">
        <v>11650</v>
      </c>
      <c r="U4061" t="s">
        <v>11650</v>
      </c>
      <c r="V4061" t="s">
        <v>11650</v>
      </c>
      <c r="W4061" t="s">
        <v>15657</v>
      </c>
      <c r="X4061">
        <v>6</v>
      </c>
      <c r="Y4061" t="s">
        <v>21333</v>
      </c>
      <c r="Z4061" t="s">
        <v>27123</v>
      </c>
      <c r="AA4061">
        <v>0.82795582493801401</v>
      </c>
      <c r="AB4061" t="str">
        <f>HYPERLINK("Melting_Curves/meltCurve_Q8N3V7_2_SYNPO.pdf", "Melting_Curves/meltCurve_Q8N3V7_2_SYNPO.pdf")</f>
        <v>Melting_Curves/meltCurve_Q8N3V7_2_SYNPO.pdf</v>
      </c>
    </row>
    <row r="4062" spans="1:28" x14ac:dyDescent="0.25">
      <c r="A4062" t="s">
        <v>4066</v>
      </c>
      <c r="B4062">
        <v>0.99996721820229495</v>
      </c>
      <c r="C4062">
        <v>1.00811009209544</v>
      </c>
      <c r="D4062">
        <v>1.0082914042342801</v>
      </c>
      <c r="E4062">
        <v>1.2017283251584301</v>
      </c>
      <c r="F4062">
        <v>1.7817464696324901</v>
      </c>
      <c r="G4062">
        <v>1.74804672512257</v>
      </c>
      <c r="H4062">
        <v>1.4164071071632001</v>
      </c>
      <c r="I4062">
        <v>1.01254903467404</v>
      </c>
      <c r="J4062">
        <v>0.78685779300665004</v>
      </c>
      <c r="K4062">
        <v>0.68972714827928505</v>
      </c>
      <c r="L4062">
        <v>15000</v>
      </c>
      <c r="M4062">
        <v>224.666330084816</v>
      </c>
      <c r="O4062">
        <v>66.760385798527295</v>
      </c>
      <c r="P4062">
        <v>-0.26104702295876098</v>
      </c>
      <c r="Q4062">
        <v>0.68971584498246097</v>
      </c>
      <c r="R4062">
        <v>-0.105062514660057</v>
      </c>
      <c r="S4062" t="s">
        <v>9888</v>
      </c>
      <c r="T4062" t="s">
        <v>11650</v>
      </c>
      <c r="U4062" t="s">
        <v>11650</v>
      </c>
      <c r="V4062" t="s">
        <v>11650</v>
      </c>
      <c r="W4062" t="s">
        <v>15658</v>
      </c>
      <c r="X4062">
        <v>7</v>
      </c>
      <c r="Y4062" t="s">
        <v>21334</v>
      </c>
      <c r="Z4062" t="s">
        <v>27124</v>
      </c>
      <c r="AA4062">
        <v>0.9665929594856747</v>
      </c>
      <c r="AB4062" t="str">
        <f>HYPERLINK("Melting_Curves/meltCurve_Q8N3X1_FNBP4.pdf", "Melting_Curves/meltCurve_Q8N3X1_FNBP4.pdf")</f>
        <v>Melting_Curves/meltCurve_Q8N3X1_FNBP4.pdf</v>
      </c>
    </row>
    <row r="4063" spans="1:28" x14ac:dyDescent="0.25">
      <c r="A4063" t="s">
        <v>4067</v>
      </c>
      <c r="B4063">
        <v>0.99996721820229495</v>
      </c>
      <c r="C4063">
        <v>0.958174523689722</v>
      </c>
      <c r="D4063">
        <v>1.0224764754714599</v>
      </c>
      <c r="E4063">
        <v>1.1033085385616801</v>
      </c>
      <c r="F4063">
        <v>1.27987367081333</v>
      </c>
      <c r="G4063">
        <v>0.90167565893326096</v>
      </c>
      <c r="H4063">
        <v>0.37855428048392398</v>
      </c>
      <c r="I4063">
        <v>0.201314292103524</v>
      </c>
      <c r="J4063">
        <v>0.17798846192723899</v>
      </c>
      <c r="K4063">
        <v>0.102054142112229</v>
      </c>
      <c r="L4063">
        <v>2740.1241215312598</v>
      </c>
      <c r="M4063">
        <v>45.876194956156397</v>
      </c>
      <c r="N4063">
        <v>60.174806715236798</v>
      </c>
      <c r="O4063">
        <v>59.615511528625603</v>
      </c>
      <c r="P4063">
        <v>-0.16464983858142801</v>
      </c>
      <c r="Q4063">
        <v>0.14415985989910601</v>
      </c>
      <c r="R4063">
        <v>0.94616246143546301</v>
      </c>
      <c r="S4063" t="s">
        <v>9889</v>
      </c>
      <c r="T4063" t="s">
        <v>11650</v>
      </c>
      <c r="U4063" t="s">
        <v>11650</v>
      </c>
      <c r="V4063" t="s">
        <v>11650</v>
      </c>
      <c r="W4063" t="s">
        <v>15659</v>
      </c>
      <c r="X4063">
        <v>4</v>
      </c>
      <c r="Y4063" t="s">
        <v>21335</v>
      </c>
      <c r="Z4063" t="s">
        <v>27125</v>
      </c>
      <c r="AA4063">
        <v>0.70959656162198392</v>
      </c>
      <c r="AB4063" t="str">
        <f>HYPERLINK("Melting_Curves/meltCurve_Q8N465_D2HGDH.pdf", "Melting_Curves/meltCurve_Q8N465_D2HGDH.pdf")</f>
        <v>Melting_Curves/meltCurve_Q8N465_D2HGDH.pdf</v>
      </c>
    </row>
    <row r="4064" spans="1:28" x14ac:dyDescent="0.25">
      <c r="A4064" t="s">
        <v>4068</v>
      </c>
      <c r="B4064">
        <v>0.99996721820229495</v>
      </c>
      <c r="C4064">
        <v>1.01156412442604</v>
      </c>
      <c r="D4064">
        <v>1.01701509401834</v>
      </c>
      <c r="E4064">
        <v>1.12967336988178</v>
      </c>
      <c r="F4064">
        <v>1.44967826986293</v>
      </c>
      <c r="G4064">
        <v>1.6414057323859701</v>
      </c>
      <c r="H4064">
        <v>1.0464918033722701</v>
      </c>
      <c r="I4064">
        <v>0.64247131623930798</v>
      </c>
      <c r="J4064">
        <v>0.51972850504991297</v>
      </c>
      <c r="K4064">
        <v>0.36143550126439999</v>
      </c>
      <c r="L4064">
        <v>10168.270039416801</v>
      </c>
      <c r="M4064">
        <v>159.446419084322</v>
      </c>
      <c r="N4064">
        <v>64.633950166737307</v>
      </c>
      <c r="O4064">
        <v>63.7622965987931</v>
      </c>
      <c r="P4064">
        <v>-0.34989323278987799</v>
      </c>
      <c r="Q4064">
        <v>0.44031361312036199</v>
      </c>
      <c r="R4064">
        <v>0.53758222856944804</v>
      </c>
      <c r="S4064" t="s">
        <v>9890</v>
      </c>
      <c r="T4064" t="s">
        <v>11650</v>
      </c>
      <c r="U4064" t="s">
        <v>11650</v>
      </c>
      <c r="V4064" t="s">
        <v>11650</v>
      </c>
      <c r="W4064" t="s">
        <v>15660</v>
      </c>
      <c r="X4064">
        <v>1</v>
      </c>
      <c r="Y4064" t="s">
        <v>21336</v>
      </c>
      <c r="Z4064" t="s">
        <v>27126</v>
      </c>
      <c r="AA4064">
        <v>0.88396934395477655</v>
      </c>
      <c r="AB4064" t="str">
        <f>HYPERLINK("Melting_Curves/meltCurve_Q8N474_SFRP1.pdf", "Melting_Curves/meltCurve_Q8N474_SFRP1.pdf")</f>
        <v>Melting_Curves/meltCurve_Q8N474_SFRP1.pdf</v>
      </c>
    </row>
    <row r="4065" spans="1:28" x14ac:dyDescent="0.25">
      <c r="A4065" t="s">
        <v>4069</v>
      </c>
      <c r="B4065">
        <v>0.99996721820229495</v>
      </c>
      <c r="C4065">
        <v>1.1121393194837901</v>
      </c>
      <c r="D4065">
        <v>1.05160542441826</v>
      </c>
      <c r="E4065">
        <v>1.1488337756803499</v>
      </c>
      <c r="F4065">
        <v>1.1718600051977901</v>
      </c>
      <c r="G4065">
        <v>1.69411469540128</v>
      </c>
      <c r="H4065">
        <v>1.15465701978179</v>
      </c>
      <c r="I4065">
        <v>0.83421985826133904</v>
      </c>
      <c r="J4065">
        <v>0.54061101277069101</v>
      </c>
      <c r="K4065">
        <v>0.30964591215635701</v>
      </c>
      <c r="L4065">
        <v>3289.7032228409098</v>
      </c>
      <c r="M4065">
        <v>49.760130491677998</v>
      </c>
      <c r="N4065">
        <v>67.186583183741604</v>
      </c>
      <c r="O4065">
        <v>66.004727414476406</v>
      </c>
      <c r="P4065">
        <v>-0.13673005842762101</v>
      </c>
      <c r="Q4065">
        <v>0.27453402943947702</v>
      </c>
      <c r="R4065">
        <v>0.55016367032331803</v>
      </c>
      <c r="S4065" t="s">
        <v>9891</v>
      </c>
      <c r="T4065" t="s">
        <v>11650</v>
      </c>
      <c r="U4065" t="s">
        <v>11650</v>
      </c>
      <c r="V4065" t="s">
        <v>11650</v>
      </c>
      <c r="W4065" t="s">
        <v>15661</v>
      </c>
      <c r="X4065">
        <v>1</v>
      </c>
      <c r="Y4065" t="s">
        <v>21337</v>
      </c>
      <c r="Z4065" t="s">
        <v>27127</v>
      </c>
      <c r="AA4065">
        <v>0.90579409453071191</v>
      </c>
      <c r="AB4065" t="str">
        <f>HYPERLINK("Melting_Curves/meltCurve_Q8N488_RYBP.pdf", "Melting_Curves/meltCurve_Q8N488_RYBP.pdf")</f>
        <v>Melting_Curves/meltCurve_Q8N488_RYBP.pdf</v>
      </c>
    </row>
    <row r="4066" spans="1:28" x14ac:dyDescent="0.25">
      <c r="A4066" t="s">
        <v>4070</v>
      </c>
      <c r="B4066">
        <v>0.99996721820229495</v>
      </c>
      <c r="C4066">
        <v>0.92591294183123996</v>
      </c>
      <c r="D4066">
        <v>0.95249093151908004</v>
      </c>
      <c r="E4066">
        <v>1.0414569124014299</v>
      </c>
      <c r="F4066">
        <v>1.34719846156928</v>
      </c>
      <c r="G4066">
        <v>1.7439211291138099</v>
      </c>
      <c r="H4066">
        <v>0.88930958969221796</v>
      </c>
      <c r="I4066">
        <v>0.55238773416749398</v>
      </c>
      <c r="J4066">
        <v>0.46402706202305199</v>
      </c>
      <c r="K4066">
        <v>0.38540212072965802</v>
      </c>
      <c r="L4066">
        <v>3945.27373758558</v>
      </c>
      <c r="M4066">
        <v>62.937163090657201</v>
      </c>
      <c r="N4066">
        <v>64.575109019359203</v>
      </c>
      <c r="O4066">
        <v>62.622720767078498</v>
      </c>
      <c r="P4066">
        <v>-0.145553791493336</v>
      </c>
      <c r="Q4066">
        <v>0.42069385265421899</v>
      </c>
      <c r="R4066">
        <v>0.545004630764506</v>
      </c>
      <c r="S4066" t="s">
        <v>9892</v>
      </c>
      <c r="T4066" t="s">
        <v>11650</v>
      </c>
      <c r="U4066" t="s">
        <v>11650</v>
      </c>
      <c r="V4066" t="s">
        <v>11650</v>
      </c>
      <c r="W4066" t="s">
        <v>15662</v>
      </c>
      <c r="X4066">
        <v>1</v>
      </c>
      <c r="Y4066" t="s">
        <v>21338</v>
      </c>
      <c r="Z4066" t="s">
        <v>27128</v>
      </c>
      <c r="AA4066">
        <v>0.8597377938849815</v>
      </c>
      <c r="AB4066" t="str">
        <f>HYPERLINK("Melting_Curves/meltCurve_Q8N490_2_PNKD.pdf", "Melting_Curves/meltCurve_Q8N490_2_PNKD.pdf")</f>
        <v>Melting_Curves/meltCurve_Q8N490_2_PNKD.pdf</v>
      </c>
    </row>
    <row r="4067" spans="1:28" x14ac:dyDescent="0.25">
      <c r="A4067" t="s">
        <v>4071</v>
      </c>
      <c r="B4067">
        <v>0.99996721820229495</v>
      </c>
      <c r="C4067">
        <v>0.78425115097222098</v>
      </c>
      <c r="D4067">
        <v>0.70343723013704695</v>
      </c>
      <c r="E4067">
        <v>0.93167143274516695</v>
      </c>
      <c r="F4067">
        <v>1.1575710204104299</v>
      </c>
      <c r="G4067">
        <v>0.954925195947533</v>
      </c>
      <c r="H4067">
        <v>0.73808689321063103</v>
      </c>
      <c r="I4067">
        <v>0.54579976555526599</v>
      </c>
      <c r="J4067">
        <v>0.42656903164243198</v>
      </c>
      <c r="K4067">
        <v>0.42818796116006502</v>
      </c>
      <c r="L4067">
        <v>2141.2747754400398</v>
      </c>
      <c r="M4067">
        <v>34.836895740903302</v>
      </c>
      <c r="N4067">
        <v>64.703684886713006</v>
      </c>
      <c r="O4067">
        <v>61.264234753783803</v>
      </c>
      <c r="P4067">
        <v>-8.3513690387342104E-2</v>
      </c>
      <c r="Q4067">
        <v>0.41253273674017898</v>
      </c>
      <c r="R4067">
        <v>0.70148679390994595</v>
      </c>
      <c r="S4067" t="s">
        <v>9893</v>
      </c>
      <c r="T4067" t="s">
        <v>11650</v>
      </c>
      <c r="U4067" t="s">
        <v>11650</v>
      </c>
      <c r="V4067" t="s">
        <v>11650</v>
      </c>
      <c r="W4067" t="s">
        <v>15663</v>
      </c>
      <c r="X4067">
        <v>1</v>
      </c>
      <c r="Y4067" t="s">
        <v>21339</v>
      </c>
      <c r="Z4067" t="s">
        <v>27129</v>
      </c>
      <c r="AA4067">
        <v>0.835497671131611</v>
      </c>
      <c r="AB4067" t="str">
        <f>HYPERLINK("Melting_Curves/meltCurve_Q8N4B1_2_FAM109A.pdf", "Melting_Curves/meltCurve_Q8N4B1_2_FAM109A.pdf")</f>
        <v>Melting_Curves/meltCurve_Q8N4B1_2_FAM109A.pdf</v>
      </c>
    </row>
    <row r="4068" spans="1:28" x14ac:dyDescent="0.25">
      <c r="A4068" t="s">
        <v>4072</v>
      </c>
      <c r="B4068">
        <v>0.99996721820229495</v>
      </c>
      <c r="C4068">
        <v>0.89205854112023997</v>
      </c>
      <c r="D4068">
        <v>0.77134932102009501</v>
      </c>
      <c r="E4068">
        <v>0.57586456590780999</v>
      </c>
      <c r="F4068">
        <v>0.32063988224684897</v>
      </c>
      <c r="G4068">
        <v>0.33826238005007397</v>
      </c>
      <c r="H4068">
        <v>0.22299829816543601</v>
      </c>
      <c r="I4068">
        <v>0.21592957813395799</v>
      </c>
      <c r="J4068">
        <v>0.371891905030237</v>
      </c>
      <c r="K4068">
        <v>0.12626272698272001</v>
      </c>
      <c r="L4068">
        <v>764.88830384834102</v>
      </c>
      <c r="M4068">
        <v>15.7188335447777</v>
      </c>
      <c r="N4068">
        <v>50.538210004731603</v>
      </c>
      <c r="O4068">
        <v>47.893489758880001</v>
      </c>
      <c r="P4068">
        <v>-6.3909720659384897E-2</v>
      </c>
      <c r="Q4068">
        <v>0.22116322249088599</v>
      </c>
      <c r="R4068">
        <v>0.95122405469884797</v>
      </c>
      <c r="S4068" t="s">
        <v>9894</v>
      </c>
      <c r="T4068" t="s">
        <v>11650</v>
      </c>
      <c r="U4068" t="s">
        <v>11650</v>
      </c>
      <c r="V4068" t="s">
        <v>11650</v>
      </c>
      <c r="W4068" t="s">
        <v>15664</v>
      </c>
      <c r="X4068">
        <v>11</v>
      </c>
      <c r="Y4068" t="s">
        <v>21340</v>
      </c>
      <c r="Z4068" t="s">
        <v>27130</v>
      </c>
      <c r="AA4068">
        <v>0.46379431552204559</v>
      </c>
      <c r="AB4068" t="str">
        <f>HYPERLINK("Melting_Curves/meltCurve_Q8N4C8_MINK1.pdf", "Melting_Curves/meltCurve_Q8N4C8_MINK1.pdf")</f>
        <v>Melting_Curves/meltCurve_Q8N4C8_MINK1.pdf</v>
      </c>
    </row>
    <row r="4069" spans="1:28" x14ac:dyDescent="0.25">
      <c r="A4069" t="s">
        <v>4073</v>
      </c>
      <c r="B4069">
        <v>0.99996721820229495</v>
      </c>
      <c r="C4069">
        <v>0.90326928393707395</v>
      </c>
      <c r="D4069">
        <v>1.01101244990186</v>
      </c>
      <c r="E4069">
        <v>0.99072226474546898</v>
      </c>
      <c r="F4069">
        <v>0.68748013244581796</v>
      </c>
      <c r="G4069">
        <v>0.64038048503903</v>
      </c>
      <c r="H4069">
        <v>0.47029914553089902</v>
      </c>
      <c r="I4069">
        <v>0.39441631127761501</v>
      </c>
      <c r="J4069">
        <v>0.27943216919892799</v>
      </c>
      <c r="K4069">
        <v>0.27071237123197001</v>
      </c>
      <c r="L4069">
        <v>709.81829666277804</v>
      </c>
      <c r="M4069">
        <v>12.31214344786</v>
      </c>
      <c r="N4069">
        <v>59.889270928238901</v>
      </c>
      <c r="O4069">
        <v>56.194299868176202</v>
      </c>
      <c r="P4069">
        <v>-4.4687023072228098E-2</v>
      </c>
      <c r="Q4069">
        <v>0.18434728509927201</v>
      </c>
      <c r="R4069">
        <v>0.96038143007561605</v>
      </c>
      <c r="S4069" t="s">
        <v>9895</v>
      </c>
      <c r="T4069" t="s">
        <v>11650</v>
      </c>
      <c r="U4069" t="s">
        <v>11650</v>
      </c>
      <c r="V4069" t="s">
        <v>11650</v>
      </c>
      <c r="W4069" t="s">
        <v>15665</v>
      </c>
      <c r="X4069">
        <v>4</v>
      </c>
      <c r="Y4069" t="s">
        <v>21341</v>
      </c>
      <c r="Z4069" t="s">
        <v>27131</v>
      </c>
      <c r="AA4069">
        <v>0.67598395092452424</v>
      </c>
      <c r="AB4069" t="str">
        <f>HYPERLINK("Melting_Curves/meltCurve_Q8N4H5_TOMM5.pdf", "Melting_Curves/meltCurve_Q8N4H5_TOMM5.pdf")</f>
        <v>Melting_Curves/meltCurve_Q8N4H5_TOMM5.pdf</v>
      </c>
    </row>
    <row r="4070" spans="1:28" x14ac:dyDescent="0.25">
      <c r="A4070" t="s">
        <v>4074</v>
      </c>
      <c r="B4070">
        <v>0.99996721820229495</v>
      </c>
      <c r="C4070">
        <v>0.95707849796503497</v>
      </c>
      <c r="D4070">
        <v>0.81665425327075403</v>
      </c>
      <c r="E4070">
        <v>0.63679636550169605</v>
      </c>
      <c r="F4070">
        <v>0.533512316386343</v>
      </c>
      <c r="G4070">
        <v>0.367577960912228</v>
      </c>
      <c r="H4070">
        <v>0.18200099219297999</v>
      </c>
      <c r="I4070">
        <v>0.122384031629985</v>
      </c>
      <c r="J4070">
        <v>8.9739055859544004E-2</v>
      </c>
      <c r="K4070">
        <v>7.8295059898425196E-2</v>
      </c>
      <c r="L4070">
        <v>571.96160299763199</v>
      </c>
      <c r="M4070">
        <v>10.744399056520599</v>
      </c>
      <c r="N4070">
        <v>53.233464775767096</v>
      </c>
      <c r="O4070">
        <v>51.488859782397498</v>
      </c>
      <c r="P4070">
        <v>-5.2187829290645797E-2</v>
      </c>
      <c r="Q4070">
        <v>0</v>
      </c>
      <c r="R4070">
        <v>0.994915524378573</v>
      </c>
      <c r="S4070" t="s">
        <v>9896</v>
      </c>
      <c r="T4070" t="s">
        <v>11650</v>
      </c>
      <c r="U4070" t="s">
        <v>11650</v>
      </c>
      <c r="V4070" t="s">
        <v>11650</v>
      </c>
      <c r="W4070" t="s">
        <v>15666</v>
      </c>
      <c r="X4070">
        <v>4</v>
      </c>
      <c r="Y4070" t="s">
        <v>21342</v>
      </c>
      <c r="Z4070" t="s">
        <v>27132</v>
      </c>
      <c r="AA4070">
        <v>0.47234477339076442</v>
      </c>
      <c r="AB4070" t="str">
        <f>HYPERLINK("Melting_Curves/meltCurve_Q8N4P3_HDDC3.pdf", "Melting_Curves/meltCurve_Q8N4P3_HDDC3.pdf")</f>
        <v>Melting_Curves/meltCurve_Q8N4P3_HDDC3.pdf</v>
      </c>
    </row>
    <row r="4071" spans="1:28" x14ac:dyDescent="0.25">
      <c r="A4071" t="s">
        <v>4075</v>
      </c>
      <c r="B4071">
        <v>0.99996721820229495</v>
      </c>
      <c r="C4071">
        <v>0.99160492809200396</v>
      </c>
      <c r="D4071">
        <v>0.91086086920915399</v>
      </c>
      <c r="E4071">
        <v>0.68339337273859802</v>
      </c>
      <c r="F4071">
        <v>0.48787625974863502</v>
      </c>
      <c r="G4071">
        <v>0.242082666723168</v>
      </c>
      <c r="H4071">
        <v>0.120300704634532</v>
      </c>
      <c r="I4071">
        <v>6.6837303363023001E-2</v>
      </c>
      <c r="J4071">
        <v>1.6868867297534899E-2</v>
      </c>
      <c r="K4071">
        <v>2.2050024316436899E-2</v>
      </c>
      <c r="L4071">
        <v>810.53239046878195</v>
      </c>
      <c r="M4071">
        <v>15.366877192492501</v>
      </c>
      <c r="N4071">
        <v>52.745429740736498</v>
      </c>
      <c r="O4071">
        <v>51.876394505653401</v>
      </c>
      <c r="P4071">
        <v>-7.4062054699486499E-2</v>
      </c>
      <c r="Q4071">
        <v>0</v>
      </c>
      <c r="R4071">
        <v>0.99916503408637702</v>
      </c>
      <c r="S4071" t="s">
        <v>9897</v>
      </c>
      <c r="T4071" t="s">
        <v>11650</v>
      </c>
      <c r="U4071" t="s">
        <v>11650</v>
      </c>
      <c r="V4071" t="s">
        <v>11650</v>
      </c>
      <c r="W4071" t="s">
        <v>15667</v>
      </c>
      <c r="X4071">
        <v>3</v>
      </c>
      <c r="Y4071" t="s">
        <v>21343</v>
      </c>
      <c r="Z4071" t="s">
        <v>27133</v>
      </c>
      <c r="AA4071">
        <v>0.44584747069076608</v>
      </c>
      <c r="AB4071" t="str">
        <f>HYPERLINK("Melting_Curves/meltCurve_Q8N4Q0_ZADH2.pdf", "Melting_Curves/meltCurve_Q8N4Q0_ZADH2.pdf")</f>
        <v>Melting_Curves/meltCurve_Q8N4Q0_ZADH2.pdf</v>
      </c>
    </row>
    <row r="4072" spans="1:28" x14ac:dyDescent="0.25">
      <c r="A4072" t="s">
        <v>4076</v>
      </c>
      <c r="B4072">
        <v>0.99996721820229495</v>
      </c>
      <c r="C4072">
        <v>1.3129765675278899</v>
      </c>
      <c r="D4072">
        <v>1.10567484769169</v>
      </c>
      <c r="E4072">
        <v>1.19640546257978</v>
      </c>
      <c r="F4072">
        <v>1.5610773609336701</v>
      </c>
      <c r="G4072">
        <v>2.3046456322686502</v>
      </c>
      <c r="H4072">
        <v>1.65725607029424</v>
      </c>
      <c r="I4072">
        <v>1.7768402437530899</v>
      </c>
      <c r="J4072">
        <v>1.80842026446419</v>
      </c>
      <c r="K4072">
        <v>1.18114107555305</v>
      </c>
      <c r="L4072">
        <v>12521.7754829064</v>
      </c>
      <c r="M4072">
        <v>250</v>
      </c>
      <c r="O4072">
        <v>50.083896509792602</v>
      </c>
      <c r="P4072">
        <v>0.62395304883065705</v>
      </c>
      <c r="Q4072">
        <v>1.5</v>
      </c>
      <c r="R4072">
        <v>0.28535202236778001</v>
      </c>
      <c r="S4072" t="s">
        <v>9898</v>
      </c>
      <c r="T4072" t="s">
        <v>11650</v>
      </c>
      <c r="U4072" t="s">
        <v>11650</v>
      </c>
      <c r="V4072" t="s">
        <v>11650</v>
      </c>
      <c r="W4072" t="s">
        <v>15668</v>
      </c>
      <c r="X4072">
        <v>1</v>
      </c>
      <c r="Y4072" t="s">
        <v>21344</v>
      </c>
      <c r="Z4072" t="s">
        <v>27134</v>
      </c>
      <c r="AA4072">
        <v>1.3318376834307251</v>
      </c>
      <c r="AB4072" t="str">
        <f>HYPERLINK("Melting_Curves/meltCurve_Q8N4Q1_CHCHD4.pdf", "Melting_Curves/meltCurve_Q8N4Q1_CHCHD4.pdf")</f>
        <v>Melting_Curves/meltCurve_Q8N4Q1_CHCHD4.pdf</v>
      </c>
    </row>
    <row r="4073" spans="1:28" x14ac:dyDescent="0.25">
      <c r="A4073" t="s">
        <v>4077</v>
      </c>
      <c r="B4073">
        <v>0.99996721820229495</v>
      </c>
      <c r="C4073">
        <v>1.1838069538443401</v>
      </c>
      <c r="D4073">
        <v>1.1525345126797499</v>
      </c>
      <c r="E4073">
        <v>1.47650598357728</v>
      </c>
      <c r="F4073">
        <v>2.76851584846287</v>
      </c>
      <c r="G4073">
        <v>3.6980171399653301</v>
      </c>
      <c r="H4073">
        <v>3.1550290853424801</v>
      </c>
      <c r="I4073">
        <v>3.2131865800796802</v>
      </c>
      <c r="J4073">
        <v>2.2300331472014099</v>
      </c>
      <c r="K4073">
        <v>2.19204516626924</v>
      </c>
      <c r="L4073">
        <v>2994.6147528408201</v>
      </c>
      <c r="M4073">
        <v>64.323630689693502</v>
      </c>
      <c r="O4073">
        <v>46.510501789437697</v>
      </c>
      <c r="P4073">
        <v>0.17287399713329099</v>
      </c>
      <c r="Q4073">
        <v>1.5</v>
      </c>
      <c r="R4073">
        <v>-0.53031629100245803</v>
      </c>
      <c r="S4073" t="s">
        <v>9899</v>
      </c>
      <c r="T4073" t="s">
        <v>11650</v>
      </c>
      <c r="U4073" t="s">
        <v>11650</v>
      </c>
      <c r="V4073" t="s">
        <v>11650</v>
      </c>
      <c r="W4073" t="s">
        <v>15669</v>
      </c>
      <c r="X4073">
        <v>1</v>
      </c>
      <c r="Y4073" t="s">
        <v>21345</v>
      </c>
      <c r="Z4073" t="s">
        <v>27135</v>
      </c>
      <c r="AA4073">
        <v>1.39012344775056</v>
      </c>
      <c r="AB4073" t="str">
        <f>HYPERLINK("Melting_Curves/meltCurve_Q8N4V1_MMGT1.pdf", "Melting_Curves/meltCurve_Q8N4V1_MMGT1.pdf")</f>
        <v>Melting_Curves/meltCurve_Q8N4V1_MMGT1.pdf</v>
      </c>
    </row>
    <row r="4074" spans="1:28" x14ac:dyDescent="0.25">
      <c r="A4074" t="s">
        <v>4078</v>
      </c>
      <c r="B4074">
        <v>0.99996721820229495</v>
      </c>
      <c r="C4074">
        <v>0.92118311926326202</v>
      </c>
      <c r="D4074">
        <v>0.82803854232419305</v>
      </c>
      <c r="E4074">
        <v>0.93725721079416302</v>
      </c>
      <c r="F4074">
        <v>0.77597756005535501</v>
      </c>
      <c r="G4074">
        <v>0.70192410616818401</v>
      </c>
      <c r="H4074">
        <v>0.50071468907600203</v>
      </c>
      <c r="I4074">
        <v>0.51808326060938104</v>
      </c>
      <c r="J4074">
        <v>0.52306088062594203</v>
      </c>
      <c r="K4074">
        <v>0.32726218958363601</v>
      </c>
      <c r="L4074">
        <v>383.34020415300603</v>
      </c>
      <c r="M4074">
        <v>5.9646092847749896</v>
      </c>
      <c r="N4074">
        <v>64.269122391741305</v>
      </c>
      <c r="O4074">
        <v>58.159348432261403</v>
      </c>
      <c r="P4074">
        <v>-2.5723881934493899E-2</v>
      </c>
      <c r="Q4074">
        <v>0</v>
      </c>
      <c r="R4074">
        <v>0.92626335256043402</v>
      </c>
      <c r="S4074" t="s">
        <v>9900</v>
      </c>
      <c r="T4074" t="s">
        <v>11650</v>
      </c>
      <c r="U4074" t="s">
        <v>11650</v>
      </c>
      <c r="V4074" t="s">
        <v>11650</v>
      </c>
      <c r="W4074" t="s">
        <v>15670</v>
      </c>
      <c r="X4074">
        <v>4</v>
      </c>
      <c r="Y4074" t="s">
        <v>21346</v>
      </c>
      <c r="Z4074" t="s">
        <v>27136</v>
      </c>
      <c r="AA4074">
        <v>0.71262893524982762</v>
      </c>
      <c r="AB4074" t="str">
        <f>HYPERLINK("Melting_Curves/meltCurve_Q8N556_AFAP1.pdf", "Melting_Curves/meltCurve_Q8N556_AFAP1.pdf")</f>
        <v>Melting_Curves/meltCurve_Q8N556_AFAP1.pdf</v>
      </c>
    </row>
    <row r="4075" spans="1:28" x14ac:dyDescent="0.25">
      <c r="A4075" t="s">
        <v>4079</v>
      </c>
      <c r="B4075">
        <v>0.99996721820229495</v>
      </c>
      <c r="C4075">
        <v>0.99182840883473899</v>
      </c>
      <c r="D4075">
        <v>0.93450016195246399</v>
      </c>
      <c r="E4075">
        <v>0.92366034532855101</v>
      </c>
      <c r="F4075">
        <v>1.18801202551137</v>
      </c>
      <c r="G4075">
        <v>0.77901809491959695</v>
      </c>
      <c r="H4075">
        <v>0.44175063548721499</v>
      </c>
      <c r="I4075">
        <v>0.38290172210325302</v>
      </c>
      <c r="J4075">
        <v>0.300299741997199</v>
      </c>
      <c r="K4075">
        <v>0.18420008261402401</v>
      </c>
      <c r="L4075">
        <v>1857.6366651959599</v>
      </c>
      <c r="M4075">
        <v>31.4454184627341</v>
      </c>
      <c r="N4075">
        <v>60.440166377728097</v>
      </c>
      <c r="O4075">
        <v>58.837604699599801</v>
      </c>
      <c r="P4075">
        <v>-9.9641345915939802E-2</v>
      </c>
      <c r="Q4075">
        <v>0.25424760542652802</v>
      </c>
      <c r="R4075">
        <v>0.94091442388653701</v>
      </c>
      <c r="S4075" t="s">
        <v>9901</v>
      </c>
      <c r="T4075" t="s">
        <v>11650</v>
      </c>
      <c r="U4075" t="s">
        <v>11650</v>
      </c>
      <c r="V4075" t="s">
        <v>11650</v>
      </c>
      <c r="W4075" t="s">
        <v>15671</v>
      </c>
      <c r="X4075">
        <v>20</v>
      </c>
      <c r="Y4075" t="s">
        <v>21347</v>
      </c>
      <c r="Z4075" t="s">
        <v>27137</v>
      </c>
      <c r="AA4075">
        <v>0.73285306012290985</v>
      </c>
      <c r="AB4075" t="str">
        <f>HYPERLINK("Melting_Curves/meltCurve_Q8N573_2_OXR1.pdf", "Melting_Curves/meltCurve_Q8N573_2_OXR1.pdf")</f>
        <v>Melting_Curves/meltCurve_Q8N573_2_OXR1.pdf</v>
      </c>
    </row>
    <row r="4076" spans="1:28" x14ac:dyDescent="0.25">
      <c r="A4076" t="s">
        <v>4080</v>
      </c>
      <c r="B4076">
        <v>0.99996721820229495</v>
      </c>
      <c r="C4076">
        <v>1.02721262574362</v>
      </c>
      <c r="D4076">
        <v>1.02470948775889</v>
      </c>
      <c r="E4076">
        <v>0.99224207834271705</v>
      </c>
      <c r="F4076">
        <v>0.86705053702523405</v>
      </c>
      <c r="G4076">
        <v>0.51609470256992496</v>
      </c>
      <c r="H4076">
        <v>0.26546061000519899</v>
      </c>
      <c r="I4076">
        <v>0.16531391025856301</v>
      </c>
      <c r="J4076">
        <v>0.11746369581647501</v>
      </c>
      <c r="K4076">
        <v>9.6879149508390897E-2</v>
      </c>
      <c r="L4076">
        <v>1357.4155988765999</v>
      </c>
      <c r="M4076">
        <v>23.885670470655299</v>
      </c>
      <c r="N4076">
        <v>57.359028539226699</v>
      </c>
      <c r="O4076">
        <v>56.435880392138898</v>
      </c>
      <c r="P4076">
        <v>-9.53448607087235E-2</v>
      </c>
      <c r="Q4076">
        <v>9.8910353013518706E-2</v>
      </c>
      <c r="R4076">
        <v>0.99798219865174997</v>
      </c>
      <c r="S4076" t="s">
        <v>9902</v>
      </c>
      <c r="T4076" t="s">
        <v>11650</v>
      </c>
      <c r="U4076" t="s">
        <v>11650</v>
      </c>
      <c r="V4076" t="s">
        <v>11650</v>
      </c>
      <c r="W4076" t="s">
        <v>15672</v>
      </c>
      <c r="X4076">
        <v>8</v>
      </c>
      <c r="Y4076" t="s">
        <v>21348</v>
      </c>
      <c r="Z4076" t="s">
        <v>27138</v>
      </c>
      <c r="AA4076">
        <v>0.61315570791052421</v>
      </c>
      <c r="AB4076" t="str">
        <f>HYPERLINK("Melting_Curves/meltCurve_Q8N584_TTC39C.pdf", "Melting_Curves/meltCurve_Q8N584_TTC39C.pdf")</f>
        <v>Melting_Curves/meltCurve_Q8N584_TTC39C.pdf</v>
      </c>
    </row>
    <row r="4077" spans="1:28" x14ac:dyDescent="0.25">
      <c r="A4077" t="s">
        <v>4081</v>
      </c>
      <c r="B4077">
        <v>0.99996721820229495</v>
      </c>
      <c r="C4077">
        <v>0.96738656455001004</v>
      </c>
      <c r="D4077">
        <v>0.82023346402555197</v>
      </c>
      <c r="E4077">
        <v>0.59460880557401097</v>
      </c>
      <c r="F4077">
        <v>0.78751335929310695</v>
      </c>
      <c r="G4077">
        <v>0.65598724132066399</v>
      </c>
      <c r="H4077">
        <v>0.44771733565834598</v>
      </c>
      <c r="I4077">
        <v>0.411654552399072</v>
      </c>
      <c r="J4077">
        <v>0.38611307469327</v>
      </c>
      <c r="K4077">
        <v>0.25749819009055203</v>
      </c>
      <c r="L4077">
        <v>351.80364417828901</v>
      </c>
      <c r="M4077">
        <v>5.8486232793228998</v>
      </c>
      <c r="N4077">
        <v>60.151535647928696</v>
      </c>
      <c r="O4077">
        <v>54.239883931409402</v>
      </c>
      <c r="P4077">
        <v>-2.7052825425031998E-2</v>
      </c>
      <c r="Q4077">
        <v>0</v>
      </c>
      <c r="R4077">
        <v>0.90495061111345498</v>
      </c>
      <c r="S4077" t="s">
        <v>9903</v>
      </c>
      <c r="T4077" t="s">
        <v>11650</v>
      </c>
      <c r="U4077" t="s">
        <v>11650</v>
      </c>
      <c r="V4077" t="s">
        <v>11650</v>
      </c>
      <c r="W4077" t="s">
        <v>15673</v>
      </c>
      <c r="X4077">
        <v>2</v>
      </c>
      <c r="Y4077" t="s">
        <v>21349</v>
      </c>
      <c r="Z4077" t="s">
        <v>27139</v>
      </c>
      <c r="AA4077">
        <v>0.6339003174867861</v>
      </c>
      <c r="AB4077" t="str">
        <f>HYPERLINK("Melting_Curves/meltCurve_Q8N5C8_2_TAB3.pdf", "Melting_Curves/meltCurve_Q8N5C8_2_TAB3.pdf")</f>
        <v>Melting_Curves/meltCurve_Q8N5C8_2_TAB3.pdf</v>
      </c>
    </row>
    <row r="4078" spans="1:28" x14ac:dyDescent="0.25">
      <c r="A4078" t="s">
        <v>4082</v>
      </c>
      <c r="B4078">
        <v>0.99996721820229495</v>
      </c>
      <c r="C4078">
        <v>0.79732600079551397</v>
      </c>
      <c r="D4078">
        <v>0.96237437021598105</v>
      </c>
      <c r="E4078">
        <v>0.99117046016995103</v>
      </c>
      <c r="F4078">
        <v>1.3848598651966899</v>
      </c>
      <c r="G4078">
        <v>1.23203343868784</v>
      </c>
      <c r="H4078">
        <v>0.93706459536685305</v>
      </c>
      <c r="I4078">
        <v>0.87264802384905604</v>
      </c>
      <c r="J4078">
        <v>0.70782363976107998</v>
      </c>
      <c r="K4078">
        <v>0.57591682892651597</v>
      </c>
      <c r="L4078">
        <v>2260.0773075500301</v>
      </c>
      <c r="M4078">
        <v>34.253858982285301</v>
      </c>
      <c r="O4078">
        <v>65.756565159744198</v>
      </c>
      <c r="P4078">
        <v>-6.2387837950351202E-2</v>
      </c>
      <c r="Q4078">
        <v>0.52094228252810304</v>
      </c>
      <c r="R4078">
        <v>0.50693073076931305</v>
      </c>
      <c r="S4078" t="s">
        <v>9904</v>
      </c>
      <c r="T4078" t="s">
        <v>11650</v>
      </c>
      <c r="U4078" t="s">
        <v>11650</v>
      </c>
      <c r="V4078" t="s">
        <v>11650</v>
      </c>
      <c r="W4078" t="s">
        <v>15674</v>
      </c>
      <c r="X4078">
        <v>3</v>
      </c>
      <c r="Y4078" t="s">
        <v>21350</v>
      </c>
      <c r="Z4078" t="s">
        <v>27140</v>
      </c>
      <c r="AA4078">
        <v>0.93394586185032336</v>
      </c>
      <c r="AB4078" t="str">
        <f>HYPERLINK("Melting_Curves/meltCurve_Q8N5G0_2_SMIM20.pdf", "Melting_Curves/meltCurve_Q8N5G0_2_SMIM20.pdf")</f>
        <v>Melting_Curves/meltCurve_Q8N5G0_2_SMIM20.pdf</v>
      </c>
    </row>
    <row r="4079" spans="1:28" x14ac:dyDescent="0.25">
      <c r="A4079" t="s">
        <v>4083</v>
      </c>
      <c r="B4079">
        <v>0.99996721820229495</v>
      </c>
      <c r="C4079">
        <v>0.71475108865190995</v>
      </c>
      <c r="D4079">
        <v>0.65576496165956299</v>
      </c>
      <c r="E4079">
        <v>1.31460468706131</v>
      </c>
      <c r="F4079">
        <v>0.99699555103944204</v>
      </c>
      <c r="G4079">
        <v>0.56384003526173998</v>
      </c>
      <c r="H4079">
        <v>0.47728902868561401</v>
      </c>
      <c r="I4079">
        <v>0.331203843803755</v>
      </c>
      <c r="J4079">
        <v>0.28257321773028299</v>
      </c>
      <c r="K4079">
        <v>0.215471531736426</v>
      </c>
      <c r="L4079">
        <v>2065.6294067202398</v>
      </c>
      <c r="M4079">
        <v>36.417590268292102</v>
      </c>
      <c r="N4079">
        <v>58.201130611164601</v>
      </c>
      <c r="O4079">
        <v>56.5504335909798</v>
      </c>
      <c r="P4079">
        <v>-0.11237473623371901</v>
      </c>
      <c r="Q4079">
        <v>0.30200533674677399</v>
      </c>
      <c r="R4079">
        <v>0.71209157793612199</v>
      </c>
      <c r="S4079" t="s">
        <v>9905</v>
      </c>
      <c r="T4079" t="s">
        <v>11650</v>
      </c>
      <c r="U4079" t="s">
        <v>11650</v>
      </c>
      <c r="V4079" t="s">
        <v>11650</v>
      </c>
      <c r="W4079" t="s">
        <v>15675</v>
      </c>
      <c r="X4079">
        <v>2</v>
      </c>
      <c r="Y4079" t="s">
        <v>21351</v>
      </c>
      <c r="Z4079" t="s">
        <v>27141</v>
      </c>
      <c r="AA4079">
        <v>0.69428543438418155</v>
      </c>
      <c r="AB4079" t="str">
        <f>HYPERLINK("Melting_Curves/meltCurve_Q8N5G2_2_TMEM57.pdf", "Melting_Curves/meltCurve_Q8N5G2_2_TMEM57.pdf")</f>
        <v>Melting_Curves/meltCurve_Q8N5G2_2_TMEM57.pdf</v>
      </c>
    </row>
    <row r="4080" spans="1:28" x14ac:dyDescent="0.25">
      <c r="A4080" t="s">
        <v>4084</v>
      </c>
      <c r="B4080">
        <v>0.99996721820229495</v>
      </c>
      <c r="C4080">
        <v>0.67638439329064903</v>
      </c>
      <c r="D4080">
        <v>0.67984845813005002</v>
      </c>
      <c r="E4080">
        <v>0.85422802963470301</v>
      </c>
      <c r="F4080">
        <v>1.1099641291742299</v>
      </c>
      <c r="G4080">
        <v>0.68002564489773298</v>
      </c>
      <c r="H4080">
        <v>0.60497421570786103</v>
      </c>
      <c r="I4080">
        <v>0.48347946056034202</v>
      </c>
      <c r="J4080">
        <v>0.49495988908244998</v>
      </c>
      <c r="K4080">
        <v>0.55688079776284405</v>
      </c>
      <c r="L4080">
        <v>228.749984664832</v>
      </c>
      <c r="M4080">
        <v>3.2056839727519102</v>
      </c>
      <c r="O4080">
        <v>54.047667073134903</v>
      </c>
      <c r="P4080">
        <v>-1.52054664259585E-2</v>
      </c>
      <c r="Q4080">
        <v>0</v>
      </c>
      <c r="R4080">
        <v>0.42003972362175201</v>
      </c>
      <c r="S4080" t="s">
        <v>9906</v>
      </c>
      <c r="T4080" t="s">
        <v>11650</v>
      </c>
      <c r="U4080" t="s">
        <v>11650</v>
      </c>
      <c r="V4080" t="s">
        <v>11650</v>
      </c>
      <c r="W4080" t="s">
        <v>15676</v>
      </c>
      <c r="X4080">
        <v>3</v>
      </c>
      <c r="Y4080" t="s">
        <v>21352</v>
      </c>
      <c r="Z4080" t="s">
        <v>27142</v>
      </c>
      <c r="AA4080">
        <v>0.72206568886751732</v>
      </c>
      <c r="AB4080" t="str">
        <f>HYPERLINK("Melting_Curves/meltCurve_Q8N5H3_4_FAM89B.pdf", "Melting_Curves/meltCurve_Q8N5H3_4_FAM89B.pdf")</f>
        <v>Melting_Curves/meltCurve_Q8N5H3_4_FAM89B.pdf</v>
      </c>
    </row>
    <row r="4081" spans="1:28" x14ac:dyDescent="0.25">
      <c r="A4081" t="s">
        <v>4085</v>
      </c>
      <c r="B4081">
        <v>0.99996721820229495</v>
      </c>
      <c r="C4081">
        <v>1.07140853350655</v>
      </c>
      <c r="D4081">
        <v>0.70096442742842202</v>
      </c>
      <c r="E4081">
        <v>0.546582623763333</v>
      </c>
      <c r="F4081">
        <v>0.499403546183674</v>
      </c>
      <c r="G4081">
        <v>0.48093686927094698</v>
      </c>
      <c r="H4081">
        <v>0.292142038098334</v>
      </c>
      <c r="I4081">
        <v>0.18919895946149501</v>
      </c>
      <c r="J4081">
        <v>0.157921693151336</v>
      </c>
      <c r="K4081">
        <v>0.11729991725613099</v>
      </c>
      <c r="L4081">
        <v>480.65245659007599</v>
      </c>
      <c r="M4081">
        <v>9.1194094143657995</v>
      </c>
      <c r="N4081">
        <v>53.357471483643103</v>
      </c>
      <c r="O4081">
        <v>50.3575908557413</v>
      </c>
      <c r="P4081">
        <v>-4.2919513961811102E-2</v>
      </c>
      <c r="Q4081">
        <v>5.26442706816743E-2</v>
      </c>
      <c r="R4081">
        <v>0.93432484306223695</v>
      </c>
      <c r="S4081" t="s">
        <v>9907</v>
      </c>
      <c r="T4081" t="s">
        <v>11650</v>
      </c>
      <c r="U4081" t="s">
        <v>11650</v>
      </c>
      <c r="V4081" t="s">
        <v>11650</v>
      </c>
      <c r="W4081" t="s">
        <v>15677</v>
      </c>
      <c r="X4081">
        <v>1</v>
      </c>
      <c r="Y4081" t="s">
        <v>21353</v>
      </c>
      <c r="Z4081" t="s">
        <v>27143</v>
      </c>
      <c r="AA4081">
        <v>0.49029026019936028</v>
      </c>
      <c r="AB4081" t="str">
        <f>HYPERLINK("Melting_Curves/meltCurve_Q8N5I4_DHRSX.pdf", "Melting_Curves/meltCurve_Q8N5I4_DHRSX.pdf")</f>
        <v>Melting_Curves/meltCurve_Q8N5I4_DHRSX.pdf</v>
      </c>
    </row>
    <row r="4082" spans="1:28" x14ac:dyDescent="0.25">
      <c r="A4082" t="s">
        <v>4086</v>
      </c>
      <c r="B4082">
        <v>0.99996721820229495</v>
      </c>
      <c r="C4082">
        <v>0.89398392604673504</v>
      </c>
      <c r="D4082">
        <v>0.92666352350582204</v>
      </c>
      <c r="E4082">
        <v>0.85489773674007297</v>
      </c>
      <c r="F4082">
        <v>1.1107601799706901</v>
      </c>
      <c r="G4082">
        <v>0.947843932329134</v>
      </c>
      <c r="H4082">
        <v>0.70300834353763397</v>
      </c>
      <c r="I4082">
        <v>0.85383725975257196</v>
      </c>
      <c r="J4082">
        <v>0.73176402626840498</v>
      </c>
      <c r="K4082">
        <v>0.53197382801202997</v>
      </c>
      <c r="L4082">
        <v>654.68557245220495</v>
      </c>
      <c r="M4082">
        <v>9.0243286840739891</v>
      </c>
      <c r="O4082">
        <v>69.250159074282294</v>
      </c>
      <c r="P4082">
        <v>-3.2602144681963298E-2</v>
      </c>
      <c r="Q4082">
        <v>0</v>
      </c>
      <c r="R4082">
        <v>0.64496693799349902</v>
      </c>
      <c r="S4082" t="s">
        <v>9908</v>
      </c>
      <c r="T4082" t="s">
        <v>11650</v>
      </c>
      <c r="U4082" t="s">
        <v>11650</v>
      </c>
      <c r="V4082" t="s">
        <v>11650</v>
      </c>
      <c r="W4082" t="s">
        <v>15678</v>
      </c>
      <c r="X4082">
        <v>4</v>
      </c>
      <c r="Y4082" t="s">
        <v>21354</v>
      </c>
      <c r="Z4082" t="s">
        <v>27144</v>
      </c>
      <c r="AA4082">
        <v>0.88977367258823736</v>
      </c>
      <c r="AB4082" t="str">
        <f>HYPERLINK("Melting_Curves/meltCurve_Q8N5I9_C12orf45.pdf", "Melting_Curves/meltCurve_Q8N5I9_C12orf45.pdf")</f>
        <v>Melting_Curves/meltCurve_Q8N5I9_C12orf45.pdf</v>
      </c>
    </row>
    <row r="4083" spans="1:28" x14ac:dyDescent="0.25">
      <c r="A4083" t="s">
        <v>4087</v>
      </c>
      <c r="B4083">
        <v>0.99996721820229495</v>
      </c>
      <c r="C4083">
        <v>1.0130287513517799</v>
      </c>
      <c r="D4083">
        <v>0.82193413674040805</v>
      </c>
      <c r="E4083">
        <v>0.34817715154115503</v>
      </c>
      <c r="F4083">
        <v>0.20068920013286301</v>
      </c>
      <c r="G4083">
        <v>0.14826704420706299</v>
      </c>
      <c r="H4083">
        <v>7.8030437664464297E-2</v>
      </c>
      <c r="I4083">
        <v>4.3134461528128699E-2</v>
      </c>
      <c r="J4083">
        <v>2.9681884903069701E-2</v>
      </c>
      <c r="K4083">
        <v>2.55781218468548E-2</v>
      </c>
      <c r="L4083">
        <v>1184.34249923373</v>
      </c>
      <c r="M4083">
        <v>24.336243205877601</v>
      </c>
      <c r="N4083">
        <v>48.915645929671101</v>
      </c>
      <c r="O4083">
        <v>48.340744754280799</v>
      </c>
      <c r="P4083">
        <v>-0.118503724274927</v>
      </c>
      <c r="Q4083">
        <v>5.8445576322492497E-2</v>
      </c>
      <c r="R4083">
        <v>0.992863167787983</v>
      </c>
      <c r="S4083" t="s">
        <v>9909</v>
      </c>
      <c r="T4083" t="s">
        <v>11650</v>
      </c>
      <c r="U4083" t="s">
        <v>11650</v>
      </c>
      <c r="V4083" t="s">
        <v>11650</v>
      </c>
      <c r="W4083" t="s">
        <v>15679</v>
      </c>
      <c r="X4083">
        <v>5</v>
      </c>
      <c r="Y4083" t="s">
        <v>21355</v>
      </c>
      <c r="Z4083" t="s">
        <v>27145</v>
      </c>
      <c r="AA4083">
        <v>0.3392308403520552</v>
      </c>
      <c r="AB4083" t="str">
        <f>HYPERLINK("Melting_Curves/meltCurve_Q8N5J2_FAM63A.pdf", "Melting_Curves/meltCurve_Q8N5J2_FAM63A.pdf")</f>
        <v>Melting_Curves/meltCurve_Q8N5J2_FAM63A.pdf</v>
      </c>
    </row>
    <row r="4084" spans="1:28" x14ac:dyDescent="0.25">
      <c r="A4084" t="s">
        <v>4088</v>
      </c>
      <c r="B4084">
        <v>0.99996721820229495</v>
      </c>
      <c r="C4084">
        <v>0.84169166923171601</v>
      </c>
      <c r="D4084">
        <v>0.99871893856905802</v>
      </c>
      <c r="E4084">
        <v>0.97511868775752397</v>
      </c>
      <c r="F4084">
        <v>0.95387260514792804</v>
      </c>
      <c r="G4084">
        <v>0.85651413570104096</v>
      </c>
      <c r="H4084">
        <v>0.58204464724146399</v>
      </c>
      <c r="I4084">
        <v>0.44584642563850702</v>
      </c>
      <c r="J4084">
        <v>0.35522472625178703</v>
      </c>
      <c r="K4084">
        <v>0.23660115717768401</v>
      </c>
      <c r="L4084">
        <v>1093.85444068877</v>
      </c>
      <c r="M4084">
        <v>17.819226993521301</v>
      </c>
      <c r="N4084">
        <v>62.891335933125099</v>
      </c>
      <c r="O4084">
        <v>60.628757246836997</v>
      </c>
      <c r="P4084">
        <v>-6.0725074191440402E-2</v>
      </c>
      <c r="Q4084">
        <v>0.17359033785962899</v>
      </c>
      <c r="R4084">
        <v>0.96399982571432397</v>
      </c>
      <c r="S4084" t="s">
        <v>9910</v>
      </c>
      <c r="T4084" t="s">
        <v>11650</v>
      </c>
      <c r="U4084" t="s">
        <v>11650</v>
      </c>
      <c r="V4084" t="s">
        <v>11650</v>
      </c>
      <c r="W4084" t="s">
        <v>15680</v>
      </c>
      <c r="X4084">
        <v>4</v>
      </c>
      <c r="Y4084" t="s">
        <v>21356</v>
      </c>
      <c r="Z4084" t="s">
        <v>27146</v>
      </c>
      <c r="AA4084">
        <v>0.76585404397012524</v>
      </c>
      <c r="AB4084" t="str">
        <f>HYPERLINK("Melting_Curves/meltCurve_Q8N5K1_CISD2.pdf", "Melting_Curves/meltCurve_Q8N5K1_CISD2.pdf")</f>
        <v>Melting_Curves/meltCurve_Q8N5K1_CISD2.pdf</v>
      </c>
    </row>
    <row r="4085" spans="1:28" x14ac:dyDescent="0.25">
      <c r="A4085" t="s">
        <v>4089</v>
      </c>
      <c r="B4085">
        <v>0.99996721820229495</v>
      </c>
      <c r="C4085">
        <v>1.1064806381642001</v>
      </c>
      <c r="D4085">
        <v>1.06944149634591</v>
      </c>
      <c r="E4085">
        <v>1.15310276186731</v>
      </c>
      <c r="F4085">
        <v>1.5323983527168099</v>
      </c>
      <c r="G4085">
        <v>1.84887229913659</v>
      </c>
      <c r="H4085">
        <v>1.07123795868084</v>
      </c>
      <c r="I4085">
        <v>0.344199363162356</v>
      </c>
      <c r="J4085">
        <v>0.26396514316403202</v>
      </c>
      <c r="K4085">
        <v>0.19092049692622701</v>
      </c>
      <c r="L4085">
        <v>15000</v>
      </c>
      <c r="M4085">
        <v>236.10032439789899</v>
      </c>
      <c r="N4085">
        <v>63.695982654543798</v>
      </c>
      <c r="O4085">
        <v>63.527756069482599</v>
      </c>
      <c r="P4085">
        <v>-0.71781312912082496</v>
      </c>
      <c r="Q4085">
        <v>0.22742914886412099</v>
      </c>
      <c r="R4085">
        <v>0.60437922990599402</v>
      </c>
      <c r="S4085" t="s">
        <v>9911</v>
      </c>
      <c r="T4085" t="s">
        <v>11650</v>
      </c>
      <c r="U4085" t="s">
        <v>11650</v>
      </c>
      <c r="V4085" t="s">
        <v>11650</v>
      </c>
      <c r="W4085" t="s">
        <v>15681</v>
      </c>
      <c r="X4085">
        <v>4</v>
      </c>
      <c r="Y4085" t="s">
        <v>21357</v>
      </c>
      <c r="Z4085" t="s">
        <v>27147</v>
      </c>
      <c r="AA4085">
        <v>0.83353840062155127</v>
      </c>
      <c r="AB4085" t="str">
        <f>HYPERLINK("Melting_Curves/meltCurve_Q8N5M1_ATPAF2.pdf", "Melting_Curves/meltCurve_Q8N5M1_ATPAF2.pdf")</f>
        <v>Melting_Curves/meltCurve_Q8N5M1_ATPAF2.pdf</v>
      </c>
    </row>
    <row r="4086" spans="1:28" x14ac:dyDescent="0.25">
      <c r="A4086" t="s">
        <v>4090</v>
      </c>
      <c r="B4086">
        <v>0.99996721820229495</v>
      </c>
      <c r="C4086">
        <v>0.53150272432994505</v>
      </c>
      <c r="D4086">
        <v>0.53490032495499096</v>
      </c>
      <c r="E4086">
        <v>0.78947952555629297</v>
      </c>
      <c r="F4086">
        <v>1.0888433355932801</v>
      </c>
      <c r="G4086">
        <v>0.80778327689659002</v>
      </c>
      <c r="H4086">
        <v>0.81032471997838496</v>
      </c>
      <c r="I4086">
        <v>0.44321537401481198</v>
      </c>
      <c r="J4086">
        <v>0.24088157307420999</v>
      </c>
      <c r="K4086">
        <v>0.295640577985187</v>
      </c>
      <c r="L4086">
        <v>256.64625334876501</v>
      </c>
      <c r="M4086">
        <v>3.94133527871251</v>
      </c>
      <c r="N4086">
        <v>65.116575032351903</v>
      </c>
      <c r="O4086">
        <v>53.205373241088097</v>
      </c>
      <c r="P4086">
        <v>-1.8769019526031099E-2</v>
      </c>
      <c r="Q4086">
        <v>0</v>
      </c>
      <c r="R4086">
        <v>0.28866960935813102</v>
      </c>
      <c r="S4086" t="s">
        <v>9912</v>
      </c>
      <c r="T4086" t="s">
        <v>11650</v>
      </c>
      <c r="U4086" t="s">
        <v>11650</v>
      </c>
      <c r="V4086" t="s">
        <v>11650</v>
      </c>
      <c r="W4086" t="s">
        <v>15682</v>
      </c>
      <c r="X4086">
        <v>2</v>
      </c>
      <c r="Y4086" t="s">
        <v>21358</v>
      </c>
      <c r="Z4086" t="s">
        <v>27148</v>
      </c>
      <c r="AA4086">
        <v>0.67612832159308356</v>
      </c>
      <c r="AB4086" t="str">
        <f>HYPERLINK("Melting_Curves/meltCurve_Q8N5M9_JAGN1.pdf", "Melting_Curves/meltCurve_Q8N5M9_JAGN1.pdf")</f>
        <v>Melting_Curves/meltCurve_Q8N5M9_JAGN1.pdf</v>
      </c>
    </row>
    <row r="4087" spans="1:28" x14ac:dyDescent="0.25">
      <c r="A4087" t="s">
        <v>4091</v>
      </c>
      <c r="B4087">
        <v>0.99996721820229495</v>
      </c>
      <c r="C4087">
        <v>1.00489158393125</v>
      </c>
      <c r="D4087">
        <v>0.972239586675262</v>
      </c>
      <c r="E4087">
        <v>0.99851873948162695</v>
      </c>
      <c r="F4087">
        <v>1.68656938004158</v>
      </c>
      <c r="G4087">
        <v>2.1490834504897798</v>
      </c>
      <c r="H4087">
        <v>1.5149019521431899</v>
      </c>
      <c r="I4087">
        <v>1.24875043382968</v>
      </c>
      <c r="J4087">
        <v>1.06370256172002</v>
      </c>
      <c r="K4087">
        <v>0.67699700045273303</v>
      </c>
      <c r="L4087">
        <v>15000</v>
      </c>
      <c r="M4087">
        <v>213.54566576022401</v>
      </c>
      <c r="Q4087">
        <v>0</v>
      </c>
      <c r="R4087">
        <v>-0.25528867837668301</v>
      </c>
      <c r="S4087" t="s">
        <v>9913</v>
      </c>
      <c r="T4087" t="s">
        <v>11650</v>
      </c>
      <c r="U4087" t="s">
        <v>11650</v>
      </c>
      <c r="V4087" t="s">
        <v>11650</v>
      </c>
      <c r="W4087" t="s">
        <v>15683</v>
      </c>
      <c r="X4087">
        <v>6</v>
      </c>
      <c r="Y4087" t="s">
        <v>21359</v>
      </c>
      <c r="Z4087" t="s">
        <v>27149</v>
      </c>
      <c r="AA4087">
        <v>0.99579556790604784</v>
      </c>
      <c r="AB4087" t="str">
        <f>HYPERLINK("Melting_Curves/meltCurve_Q8N5N7_MRPL50.pdf", "Melting_Curves/meltCurve_Q8N5N7_MRPL50.pdf")</f>
        <v>Melting_Curves/meltCurve_Q8N5N7_MRPL50.pdf</v>
      </c>
    </row>
    <row r="4088" spans="1:28" x14ac:dyDescent="0.25">
      <c r="A4088" t="s">
        <v>4092</v>
      </c>
      <c r="B4088">
        <v>0.99996721820229495</v>
      </c>
      <c r="C4088">
        <v>1.0358428272876901</v>
      </c>
      <c r="D4088">
        <v>1.0018643302735999</v>
      </c>
      <c r="E4088">
        <v>0.89709396543424302</v>
      </c>
      <c r="F4088">
        <v>0.78984800085502505</v>
      </c>
      <c r="G4088">
        <v>0.39225491139726698</v>
      </c>
      <c r="H4088">
        <v>0.230228386727449</v>
      </c>
      <c r="I4088">
        <v>0.171188480781851</v>
      </c>
      <c r="J4088">
        <v>0.15532301379215099</v>
      </c>
      <c r="K4088">
        <v>0.157791236772478</v>
      </c>
      <c r="L4088">
        <v>1353.77409438362</v>
      </c>
      <c r="M4088">
        <v>24.581263037674098</v>
      </c>
      <c r="N4088">
        <v>55.875096780797598</v>
      </c>
      <c r="O4088">
        <v>54.712810519134003</v>
      </c>
      <c r="P4088">
        <v>-9.5630091337015499E-2</v>
      </c>
      <c r="Q4088">
        <v>0.14860104491713799</v>
      </c>
      <c r="R4088">
        <v>0.99721679695564802</v>
      </c>
      <c r="S4088" t="s">
        <v>9914</v>
      </c>
      <c r="T4088" t="s">
        <v>11650</v>
      </c>
      <c r="U4088" t="s">
        <v>11650</v>
      </c>
      <c r="V4088" t="s">
        <v>11650</v>
      </c>
      <c r="W4088" t="s">
        <v>15684</v>
      </c>
      <c r="X4088">
        <v>2</v>
      </c>
      <c r="Y4088" t="s">
        <v>21360</v>
      </c>
      <c r="Z4088" t="s">
        <v>27150</v>
      </c>
      <c r="AA4088">
        <v>0.58449322148009564</v>
      </c>
      <c r="AB4088" t="str">
        <f>HYPERLINK("Melting_Curves/meltCurve_Q8N5X7_EIF4E3.pdf", "Melting_Curves/meltCurve_Q8N5X7_EIF4E3.pdf")</f>
        <v>Melting_Curves/meltCurve_Q8N5X7_EIF4E3.pdf</v>
      </c>
    </row>
    <row r="4089" spans="1:28" x14ac:dyDescent="0.25">
      <c r="A4089" t="s">
        <v>4093</v>
      </c>
      <c r="B4089">
        <v>0.99996721820229495</v>
      </c>
      <c r="C4089">
        <v>0.99759409627509898</v>
      </c>
      <c r="D4089">
        <v>0.82696411711830697</v>
      </c>
      <c r="E4089">
        <v>1.02589959354322</v>
      </c>
      <c r="F4089">
        <v>1.18222256710518</v>
      </c>
      <c r="G4089">
        <v>1.50548078490342</v>
      </c>
      <c r="H4089">
        <v>1.17298958624571</v>
      </c>
      <c r="I4089">
        <v>0.90602126814855</v>
      </c>
      <c r="J4089">
        <v>0.49201942971587698</v>
      </c>
      <c r="K4089">
        <v>0.30849209991515297</v>
      </c>
      <c r="L4089">
        <v>4398.6498490109998</v>
      </c>
      <c r="M4089">
        <v>66.634605557050804</v>
      </c>
      <c r="N4089">
        <v>66.908952529553403</v>
      </c>
      <c r="O4089">
        <v>65.952115542736195</v>
      </c>
      <c r="P4089">
        <v>-0.17796152716202401</v>
      </c>
      <c r="Q4089">
        <v>0.29544500766767501</v>
      </c>
      <c r="R4089">
        <v>0.66935989236891902</v>
      </c>
      <c r="S4089" t="s">
        <v>9915</v>
      </c>
      <c r="T4089" t="s">
        <v>11650</v>
      </c>
      <c r="U4089" t="s">
        <v>11650</v>
      </c>
      <c r="V4089" t="s">
        <v>11650</v>
      </c>
      <c r="W4089" t="s">
        <v>15685</v>
      </c>
      <c r="X4089">
        <v>1</v>
      </c>
      <c r="Y4089" t="s">
        <v>21361</v>
      </c>
      <c r="Z4089" t="s">
        <v>27151</v>
      </c>
      <c r="AA4089">
        <v>0.90688131662373062</v>
      </c>
      <c r="AB4089" t="str">
        <f>HYPERLINK("Melting_Curves/meltCurve_Q8N5Z5_2_KCTD17.pdf", "Melting_Curves/meltCurve_Q8N5Z5_2_KCTD17.pdf")</f>
        <v>Melting_Curves/meltCurve_Q8N5Z5_2_KCTD17.pdf</v>
      </c>
    </row>
    <row r="4090" spans="1:28" x14ac:dyDescent="0.25">
      <c r="A4090" t="s">
        <v>4094</v>
      </c>
      <c r="B4090">
        <v>0.99996721820229495</v>
      </c>
      <c r="C4090">
        <v>1.0636359225479399</v>
      </c>
      <c r="D4090">
        <v>1.0296115011673499</v>
      </c>
      <c r="E4090">
        <v>1.0900373245183801</v>
      </c>
      <c r="F4090">
        <v>1.1608293303138999</v>
      </c>
      <c r="G4090">
        <v>0.69880325606620797</v>
      </c>
      <c r="H4090">
        <v>0.28613948984938098</v>
      </c>
      <c r="I4090">
        <v>0.18409686873454001</v>
      </c>
      <c r="J4090">
        <v>0.123811238430072</v>
      </c>
      <c r="K4090">
        <v>9.3022800238333703E-2</v>
      </c>
      <c r="L4090">
        <v>2240.64779117138</v>
      </c>
      <c r="M4090">
        <v>38.462840003937899</v>
      </c>
      <c r="N4090">
        <v>58.703309362944303</v>
      </c>
      <c r="O4090">
        <v>58.098070984912397</v>
      </c>
      <c r="P4090">
        <v>-0.14444031533078</v>
      </c>
      <c r="Q4090">
        <v>0.12729452359596799</v>
      </c>
      <c r="R4090">
        <v>0.97253311799978903</v>
      </c>
      <c r="S4090" t="s">
        <v>9916</v>
      </c>
      <c r="T4090" t="s">
        <v>11650</v>
      </c>
      <c r="U4090" t="s">
        <v>11650</v>
      </c>
      <c r="V4090" t="s">
        <v>11650</v>
      </c>
      <c r="W4090" t="s">
        <v>15686</v>
      </c>
      <c r="X4090">
        <v>6</v>
      </c>
      <c r="Y4090" t="s">
        <v>21362</v>
      </c>
      <c r="Z4090" t="s">
        <v>27152</v>
      </c>
      <c r="AA4090">
        <v>0.66202954333207531</v>
      </c>
      <c r="AB4090" t="str">
        <f>HYPERLINK("Melting_Curves/meltCurve_Q8N668_COMMD1.pdf", "Melting_Curves/meltCurve_Q8N668_COMMD1.pdf")</f>
        <v>Melting_Curves/meltCurve_Q8N668_COMMD1.pdf</v>
      </c>
    </row>
    <row r="4091" spans="1:28" x14ac:dyDescent="0.25">
      <c r="A4091" t="s">
        <v>4095</v>
      </c>
      <c r="B4091">
        <v>0.99996721820229495</v>
      </c>
      <c r="C4091">
        <v>1.0609638424039101</v>
      </c>
      <c r="D4091">
        <v>0.93832833427945594</v>
      </c>
      <c r="E4091">
        <v>1.0401520692177499</v>
      </c>
      <c r="F4091">
        <v>1.0804308843211601</v>
      </c>
      <c r="G4091">
        <v>0.74988581060742798</v>
      </c>
      <c r="H4091">
        <v>0.44576827512127198</v>
      </c>
      <c r="I4091">
        <v>0.43347342737132799</v>
      </c>
      <c r="J4091">
        <v>0.36090412306168701</v>
      </c>
      <c r="K4091">
        <v>0.2070310758035</v>
      </c>
      <c r="L4091">
        <v>1707.1254546974201</v>
      </c>
      <c r="M4091">
        <v>29.139717994901201</v>
      </c>
      <c r="N4091">
        <v>60.469061232508501</v>
      </c>
      <c r="O4091">
        <v>58.310340591590197</v>
      </c>
      <c r="P4091">
        <v>-8.7653988126562193E-2</v>
      </c>
      <c r="Q4091">
        <v>0.298401656356445</v>
      </c>
      <c r="R4091">
        <v>0.95949383185817805</v>
      </c>
      <c r="S4091" t="s">
        <v>9917</v>
      </c>
      <c r="T4091" t="s">
        <v>11650</v>
      </c>
      <c r="U4091" t="s">
        <v>11650</v>
      </c>
      <c r="V4091" t="s">
        <v>11650</v>
      </c>
      <c r="W4091" t="s">
        <v>15687</v>
      </c>
      <c r="X4091">
        <v>6</v>
      </c>
      <c r="Y4091" t="s">
        <v>21363</v>
      </c>
      <c r="Z4091" t="s">
        <v>27153</v>
      </c>
      <c r="AA4091">
        <v>0.73778846771042172</v>
      </c>
      <c r="AB4091" t="str">
        <f>HYPERLINK("Melting_Curves/meltCurve_Q8N684_2_CPSF7.pdf", "Melting_Curves/meltCurve_Q8N684_2_CPSF7.pdf")</f>
        <v>Melting_Curves/meltCurve_Q8N684_2_CPSF7.pdf</v>
      </c>
    </row>
    <row r="4092" spans="1:28" x14ac:dyDescent="0.25">
      <c r="A4092" t="s">
        <v>4096</v>
      </c>
      <c r="B4092">
        <v>0.99996721820229495</v>
      </c>
      <c r="C4092">
        <v>0.845027654331025</v>
      </c>
      <c r="D4092">
        <v>1.0275349015163699</v>
      </c>
      <c r="E4092">
        <v>1.0425565079135599</v>
      </c>
      <c r="F4092">
        <v>1.3466532960625199</v>
      </c>
      <c r="G4092">
        <v>1.2788434302645499</v>
      </c>
      <c r="H4092">
        <v>1.01493446047907</v>
      </c>
      <c r="I4092">
        <v>0.95419121102782101</v>
      </c>
      <c r="J4092">
        <v>0.62493473374197395</v>
      </c>
      <c r="K4092">
        <v>0.63595025899628299</v>
      </c>
      <c r="L4092">
        <v>15000</v>
      </c>
      <c r="M4092">
        <v>232.41964427358801</v>
      </c>
      <c r="O4092">
        <v>64.533656473534094</v>
      </c>
      <c r="P4092">
        <v>-0.33277425482039502</v>
      </c>
      <c r="Q4092">
        <v>0.630407500602709</v>
      </c>
      <c r="R4092">
        <v>0.54566546510588898</v>
      </c>
      <c r="S4092" t="s">
        <v>9918</v>
      </c>
      <c r="T4092" t="s">
        <v>11650</v>
      </c>
      <c r="U4092" t="s">
        <v>11650</v>
      </c>
      <c r="V4092" t="s">
        <v>11650</v>
      </c>
      <c r="W4092" t="s">
        <v>15688</v>
      </c>
      <c r="X4092">
        <v>7</v>
      </c>
      <c r="Y4092" t="s">
        <v>21364</v>
      </c>
      <c r="Z4092" t="s">
        <v>27154</v>
      </c>
      <c r="AA4092">
        <v>0.93276331465399887</v>
      </c>
      <c r="AB4092" t="str">
        <f>HYPERLINK("Melting_Curves/meltCurve_Q8N697_SLC15A4.pdf", "Melting_Curves/meltCurve_Q8N697_SLC15A4.pdf")</f>
        <v>Melting_Curves/meltCurve_Q8N697_SLC15A4.pdf</v>
      </c>
    </row>
    <row r="4093" spans="1:28" x14ac:dyDescent="0.25">
      <c r="A4093" t="s">
        <v>4097</v>
      </c>
      <c r="B4093">
        <v>0.99996721820229495</v>
      </c>
      <c r="C4093">
        <v>1.0703505614288</v>
      </c>
      <c r="D4093">
        <v>0.85007218974702903</v>
      </c>
      <c r="E4093">
        <v>1.0741153727539501</v>
      </c>
      <c r="F4093">
        <v>1.3040400294671299</v>
      </c>
      <c r="G4093">
        <v>1.3288782517917801</v>
      </c>
      <c r="H4093">
        <v>0.87433146655395</v>
      </c>
      <c r="I4093">
        <v>0.71857815012665205</v>
      </c>
      <c r="J4093">
        <v>0.56857631573876999</v>
      </c>
      <c r="K4093">
        <v>0.475328255602257</v>
      </c>
      <c r="L4093">
        <v>2570.5163446625602</v>
      </c>
      <c r="M4093">
        <v>40.378510247648997</v>
      </c>
      <c r="N4093">
        <v>69.472068209065696</v>
      </c>
      <c r="O4093">
        <v>63.504959228914103</v>
      </c>
      <c r="P4093">
        <v>-8.2191285370352599E-2</v>
      </c>
      <c r="Q4093">
        <v>0.482938448219774</v>
      </c>
      <c r="R4093">
        <v>0.67356167565041103</v>
      </c>
      <c r="S4093" t="s">
        <v>9919</v>
      </c>
      <c r="T4093" t="s">
        <v>11650</v>
      </c>
      <c r="U4093" t="s">
        <v>11650</v>
      </c>
      <c r="V4093" t="s">
        <v>11650</v>
      </c>
      <c r="W4093" t="s">
        <v>15689</v>
      </c>
      <c r="X4093">
        <v>1</v>
      </c>
      <c r="Y4093" t="s">
        <v>21365</v>
      </c>
      <c r="Z4093" t="s">
        <v>27155</v>
      </c>
      <c r="AA4093">
        <v>0.89208197498937036</v>
      </c>
      <c r="AB4093" t="str">
        <f>HYPERLINK("Melting_Curves/meltCurve_Q8N6G6_2_ADAMTSL1.pdf", "Melting_Curves/meltCurve_Q8N6G6_2_ADAMTSL1.pdf")</f>
        <v>Melting_Curves/meltCurve_Q8N6G6_2_ADAMTSL1.pdf</v>
      </c>
    </row>
    <row r="4094" spans="1:28" x14ac:dyDescent="0.25">
      <c r="A4094" t="s">
        <v>4098</v>
      </c>
      <c r="B4094">
        <v>0.99996721820229495</v>
      </c>
      <c r="C4094">
        <v>0.98343195230839897</v>
      </c>
      <c r="D4094">
        <v>0.82845011445476702</v>
      </c>
      <c r="E4094">
        <v>0.570009197350279</v>
      </c>
      <c r="F4094">
        <v>0.34223886592909297</v>
      </c>
      <c r="G4094">
        <v>0.272913643320705</v>
      </c>
      <c r="H4094">
        <v>0.18504096152683999</v>
      </c>
      <c r="I4094">
        <v>0.173440313022761</v>
      </c>
      <c r="J4094">
        <v>0.152591194168439</v>
      </c>
      <c r="K4094">
        <v>0.12634822328251899</v>
      </c>
      <c r="L4094">
        <v>873.39613734685099</v>
      </c>
      <c r="M4094">
        <v>17.518783652059799</v>
      </c>
      <c r="N4094">
        <v>50.870173622585497</v>
      </c>
      <c r="O4094">
        <v>49.218839596538203</v>
      </c>
      <c r="P4094">
        <v>-7.5859912909654895E-2</v>
      </c>
      <c r="Q4094">
        <v>0.147536270450178</v>
      </c>
      <c r="R4094">
        <v>0.99604316632578405</v>
      </c>
      <c r="S4094" t="s">
        <v>9920</v>
      </c>
      <c r="T4094" t="s">
        <v>11650</v>
      </c>
      <c r="U4094" t="s">
        <v>11650</v>
      </c>
      <c r="V4094" t="s">
        <v>11650</v>
      </c>
      <c r="W4094" t="s">
        <v>15690</v>
      </c>
      <c r="X4094">
        <v>18</v>
      </c>
      <c r="Y4094" t="s">
        <v>21366</v>
      </c>
      <c r="Z4094" t="s">
        <v>27156</v>
      </c>
      <c r="AA4094">
        <v>0.44290336412453618</v>
      </c>
      <c r="AB4094" t="str">
        <f>HYPERLINK("Melting_Curves/meltCurve_Q8N6H7_ARFGAP2.pdf", "Melting_Curves/meltCurve_Q8N6H7_ARFGAP2.pdf")</f>
        <v>Melting_Curves/meltCurve_Q8N6H7_ARFGAP2.pdf</v>
      </c>
    </row>
    <row r="4095" spans="1:28" x14ac:dyDescent="0.25">
      <c r="A4095" t="s">
        <v>4099</v>
      </c>
      <c r="B4095">
        <v>0.99996721820229495</v>
      </c>
      <c r="C4095">
        <v>1.1180726395623399</v>
      </c>
      <c r="D4095">
        <v>0.85579350638639196</v>
      </c>
      <c r="E4095">
        <v>0.428532889912141</v>
      </c>
      <c r="F4095">
        <v>0.33689285086246901</v>
      </c>
      <c r="G4095">
        <v>0.334508248664107</v>
      </c>
      <c r="H4095">
        <v>0.214593313226592</v>
      </c>
      <c r="I4095">
        <v>0.108517106607317</v>
      </c>
      <c r="J4095">
        <v>7.7423342968374401E-2</v>
      </c>
      <c r="K4095">
        <v>6.4185156976586E-2</v>
      </c>
      <c r="L4095">
        <v>1000.18218763502</v>
      </c>
      <c r="M4095">
        <v>20.244265962752699</v>
      </c>
      <c r="N4095">
        <v>50.196981443667397</v>
      </c>
      <c r="O4095">
        <v>48.9311962455197</v>
      </c>
      <c r="P4095">
        <v>-8.9305725023468494E-2</v>
      </c>
      <c r="Q4095">
        <v>0.13660482561950801</v>
      </c>
      <c r="R4095">
        <v>0.95127710288503398</v>
      </c>
      <c r="S4095" t="s">
        <v>9921</v>
      </c>
      <c r="T4095" t="s">
        <v>11650</v>
      </c>
      <c r="U4095" t="s">
        <v>11650</v>
      </c>
      <c r="V4095" t="s">
        <v>11650</v>
      </c>
      <c r="W4095" t="s">
        <v>15691</v>
      </c>
      <c r="X4095">
        <v>7</v>
      </c>
      <c r="Y4095" t="s">
        <v>21367</v>
      </c>
      <c r="Z4095" t="s">
        <v>27157</v>
      </c>
      <c r="AA4095">
        <v>0.41906584738345282</v>
      </c>
      <c r="AB4095" t="str">
        <f>HYPERLINK("Melting_Curves/meltCurve_Q8N6M0_OTUD6B.pdf", "Melting_Curves/meltCurve_Q8N6M0_OTUD6B.pdf")</f>
        <v>Melting_Curves/meltCurve_Q8N6M0_OTUD6B.pdf</v>
      </c>
    </row>
    <row r="4096" spans="1:28" x14ac:dyDescent="0.25">
      <c r="A4096" t="s">
        <v>4100</v>
      </c>
      <c r="B4096">
        <v>0.99996721820229495</v>
      </c>
      <c r="C4096">
        <v>1.0619733294668099</v>
      </c>
      <c r="D4096">
        <v>1.0249017143333401</v>
      </c>
      <c r="E4096">
        <v>0.95841604212457399</v>
      </c>
      <c r="F4096">
        <v>1.3109104313208</v>
      </c>
      <c r="G4096">
        <v>1.54983547585047</v>
      </c>
      <c r="H4096">
        <v>1.15961397911415</v>
      </c>
      <c r="I4096">
        <v>1.1501228152682601</v>
      </c>
      <c r="J4096">
        <v>0.97499076561465103</v>
      </c>
      <c r="K4096">
        <v>0.66633215700098403</v>
      </c>
      <c r="L4096">
        <v>15000</v>
      </c>
      <c r="M4096">
        <v>221.36648737376299</v>
      </c>
      <c r="O4096">
        <v>67.755403916132295</v>
      </c>
      <c r="P4096">
        <v>-0.27276426755533001</v>
      </c>
      <c r="Q4096">
        <v>0.66605147351656002</v>
      </c>
      <c r="R4096">
        <v>7.83084410964974E-2</v>
      </c>
      <c r="S4096" t="s">
        <v>9922</v>
      </c>
      <c r="T4096" t="s">
        <v>11650</v>
      </c>
      <c r="U4096" t="s">
        <v>11650</v>
      </c>
      <c r="V4096" t="s">
        <v>11650</v>
      </c>
      <c r="W4096" t="s">
        <v>15692</v>
      </c>
      <c r="X4096">
        <v>8</v>
      </c>
      <c r="Y4096" t="s">
        <v>21368</v>
      </c>
      <c r="Z4096" t="s">
        <v>27158</v>
      </c>
      <c r="AA4096">
        <v>0.97512314447645032</v>
      </c>
      <c r="AB4096" t="str">
        <f>HYPERLINK("Melting_Curves/meltCurve_Q8N6N3_C1orf52.pdf", "Melting_Curves/meltCurve_Q8N6N3_C1orf52.pdf")</f>
        <v>Melting_Curves/meltCurve_Q8N6N3_C1orf52.pdf</v>
      </c>
    </row>
    <row r="4097" spans="1:28" x14ac:dyDescent="0.25">
      <c r="A4097" t="s">
        <v>4101</v>
      </c>
      <c r="B4097">
        <v>0.99996721820229495</v>
      </c>
      <c r="C4097">
        <v>1.12196653292052</v>
      </c>
      <c r="D4097">
        <v>0.92112006336779395</v>
      </c>
      <c r="E4097">
        <v>0.90799028314849395</v>
      </c>
      <c r="F4097">
        <v>1.4439470463186601</v>
      </c>
      <c r="G4097">
        <v>1.11017813229906</v>
      </c>
      <c r="H4097">
        <v>0.66084556225802604</v>
      </c>
      <c r="I4097">
        <v>0.93582629330092504</v>
      </c>
      <c r="J4097">
        <v>0.55160833027754697</v>
      </c>
      <c r="K4097">
        <v>9.9027170921865401E-2</v>
      </c>
      <c r="L4097">
        <v>3089.3863961576099</v>
      </c>
      <c r="M4097">
        <v>45.984138202659999</v>
      </c>
      <c r="N4097">
        <v>67.183740257964402</v>
      </c>
      <c r="O4097">
        <v>67.057059856385095</v>
      </c>
      <c r="P4097">
        <v>-0.171436830655532</v>
      </c>
      <c r="Q4097">
        <v>0</v>
      </c>
      <c r="R4097">
        <v>0.71182636741357896</v>
      </c>
      <c r="S4097" t="s">
        <v>9923</v>
      </c>
      <c r="T4097" t="s">
        <v>11650</v>
      </c>
      <c r="U4097" t="s">
        <v>11650</v>
      </c>
      <c r="V4097" t="s">
        <v>11650</v>
      </c>
      <c r="W4097" t="s">
        <v>15693</v>
      </c>
      <c r="X4097">
        <v>2</v>
      </c>
      <c r="Y4097" t="s">
        <v>21369</v>
      </c>
      <c r="Z4097" t="s">
        <v>27159</v>
      </c>
      <c r="AA4097">
        <v>0.90152099932890739</v>
      </c>
      <c r="AB4097" t="str">
        <f>HYPERLINK("Melting_Curves/meltCurve_Q8N6N7_ACBD7.pdf", "Melting_Curves/meltCurve_Q8N6N7_ACBD7.pdf")</f>
        <v>Melting_Curves/meltCurve_Q8N6N7_ACBD7.pdf</v>
      </c>
    </row>
    <row r="4098" spans="1:28" x14ac:dyDescent="0.25">
      <c r="A4098" t="s">
        <v>4102</v>
      </c>
      <c r="B4098">
        <v>0.99996721820229495</v>
      </c>
      <c r="C4098">
        <v>1.1260696591875701</v>
      </c>
      <c r="D4098">
        <v>1.0581794460091201</v>
      </c>
      <c r="E4098">
        <v>1.00572170167832</v>
      </c>
      <c r="F4098">
        <v>1.3117380805042</v>
      </c>
      <c r="G4098">
        <v>1.20849970799049</v>
      </c>
      <c r="H4098">
        <v>0.66214563138944205</v>
      </c>
      <c r="I4098">
        <v>0.40918303486411001</v>
      </c>
      <c r="J4098">
        <v>8.9913086795013003E-2</v>
      </c>
      <c r="K4098">
        <v>0.29369282280292403</v>
      </c>
      <c r="L4098">
        <v>3049.3114658719001</v>
      </c>
      <c r="M4098">
        <v>49.436968317065201</v>
      </c>
      <c r="N4098">
        <v>62.381087946016997</v>
      </c>
      <c r="O4098">
        <v>61.580122230021203</v>
      </c>
      <c r="P4098">
        <v>-0.15796074351664599</v>
      </c>
      <c r="Q4098">
        <v>0.21295880319799801</v>
      </c>
      <c r="R4098">
        <v>0.87562975664560305</v>
      </c>
      <c r="S4098" t="s">
        <v>9924</v>
      </c>
      <c r="T4098" t="s">
        <v>11650</v>
      </c>
      <c r="U4098" t="s">
        <v>11650</v>
      </c>
      <c r="V4098" t="s">
        <v>11650</v>
      </c>
      <c r="W4098" t="s">
        <v>15694</v>
      </c>
      <c r="X4098">
        <v>2</v>
      </c>
      <c r="Y4098" t="s">
        <v>21370</v>
      </c>
      <c r="Z4098" t="s">
        <v>27160</v>
      </c>
      <c r="AA4098">
        <v>0.78381472377794759</v>
      </c>
      <c r="AB4098" t="str">
        <f>HYPERLINK("Melting_Curves/meltCurve_Q8N6Q8_METTL25.pdf", "Melting_Curves/meltCurve_Q8N6Q8_METTL25.pdf")</f>
        <v>Melting_Curves/meltCurve_Q8N6Q8_METTL25.pdf</v>
      </c>
    </row>
    <row r="4099" spans="1:28" x14ac:dyDescent="0.25">
      <c r="A4099" t="s">
        <v>4103</v>
      </c>
      <c r="B4099">
        <v>0.99996721820229495</v>
      </c>
      <c r="C4099">
        <v>1.0139718154587001</v>
      </c>
      <c r="D4099">
        <v>0.92824914784421497</v>
      </c>
      <c r="E4099">
        <v>0.57318781505218197</v>
      </c>
      <c r="F4099">
        <v>0.325947296577562</v>
      </c>
      <c r="G4099">
        <v>0.28134824197918701</v>
      </c>
      <c r="H4099">
        <v>0.17950702380540801</v>
      </c>
      <c r="I4099">
        <v>0.15078441290194</v>
      </c>
      <c r="J4099">
        <v>0.120159897056939</v>
      </c>
      <c r="K4099">
        <v>9.0526922818366107E-2</v>
      </c>
      <c r="L4099">
        <v>1086.8930877646101</v>
      </c>
      <c r="M4099">
        <v>21.628840033519101</v>
      </c>
      <c r="N4099">
        <v>51.024543221704597</v>
      </c>
      <c r="O4099">
        <v>49.828370663750299</v>
      </c>
      <c r="P4099">
        <v>-9.3366938820472506E-2</v>
      </c>
      <c r="Q4099">
        <v>0.139628129538413</v>
      </c>
      <c r="R4099">
        <v>0.98989249830725801</v>
      </c>
      <c r="S4099" t="s">
        <v>9925</v>
      </c>
      <c r="T4099" t="s">
        <v>11650</v>
      </c>
      <c r="U4099" t="s">
        <v>11650</v>
      </c>
      <c r="V4099" t="s">
        <v>11650</v>
      </c>
      <c r="W4099" t="s">
        <v>15695</v>
      </c>
      <c r="X4099">
        <v>18</v>
      </c>
      <c r="Y4099" t="s">
        <v>21371</v>
      </c>
      <c r="Z4099" t="s">
        <v>27161</v>
      </c>
      <c r="AA4099">
        <v>0.44392166768951841</v>
      </c>
      <c r="AB4099" t="str">
        <f>HYPERLINK("Melting_Curves/meltCurve_Q8N6T3_ARFGAP1.pdf", "Melting_Curves/meltCurve_Q8N6T3_ARFGAP1.pdf")</f>
        <v>Melting_Curves/meltCurve_Q8N6T3_ARFGAP1.pdf</v>
      </c>
    </row>
    <row r="4100" spans="1:28" x14ac:dyDescent="0.25">
      <c r="A4100" t="s">
        <v>4104</v>
      </c>
      <c r="B4100">
        <v>0.99996721820229495</v>
      </c>
      <c r="C4100">
        <v>1.0197992538671701</v>
      </c>
      <c r="D4100">
        <v>1.17030722206053</v>
      </c>
      <c r="E4100">
        <v>1.55912878436708</v>
      </c>
      <c r="F4100">
        <v>1.7090929955952201</v>
      </c>
      <c r="G4100">
        <v>1.35883037029827</v>
      </c>
      <c r="H4100">
        <v>0.74463647398337995</v>
      </c>
      <c r="I4100">
        <v>0.304534860211362</v>
      </c>
      <c r="J4100">
        <v>0.15800969011309099</v>
      </c>
      <c r="K4100">
        <v>0.230398416530705</v>
      </c>
      <c r="L4100">
        <v>4152.9461452301002</v>
      </c>
      <c r="M4100">
        <v>67.233580981453898</v>
      </c>
      <c r="N4100">
        <v>62.255084289094498</v>
      </c>
      <c r="O4100">
        <v>61.714348841072201</v>
      </c>
      <c r="P4100">
        <v>-0.21673362597286999</v>
      </c>
      <c r="Q4100">
        <v>0.204232711131213</v>
      </c>
      <c r="R4100">
        <v>0.64594080909356499</v>
      </c>
      <c r="S4100" t="s">
        <v>9926</v>
      </c>
      <c r="T4100" t="s">
        <v>11650</v>
      </c>
      <c r="U4100" t="s">
        <v>11650</v>
      </c>
      <c r="V4100" t="s">
        <v>11650</v>
      </c>
      <c r="W4100" t="s">
        <v>15696</v>
      </c>
      <c r="X4100">
        <v>5</v>
      </c>
      <c r="Y4100" t="s">
        <v>21372</v>
      </c>
      <c r="Z4100" t="s">
        <v>27162</v>
      </c>
      <c r="AA4100">
        <v>0.78285021928540321</v>
      </c>
      <c r="AB4100" t="str">
        <f>HYPERLINK("Melting_Curves/meltCurve_Q8N766_4_EMC1.pdf", "Melting_Curves/meltCurve_Q8N766_4_EMC1.pdf")</f>
        <v>Melting_Curves/meltCurve_Q8N766_4_EMC1.pdf</v>
      </c>
    </row>
    <row r="4101" spans="1:28" x14ac:dyDescent="0.25">
      <c r="A4101" t="s">
        <v>4105</v>
      </c>
      <c r="B4101">
        <v>0.99996721820229495</v>
      </c>
      <c r="C4101">
        <v>0.63711076287161905</v>
      </c>
      <c r="D4101">
        <v>0.61728664121813104</v>
      </c>
      <c r="E4101">
        <v>0.25511500250940999</v>
      </c>
      <c r="F4101">
        <v>0.27468037064068301</v>
      </c>
      <c r="G4101">
        <v>0.17326179916999701</v>
      </c>
      <c r="H4101">
        <v>0.111540474673853</v>
      </c>
      <c r="I4101">
        <v>3.8258103418243303E-2</v>
      </c>
      <c r="J4101">
        <v>0</v>
      </c>
      <c r="K4101">
        <v>0</v>
      </c>
      <c r="L4101">
        <v>523.57579137324103</v>
      </c>
      <c r="M4101">
        <v>11.1228557520755</v>
      </c>
      <c r="N4101">
        <v>47.072067737638498</v>
      </c>
      <c r="O4101">
        <v>45.627364763080301</v>
      </c>
      <c r="P4101">
        <v>-6.09636697193131E-2</v>
      </c>
      <c r="Q4101">
        <v>0</v>
      </c>
      <c r="R4101">
        <v>0.95436175041487403</v>
      </c>
      <c r="S4101" t="s">
        <v>9927</v>
      </c>
      <c r="T4101" t="s">
        <v>11650</v>
      </c>
      <c r="U4101" t="s">
        <v>11650</v>
      </c>
      <c r="V4101" t="s">
        <v>11650</v>
      </c>
      <c r="W4101" t="s">
        <v>15697</v>
      </c>
      <c r="X4101">
        <v>4</v>
      </c>
      <c r="Y4101" t="s">
        <v>21373</v>
      </c>
      <c r="Z4101" t="s">
        <v>27163</v>
      </c>
      <c r="AA4101">
        <v>0.28354010911745142</v>
      </c>
      <c r="AB4101" t="str">
        <f>HYPERLINK("Melting_Curves/meltCurve_Q8N7R7_3_CCNYL1.pdf", "Melting_Curves/meltCurve_Q8N7R7_3_CCNYL1.pdf")</f>
        <v>Melting_Curves/meltCurve_Q8N7R7_3_CCNYL1.pdf</v>
      </c>
    </row>
    <row r="4102" spans="1:28" x14ac:dyDescent="0.25">
      <c r="A4102" t="s">
        <v>4106</v>
      </c>
      <c r="B4102">
        <v>0.99996721820229495</v>
      </c>
      <c r="C4102">
        <v>2.0571848959837999</v>
      </c>
      <c r="D4102">
        <v>1.7925227501262899</v>
      </c>
      <c r="E4102">
        <v>1.8884707821125299</v>
      </c>
      <c r="F4102">
        <v>3.9355019487976901</v>
      </c>
      <c r="G4102">
        <v>3.36320672635898</v>
      </c>
      <c r="H4102">
        <v>3.3191209605622398</v>
      </c>
      <c r="I4102">
        <v>2.89053222472117</v>
      </c>
      <c r="J4102">
        <v>2.6663903906078699</v>
      </c>
      <c r="K4102">
        <v>2.7419871837052798</v>
      </c>
      <c r="L4102">
        <v>10229.933205171201</v>
      </c>
      <c r="M4102">
        <v>250</v>
      </c>
      <c r="O4102">
        <v>40.917116004637201</v>
      </c>
      <c r="P4102">
        <v>0.76373910097056097</v>
      </c>
      <c r="Q4102">
        <v>1.5</v>
      </c>
      <c r="R4102">
        <v>-1.5876104389246899</v>
      </c>
      <c r="S4102" t="s">
        <v>9928</v>
      </c>
      <c r="T4102" t="s">
        <v>11650</v>
      </c>
      <c r="U4102" t="s">
        <v>11650</v>
      </c>
      <c r="V4102" t="s">
        <v>11650</v>
      </c>
      <c r="W4102" t="s">
        <v>15698</v>
      </c>
      <c r="X4102">
        <v>2</v>
      </c>
      <c r="Y4102" t="s">
        <v>21374</v>
      </c>
      <c r="Z4102" t="s">
        <v>27164</v>
      </c>
      <c r="AA4102">
        <v>1.4846269798012439</v>
      </c>
      <c r="AB4102" t="str">
        <f>HYPERLINK("Melting_Curves/meltCurve_Q8N8J7_C4orf32.pdf", "Melting_Curves/meltCurve_Q8N8J7_C4orf32.pdf")</f>
        <v>Melting_Curves/meltCurve_Q8N8J7_C4orf32.pdf</v>
      </c>
    </row>
    <row r="4103" spans="1:28" x14ac:dyDescent="0.25">
      <c r="A4103" t="s">
        <v>4107</v>
      </c>
      <c r="B4103">
        <v>0.99996721820229495</v>
      </c>
      <c r="C4103">
        <v>0.87297914911847496</v>
      </c>
      <c r="D4103">
        <v>0.75921453633899305</v>
      </c>
      <c r="E4103">
        <v>0.56776082003878603</v>
      </c>
      <c r="F4103">
        <v>0.43269787837988599</v>
      </c>
      <c r="G4103">
        <v>0.31215751789583601</v>
      </c>
      <c r="H4103">
        <v>0.19208980325618499</v>
      </c>
      <c r="I4103">
        <v>0.117348957783662</v>
      </c>
      <c r="J4103">
        <v>7.4800138288243306E-2</v>
      </c>
      <c r="K4103">
        <v>6.8142358201519398E-2</v>
      </c>
      <c r="L4103">
        <v>511.88926080457401</v>
      </c>
      <c r="M4103">
        <v>9.9110630879569808</v>
      </c>
      <c r="N4103">
        <v>51.648258922548997</v>
      </c>
      <c r="O4103">
        <v>49.677533694115397</v>
      </c>
      <c r="P4103">
        <v>-4.9902090766225003E-2</v>
      </c>
      <c r="Q4103">
        <v>0</v>
      </c>
      <c r="R4103">
        <v>0.99558712911661695</v>
      </c>
      <c r="S4103" t="s">
        <v>9929</v>
      </c>
      <c r="T4103" t="s">
        <v>11650</v>
      </c>
      <c r="U4103" t="s">
        <v>11650</v>
      </c>
      <c r="V4103" t="s">
        <v>11650</v>
      </c>
      <c r="W4103" t="s">
        <v>15699</v>
      </c>
      <c r="X4103">
        <v>6</v>
      </c>
      <c r="Y4103" t="s">
        <v>21375</v>
      </c>
      <c r="Z4103" t="s">
        <v>27165</v>
      </c>
      <c r="AA4103">
        <v>0.42792623457499268</v>
      </c>
      <c r="AB4103" t="str">
        <f>HYPERLINK("Melting_Curves/meltCurve_Q8N8N7_PTGR2.pdf", "Melting_Curves/meltCurve_Q8N8N7_PTGR2.pdf")</f>
        <v>Melting_Curves/meltCurve_Q8N8N7_PTGR2.pdf</v>
      </c>
    </row>
    <row r="4104" spans="1:28" x14ac:dyDescent="0.25">
      <c r="A4104" t="s">
        <v>4108</v>
      </c>
      <c r="B4104">
        <v>0.99996721820229495</v>
      </c>
      <c r="C4104">
        <v>1.18008006654828</v>
      </c>
      <c r="D4104">
        <v>1.1881695244363299</v>
      </c>
      <c r="E4104">
        <v>1.11086301961365</v>
      </c>
      <c r="F4104">
        <v>0.88290004119756305</v>
      </c>
      <c r="G4104">
        <v>0.56153299305524895</v>
      </c>
      <c r="H4104">
        <v>0.33710435475677503</v>
      </c>
      <c r="I4104">
        <v>0.152940796105866</v>
      </c>
      <c r="J4104">
        <v>5.6999944746222601E-2</v>
      </c>
      <c r="K4104">
        <v>4.1118338216107303E-2</v>
      </c>
      <c r="L4104">
        <v>1270.9947463915701</v>
      </c>
      <c r="M4104">
        <v>21.86437424611</v>
      </c>
      <c r="N4104">
        <v>58.280834429498498</v>
      </c>
      <c r="O4104">
        <v>57.651115738425801</v>
      </c>
      <c r="P4104">
        <v>-9.2221900623683697E-2</v>
      </c>
      <c r="Q4104">
        <v>2.7353779046185401E-2</v>
      </c>
      <c r="R4104">
        <v>0.95333409415496795</v>
      </c>
      <c r="S4104" t="s">
        <v>9930</v>
      </c>
      <c r="T4104" t="s">
        <v>11650</v>
      </c>
      <c r="U4104" t="s">
        <v>11650</v>
      </c>
      <c r="V4104" t="s">
        <v>11650</v>
      </c>
      <c r="W4104" t="s">
        <v>15700</v>
      </c>
      <c r="X4104">
        <v>5</v>
      </c>
      <c r="Y4104" t="s">
        <v>21376</v>
      </c>
      <c r="Z4104" t="s">
        <v>27166</v>
      </c>
      <c r="AA4104">
        <v>0.62511922451293012</v>
      </c>
      <c r="AB4104" t="str">
        <f>HYPERLINK("Melting_Curves/meltCurve_Q8N8R5_C2orf69.pdf", "Melting_Curves/meltCurve_Q8N8R5_C2orf69.pdf")</f>
        <v>Melting_Curves/meltCurve_Q8N8R5_C2orf69.pdf</v>
      </c>
    </row>
    <row r="4105" spans="1:28" x14ac:dyDescent="0.25">
      <c r="A4105" t="s">
        <v>4109</v>
      </c>
      <c r="B4105">
        <v>0.99996721820229495</v>
      </c>
      <c r="C4105">
        <v>0.95618792953990195</v>
      </c>
      <c r="D4105">
        <v>0.94057669702458602</v>
      </c>
      <c r="E4105">
        <v>1.0997578774941299</v>
      </c>
      <c r="F4105">
        <v>0.97633097742874697</v>
      </c>
      <c r="G4105">
        <v>0.95518778947751204</v>
      </c>
      <c r="H4105">
        <v>0.61740361703410496</v>
      </c>
      <c r="I4105">
        <v>0.39847881674770802</v>
      </c>
      <c r="J4105">
        <v>0.32523726940227399</v>
      </c>
      <c r="K4105">
        <v>0.25131236032044102</v>
      </c>
      <c r="L4105">
        <v>2047.28991441368</v>
      </c>
      <c r="M4105">
        <v>33.576333683022597</v>
      </c>
      <c r="N4105">
        <v>62.3897364476354</v>
      </c>
      <c r="O4105">
        <v>60.759131838799</v>
      </c>
      <c r="P4105">
        <v>-0.101324125484308</v>
      </c>
      <c r="Q4105">
        <v>0.26658585516751199</v>
      </c>
      <c r="R4105">
        <v>0.98092619183195595</v>
      </c>
      <c r="S4105" t="s">
        <v>9931</v>
      </c>
      <c r="T4105" t="s">
        <v>11650</v>
      </c>
      <c r="U4105" t="s">
        <v>11650</v>
      </c>
      <c r="V4105" t="s">
        <v>11650</v>
      </c>
      <c r="W4105" t="s">
        <v>15701</v>
      </c>
      <c r="X4105">
        <v>32</v>
      </c>
      <c r="Y4105" t="s">
        <v>21377</v>
      </c>
      <c r="Z4105" t="s">
        <v>27167</v>
      </c>
      <c r="AA4105">
        <v>0.78292495180367794</v>
      </c>
      <c r="AB4105" t="str">
        <f>HYPERLINK("Melting_Curves/meltCurve_Q8N8S7_2_ENAH.pdf", "Melting_Curves/meltCurve_Q8N8S7_2_ENAH.pdf")</f>
        <v>Melting_Curves/meltCurve_Q8N8S7_2_ENAH.pdf</v>
      </c>
    </row>
    <row r="4106" spans="1:28" x14ac:dyDescent="0.25">
      <c r="A4106" t="s">
        <v>4110</v>
      </c>
      <c r="B4106">
        <v>0.99996721820229495</v>
      </c>
      <c r="C4106">
        <v>0.59583624202734498</v>
      </c>
      <c r="D4106">
        <v>0.401460476555002</v>
      </c>
      <c r="E4106">
        <v>0.82763505686863303</v>
      </c>
      <c r="F4106">
        <v>0.673342238246328</v>
      </c>
      <c r="G4106">
        <v>0.368305950707214</v>
      </c>
      <c r="H4106">
        <v>0.37496428045195002</v>
      </c>
      <c r="I4106">
        <v>0.32665876203850702</v>
      </c>
      <c r="J4106">
        <v>0.26403966008528601</v>
      </c>
      <c r="K4106">
        <v>0.50561082949453495</v>
      </c>
      <c r="L4106">
        <v>279.33280147040398</v>
      </c>
      <c r="M4106">
        <v>5.8857376854085501</v>
      </c>
      <c r="N4106">
        <v>54.248850925715203</v>
      </c>
      <c r="O4106">
        <v>42.8445852195646</v>
      </c>
      <c r="P4106">
        <v>-2.5480312977221399E-2</v>
      </c>
      <c r="Q4106">
        <v>0.260639327403065</v>
      </c>
      <c r="R4106">
        <v>0.49174975034484097</v>
      </c>
      <c r="S4106" t="s">
        <v>9932</v>
      </c>
      <c r="T4106" t="s">
        <v>11650</v>
      </c>
      <c r="U4106" t="s">
        <v>11650</v>
      </c>
      <c r="V4106" t="s">
        <v>11650</v>
      </c>
      <c r="W4106" t="s">
        <v>15702</v>
      </c>
      <c r="X4106">
        <v>1</v>
      </c>
      <c r="Y4106" t="s">
        <v>21378</v>
      </c>
      <c r="Z4106" t="s">
        <v>27168</v>
      </c>
      <c r="AA4106">
        <v>0.52422289908979447</v>
      </c>
      <c r="AB4106" t="str">
        <f>HYPERLINK("Melting_Curves/meltCurve_Q8N954_GPATCH11.pdf", "Melting_Curves/meltCurve_Q8N954_GPATCH11.pdf")</f>
        <v>Melting_Curves/meltCurve_Q8N954_GPATCH11.pdf</v>
      </c>
    </row>
    <row r="4107" spans="1:28" x14ac:dyDescent="0.25">
      <c r="A4107" t="s">
        <v>4111</v>
      </c>
      <c r="B4107">
        <v>0.99996721820229495</v>
      </c>
      <c r="C4107">
        <v>0.930819902274718</v>
      </c>
      <c r="D4107">
        <v>0.83468861870905997</v>
      </c>
      <c r="E4107">
        <v>0.96652640318814498</v>
      </c>
      <c r="F4107">
        <v>0.85297955127839697</v>
      </c>
      <c r="G4107">
        <v>0.57127658323275399</v>
      </c>
      <c r="H4107">
        <v>0.21370303174531699</v>
      </c>
      <c r="I4107">
        <v>8.2449834889114698E-2</v>
      </c>
      <c r="J4107">
        <v>6.0578216752472401E-2</v>
      </c>
      <c r="K4107">
        <v>7.4229962150571996E-2</v>
      </c>
      <c r="L4107">
        <v>1306.7360213511899</v>
      </c>
      <c r="M4107">
        <v>22.7942411224826</v>
      </c>
      <c r="N4107">
        <v>57.476846963820996</v>
      </c>
      <c r="O4107">
        <v>56.8916912298507</v>
      </c>
      <c r="P4107">
        <v>-9.7286079106760195E-2</v>
      </c>
      <c r="Q4107">
        <v>2.87610834060603E-2</v>
      </c>
      <c r="R4107">
        <v>0.97741919360115803</v>
      </c>
      <c r="S4107" t="s">
        <v>9933</v>
      </c>
      <c r="T4107" t="s">
        <v>11650</v>
      </c>
      <c r="U4107" t="s">
        <v>11650</v>
      </c>
      <c r="V4107" t="s">
        <v>11650</v>
      </c>
      <c r="W4107" t="s">
        <v>15703</v>
      </c>
      <c r="X4107">
        <v>3</v>
      </c>
      <c r="Y4107" t="s">
        <v>21379</v>
      </c>
      <c r="Z4107" t="s">
        <v>27169</v>
      </c>
      <c r="AA4107">
        <v>0.59962222117237796</v>
      </c>
      <c r="AB4107" t="str">
        <f>HYPERLINK("Melting_Curves/meltCurve_Q8N999_C12orf29.pdf", "Melting_Curves/meltCurve_Q8N999_C12orf29.pdf")</f>
        <v>Melting_Curves/meltCurve_Q8N999_C12orf29.pdf</v>
      </c>
    </row>
    <row r="4108" spans="1:28" x14ac:dyDescent="0.25">
      <c r="A4108" t="s">
        <v>4112</v>
      </c>
      <c r="B4108">
        <v>0.99996721820229495</v>
      </c>
      <c r="C4108">
        <v>1.09551287349487</v>
      </c>
      <c r="D4108">
        <v>1.1619513504924199</v>
      </c>
      <c r="E4108">
        <v>1.39575558039848</v>
      </c>
      <c r="F4108">
        <v>1.5487350973563001</v>
      </c>
      <c r="G4108">
        <v>1.7778602310707401</v>
      </c>
      <c r="H4108">
        <v>1.2884572920575701</v>
      </c>
      <c r="I4108">
        <v>0.94115319110782503</v>
      </c>
      <c r="J4108">
        <v>0.87129656186675297</v>
      </c>
      <c r="K4108">
        <v>0.61281235746113505</v>
      </c>
      <c r="L4108">
        <v>3621.39710392094</v>
      </c>
      <c r="M4108">
        <v>53.060402298374797</v>
      </c>
      <c r="O4108">
        <v>68.153750808248702</v>
      </c>
      <c r="P4108">
        <v>-9.5270163556689894E-2</v>
      </c>
      <c r="Q4108">
        <v>0.51051918013689301</v>
      </c>
      <c r="R4108">
        <v>-0.11217833778443501</v>
      </c>
      <c r="S4108" t="s">
        <v>9934</v>
      </c>
      <c r="T4108" t="s">
        <v>11650</v>
      </c>
      <c r="U4108" t="s">
        <v>11650</v>
      </c>
      <c r="V4108" t="s">
        <v>11650</v>
      </c>
      <c r="W4108" t="s">
        <v>15704</v>
      </c>
      <c r="X4108">
        <v>1</v>
      </c>
      <c r="Y4108" t="s">
        <v>21380</v>
      </c>
      <c r="Z4108" t="s">
        <v>27170</v>
      </c>
      <c r="AA4108">
        <v>0.96733702329514837</v>
      </c>
      <c r="AB4108" t="str">
        <f>HYPERLINK("Melting_Curves/meltCurve_Q8N9A8_2_CNEP1R1.pdf", "Melting_Curves/meltCurve_Q8N9A8_2_CNEP1R1.pdf")</f>
        <v>Melting_Curves/meltCurve_Q8N9A8_2_CNEP1R1.pdf</v>
      </c>
    </row>
    <row r="4109" spans="1:28" x14ac:dyDescent="0.25">
      <c r="A4109" t="s">
        <v>4113</v>
      </c>
      <c r="B4109">
        <v>0.99996721820229495</v>
      </c>
      <c r="C4109">
        <v>0.60697696104068899</v>
      </c>
      <c r="D4109">
        <v>0.30073587156078702</v>
      </c>
      <c r="E4109">
        <v>0.199350718059048</v>
      </c>
      <c r="F4109">
        <v>0.29440084901186397</v>
      </c>
      <c r="G4109">
        <v>0.27506716206202098</v>
      </c>
      <c r="H4109">
        <v>0.10665160487262799</v>
      </c>
      <c r="I4109">
        <v>3.6579839751281103E-2</v>
      </c>
      <c r="J4109">
        <v>3.14314607369649E-2</v>
      </c>
      <c r="K4109">
        <v>5.4139139693701502E-2</v>
      </c>
      <c r="L4109">
        <v>1160.2855096568101</v>
      </c>
      <c r="M4109">
        <v>26.687353718961798</v>
      </c>
      <c r="N4109">
        <v>44.001141397234903</v>
      </c>
      <c r="O4109">
        <v>43.235065598191703</v>
      </c>
      <c r="P4109">
        <v>-0.13330354834292901</v>
      </c>
      <c r="Q4109">
        <v>0.136171040242691</v>
      </c>
      <c r="R4109">
        <v>0.90510787278405802</v>
      </c>
      <c r="S4109" t="s">
        <v>9935</v>
      </c>
      <c r="T4109" t="s">
        <v>11650</v>
      </c>
      <c r="U4109" t="s">
        <v>11650</v>
      </c>
      <c r="V4109" t="s">
        <v>11650</v>
      </c>
      <c r="W4109" t="s">
        <v>15705</v>
      </c>
      <c r="X4109">
        <v>3</v>
      </c>
      <c r="Y4109" t="s">
        <v>21381</v>
      </c>
      <c r="Z4109" t="s">
        <v>27171</v>
      </c>
      <c r="AA4109">
        <v>0.24566712440799929</v>
      </c>
      <c r="AB4109" t="str">
        <f>HYPERLINK("Melting_Curves/meltCurve_Q8N9I9_DTX3.pdf", "Melting_Curves/meltCurve_Q8N9I9_DTX3.pdf")</f>
        <v>Melting_Curves/meltCurve_Q8N9I9_DTX3.pdf</v>
      </c>
    </row>
    <row r="4110" spans="1:28" x14ac:dyDescent="0.25">
      <c r="A4110" t="s">
        <v>4114</v>
      </c>
      <c r="B4110">
        <v>0.99996721820229495</v>
      </c>
      <c r="C4110">
        <v>1.19923349437028</v>
      </c>
      <c r="D4110">
        <v>1.76256584396422</v>
      </c>
      <c r="E4110">
        <v>3.4026464144522399</v>
      </c>
      <c r="F4110">
        <v>0.81165146709416103</v>
      </c>
      <c r="G4110">
        <v>0.75114339669672903</v>
      </c>
      <c r="H4110">
        <v>0.45948144438593402</v>
      </c>
      <c r="I4110">
        <v>0.160346477262926</v>
      </c>
      <c r="J4110">
        <v>0.12568777390904701</v>
      </c>
      <c r="K4110">
        <v>9.7074268264919203E-2</v>
      </c>
      <c r="L4110">
        <v>1871.21670695271</v>
      </c>
      <c r="M4110">
        <v>31.327415560196702</v>
      </c>
      <c r="N4110">
        <v>60.115637832821101</v>
      </c>
      <c r="O4110">
        <v>59.4891561156007</v>
      </c>
      <c r="P4110">
        <v>-0.119695410484063</v>
      </c>
      <c r="Q4110">
        <v>9.0823228001011405E-2</v>
      </c>
      <c r="R4110">
        <v>0.28891794188700898</v>
      </c>
      <c r="S4110" t="s">
        <v>9936</v>
      </c>
      <c r="T4110" t="s">
        <v>11650</v>
      </c>
      <c r="U4110" t="s">
        <v>11650</v>
      </c>
      <c r="V4110" t="s">
        <v>11650</v>
      </c>
      <c r="W4110" t="s">
        <v>15706</v>
      </c>
      <c r="X4110">
        <v>3</v>
      </c>
      <c r="Y4110" t="s">
        <v>21382</v>
      </c>
      <c r="Z4110" t="s">
        <v>27172</v>
      </c>
      <c r="AA4110">
        <v>0.69407930431731713</v>
      </c>
      <c r="AB4110" t="str">
        <f>HYPERLINK("Melting_Curves/meltCurve_Q8N9N2_2_ASCC1.pdf", "Melting_Curves/meltCurve_Q8N9N2_2_ASCC1.pdf")</f>
        <v>Melting_Curves/meltCurve_Q8N9N2_2_ASCC1.pdf</v>
      </c>
    </row>
    <row r="4111" spans="1:28" x14ac:dyDescent="0.25">
      <c r="A4111" t="s">
        <v>4115</v>
      </c>
      <c r="B4111">
        <v>0.99996721820229495</v>
      </c>
      <c r="C4111">
        <v>0.94544022876257305</v>
      </c>
      <c r="D4111">
        <v>0.99402175147718996</v>
      </c>
      <c r="E4111">
        <v>1.01039451338395</v>
      </c>
      <c r="F4111">
        <v>1.16240270496209</v>
      </c>
      <c r="G4111">
        <v>0.53938268487108498</v>
      </c>
      <c r="H4111">
        <v>0.191298847325928</v>
      </c>
      <c r="I4111">
        <v>9.4246964016297993E-2</v>
      </c>
      <c r="J4111">
        <v>6.1062591237604602E-2</v>
      </c>
      <c r="K4111">
        <v>6.0949955865023997E-2</v>
      </c>
      <c r="L4111">
        <v>4921.25570831191</v>
      </c>
      <c r="M4111">
        <v>86.377286592231002</v>
      </c>
      <c r="N4111">
        <v>57.122909708584601</v>
      </c>
      <c r="O4111">
        <v>56.943450172046902</v>
      </c>
      <c r="P4111">
        <v>-0.34098418547994003</v>
      </c>
      <c r="Q4111">
        <v>0.100837230471142</v>
      </c>
      <c r="R4111">
        <v>0.978811554048716</v>
      </c>
      <c r="S4111" t="s">
        <v>9937</v>
      </c>
      <c r="T4111" t="s">
        <v>11650</v>
      </c>
      <c r="U4111" t="s">
        <v>11650</v>
      </c>
      <c r="V4111" t="s">
        <v>11650</v>
      </c>
      <c r="W4111" t="s">
        <v>15707</v>
      </c>
      <c r="X4111">
        <v>11</v>
      </c>
      <c r="Y4111" t="s">
        <v>21383</v>
      </c>
      <c r="Z4111" t="s">
        <v>27173</v>
      </c>
      <c r="AA4111">
        <v>0.61033655934738706</v>
      </c>
      <c r="AB4111" t="str">
        <f>HYPERLINK("Melting_Curves/meltCurve_Q8N9N7_LRRC57.pdf", "Melting_Curves/meltCurve_Q8N9N7_LRRC57.pdf")</f>
        <v>Melting_Curves/meltCurve_Q8N9N7_LRRC57.pdf</v>
      </c>
    </row>
    <row r="4112" spans="1:28" x14ac:dyDescent="0.25">
      <c r="A4112" t="s">
        <v>4116</v>
      </c>
      <c r="B4112">
        <v>0.99996721820229495</v>
      </c>
      <c r="C4112">
        <v>0.90586821922431904</v>
      </c>
      <c r="D4112">
        <v>0.83783533890224704</v>
      </c>
      <c r="E4112">
        <v>0.95429212686989895</v>
      </c>
      <c r="F4112">
        <v>1.00855035878965</v>
      </c>
      <c r="G4112">
        <v>0.604706309332249</v>
      </c>
      <c r="H4112">
        <v>0.35512037831412302</v>
      </c>
      <c r="I4112">
        <v>0.18039315398393599</v>
      </c>
      <c r="J4112">
        <v>0.116334676130701</v>
      </c>
      <c r="K4112">
        <v>9.5484437248206405E-2</v>
      </c>
      <c r="L4112">
        <v>1381.9934075787501</v>
      </c>
      <c r="M4112">
        <v>23.725189218520299</v>
      </c>
      <c r="N4112">
        <v>58.708018612219199</v>
      </c>
      <c r="O4112">
        <v>57.840945218048901</v>
      </c>
      <c r="P4112">
        <v>-9.3883574022130906E-2</v>
      </c>
      <c r="Q4112">
        <v>8.4479416582238995E-2</v>
      </c>
      <c r="R4112">
        <v>0.96418856948585896</v>
      </c>
      <c r="S4112" t="s">
        <v>9938</v>
      </c>
      <c r="T4112" t="s">
        <v>11650</v>
      </c>
      <c r="U4112" t="s">
        <v>11650</v>
      </c>
      <c r="V4112" t="s">
        <v>11650</v>
      </c>
      <c r="W4112" t="s">
        <v>15708</v>
      </c>
      <c r="X4112">
        <v>5</v>
      </c>
      <c r="Y4112" t="s">
        <v>21384</v>
      </c>
      <c r="Z4112" t="s">
        <v>27174</v>
      </c>
      <c r="AA4112">
        <v>0.64984244664815383</v>
      </c>
      <c r="AB4112" t="str">
        <f>HYPERLINK("Melting_Curves/meltCurve_Q8N9V3_2_WDSUB1.pdf", "Melting_Curves/meltCurve_Q8N9V3_2_WDSUB1.pdf")</f>
        <v>Melting_Curves/meltCurve_Q8N9V3_2_WDSUB1.pdf</v>
      </c>
    </row>
    <row r="4113" spans="1:28" x14ac:dyDescent="0.25">
      <c r="A4113" t="s">
        <v>4117</v>
      </c>
      <c r="B4113">
        <v>0.99996721820229495</v>
      </c>
      <c r="C4113">
        <v>0.80078287376275203</v>
      </c>
      <c r="D4113">
        <v>0.762446702594753</v>
      </c>
      <c r="E4113">
        <v>0.83753925432216203</v>
      </c>
      <c r="F4113">
        <v>0.68774906031458904</v>
      </c>
      <c r="G4113">
        <v>0.37888706128675398</v>
      </c>
      <c r="H4113">
        <v>0.24985824044706501</v>
      </c>
      <c r="I4113">
        <v>0.21644511472772501</v>
      </c>
      <c r="J4113">
        <v>0.17041771169821099</v>
      </c>
      <c r="K4113">
        <v>0.168456084566072</v>
      </c>
      <c r="L4113">
        <v>495.63500592762603</v>
      </c>
      <c r="M4113">
        <v>8.9502583153411202</v>
      </c>
      <c r="N4113">
        <v>55.376614661527697</v>
      </c>
      <c r="O4113">
        <v>52.821581373293299</v>
      </c>
      <c r="P4113">
        <v>-4.2392212832774202E-2</v>
      </c>
      <c r="Q4113">
        <v>0</v>
      </c>
      <c r="R4113">
        <v>0.93929681725787095</v>
      </c>
      <c r="S4113" t="s">
        <v>9939</v>
      </c>
      <c r="T4113" t="s">
        <v>11650</v>
      </c>
      <c r="U4113" t="s">
        <v>11650</v>
      </c>
      <c r="V4113" t="s">
        <v>11650</v>
      </c>
      <c r="W4113" t="s">
        <v>15709</v>
      </c>
      <c r="X4113">
        <v>1</v>
      </c>
      <c r="Y4113" t="s">
        <v>21385</v>
      </c>
      <c r="Z4113" t="s">
        <v>27175</v>
      </c>
      <c r="AA4113">
        <v>0.53710671558901701</v>
      </c>
      <c r="AB4113" t="str">
        <f>HYPERLINK("Melting_Curves/meltCurve_Q8NB14_USP38.pdf", "Melting_Curves/meltCurve_Q8NB14_USP38.pdf")</f>
        <v>Melting_Curves/meltCurve_Q8NB14_USP38.pdf</v>
      </c>
    </row>
    <row r="4114" spans="1:28" x14ac:dyDescent="0.25">
      <c r="A4114" t="s">
        <v>4118</v>
      </c>
      <c r="B4114">
        <v>0.99996721820229495</v>
      </c>
      <c r="C4114">
        <v>1.07733643878132</v>
      </c>
      <c r="D4114">
        <v>0.994110967331022</v>
      </c>
      <c r="E4114">
        <v>0.54664330848792098</v>
      </c>
      <c r="F4114">
        <v>0.32902750515541601</v>
      </c>
      <c r="G4114">
        <v>0.29466632510249502</v>
      </c>
      <c r="H4114">
        <v>0.22615606204111699</v>
      </c>
      <c r="I4114">
        <v>0.17037297564850601</v>
      </c>
      <c r="J4114">
        <v>0.15629104707125899</v>
      </c>
      <c r="K4114">
        <v>0.14346893698309601</v>
      </c>
      <c r="L4114">
        <v>1548.44644745506</v>
      </c>
      <c r="M4114">
        <v>31.059222446954301</v>
      </c>
      <c r="N4114">
        <v>50.662513244501397</v>
      </c>
      <c r="O4114">
        <v>49.6493394229852</v>
      </c>
      <c r="P4114">
        <v>-0.12585042958422801</v>
      </c>
      <c r="Q4114">
        <v>0.19529791861113799</v>
      </c>
      <c r="R4114">
        <v>0.98228596504285504</v>
      </c>
      <c r="S4114" t="s">
        <v>9940</v>
      </c>
      <c r="T4114" t="s">
        <v>11650</v>
      </c>
      <c r="U4114" t="s">
        <v>11650</v>
      </c>
      <c r="V4114" t="s">
        <v>11650</v>
      </c>
      <c r="W4114" t="s">
        <v>15710</v>
      </c>
      <c r="X4114">
        <v>6</v>
      </c>
      <c r="Y4114" t="s">
        <v>21386</v>
      </c>
      <c r="Z4114" t="s">
        <v>27176</v>
      </c>
      <c r="AA4114">
        <v>0.46426131550317729</v>
      </c>
      <c r="AB4114" t="str">
        <f>HYPERLINK("Melting_Curves/meltCurve_Q8NB16_MLKL.pdf", "Melting_Curves/meltCurve_Q8NB16_MLKL.pdf")</f>
        <v>Melting_Curves/meltCurve_Q8NB16_MLKL.pdf</v>
      </c>
    </row>
    <row r="4115" spans="1:28" x14ac:dyDescent="0.25">
      <c r="A4115" t="s">
        <v>4119</v>
      </c>
      <c r="B4115">
        <v>0.99996721820229495</v>
      </c>
      <c r="C4115">
        <v>1.1006605060655399</v>
      </c>
      <c r="D4115">
        <v>1.0146718593527799</v>
      </c>
      <c r="E4115">
        <v>1.3887158004645499</v>
      </c>
      <c r="F4115">
        <v>2.1080615916758401</v>
      </c>
      <c r="G4115">
        <v>1.81203833903846</v>
      </c>
      <c r="H4115">
        <v>0.98271360887047099</v>
      </c>
      <c r="I4115">
        <v>0.46534133482418999</v>
      </c>
      <c r="J4115">
        <v>0.255535249025372</v>
      </c>
      <c r="K4115">
        <v>0.19470653085290299</v>
      </c>
      <c r="L4115">
        <v>5622.4517418341702</v>
      </c>
      <c r="M4115">
        <v>88.622360271921096</v>
      </c>
      <c r="N4115">
        <v>63.862857010627003</v>
      </c>
      <c r="O4115">
        <v>63.410544549060297</v>
      </c>
      <c r="P4115">
        <v>-0.272230320740525</v>
      </c>
      <c r="Q4115">
        <v>0.22086178546927401</v>
      </c>
      <c r="R4115">
        <v>0.41873776120393402</v>
      </c>
      <c r="S4115" t="s">
        <v>9941</v>
      </c>
      <c r="T4115" t="s">
        <v>11650</v>
      </c>
      <c r="U4115" t="s">
        <v>11650</v>
      </c>
      <c r="V4115" t="s">
        <v>11650</v>
      </c>
      <c r="W4115" t="s">
        <v>15711</v>
      </c>
      <c r="X4115">
        <v>6</v>
      </c>
      <c r="Y4115" t="s">
        <v>21387</v>
      </c>
      <c r="Z4115" t="s">
        <v>27177</v>
      </c>
      <c r="AA4115">
        <v>0.83038712186157737</v>
      </c>
      <c r="AB4115" t="str">
        <f>HYPERLINK("Melting_Curves/meltCurve_Q8NB37_PDDC1.pdf", "Melting_Curves/meltCurve_Q8NB37_PDDC1.pdf")</f>
        <v>Melting_Curves/meltCurve_Q8NB37_PDDC1.pdf</v>
      </c>
    </row>
    <row r="4116" spans="1:28" x14ac:dyDescent="0.25">
      <c r="A4116" t="s">
        <v>4120</v>
      </c>
      <c r="B4116">
        <v>0.99996721820229495</v>
      </c>
      <c r="C4116">
        <v>0.71599781006773</v>
      </c>
      <c r="D4116">
        <v>0.55299011191702596</v>
      </c>
      <c r="E4116">
        <v>0.49678196207856201</v>
      </c>
      <c r="F4116">
        <v>9.9743769751926101E-2</v>
      </c>
      <c r="G4116">
        <v>6.5813830670748294E-2</v>
      </c>
      <c r="H4116">
        <v>3.8331463485896403E-2</v>
      </c>
      <c r="I4116">
        <v>4.5806981417450598E-2</v>
      </c>
      <c r="J4116">
        <v>2.6294280696209E-2</v>
      </c>
      <c r="K4116">
        <v>2.1206922834309101E-2</v>
      </c>
      <c r="L4116">
        <v>612.01392300752002</v>
      </c>
      <c r="M4116">
        <v>12.921986074540399</v>
      </c>
      <c r="N4116">
        <v>47.3622205498149</v>
      </c>
      <c r="O4116">
        <v>46.270955192380001</v>
      </c>
      <c r="P4116">
        <v>-6.9829567428453296E-2</v>
      </c>
      <c r="Q4116">
        <v>0</v>
      </c>
      <c r="R4116">
        <v>0.95388455495073998</v>
      </c>
      <c r="S4116" t="s">
        <v>9942</v>
      </c>
      <c r="T4116" t="s">
        <v>11650</v>
      </c>
      <c r="U4116" t="s">
        <v>11650</v>
      </c>
      <c r="V4116" t="s">
        <v>11650</v>
      </c>
      <c r="W4116" t="s">
        <v>15712</v>
      </c>
      <c r="X4116">
        <v>1</v>
      </c>
      <c r="Y4116" t="s">
        <v>21388</v>
      </c>
      <c r="Z4116" t="s">
        <v>27178</v>
      </c>
      <c r="AA4116">
        <v>0.28105463541687797</v>
      </c>
      <c r="AB4116" t="str">
        <f>HYPERLINK("Melting_Curves/meltCurve_Q8NB46_ANKRD52.pdf", "Melting_Curves/meltCurve_Q8NB46_ANKRD52.pdf")</f>
        <v>Melting_Curves/meltCurve_Q8NB46_ANKRD52.pdf</v>
      </c>
    </row>
    <row r="4117" spans="1:28" x14ac:dyDescent="0.25">
      <c r="A4117" t="s">
        <v>4121</v>
      </c>
      <c r="B4117">
        <v>0.99996721820229495</v>
      </c>
      <c r="C4117">
        <v>0.79402373069525201</v>
      </c>
      <c r="D4117">
        <v>1.12767664630793</v>
      </c>
      <c r="E4117">
        <v>1.40234027225721</v>
      </c>
      <c r="F4117">
        <v>1.65875882203339</v>
      </c>
      <c r="G4117">
        <v>1.0399547856396401</v>
      </c>
      <c r="H4117">
        <v>0.32555678133638299</v>
      </c>
      <c r="I4117">
        <v>0.205881467527573</v>
      </c>
      <c r="J4117">
        <v>0.13942054940752699</v>
      </c>
      <c r="K4117">
        <v>9.46408295992896E-2</v>
      </c>
      <c r="L4117">
        <v>7030.6567153635697</v>
      </c>
      <c r="M4117">
        <v>116.57570287189</v>
      </c>
      <c r="N4117">
        <v>60.489131163210303</v>
      </c>
      <c r="O4117">
        <v>60.292055312449897</v>
      </c>
      <c r="P4117">
        <v>-0.41275304820602499</v>
      </c>
      <c r="Q4117">
        <v>0.14610928489529201</v>
      </c>
      <c r="R4117">
        <v>0.76450369272196705</v>
      </c>
      <c r="S4117" t="s">
        <v>9943</v>
      </c>
      <c r="T4117" t="s">
        <v>11650</v>
      </c>
      <c r="U4117" t="s">
        <v>11650</v>
      </c>
      <c r="V4117" t="s">
        <v>11650</v>
      </c>
      <c r="W4117" t="s">
        <v>15713</v>
      </c>
      <c r="X4117">
        <v>13</v>
      </c>
      <c r="Y4117" t="s">
        <v>21389</v>
      </c>
      <c r="Z4117" t="s">
        <v>27179</v>
      </c>
      <c r="AA4117">
        <v>0.72460343671858396</v>
      </c>
      <c r="AB4117" t="str">
        <f>HYPERLINK("Melting_Curves/meltCurve_Q8NB49_3_ATP11C.pdf", "Melting_Curves/meltCurve_Q8NB49_3_ATP11C.pdf")</f>
        <v>Melting_Curves/meltCurve_Q8NB49_3_ATP11C.pdf</v>
      </c>
    </row>
    <row r="4118" spans="1:28" x14ac:dyDescent="0.25">
      <c r="A4118" t="s">
        <v>4122</v>
      </c>
      <c r="B4118">
        <v>0.99996721820229495</v>
      </c>
      <c r="C4118">
        <v>1.02903585111939</v>
      </c>
      <c r="D4118">
        <v>0.98527158013835803</v>
      </c>
      <c r="E4118">
        <v>0.90270912706584205</v>
      </c>
      <c r="F4118">
        <v>0.40620619844628703</v>
      </c>
      <c r="G4118">
        <v>0.28537363821627398</v>
      </c>
      <c r="H4118">
        <v>0.17093469317227999</v>
      </c>
      <c r="I4118">
        <v>0.105627948188495</v>
      </c>
      <c r="J4118">
        <v>6.6543883977111404E-2</v>
      </c>
      <c r="K4118">
        <v>6.2531662494864998E-2</v>
      </c>
      <c r="L4118">
        <v>1715.51695595095</v>
      </c>
      <c r="M4118">
        <v>32.7712271993868</v>
      </c>
      <c r="N4118">
        <v>52.778911251531099</v>
      </c>
      <c r="O4118">
        <v>52.154495063525097</v>
      </c>
      <c r="P4118">
        <v>-0.13865935056085099</v>
      </c>
      <c r="Q4118">
        <v>0.11731407698843301</v>
      </c>
      <c r="R4118">
        <v>0.98228192648278101</v>
      </c>
      <c r="S4118" t="s">
        <v>9944</v>
      </c>
      <c r="T4118" t="s">
        <v>11650</v>
      </c>
      <c r="U4118" t="s">
        <v>11650</v>
      </c>
      <c r="V4118" t="s">
        <v>11650</v>
      </c>
      <c r="W4118" t="s">
        <v>15714</v>
      </c>
      <c r="X4118">
        <v>14</v>
      </c>
      <c r="Y4118" t="s">
        <v>21390</v>
      </c>
      <c r="Z4118" t="s">
        <v>27180</v>
      </c>
      <c r="AA4118">
        <v>0.48539365800313711</v>
      </c>
      <c r="AB4118" t="str">
        <f>HYPERLINK("Melting_Curves/meltCurve_Q8NBF2_NHLRC2.pdf", "Melting_Curves/meltCurve_Q8NBF2_NHLRC2.pdf")</f>
        <v>Melting_Curves/meltCurve_Q8NBF2_NHLRC2.pdf</v>
      </c>
    </row>
    <row r="4119" spans="1:28" x14ac:dyDescent="0.25">
      <c r="A4119" t="s">
        <v>4123</v>
      </c>
      <c r="B4119">
        <v>0.99996721820229495</v>
      </c>
      <c r="C4119">
        <v>1.0425906622104</v>
      </c>
      <c r="D4119">
        <v>0.98508117530228201</v>
      </c>
      <c r="E4119">
        <v>0.92571122154775398</v>
      </c>
      <c r="F4119">
        <v>0.98556797689321196</v>
      </c>
      <c r="G4119">
        <v>0.52452969040786401</v>
      </c>
      <c r="H4119">
        <v>0.16010301452259099</v>
      </c>
      <c r="I4119">
        <v>0.106376327679838</v>
      </c>
      <c r="J4119">
        <v>7.7479294325365794E-2</v>
      </c>
      <c r="K4119">
        <v>6.0849853646613397E-2</v>
      </c>
      <c r="L4119">
        <v>2208.1621860222799</v>
      </c>
      <c r="M4119">
        <v>38.762499948894103</v>
      </c>
      <c r="N4119">
        <v>57.221975244282298</v>
      </c>
      <c r="O4119">
        <v>56.815469392044299</v>
      </c>
      <c r="P4119">
        <v>-0.157009823644611</v>
      </c>
      <c r="Q4119">
        <v>7.9464339991319397E-2</v>
      </c>
      <c r="R4119">
        <v>0.99490249212917803</v>
      </c>
      <c r="S4119" t="s">
        <v>9945</v>
      </c>
      <c r="T4119" t="s">
        <v>11650</v>
      </c>
      <c r="U4119" t="s">
        <v>11650</v>
      </c>
      <c r="V4119" t="s">
        <v>11650</v>
      </c>
      <c r="W4119" t="s">
        <v>15715</v>
      </c>
      <c r="X4119">
        <v>9</v>
      </c>
      <c r="Y4119" t="s">
        <v>21391</v>
      </c>
      <c r="Z4119" t="s">
        <v>27181</v>
      </c>
      <c r="AA4119">
        <v>0.603881693038404</v>
      </c>
      <c r="AB4119" t="str">
        <f>HYPERLINK("Melting_Curves/meltCurve_Q8NBF6_AVL9.pdf", "Melting_Curves/meltCurve_Q8NBF6_AVL9.pdf")</f>
        <v>Melting_Curves/meltCurve_Q8NBF6_AVL9.pdf</v>
      </c>
    </row>
    <row r="4120" spans="1:28" x14ac:dyDescent="0.25">
      <c r="A4120" t="s">
        <v>4124</v>
      </c>
      <c r="B4120">
        <v>0.99996721820229495</v>
      </c>
      <c r="C4120">
        <v>1.0712444737448801</v>
      </c>
      <c r="D4120">
        <v>1.28254801000137</v>
      </c>
      <c r="E4120">
        <v>1.7289565054325899</v>
      </c>
      <c r="F4120">
        <v>2.1721397773448299</v>
      </c>
      <c r="G4120">
        <v>2.8478903265336899</v>
      </c>
      <c r="H4120">
        <v>2.1920809453955101</v>
      </c>
      <c r="I4120">
        <v>1.1794204867248601</v>
      </c>
      <c r="J4120">
        <v>0.56851211962525605</v>
      </c>
      <c r="K4120">
        <v>0.44316489941602899</v>
      </c>
      <c r="L4120">
        <v>15000</v>
      </c>
      <c r="M4120">
        <v>225.11518624905901</v>
      </c>
      <c r="N4120">
        <v>67.282081324044697</v>
      </c>
      <c r="O4120">
        <v>66.627296158044004</v>
      </c>
      <c r="P4120">
        <v>-0.47040680668400298</v>
      </c>
      <c r="Q4120">
        <v>0.44309517133522403</v>
      </c>
      <c r="R4120">
        <v>-0.28380989152867098</v>
      </c>
      <c r="S4120" t="s">
        <v>9946</v>
      </c>
      <c r="T4120" t="s">
        <v>11650</v>
      </c>
      <c r="U4120" t="s">
        <v>11650</v>
      </c>
      <c r="V4120" t="s">
        <v>11650</v>
      </c>
      <c r="W4120" t="s">
        <v>15716</v>
      </c>
      <c r="X4120">
        <v>1</v>
      </c>
      <c r="Y4120" t="s">
        <v>21392</v>
      </c>
      <c r="Z4120" t="s">
        <v>27182</v>
      </c>
      <c r="AA4120">
        <v>0.937568652154806</v>
      </c>
      <c r="AB4120" t="str">
        <f>HYPERLINK("Melting_Curves/meltCurve_Q8NBI5_SLC43A3.pdf", "Melting_Curves/meltCurve_Q8NBI5_SLC43A3.pdf")</f>
        <v>Melting_Curves/meltCurve_Q8NBI5_SLC43A3.pdf</v>
      </c>
    </row>
    <row r="4121" spans="1:28" x14ac:dyDescent="0.25">
      <c r="A4121" t="s">
        <v>4125</v>
      </c>
      <c r="B4121">
        <v>0.99996721820229495</v>
      </c>
      <c r="C4121">
        <v>0.70338769505757004</v>
      </c>
      <c r="D4121">
        <v>0.756486972006017</v>
      </c>
      <c r="E4121">
        <v>0.874855225578828</v>
      </c>
      <c r="F4121">
        <v>0.971094801799401</v>
      </c>
      <c r="G4121">
        <v>0.82581890431440697</v>
      </c>
      <c r="H4121">
        <v>0.59908318883188705</v>
      </c>
      <c r="I4121">
        <v>0.36211919567823397</v>
      </c>
      <c r="J4121">
        <v>0.26343336009406298</v>
      </c>
      <c r="K4121">
        <v>0.16914834468919601</v>
      </c>
      <c r="L4121">
        <v>912.46413702945404</v>
      </c>
      <c r="M4121">
        <v>14.651386350410499</v>
      </c>
      <c r="N4121">
        <v>62.278347949122903</v>
      </c>
      <c r="O4121">
        <v>61.152674134680602</v>
      </c>
      <c r="P4121">
        <v>-5.99034001458097E-2</v>
      </c>
      <c r="Q4121">
        <v>0</v>
      </c>
      <c r="R4121">
        <v>0.79875753813681705</v>
      </c>
      <c r="S4121" t="s">
        <v>9947</v>
      </c>
      <c r="T4121" t="s">
        <v>11650</v>
      </c>
      <c r="U4121" t="s">
        <v>11650</v>
      </c>
      <c r="V4121" t="s">
        <v>11650</v>
      </c>
      <c r="W4121" t="s">
        <v>15717</v>
      </c>
      <c r="X4121">
        <v>5</v>
      </c>
      <c r="Y4121" t="s">
        <v>21393</v>
      </c>
      <c r="Z4121" t="s">
        <v>27183</v>
      </c>
      <c r="AA4121">
        <v>0.73736084136246238</v>
      </c>
      <c r="AB4121" t="str">
        <f>HYPERLINK("Melting_Curves/meltCurve_Q8NBI6_XXYLT1.pdf", "Melting_Curves/meltCurve_Q8NBI6_XXYLT1.pdf")</f>
        <v>Melting_Curves/meltCurve_Q8NBI6_XXYLT1.pdf</v>
      </c>
    </row>
    <row r="4122" spans="1:28" x14ac:dyDescent="0.25">
      <c r="A4122" t="s">
        <v>4126</v>
      </c>
      <c r="B4122">
        <v>0.99996721820229495</v>
      </c>
      <c r="C4122">
        <v>0.94932170384595305</v>
      </c>
      <c r="D4122">
        <v>1.00315851863031</v>
      </c>
      <c r="E4122">
        <v>1.08590499119085</v>
      </c>
      <c r="F4122">
        <v>1.22556843208694</v>
      </c>
      <c r="G4122">
        <v>1.0641263480877401</v>
      </c>
      <c r="H4122">
        <v>0.85101903671309898</v>
      </c>
      <c r="I4122">
        <v>0.75090595798453597</v>
      </c>
      <c r="J4122">
        <v>0.54998082308809304</v>
      </c>
      <c r="K4122">
        <v>0.59798223248532301</v>
      </c>
      <c r="L4122">
        <v>2343.6554622890299</v>
      </c>
      <c r="M4122">
        <v>37.301268191900697</v>
      </c>
      <c r="O4122">
        <v>62.650690156992297</v>
      </c>
      <c r="P4122">
        <v>-6.5269131221117493E-2</v>
      </c>
      <c r="Q4122">
        <v>0.56150075409948697</v>
      </c>
      <c r="R4122">
        <v>0.82905599322952495</v>
      </c>
      <c r="S4122" t="s">
        <v>9948</v>
      </c>
      <c r="T4122" t="s">
        <v>11650</v>
      </c>
      <c r="U4122" t="s">
        <v>11650</v>
      </c>
      <c r="V4122" t="s">
        <v>11650</v>
      </c>
      <c r="W4122" t="s">
        <v>15718</v>
      </c>
      <c r="X4122">
        <v>14</v>
      </c>
      <c r="Y4122" t="s">
        <v>21394</v>
      </c>
      <c r="Z4122" t="s">
        <v>27184</v>
      </c>
      <c r="AA4122">
        <v>0.89669234150916843</v>
      </c>
      <c r="AB4122" t="str">
        <f>HYPERLINK("Melting_Curves/meltCurve_Q8NBJ4_2_GOLM1.pdf", "Melting_Curves/meltCurve_Q8NBJ4_2_GOLM1.pdf")</f>
        <v>Melting_Curves/meltCurve_Q8NBJ4_2_GOLM1.pdf</v>
      </c>
    </row>
    <row r="4123" spans="1:28" x14ac:dyDescent="0.25">
      <c r="A4123" t="s">
        <v>4127</v>
      </c>
      <c r="B4123">
        <v>0.99996721820229495</v>
      </c>
      <c r="C4123">
        <v>0.96063401594533404</v>
      </c>
      <c r="D4123">
        <v>0.95288989474063701</v>
      </c>
      <c r="E4123">
        <v>1.0660607434637701</v>
      </c>
      <c r="F4123">
        <v>0.62777534862361295</v>
      </c>
      <c r="G4123">
        <v>0.525944413722918</v>
      </c>
      <c r="H4123">
        <v>0.33079921327499001</v>
      </c>
      <c r="I4123">
        <v>0.19297079294685601</v>
      </c>
      <c r="J4123">
        <v>0.117567341973569</v>
      </c>
      <c r="K4123">
        <v>0.13770123737891399</v>
      </c>
      <c r="L4123">
        <v>929.63819439765803</v>
      </c>
      <c r="M4123">
        <v>16.503424641662701</v>
      </c>
      <c r="N4123">
        <v>57.019642678619</v>
      </c>
      <c r="O4123">
        <v>55.522419236637802</v>
      </c>
      <c r="P4123">
        <v>-6.7591511446991506E-2</v>
      </c>
      <c r="Q4123">
        <v>9.0471289517290707E-2</v>
      </c>
      <c r="R4123">
        <v>0.96139663790427099</v>
      </c>
      <c r="S4123" t="s">
        <v>9949</v>
      </c>
      <c r="T4123" t="s">
        <v>11650</v>
      </c>
      <c r="U4123" t="s">
        <v>11650</v>
      </c>
      <c r="V4123" t="s">
        <v>11650</v>
      </c>
      <c r="W4123" t="s">
        <v>15719</v>
      </c>
      <c r="X4123">
        <v>6</v>
      </c>
      <c r="Y4123" t="s">
        <v>21395</v>
      </c>
      <c r="Z4123" t="s">
        <v>27185</v>
      </c>
      <c r="AA4123">
        <v>0.59992641097953281</v>
      </c>
      <c r="AB4123" t="str">
        <f>HYPERLINK("Melting_Curves/meltCurve_Q8NBJ5_COLGALT1.pdf", "Melting_Curves/meltCurve_Q8NBJ5_COLGALT1.pdf")</f>
        <v>Melting_Curves/meltCurve_Q8NBJ5_COLGALT1.pdf</v>
      </c>
    </row>
    <row r="4124" spans="1:28" x14ac:dyDescent="0.25">
      <c r="A4124" t="s">
        <v>4128</v>
      </c>
      <c r="B4124">
        <v>0.99996721820229495</v>
      </c>
      <c r="C4124">
        <v>1.0088153735443399</v>
      </c>
      <c r="D4124">
        <v>0.92426549775870903</v>
      </c>
      <c r="E4124">
        <v>0.87836942330603196</v>
      </c>
      <c r="F4124">
        <v>1.0201233833713901</v>
      </c>
      <c r="G4124">
        <v>0.86452150912610304</v>
      </c>
      <c r="H4124">
        <v>0.47674380860833498</v>
      </c>
      <c r="I4124">
        <v>0.268387250985475</v>
      </c>
      <c r="J4124">
        <v>0.117376154120827</v>
      </c>
      <c r="K4124">
        <v>0.13037653871487401</v>
      </c>
      <c r="L4124">
        <v>1744.7406160558601</v>
      </c>
      <c r="M4124">
        <v>28.8862386443903</v>
      </c>
      <c r="N4124">
        <v>60.861172341404</v>
      </c>
      <c r="O4124">
        <v>60.113174199747199</v>
      </c>
      <c r="P4124">
        <v>-0.108334795665759</v>
      </c>
      <c r="Q4124">
        <v>9.8214608239176104E-2</v>
      </c>
      <c r="R4124">
        <v>0.98209499838273195</v>
      </c>
      <c r="S4124" t="s">
        <v>9950</v>
      </c>
      <c r="T4124" t="s">
        <v>11650</v>
      </c>
      <c r="U4124" t="s">
        <v>11650</v>
      </c>
      <c r="V4124" t="s">
        <v>11650</v>
      </c>
      <c r="W4124" t="s">
        <v>15720</v>
      </c>
      <c r="X4124">
        <v>6</v>
      </c>
      <c r="Y4124" t="s">
        <v>21396</v>
      </c>
      <c r="Z4124" t="s">
        <v>27186</v>
      </c>
      <c r="AA4124">
        <v>0.71698372784030628</v>
      </c>
      <c r="AB4124" t="str">
        <f>HYPERLINK("Melting_Curves/meltCurve_Q8NBK3_SUMF1.pdf", "Melting_Curves/meltCurve_Q8NBK3_SUMF1.pdf")</f>
        <v>Melting_Curves/meltCurve_Q8NBK3_SUMF1.pdf</v>
      </c>
    </row>
    <row r="4125" spans="1:28" x14ac:dyDescent="0.25">
      <c r="A4125" t="s">
        <v>4129</v>
      </c>
      <c r="B4125">
        <v>0.99996721820229495</v>
      </c>
      <c r="C4125">
        <v>1.0532649338645901</v>
      </c>
      <c r="D4125">
        <v>0.98307783325597697</v>
      </c>
      <c r="E4125">
        <v>0.87707403220006797</v>
      </c>
      <c r="F4125">
        <v>0.42303290339394101</v>
      </c>
      <c r="G4125">
        <v>0.31914957095126401</v>
      </c>
      <c r="H4125">
        <v>0.19220384385926001</v>
      </c>
      <c r="I4125">
        <v>0.13180685894699301</v>
      </c>
      <c r="J4125">
        <v>8.9570197942911906E-2</v>
      </c>
      <c r="K4125">
        <v>8.93931600587482E-2</v>
      </c>
      <c r="L4125">
        <v>1351.8505055025901</v>
      </c>
      <c r="M4125">
        <v>25.751811321918201</v>
      </c>
      <c r="N4125">
        <v>53.103985740900598</v>
      </c>
      <c r="O4125">
        <v>52.181863186568101</v>
      </c>
      <c r="P4125">
        <v>-0.10761072991861199</v>
      </c>
      <c r="Q4125">
        <v>0.127787759961352</v>
      </c>
      <c r="R4125">
        <v>0.98148459451786296</v>
      </c>
      <c r="S4125" t="s">
        <v>9951</v>
      </c>
      <c r="T4125" t="s">
        <v>11650</v>
      </c>
      <c r="U4125" t="s">
        <v>11650</v>
      </c>
      <c r="V4125" t="s">
        <v>11650</v>
      </c>
      <c r="W4125" t="s">
        <v>15721</v>
      </c>
      <c r="X4125">
        <v>12</v>
      </c>
      <c r="Y4125" t="s">
        <v>21397</v>
      </c>
      <c r="Z4125" t="s">
        <v>27187</v>
      </c>
      <c r="AA4125">
        <v>0.49863336505555628</v>
      </c>
      <c r="AB4125" t="str">
        <f>HYPERLINK("Melting_Curves/meltCurve_Q8NBL1_POGLUT1.pdf", "Melting_Curves/meltCurve_Q8NBL1_POGLUT1.pdf")</f>
        <v>Melting_Curves/meltCurve_Q8NBL1_POGLUT1.pdf</v>
      </c>
    </row>
    <row r="4126" spans="1:28" x14ac:dyDescent="0.25">
      <c r="A4126" t="s">
        <v>4130</v>
      </c>
      <c r="B4126">
        <v>0.99996721820229495</v>
      </c>
      <c r="C4126">
        <v>1.01223238891107</v>
      </c>
      <c r="D4126">
        <v>1.0122521404515801</v>
      </c>
      <c r="E4126">
        <v>0.93167000487934504</v>
      </c>
      <c r="F4126">
        <v>1.18097509166735</v>
      </c>
      <c r="G4126">
        <v>1.2053467066261701</v>
      </c>
      <c r="H4126">
        <v>0.62281769521448604</v>
      </c>
      <c r="I4126">
        <v>0.16646201335341701</v>
      </c>
      <c r="J4126">
        <v>9.3419257233644498E-2</v>
      </c>
      <c r="K4126">
        <v>8.11540890873369E-2</v>
      </c>
      <c r="L4126">
        <v>4552.2061451922</v>
      </c>
      <c r="M4126">
        <v>74.2620065944445</v>
      </c>
      <c r="N4126">
        <v>61.482636823316298</v>
      </c>
      <c r="O4126">
        <v>61.254854204065197</v>
      </c>
      <c r="P4126">
        <v>-0.27297819105062798</v>
      </c>
      <c r="Q4126">
        <v>9.9338302855933994E-2</v>
      </c>
      <c r="R4126">
        <v>0.95553718800382104</v>
      </c>
      <c r="S4126" t="s">
        <v>9952</v>
      </c>
      <c r="T4126" t="s">
        <v>11650</v>
      </c>
      <c r="U4126" t="s">
        <v>11650</v>
      </c>
      <c r="V4126" t="s">
        <v>11650</v>
      </c>
      <c r="W4126" t="s">
        <v>15722</v>
      </c>
      <c r="X4126">
        <v>8</v>
      </c>
      <c r="Y4126" t="s">
        <v>21398</v>
      </c>
      <c r="Z4126" t="s">
        <v>27188</v>
      </c>
      <c r="AA4126">
        <v>0.73988327152873956</v>
      </c>
      <c r="AB4126" t="str">
        <f>HYPERLINK("Melting_Curves/meltCurve_Q8NBM8_PCYOX1L.pdf", "Melting_Curves/meltCurve_Q8NBM8_PCYOX1L.pdf")</f>
        <v>Melting_Curves/meltCurve_Q8NBM8_PCYOX1L.pdf</v>
      </c>
    </row>
    <row r="4127" spans="1:28" x14ac:dyDescent="0.25">
      <c r="A4127" t="s">
        <v>4131</v>
      </c>
      <c r="B4127">
        <v>0.99996721820229495</v>
      </c>
      <c r="C4127">
        <v>0.84364878827398404</v>
      </c>
      <c r="D4127">
        <v>1.09096502080299</v>
      </c>
      <c r="E4127">
        <v>1.24929650636401</v>
      </c>
      <c r="F4127">
        <v>1.6874588651387199</v>
      </c>
      <c r="G4127">
        <v>1.75488896782271</v>
      </c>
      <c r="H4127">
        <v>1.3181080305325299</v>
      </c>
      <c r="I4127">
        <v>0.56101656242545395</v>
      </c>
      <c r="J4127">
        <v>0.235735812497333</v>
      </c>
      <c r="K4127">
        <v>0.26228352761704499</v>
      </c>
      <c r="L4127">
        <v>15000</v>
      </c>
      <c r="M4127">
        <v>234.71631038784099</v>
      </c>
      <c r="N4127">
        <v>64.095125848132099</v>
      </c>
      <c r="O4127">
        <v>63.902297029510898</v>
      </c>
      <c r="P4127">
        <v>-0.68961545445696004</v>
      </c>
      <c r="Q4127">
        <v>0.24899960391693199</v>
      </c>
      <c r="R4127">
        <v>0.51597800472870703</v>
      </c>
      <c r="S4127" t="s">
        <v>9953</v>
      </c>
      <c r="T4127" t="s">
        <v>11650</v>
      </c>
      <c r="U4127" t="s">
        <v>11650</v>
      </c>
      <c r="V4127" t="s">
        <v>11650</v>
      </c>
      <c r="W4127" t="s">
        <v>15723</v>
      </c>
      <c r="X4127">
        <v>9</v>
      </c>
      <c r="Y4127" t="s">
        <v>21399</v>
      </c>
      <c r="Z4127" t="s">
        <v>27189</v>
      </c>
      <c r="AA4127">
        <v>0.84756575146474233</v>
      </c>
      <c r="AB4127" t="str">
        <f>HYPERLINK("Melting_Curves/meltCurve_Q8NBN3_TMEM87A.pdf", "Melting_Curves/meltCurve_Q8NBN3_TMEM87A.pdf")</f>
        <v>Melting_Curves/meltCurve_Q8NBN3_TMEM87A.pdf</v>
      </c>
    </row>
    <row r="4128" spans="1:28" x14ac:dyDescent="0.25">
      <c r="A4128" t="s">
        <v>4132</v>
      </c>
      <c r="B4128">
        <v>0.99996721820229495</v>
      </c>
      <c r="C4128">
        <v>0.87974477199464096</v>
      </c>
      <c r="D4128">
        <v>0.78949087889337599</v>
      </c>
      <c r="E4128">
        <v>0.382340808742544</v>
      </c>
      <c r="F4128">
        <v>0.29153875742031998</v>
      </c>
      <c r="G4128">
        <v>0.214785891873843</v>
      </c>
      <c r="H4128">
        <v>0.163871613623256</v>
      </c>
      <c r="I4128">
        <v>0.167428568811506</v>
      </c>
      <c r="J4128">
        <v>8.6149198949146202E-2</v>
      </c>
      <c r="K4128">
        <v>8.7759585344774405E-2</v>
      </c>
      <c r="L4128">
        <v>846.53397120006605</v>
      </c>
      <c r="M4128">
        <v>17.517211314638001</v>
      </c>
      <c r="N4128">
        <v>49.102547495939</v>
      </c>
      <c r="O4128">
        <v>47.709254616529797</v>
      </c>
      <c r="P4128">
        <v>-8.0688602160283202E-2</v>
      </c>
      <c r="Q4128">
        <v>0.121006118693418</v>
      </c>
      <c r="R4128">
        <v>0.98823744100737998</v>
      </c>
      <c r="S4128" t="s">
        <v>9954</v>
      </c>
      <c r="T4128" t="s">
        <v>11650</v>
      </c>
      <c r="U4128" t="s">
        <v>11650</v>
      </c>
      <c r="V4128" t="s">
        <v>11650</v>
      </c>
      <c r="W4128" t="s">
        <v>15724</v>
      </c>
      <c r="X4128">
        <v>5</v>
      </c>
      <c r="Y4128" t="s">
        <v>21400</v>
      </c>
      <c r="Z4128" t="s">
        <v>27190</v>
      </c>
      <c r="AA4128">
        <v>0.38129193498122199</v>
      </c>
      <c r="AB4128" t="str">
        <f>HYPERLINK("Melting_Curves/meltCurve_Q8NBN7_RDH13.pdf", "Melting_Curves/meltCurve_Q8NBN7_RDH13.pdf")</f>
        <v>Melting_Curves/meltCurve_Q8NBN7_RDH13.pdf</v>
      </c>
    </row>
    <row r="4129" spans="1:28" x14ac:dyDescent="0.25">
      <c r="A4129" t="s">
        <v>4133</v>
      </c>
      <c r="B4129">
        <v>0.99996721820229495</v>
      </c>
      <c r="C4129">
        <v>0.70882505323845502</v>
      </c>
      <c r="D4129">
        <v>0.78348695952434799</v>
      </c>
      <c r="E4129">
        <v>0.64869440487049401</v>
      </c>
      <c r="F4129">
        <v>0.53092415525619996</v>
      </c>
      <c r="G4129">
        <v>0.39810558973090299</v>
      </c>
      <c r="H4129">
        <v>0.38842929584396202</v>
      </c>
      <c r="I4129">
        <v>0.25418552904220498</v>
      </c>
      <c r="J4129">
        <v>0.16759500452371401</v>
      </c>
      <c r="K4129">
        <v>0.169647981196895</v>
      </c>
      <c r="L4129">
        <v>355.18845600778502</v>
      </c>
      <c r="M4129">
        <v>6.5839176563596196</v>
      </c>
      <c r="N4129">
        <v>53.947888477851599</v>
      </c>
      <c r="O4129">
        <v>49.621205477256098</v>
      </c>
      <c r="P4129">
        <v>-3.3247785675475802E-2</v>
      </c>
      <c r="Q4129">
        <v>0</v>
      </c>
      <c r="R4129">
        <v>0.94881114125767196</v>
      </c>
      <c r="S4129" t="s">
        <v>9955</v>
      </c>
      <c r="T4129" t="s">
        <v>11650</v>
      </c>
      <c r="U4129" t="s">
        <v>11650</v>
      </c>
      <c r="V4129" t="s">
        <v>11650</v>
      </c>
      <c r="W4129" t="s">
        <v>15725</v>
      </c>
      <c r="X4129">
        <v>2</v>
      </c>
      <c r="Y4129" t="s">
        <v>21401</v>
      </c>
      <c r="Z4129" t="s">
        <v>27191</v>
      </c>
      <c r="AA4129">
        <v>0.50174959935023855</v>
      </c>
      <c r="AB4129" t="str">
        <f>HYPERLINK("Melting_Curves/meltCurve_Q8NBU5_ATAD1.pdf", "Melting_Curves/meltCurve_Q8NBU5_ATAD1.pdf")</f>
        <v>Melting_Curves/meltCurve_Q8NBU5_ATAD1.pdf</v>
      </c>
    </row>
    <row r="4130" spans="1:28" x14ac:dyDescent="0.25">
      <c r="A4130" t="s">
        <v>4134</v>
      </c>
      <c r="B4130">
        <v>0.99996721820229495</v>
      </c>
      <c r="C4130">
        <v>0.90991006467513802</v>
      </c>
      <c r="D4130">
        <v>0.87317370214641299</v>
      </c>
      <c r="E4130">
        <v>0.84191362258354596</v>
      </c>
      <c r="F4130">
        <v>0.41722800694510598</v>
      </c>
      <c r="G4130">
        <v>0.25300477102253799</v>
      </c>
      <c r="H4130">
        <v>0.132489492590111</v>
      </c>
      <c r="I4130">
        <v>7.9802367716035605E-2</v>
      </c>
      <c r="J4130">
        <v>5.2491139371062402E-2</v>
      </c>
      <c r="K4130">
        <v>4.2775813958804303E-2</v>
      </c>
      <c r="L4130">
        <v>967.06394669075496</v>
      </c>
      <c r="M4130">
        <v>18.3532101590535</v>
      </c>
      <c r="N4130">
        <v>52.941769923341297</v>
      </c>
      <c r="O4130">
        <v>52.078200652769802</v>
      </c>
      <c r="P4130">
        <v>-8.44515200798934E-2</v>
      </c>
      <c r="Q4130">
        <v>4.1501187176516401E-2</v>
      </c>
      <c r="R4130">
        <v>0.98114383701834496</v>
      </c>
      <c r="S4130" t="s">
        <v>9956</v>
      </c>
      <c r="T4130" t="s">
        <v>11650</v>
      </c>
      <c r="U4130" t="s">
        <v>11650</v>
      </c>
      <c r="V4130" t="s">
        <v>11650</v>
      </c>
      <c r="W4130" t="s">
        <v>15726</v>
      </c>
      <c r="X4130">
        <v>16</v>
      </c>
      <c r="Y4130" t="s">
        <v>21402</v>
      </c>
      <c r="Z4130" t="s">
        <v>27192</v>
      </c>
      <c r="AA4130">
        <v>0.46228997562025947</v>
      </c>
      <c r="AB4130" t="str">
        <f>HYPERLINK("Melting_Curves/meltCurve_Q8NBX0_SCCPDH.pdf", "Melting_Curves/meltCurve_Q8NBX0_SCCPDH.pdf")</f>
        <v>Melting_Curves/meltCurve_Q8NBX0_SCCPDH.pdf</v>
      </c>
    </row>
    <row r="4131" spans="1:28" x14ac:dyDescent="0.25">
      <c r="A4131" t="s">
        <v>4135</v>
      </c>
      <c r="B4131">
        <v>0.99996721820229495</v>
      </c>
      <c r="C4131">
        <v>1.1298907367339599</v>
      </c>
      <c r="D4131">
        <v>1.1654989292730999</v>
      </c>
      <c r="E4131">
        <v>1.1830045159657601</v>
      </c>
      <c r="F4131">
        <v>1.62068821425839</v>
      </c>
      <c r="G4131">
        <v>1.8578517849053999</v>
      </c>
      <c r="H4131">
        <v>0.73122697696014605</v>
      </c>
      <c r="I4131">
        <v>0.39727849334154203</v>
      </c>
      <c r="J4131">
        <v>0.27860367140842002</v>
      </c>
      <c r="K4131">
        <v>0.24764087953486599</v>
      </c>
      <c r="L4131">
        <v>4634.3461887510202</v>
      </c>
      <c r="M4131">
        <v>75.333031886024401</v>
      </c>
      <c r="N4131">
        <v>62.242870098193102</v>
      </c>
      <c r="O4131">
        <v>61.474826613360101</v>
      </c>
      <c r="P4131">
        <v>-0.21689440432527901</v>
      </c>
      <c r="Q4131">
        <v>0.29202162700170903</v>
      </c>
      <c r="R4131">
        <v>0.55296972632094199</v>
      </c>
      <c r="S4131" t="s">
        <v>9957</v>
      </c>
      <c r="T4131" t="s">
        <v>11650</v>
      </c>
      <c r="U4131" t="s">
        <v>11650</v>
      </c>
      <c r="V4131" t="s">
        <v>11650</v>
      </c>
      <c r="W4131" t="s">
        <v>15727</v>
      </c>
      <c r="X4131">
        <v>3</v>
      </c>
      <c r="Y4131" t="s">
        <v>21403</v>
      </c>
      <c r="Z4131" t="s">
        <v>27193</v>
      </c>
      <c r="AA4131">
        <v>0.80067452326154287</v>
      </c>
      <c r="AB4131" t="str">
        <f>HYPERLINK("Melting_Curves/meltCurve_Q8NC44_FAM134A.pdf", "Melting_Curves/meltCurve_Q8NC44_FAM134A.pdf")</f>
        <v>Melting_Curves/meltCurve_Q8NC44_FAM134A.pdf</v>
      </c>
    </row>
    <row r="4132" spans="1:28" x14ac:dyDescent="0.25">
      <c r="A4132" t="s">
        <v>4136</v>
      </c>
      <c r="B4132">
        <v>0.99996721820229495</v>
      </c>
      <c r="C4132">
        <v>0.88997151789735596</v>
      </c>
      <c r="D4132">
        <v>0.75588452474147105</v>
      </c>
      <c r="E4132">
        <v>0.94320859111431798</v>
      </c>
      <c r="F4132">
        <v>1.3365290370643299</v>
      </c>
      <c r="G4132">
        <v>1.26464810953353</v>
      </c>
      <c r="H4132">
        <v>1.2268567239926</v>
      </c>
      <c r="I4132">
        <v>1.4410174981424599</v>
      </c>
      <c r="J4132">
        <v>1.65725729201578</v>
      </c>
      <c r="K4132">
        <v>1.1228360819782499</v>
      </c>
      <c r="L4132">
        <v>13037.3107447076</v>
      </c>
      <c r="M4132">
        <v>250</v>
      </c>
      <c r="O4132">
        <v>52.145905302483797</v>
      </c>
      <c r="P4132">
        <v>0.41055175992457899</v>
      </c>
      <c r="Q4132">
        <v>1.34253749380759</v>
      </c>
      <c r="R4132">
        <v>0.63187375620672204</v>
      </c>
      <c r="S4132" t="s">
        <v>9958</v>
      </c>
      <c r="T4132" t="s">
        <v>11650</v>
      </c>
      <c r="U4132" t="s">
        <v>11650</v>
      </c>
      <c r="V4132" t="s">
        <v>11650</v>
      </c>
      <c r="W4132" t="s">
        <v>15728</v>
      </c>
      <c r="X4132">
        <v>14</v>
      </c>
      <c r="Y4132" t="s">
        <v>21404</v>
      </c>
      <c r="Z4132" t="s">
        <v>27194</v>
      </c>
      <c r="AA4132">
        <v>1.203787103008406</v>
      </c>
      <c r="AB4132" t="str">
        <f>HYPERLINK("Melting_Curves/meltCurve_Q8NC51_2_SERBP1.pdf", "Melting_Curves/meltCurve_Q8NC51_2_SERBP1.pdf")</f>
        <v>Melting_Curves/meltCurve_Q8NC51_2_SERBP1.pdf</v>
      </c>
    </row>
    <row r="4133" spans="1:28" x14ac:dyDescent="0.25">
      <c r="A4133" t="s">
        <v>4137</v>
      </c>
      <c r="B4133">
        <v>0.99996721820229495</v>
      </c>
      <c r="C4133">
        <v>0.79088855070161002</v>
      </c>
      <c r="D4133">
        <v>0.70227269914799095</v>
      </c>
      <c r="E4133">
        <v>0.64408358416822997</v>
      </c>
      <c r="F4133">
        <v>0.658755155453006</v>
      </c>
      <c r="G4133">
        <v>0.57619534797018401</v>
      </c>
      <c r="H4133">
        <v>0.44102688591615702</v>
      </c>
      <c r="I4133">
        <v>0.379360351898686</v>
      </c>
      <c r="J4133">
        <v>0.32077468170852302</v>
      </c>
      <c r="K4133">
        <v>0.188304620512319</v>
      </c>
      <c r="L4133">
        <v>300.31828703904301</v>
      </c>
      <c r="M4133">
        <v>5.2449124665988904</v>
      </c>
      <c r="N4133">
        <v>57.258970277827203</v>
      </c>
      <c r="O4133">
        <v>50.5160648238082</v>
      </c>
      <c r="P4133">
        <v>-2.60915609468357E-2</v>
      </c>
      <c r="Q4133">
        <v>0</v>
      </c>
      <c r="R4133">
        <v>0.92908942915475701</v>
      </c>
      <c r="S4133" t="s">
        <v>9959</v>
      </c>
      <c r="T4133" t="s">
        <v>11650</v>
      </c>
      <c r="U4133" t="s">
        <v>11650</v>
      </c>
      <c r="V4133" t="s">
        <v>11650</v>
      </c>
      <c r="W4133" t="s">
        <v>15729</v>
      </c>
      <c r="X4133">
        <v>4</v>
      </c>
      <c r="Y4133" t="s">
        <v>21405</v>
      </c>
      <c r="Z4133" t="s">
        <v>27195</v>
      </c>
      <c r="AA4133">
        <v>0.57024103858007658</v>
      </c>
      <c r="AB4133" t="str">
        <f>HYPERLINK("Melting_Curves/meltCurve_Q8NC56_LEMD2.pdf", "Melting_Curves/meltCurve_Q8NC56_LEMD2.pdf")</f>
        <v>Melting_Curves/meltCurve_Q8NC56_LEMD2.pdf</v>
      </c>
    </row>
    <row r="4134" spans="1:28" x14ac:dyDescent="0.25">
      <c r="A4134" t="s">
        <v>4138</v>
      </c>
      <c r="B4134">
        <v>0.99996721820229495</v>
      </c>
      <c r="C4134">
        <v>1.1052006252390001</v>
      </c>
      <c r="D4134">
        <v>1.0356345768659501</v>
      </c>
      <c r="E4134">
        <v>0.93739750783570097</v>
      </c>
      <c r="F4134">
        <v>1.0000450857798799</v>
      </c>
      <c r="G4134">
        <v>0.637951951299775</v>
      </c>
      <c r="H4134">
        <v>0.37006121562679101</v>
      </c>
      <c r="I4134">
        <v>0.21573281493998001</v>
      </c>
      <c r="J4134">
        <v>0.161258899994041</v>
      </c>
      <c r="K4134">
        <v>0.118111219365249</v>
      </c>
      <c r="L4134">
        <v>1402.7717669188501</v>
      </c>
      <c r="M4134">
        <v>24.0523208745944</v>
      </c>
      <c r="N4134">
        <v>58.9867947294562</v>
      </c>
      <c r="O4134">
        <v>57.923014974038203</v>
      </c>
      <c r="P4134">
        <v>-9.1482955774932997E-2</v>
      </c>
      <c r="Q4134">
        <v>0.118773515308729</v>
      </c>
      <c r="R4134">
        <v>0.98473386874776203</v>
      </c>
      <c r="S4134" t="s">
        <v>9960</v>
      </c>
      <c r="T4134" t="s">
        <v>11650</v>
      </c>
      <c r="U4134" t="s">
        <v>11650</v>
      </c>
      <c r="V4134" t="s">
        <v>11650</v>
      </c>
      <c r="W4134" t="s">
        <v>15730</v>
      </c>
      <c r="X4134">
        <v>2</v>
      </c>
      <c r="Y4134" t="s">
        <v>21406</v>
      </c>
      <c r="Z4134" t="s">
        <v>27196</v>
      </c>
      <c r="AA4134">
        <v>0.66488948612346688</v>
      </c>
      <c r="AB4134" t="str">
        <f>HYPERLINK("Melting_Curves/meltCurve_Q8NC96_NECAP1.pdf", "Melting_Curves/meltCurve_Q8NC96_NECAP1.pdf")</f>
        <v>Melting_Curves/meltCurve_Q8NC96_NECAP1.pdf</v>
      </c>
    </row>
    <row r="4135" spans="1:28" x14ac:dyDescent="0.25">
      <c r="A4135" t="s">
        <v>4139</v>
      </c>
      <c r="B4135">
        <v>0.99996721820229495</v>
      </c>
      <c r="C4135">
        <v>0.96144931995168803</v>
      </c>
      <c r="D4135">
        <v>0.94714185485258295</v>
      </c>
      <c r="E4135">
        <v>0.98114779636231297</v>
      </c>
      <c r="F4135">
        <v>0.68875924331937799</v>
      </c>
      <c r="G4135">
        <v>0.82009242967374196</v>
      </c>
      <c r="H4135">
        <v>0.47296677281015398</v>
      </c>
      <c r="I4135">
        <v>0.179534698752077</v>
      </c>
      <c r="J4135">
        <v>5.9090072946306901E-2</v>
      </c>
      <c r="K4135">
        <v>5.1105900581989903E-2</v>
      </c>
      <c r="L4135">
        <v>1100.0839527344499</v>
      </c>
      <c r="M4135">
        <v>18.375988731465998</v>
      </c>
      <c r="N4135">
        <v>59.865293236033096</v>
      </c>
      <c r="O4135">
        <v>59.169839519924501</v>
      </c>
      <c r="P4135">
        <v>-7.7644389639804107E-2</v>
      </c>
      <c r="Q4135">
        <v>0</v>
      </c>
      <c r="R4135">
        <v>0.945070283352348</v>
      </c>
      <c r="S4135" t="s">
        <v>9961</v>
      </c>
      <c r="T4135" t="s">
        <v>11650</v>
      </c>
      <c r="U4135" t="s">
        <v>11650</v>
      </c>
      <c r="V4135" t="s">
        <v>11650</v>
      </c>
      <c r="W4135" t="s">
        <v>15731</v>
      </c>
      <c r="X4135">
        <v>2</v>
      </c>
      <c r="Y4135" t="s">
        <v>21407</v>
      </c>
      <c r="Z4135" t="s">
        <v>27197</v>
      </c>
      <c r="AA4135">
        <v>0.67082774917529697</v>
      </c>
      <c r="AB4135" t="str">
        <f>HYPERLINK("Melting_Curves/meltCurve_Q8NCA5_2_FAM98A.pdf", "Melting_Curves/meltCurve_Q8NCA5_2_FAM98A.pdf")</f>
        <v>Melting_Curves/meltCurve_Q8NCA5_2_FAM98A.pdf</v>
      </c>
    </row>
    <row r="4136" spans="1:28" x14ac:dyDescent="0.25">
      <c r="A4136" t="s">
        <v>4140</v>
      </c>
      <c r="B4136">
        <v>0.99996721820229495</v>
      </c>
      <c r="C4136">
        <v>1.0317925439544</v>
      </c>
      <c r="D4136">
        <v>1.0191760792717299</v>
      </c>
      <c r="E4136">
        <v>0.95935008146151102</v>
      </c>
      <c r="F4136">
        <v>1.2580649736192799</v>
      </c>
      <c r="G4136">
        <v>1.2153181562825499</v>
      </c>
      <c r="H4136">
        <v>0.92076646703045795</v>
      </c>
      <c r="I4136">
        <v>0.83796454108844698</v>
      </c>
      <c r="J4136">
        <v>0.66667173209278296</v>
      </c>
      <c r="K4136">
        <v>0.46516941348095198</v>
      </c>
      <c r="L4136">
        <v>1939.4670774183801</v>
      </c>
      <c r="M4136">
        <v>29.040150371792599</v>
      </c>
      <c r="N4136">
        <v>69.385301577926001</v>
      </c>
      <c r="O4136">
        <v>66.471421542706196</v>
      </c>
      <c r="P4136">
        <v>-7.3008091883518797E-2</v>
      </c>
      <c r="Q4136">
        <v>0.33155778410152098</v>
      </c>
      <c r="R4136">
        <v>0.76268552014444901</v>
      </c>
      <c r="S4136" t="s">
        <v>9962</v>
      </c>
      <c r="T4136" t="s">
        <v>11650</v>
      </c>
      <c r="U4136" t="s">
        <v>11650</v>
      </c>
      <c r="V4136" t="s">
        <v>11650</v>
      </c>
      <c r="W4136" t="s">
        <v>15732</v>
      </c>
      <c r="X4136">
        <v>10</v>
      </c>
      <c r="Y4136" t="s">
        <v>21408</v>
      </c>
      <c r="Z4136" t="s">
        <v>27198</v>
      </c>
      <c r="AA4136">
        <v>0.91997585673157289</v>
      </c>
      <c r="AB4136" t="str">
        <f>HYPERLINK("Melting_Curves/meltCurve_Q8NCC3_PLA2G15.pdf", "Melting_Curves/meltCurve_Q8NCC3_PLA2G15.pdf")</f>
        <v>Melting_Curves/meltCurve_Q8NCC3_PLA2G15.pdf</v>
      </c>
    </row>
    <row r="4137" spans="1:28" x14ac:dyDescent="0.25">
      <c r="A4137" t="s">
        <v>4141</v>
      </c>
      <c r="B4137">
        <v>0.99996721820229495</v>
      </c>
      <c r="C4137">
        <v>0.91018389908508002</v>
      </c>
      <c r="D4137">
        <v>0.94561196487645605</v>
      </c>
      <c r="E4137">
        <v>0.77370668111459295</v>
      </c>
      <c r="F4137">
        <v>0.87922965103387896</v>
      </c>
      <c r="G4137">
        <v>0.73033345923158899</v>
      </c>
      <c r="H4137">
        <v>0.46125667818404298</v>
      </c>
      <c r="I4137">
        <v>0.37264869502296</v>
      </c>
      <c r="J4137">
        <v>0.23885802097206299</v>
      </c>
      <c r="K4137">
        <v>0.27233472432142403</v>
      </c>
      <c r="L4137">
        <v>576.79347866075398</v>
      </c>
      <c r="M4137">
        <v>9.4737221404872098</v>
      </c>
      <c r="N4137">
        <v>60.883498030077</v>
      </c>
      <c r="O4137">
        <v>58.355830933624198</v>
      </c>
      <c r="P4137">
        <v>-4.0610275012112902E-2</v>
      </c>
      <c r="Q4137">
        <v>0</v>
      </c>
      <c r="R4137">
        <v>0.95330000978812302</v>
      </c>
      <c r="S4137" t="s">
        <v>9963</v>
      </c>
      <c r="T4137" t="s">
        <v>11650</v>
      </c>
      <c r="U4137" t="s">
        <v>11650</v>
      </c>
      <c r="V4137" t="s">
        <v>11650</v>
      </c>
      <c r="W4137" t="s">
        <v>15733</v>
      </c>
      <c r="X4137">
        <v>1</v>
      </c>
      <c r="Y4137" t="s">
        <v>21409</v>
      </c>
      <c r="Z4137" t="s">
        <v>27199</v>
      </c>
      <c r="AA4137">
        <v>0.68211401728742493</v>
      </c>
      <c r="AB4137" t="str">
        <f>HYPERLINK("Melting_Curves/meltCurve_Q8NCC5_3_SLC37A3.pdf", "Melting_Curves/meltCurve_Q8NCC5_3_SLC37A3.pdf")</f>
        <v>Melting_Curves/meltCurve_Q8NCC5_3_SLC37A3.pdf</v>
      </c>
    </row>
    <row r="4138" spans="1:28" x14ac:dyDescent="0.25">
      <c r="A4138" t="s">
        <v>4142</v>
      </c>
      <c r="B4138">
        <v>0.99996721820229495</v>
      </c>
      <c r="C4138">
        <v>1.07908892117989</v>
      </c>
      <c r="D4138">
        <v>1.12241612549926</v>
      </c>
      <c r="E4138">
        <v>1.0317233017045799</v>
      </c>
      <c r="F4138">
        <v>0.58484538301066402</v>
      </c>
      <c r="G4138">
        <v>0.40456629610091799</v>
      </c>
      <c r="H4138">
        <v>0.209096208143946</v>
      </c>
      <c r="I4138">
        <v>0.21086338443787001</v>
      </c>
      <c r="J4138">
        <v>0.147915721002393</v>
      </c>
      <c r="K4138">
        <v>0.124264425641628</v>
      </c>
      <c r="L4138">
        <v>1445.8765073832001</v>
      </c>
      <c r="M4138">
        <v>26.765118961630701</v>
      </c>
      <c r="N4138">
        <v>54.854542608378303</v>
      </c>
      <c r="O4138">
        <v>53.722067834248598</v>
      </c>
      <c r="P4138">
        <v>-0.103742758162018</v>
      </c>
      <c r="Q4138">
        <v>0.16709232722529399</v>
      </c>
      <c r="R4138">
        <v>0.96488461120221103</v>
      </c>
      <c r="S4138" t="s">
        <v>9964</v>
      </c>
      <c r="T4138" t="s">
        <v>11650</v>
      </c>
      <c r="U4138" t="s">
        <v>11650</v>
      </c>
      <c r="V4138" t="s">
        <v>11650</v>
      </c>
      <c r="W4138" t="s">
        <v>15734</v>
      </c>
      <c r="X4138">
        <v>4</v>
      </c>
      <c r="Y4138" t="s">
        <v>21410</v>
      </c>
      <c r="Z4138" t="s">
        <v>27200</v>
      </c>
      <c r="AA4138">
        <v>0.56316024968562328</v>
      </c>
      <c r="AB4138" t="str">
        <f>HYPERLINK("Melting_Curves/meltCurve_Q8NCE2_2_MTMR14.pdf", "Melting_Curves/meltCurve_Q8NCE2_2_MTMR14.pdf")</f>
        <v>Melting_Curves/meltCurve_Q8NCE2_2_MTMR14.pdf</v>
      </c>
    </row>
    <row r="4139" spans="1:28" x14ac:dyDescent="0.25">
      <c r="A4139" t="s">
        <v>4143</v>
      </c>
      <c r="B4139">
        <v>0.99996721820229495</v>
      </c>
      <c r="C4139">
        <v>1.0056554750459401</v>
      </c>
      <c r="D4139">
        <v>0.99273752651199698</v>
      </c>
      <c r="E4139">
        <v>1.04462396239189</v>
      </c>
      <c r="F4139">
        <v>1.15804334449172</v>
      </c>
      <c r="G4139">
        <v>0.91938172127905204</v>
      </c>
      <c r="H4139">
        <v>0.32440639406234101</v>
      </c>
      <c r="I4139">
        <v>0.198954458459667</v>
      </c>
      <c r="J4139">
        <v>0.13524830133526</v>
      </c>
      <c r="K4139">
        <v>0.138961941278784</v>
      </c>
      <c r="L4139">
        <v>3128.0982798198202</v>
      </c>
      <c r="M4139">
        <v>52.595428459749598</v>
      </c>
      <c r="N4139">
        <v>59.876714236757799</v>
      </c>
      <c r="O4139">
        <v>59.388926461767298</v>
      </c>
      <c r="P4139">
        <v>-0.188468449694323</v>
      </c>
      <c r="Q4139">
        <v>0.14875256580610799</v>
      </c>
      <c r="R4139">
        <v>0.98278070854371502</v>
      </c>
      <c r="S4139" t="s">
        <v>9965</v>
      </c>
      <c r="T4139" t="s">
        <v>11650</v>
      </c>
      <c r="U4139" t="s">
        <v>11650</v>
      </c>
      <c r="V4139" t="s">
        <v>11650</v>
      </c>
      <c r="W4139" t="s">
        <v>15735</v>
      </c>
      <c r="X4139">
        <v>11</v>
      </c>
      <c r="Y4139" t="s">
        <v>21411</v>
      </c>
      <c r="Z4139" t="s">
        <v>27201</v>
      </c>
      <c r="AA4139">
        <v>0.70334605094199831</v>
      </c>
      <c r="AB4139" t="str">
        <f>HYPERLINK("Melting_Curves/meltCurve_Q8NCG7_4_DAGLB.pdf", "Melting_Curves/meltCurve_Q8NCG7_4_DAGLB.pdf")</f>
        <v>Melting_Curves/meltCurve_Q8NCG7_4_DAGLB.pdf</v>
      </c>
    </row>
    <row r="4140" spans="1:28" x14ac:dyDescent="0.25">
      <c r="A4140" t="s">
        <v>4144</v>
      </c>
      <c r="B4140">
        <v>0.99996721820229495</v>
      </c>
      <c r="C4140">
        <v>0.91675725541858899</v>
      </c>
      <c r="D4140">
        <v>0.91117438109600801</v>
      </c>
      <c r="E4140">
        <v>0.653406607190674</v>
      </c>
      <c r="F4140">
        <v>0.292524490988046</v>
      </c>
      <c r="G4140">
        <v>0.22223222419187699</v>
      </c>
      <c r="H4140">
        <v>0.133139382920133</v>
      </c>
      <c r="I4140">
        <v>7.8824762403315998E-2</v>
      </c>
      <c r="J4140">
        <v>4.9209034576212701E-2</v>
      </c>
      <c r="K4140">
        <v>8.38778033365669E-2</v>
      </c>
      <c r="L4140">
        <v>1028.2714123825799</v>
      </c>
      <c r="M4140">
        <v>20.226581583765999</v>
      </c>
      <c r="N4140">
        <v>51.258636007679101</v>
      </c>
      <c r="O4140">
        <v>50.348535580851603</v>
      </c>
      <c r="P4140">
        <v>-9.2749426935862897E-2</v>
      </c>
      <c r="Q4140">
        <v>7.6531708243668894E-2</v>
      </c>
      <c r="R4140">
        <v>0.98959307023489196</v>
      </c>
      <c r="S4140" t="s">
        <v>9966</v>
      </c>
      <c r="T4140" t="s">
        <v>11650</v>
      </c>
      <c r="U4140" t="s">
        <v>11650</v>
      </c>
      <c r="V4140" t="s">
        <v>11650</v>
      </c>
      <c r="W4140" t="s">
        <v>15736</v>
      </c>
      <c r="X4140">
        <v>2</v>
      </c>
      <c r="Y4140" t="s">
        <v>21412</v>
      </c>
      <c r="Z4140" t="s">
        <v>27202</v>
      </c>
      <c r="AA4140">
        <v>0.42269299119447262</v>
      </c>
      <c r="AB4140" t="str">
        <f>HYPERLINK("Melting_Curves/meltCurve_Q8NCH0_CHST14.pdf", "Melting_Curves/meltCurve_Q8NCH0_CHST14.pdf")</f>
        <v>Melting_Curves/meltCurve_Q8NCH0_CHST14.pdf</v>
      </c>
    </row>
    <row r="4141" spans="1:28" x14ac:dyDescent="0.25">
      <c r="A4141" t="s">
        <v>4145</v>
      </c>
      <c r="B4141">
        <v>0.99996721820229495</v>
      </c>
      <c r="C4141">
        <v>1.0083499241599301</v>
      </c>
      <c r="D4141">
        <v>1.13782007472223</v>
      </c>
      <c r="E4141">
        <v>1.2428927236354801</v>
      </c>
      <c r="F4141">
        <v>0.64632541506284702</v>
      </c>
      <c r="G4141">
        <v>0.32529546811091098</v>
      </c>
      <c r="H4141">
        <v>0.234224904401128</v>
      </c>
      <c r="I4141">
        <v>0.12783858102076601</v>
      </c>
      <c r="J4141">
        <v>0.11475509832747</v>
      </c>
      <c r="K4141">
        <v>0.114472305572744</v>
      </c>
      <c r="L4141">
        <v>13264.276542617001</v>
      </c>
      <c r="M4141">
        <v>250</v>
      </c>
      <c r="N4141">
        <v>53.154212380738997</v>
      </c>
      <c r="O4141">
        <v>53.053710607979198</v>
      </c>
      <c r="P4141">
        <v>-0.96209427963362804</v>
      </c>
      <c r="Q4141">
        <v>0.18331725313216801</v>
      </c>
      <c r="R4141">
        <v>0.94141977058369597</v>
      </c>
      <c r="S4141" t="s">
        <v>9967</v>
      </c>
      <c r="T4141" t="s">
        <v>11650</v>
      </c>
      <c r="U4141" t="s">
        <v>11650</v>
      </c>
      <c r="V4141" t="s">
        <v>11650</v>
      </c>
      <c r="W4141" t="s">
        <v>15737</v>
      </c>
      <c r="X4141">
        <v>4</v>
      </c>
      <c r="Y4141" t="s">
        <v>21413</v>
      </c>
      <c r="Z4141" t="s">
        <v>27203</v>
      </c>
      <c r="AA4141">
        <v>0.53884374250061218</v>
      </c>
      <c r="AB4141" t="str">
        <f>HYPERLINK("Melting_Curves/meltCurve_Q8NCL4_GALNT6.pdf", "Melting_Curves/meltCurve_Q8NCL4_GALNT6.pdf")</f>
        <v>Melting_Curves/meltCurve_Q8NCL4_GALNT6.pdf</v>
      </c>
    </row>
    <row r="4142" spans="1:28" x14ac:dyDescent="0.25">
      <c r="A4142" t="s">
        <v>4146</v>
      </c>
      <c r="B4142">
        <v>0.99996721820229495</v>
      </c>
      <c r="C4142">
        <v>1.02441963799983</v>
      </c>
      <c r="D4142">
        <v>1.08580956924733</v>
      </c>
      <c r="E4142">
        <v>1.2400053435476399</v>
      </c>
      <c r="F4142">
        <v>1.1167164913771099</v>
      </c>
      <c r="G4142">
        <v>0.48948627097790098</v>
      </c>
      <c r="H4142">
        <v>0.25150040946712499</v>
      </c>
      <c r="I4142">
        <v>0.15571008243481299</v>
      </c>
      <c r="J4142">
        <v>0.118994371475445</v>
      </c>
      <c r="K4142">
        <v>8.8782245095021403E-2</v>
      </c>
      <c r="L4142">
        <v>6672.3126747328197</v>
      </c>
      <c r="M4142">
        <v>117.475745375752</v>
      </c>
      <c r="N4142">
        <v>56.975424164547597</v>
      </c>
      <c r="O4142">
        <v>56.780906135499499</v>
      </c>
      <c r="P4142">
        <v>-0.43776209466520299</v>
      </c>
      <c r="Q4142">
        <v>0.15364557468239501</v>
      </c>
      <c r="R4142">
        <v>0.95392692155601699</v>
      </c>
      <c r="S4142" t="s">
        <v>9968</v>
      </c>
      <c r="T4142" t="s">
        <v>11650</v>
      </c>
      <c r="U4142" t="s">
        <v>11650</v>
      </c>
      <c r="V4142" t="s">
        <v>11650</v>
      </c>
      <c r="W4142" t="s">
        <v>15738</v>
      </c>
      <c r="X4142">
        <v>15</v>
      </c>
      <c r="Y4142" t="s">
        <v>21414</v>
      </c>
      <c r="Z4142" t="s">
        <v>27204</v>
      </c>
      <c r="AA4142">
        <v>0.62791205122514948</v>
      </c>
      <c r="AB4142" t="str">
        <f>HYPERLINK("Melting_Curves/meltCurve_Q8NCN5_PDPR.pdf", "Melting_Curves/meltCurve_Q8NCN5_PDPR.pdf")</f>
        <v>Melting_Curves/meltCurve_Q8NCN5_PDPR.pdf</v>
      </c>
    </row>
    <row r="4143" spans="1:28" x14ac:dyDescent="0.25">
      <c r="A4143" t="s">
        <v>4147</v>
      </c>
      <c r="B4143">
        <v>0.99996721820229495</v>
      </c>
      <c r="C4143">
        <v>0.88775212978173801</v>
      </c>
      <c r="D4143">
        <v>0.80626685666733899</v>
      </c>
      <c r="E4143">
        <v>0.95386822995528797</v>
      </c>
      <c r="F4143">
        <v>1.1107415863194501</v>
      </c>
      <c r="G4143">
        <v>1.0835294190962199</v>
      </c>
      <c r="H4143">
        <v>0.84562523710112603</v>
      </c>
      <c r="I4143">
        <v>0.63800249348988503</v>
      </c>
      <c r="J4143">
        <v>0.19946018064120899</v>
      </c>
      <c r="K4143">
        <v>7.8733632939529105E-2</v>
      </c>
      <c r="L4143">
        <v>2350.7558146183401</v>
      </c>
      <c r="M4143">
        <v>36.323175561601303</v>
      </c>
      <c r="N4143">
        <v>64.734053814800603</v>
      </c>
      <c r="O4143">
        <v>64.522572861403006</v>
      </c>
      <c r="P4143">
        <v>-0.14010014367059501</v>
      </c>
      <c r="Q4143">
        <v>4.53701537060568E-3</v>
      </c>
      <c r="R4143">
        <v>0.93142043773858896</v>
      </c>
      <c r="S4143" t="s">
        <v>9969</v>
      </c>
      <c r="T4143" t="s">
        <v>11650</v>
      </c>
      <c r="U4143" t="s">
        <v>11650</v>
      </c>
      <c r="V4143" t="s">
        <v>11650</v>
      </c>
      <c r="W4143" t="s">
        <v>15739</v>
      </c>
      <c r="X4143">
        <v>15</v>
      </c>
      <c r="Y4143" t="s">
        <v>21415</v>
      </c>
      <c r="Z4143" t="s">
        <v>27205</v>
      </c>
      <c r="AA4143">
        <v>0.8255252794498158</v>
      </c>
      <c r="AB4143" t="str">
        <f>HYPERLINK("Melting_Curves/meltCurve_Q8NCW5_APOA1BP.pdf", "Melting_Curves/meltCurve_Q8NCW5_APOA1BP.pdf")</f>
        <v>Melting_Curves/meltCurve_Q8NCW5_APOA1BP.pdf</v>
      </c>
    </row>
    <row r="4144" spans="1:28" x14ac:dyDescent="0.25">
      <c r="A4144" t="s">
        <v>4148</v>
      </c>
      <c r="B4144">
        <v>0.99996721820229495</v>
      </c>
      <c r="C4144">
        <v>1.00770911249186</v>
      </c>
      <c r="D4144">
        <v>0.85443547183815005</v>
      </c>
      <c r="E4144">
        <v>0.55937051999797804</v>
      </c>
      <c r="F4144">
        <v>0.511263544143856</v>
      </c>
      <c r="G4144">
        <v>0.445191150847071</v>
      </c>
      <c r="H4144">
        <v>0.30621868342245001</v>
      </c>
      <c r="I4144">
        <v>0.30514412037418498</v>
      </c>
      <c r="J4144">
        <v>0.253186574518521</v>
      </c>
      <c r="K4144">
        <v>0.183397321327778</v>
      </c>
      <c r="L4144">
        <v>657.56542529760202</v>
      </c>
      <c r="M4144">
        <v>12.966811601945601</v>
      </c>
      <c r="N4144">
        <v>53.154189187256698</v>
      </c>
      <c r="O4144">
        <v>49.550748196561301</v>
      </c>
      <c r="P4144">
        <v>-5.0745749349801202E-2</v>
      </c>
      <c r="Q4144">
        <v>0.224468942188154</v>
      </c>
      <c r="R4144">
        <v>0.97183300899805203</v>
      </c>
      <c r="S4144" t="s">
        <v>9970</v>
      </c>
      <c r="T4144" t="s">
        <v>11650</v>
      </c>
      <c r="U4144" t="s">
        <v>11650</v>
      </c>
      <c r="V4144" t="s">
        <v>11650</v>
      </c>
      <c r="W4144" t="s">
        <v>15740</v>
      </c>
      <c r="X4144">
        <v>18</v>
      </c>
      <c r="Y4144" t="s">
        <v>21416</v>
      </c>
      <c r="Z4144" t="s">
        <v>27206</v>
      </c>
      <c r="AA4144">
        <v>0.52426600247884292</v>
      </c>
      <c r="AB4144" t="str">
        <f>HYPERLINK("Melting_Curves/meltCurve_Q8ND24_RNF214.pdf", "Melting_Curves/meltCurve_Q8ND24_RNF214.pdf")</f>
        <v>Melting_Curves/meltCurve_Q8ND24_RNF214.pdf</v>
      </c>
    </row>
    <row r="4145" spans="1:28" x14ac:dyDescent="0.25">
      <c r="A4145" t="s">
        <v>4149</v>
      </c>
      <c r="B4145">
        <v>0.99996721820229495</v>
      </c>
      <c r="C4145">
        <v>0.77788230569593797</v>
      </c>
      <c r="D4145">
        <v>0.80921759168768803</v>
      </c>
      <c r="E4145">
        <v>0.78215372607202704</v>
      </c>
      <c r="F4145">
        <v>0.70896018792735505</v>
      </c>
      <c r="G4145">
        <v>0.57833686363812398</v>
      </c>
      <c r="H4145">
        <v>0.401502309424773</v>
      </c>
      <c r="I4145">
        <v>0.25930512339585798</v>
      </c>
      <c r="J4145">
        <v>0.28452691991472401</v>
      </c>
      <c r="K4145">
        <v>0.16533495065579301</v>
      </c>
      <c r="L4145">
        <v>420.09546494902202</v>
      </c>
      <c r="M4145">
        <v>7.2954852890105899</v>
      </c>
      <c r="N4145">
        <v>57.582913263940597</v>
      </c>
      <c r="O4145">
        <v>53.7295967141226</v>
      </c>
      <c r="P4145">
        <v>-3.3999431567051902E-2</v>
      </c>
      <c r="Q4145">
        <v>0</v>
      </c>
      <c r="R4145">
        <v>0.94360691145165498</v>
      </c>
      <c r="S4145" t="s">
        <v>9971</v>
      </c>
      <c r="T4145" t="s">
        <v>11650</v>
      </c>
      <c r="U4145" t="s">
        <v>11650</v>
      </c>
      <c r="V4145" t="s">
        <v>11650</v>
      </c>
      <c r="W4145" t="s">
        <v>15741</v>
      </c>
      <c r="X4145">
        <v>5</v>
      </c>
      <c r="Y4145" t="s">
        <v>21417</v>
      </c>
      <c r="Z4145" t="s">
        <v>27207</v>
      </c>
      <c r="AA4145">
        <v>0.59024648480629294</v>
      </c>
      <c r="AB4145" t="str">
        <f>HYPERLINK("Melting_Curves/meltCurve_Q8ND30_PPFIBP2.pdf", "Melting_Curves/meltCurve_Q8ND30_PPFIBP2.pdf")</f>
        <v>Melting_Curves/meltCurve_Q8ND30_PPFIBP2.pdf</v>
      </c>
    </row>
    <row r="4146" spans="1:28" x14ac:dyDescent="0.25">
      <c r="A4146" t="s">
        <v>4150</v>
      </c>
      <c r="B4146">
        <v>0.99996721820229495</v>
      </c>
      <c r="C4146">
        <v>0.85144594369462201</v>
      </c>
      <c r="D4146">
        <v>0.78898499346891904</v>
      </c>
      <c r="E4146">
        <v>0.80573037604720599</v>
      </c>
      <c r="F4146">
        <v>0.60176251694023197</v>
      </c>
      <c r="G4146">
        <v>0.48506854395507598</v>
      </c>
      <c r="H4146">
        <v>0.35817315443279002</v>
      </c>
      <c r="I4146">
        <v>0.27985299670608799</v>
      </c>
      <c r="J4146">
        <v>0.236519631326332</v>
      </c>
      <c r="K4146">
        <v>0.239670357858426</v>
      </c>
      <c r="L4146">
        <v>418.62432515660203</v>
      </c>
      <c r="M4146">
        <v>7.4763099734649998</v>
      </c>
      <c r="N4146">
        <v>56.460865163576003</v>
      </c>
      <c r="O4146">
        <v>52.407051272083301</v>
      </c>
      <c r="P4146">
        <v>-3.4644697488962803E-2</v>
      </c>
      <c r="Q4146">
        <v>3.0008868716971102E-2</v>
      </c>
      <c r="R4146">
        <v>0.97530129485906902</v>
      </c>
      <c r="S4146" t="s">
        <v>9972</v>
      </c>
      <c r="T4146" t="s">
        <v>11650</v>
      </c>
      <c r="U4146" t="s">
        <v>11650</v>
      </c>
      <c r="V4146" t="s">
        <v>11650</v>
      </c>
      <c r="W4146" t="s">
        <v>15742</v>
      </c>
      <c r="X4146">
        <v>4</v>
      </c>
      <c r="Y4146" t="s">
        <v>21418</v>
      </c>
      <c r="Z4146" t="s">
        <v>27208</v>
      </c>
      <c r="AA4146">
        <v>0.56557300794017762</v>
      </c>
      <c r="AB4146" t="str">
        <f>HYPERLINK("Melting_Curves/meltCurve_Q8ND56_2_LSM14A.pdf", "Melting_Curves/meltCurve_Q8ND56_2_LSM14A.pdf")</f>
        <v>Melting_Curves/meltCurve_Q8ND56_2_LSM14A.pdf</v>
      </c>
    </row>
    <row r="4147" spans="1:28" x14ac:dyDescent="0.25">
      <c r="A4147" t="s">
        <v>4151</v>
      </c>
      <c r="B4147">
        <v>0.99996721820229495</v>
      </c>
      <c r="C4147">
        <v>1.05761356476785</v>
      </c>
      <c r="D4147">
        <v>1.0426878638074499</v>
      </c>
      <c r="E4147">
        <v>0.79931256854065802</v>
      </c>
      <c r="F4147">
        <v>0.37428910300224499</v>
      </c>
      <c r="G4147">
        <v>0.33048986633210298</v>
      </c>
      <c r="H4147">
        <v>0.23692670367312399</v>
      </c>
      <c r="I4147">
        <v>0.16884969602684399</v>
      </c>
      <c r="J4147">
        <v>0.160663348099885</v>
      </c>
      <c r="K4147">
        <v>0.107969893549675</v>
      </c>
      <c r="L4147">
        <v>1782.87081276803</v>
      </c>
      <c r="M4147">
        <v>34.621932042971103</v>
      </c>
      <c r="N4147">
        <v>52.212682151858203</v>
      </c>
      <c r="O4147">
        <v>51.324525559573999</v>
      </c>
      <c r="P4147">
        <v>-0.136727046288664</v>
      </c>
      <c r="Q4147">
        <v>0.189250914311139</v>
      </c>
      <c r="R4147">
        <v>0.97856017671215101</v>
      </c>
      <c r="S4147" t="s">
        <v>9973</v>
      </c>
      <c r="T4147" t="s">
        <v>11650</v>
      </c>
      <c r="U4147" t="s">
        <v>11650</v>
      </c>
      <c r="V4147" t="s">
        <v>11650</v>
      </c>
      <c r="W4147" t="s">
        <v>15743</v>
      </c>
      <c r="X4147">
        <v>5</v>
      </c>
      <c r="Y4147" t="s">
        <v>21419</v>
      </c>
      <c r="Z4147" t="s">
        <v>27209</v>
      </c>
      <c r="AA4147">
        <v>0.50377149169726365</v>
      </c>
      <c r="AB4147" t="str">
        <f>HYPERLINK("Melting_Curves/meltCurve_Q8ND76_3_CCNY.pdf", "Melting_Curves/meltCurve_Q8ND76_3_CCNY.pdf")</f>
        <v>Melting_Curves/meltCurve_Q8ND76_3_CCNY.pdf</v>
      </c>
    </row>
    <row r="4148" spans="1:28" x14ac:dyDescent="0.25">
      <c r="A4148" t="s">
        <v>4152</v>
      </c>
      <c r="B4148">
        <v>0.99996721820229495</v>
      </c>
      <c r="C4148">
        <v>0.83181803433667101</v>
      </c>
      <c r="D4148">
        <v>0.38750027367877599</v>
      </c>
      <c r="E4148">
        <v>0.27412372377487998</v>
      </c>
      <c r="F4148">
        <v>0.27277859553852002</v>
      </c>
      <c r="G4148">
        <v>0.16372590634998699</v>
      </c>
      <c r="H4148">
        <v>0.11359026185195301</v>
      </c>
      <c r="I4148">
        <v>9.0740227108642199E-2</v>
      </c>
      <c r="J4148">
        <v>7.6381715436602896E-2</v>
      </c>
      <c r="K4148">
        <v>6.7057010316696294E-2</v>
      </c>
      <c r="L4148">
        <v>983.19254339316899</v>
      </c>
      <c r="M4148">
        <v>21.781848512648899</v>
      </c>
      <c r="N4148">
        <v>45.736227853010398</v>
      </c>
      <c r="O4148">
        <v>44.762870506722798</v>
      </c>
      <c r="P4148">
        <v>-0.106577683564736</v>
      </c>
      <c r="Q4148">
        <v>0.123928881128632</v>
      </c>
      <c r="R4148">
        <v>0.96269681292931997</v>
      </c>
      <c r="S4148" t="s">
        <v>9974</v>
      </c>
      <c r="T4148" t="s">
        <v>11650</v>
      </c>
      <c r="U4148" t="s">
        <v>11650</v>
      </c>
      <c r="V4148" t="s">
        <v>11650</v>
      </c>
      <c r="W4148" t="s">
        <v>15744</v>
      </c>
      <c r="X4148">
        <v>5</v>
      </c>
      <c r="Y4148" t="s">
        <v>21420</v>
      </c>
      <c r="Z4148" t="s">
        <v>27210</v>
      </c>
      <c r="AA4148">
        <v>0.28592979332849738</v>
      </c>
      <c r="AB4148" t="str">
        <f>HYPERLINK("Melting_Curves/meltCurve_Q8ND90_PNMA1.pdf", "Melting_Curves/meltCurve_Q8ND90_PNMA1.pdf")</f>
        <v>Melting_Curves/meltCurve_Q8ND90_PNMA1.pdf</v>
      </c>
    </row>
    <row r="4149" spans="1:28" x14ac:dyDescent="0.25">
      <c r="A4149" t="s">
        <v>4153</v>
      </c>
      <c r="B4149">
        <v>0.99996721820229495</v>
      </c>
      <c r="C4149">
        <v>0.73858024495747798</v>
      </c>
      <c r="D4149">
        <v>0.90190030779906905</v>
      </c>
      <c r="E4149">
        <v>0.98075818770619605</v>
      </c>
      <c r="F4149">
        <v>1.3577093196538399</v>
      </c>
      <c r="G4149">
        <v>1.22492921468071</v>
      </c>
      <c r="H4149">
        <v>0.94116853017629598</v>
      </c>
      <c r="I4149">
        <v>0.59942765234625806</v>
      </c>
      <c r="J4149">
        <v>0.32571397654649498</v>
      </c>
      <c r="K4149">
        <v>0.37619785617574297</v>
      </c>
      <c r="L4149">
        <v>4265.8959940266795</v>
      </c>
      <c r="M4149">
        <v>67.156847725286795</v>
      </c>
      <c r="N4149">
        <v>64.637539476623999</v>
      </c>
      <c r="O4149">
        <v>63.4651426818806</v>
      </c>
      <c r="P4149">
        <v>-0.17375058779702099</v>
      </c>
      <c r="Q4149">
        <v>0.34320318845786701</v>
      </c>
      <c r="R4149">
        <v>0.74601635855696602</v>
      </c>
      <c r="S4149" t="s">
        <v>9975</v>
      </c>
      <c r="T4149" t="s">
        <v>11650</v>
      </c>
      <c r="U4149" t="s">
        <v>11650</v>
      </c>
      <c r="V4149" t="s">
        <v>11650</v>
      </c>
      <c r="W4149" t="s">
        <v>15745</v>
      </c>
      <c r="X4149">
        <v>6</v>
      </c>
      <c r="Y4149" t="s">
        <v>21421</v>
      </c>
      <c r="Z4149" t="s">
        <v>27211</v>
      </c>
      <c r="AA4149">
        <v>0.85912785154767612</v>
      </c>
      <c r="AB4149" t="str">
        <f>HYPERLINK("Melting_Curves/meltCurve_Q8ND94_LRRN4CL.pdf", "Melting_Curves/meltCurve_Q8ND94_LRRN4CL.pdf")</f>
        <v>Melting_Curves/meltCurve_Q8ND94_LRRN4CL.pdf</v>
      </c>
    </row>
    <row r="4150" spans="1:28" x14ac:dyDescent="0.25">
      <c r="A4150" t="s">
        <v>4154</v>
      </c>
      <c r="B4150">
        <v>0.99996721820229495</v>
      </c>
      <c r="C4150">
        <v>1.04292064186288</v>
      </c>
      <c r="D4150">
        <v>0.966120363131862</v>
      </c>
      <c r="E4150">
        <v>0.87642994974015898</v>
      </c>
      <c r="F4150">
        <v>1.3223154113193401</v>
      </c>
      <c r="G4150">
        <v>1.37531762751239</v>
      </c>
      <c r="H4150">
        <v>1.0460998045890899</v>
      </c>
      <c r="I4150">
        <v>1.1078751325371501</v>
      </c>
      <c r="J4150">
        <v>0.96030471955504604</v>
      </c>
      <c r="K4150">
        <v>0.54779461793694995</v>
      </c>
      <c r="L4150">
        <v>15000</v>
      </c>
      <c r="M4150">
        <v>221.538693528637</v>
      </c>
      <c r="O4150">
        <v>67.7027460673755</v>
      </c>
      <c r="P4150">
        <v>-0.37019152827380802</v>
      </c>
      <c r="Q4150">
        <v>0.54747439999330405</v>
      </c>
      <c r="R4150">
        <v>0.419554790562154</v>
      </c>
      <c r="S4150" t="s">
        <v>9976</v>
      </c>
      <c r="T4150" t="s">
        <v>11650</v>
      </c>
      <c r="U4150" t="s">
        <v>11650</v>
      </c>
      <c r="V4150" t="s">
        <v>11650</v>
      </c>
      <c r="W4150" t="s">
        <v>15746</v>
      </c>
      <c r="X4150">
        <v>2</v>
      </c>
      <c r="Y4150" t="s">
        <v>21422</v>
      </c>
      <c r="Z4150" t="s">
        <v>27212</v>
      </c>
      <c r="AA4150">
        <v>0.9654959621800977</v>
      </c>
      <c r="AB4150" t="str">
        <f>HYPERLINK("Melting_Curves/meltCurve_Q8NDC0_MAPK1IP1L.pdf", "Melting_Curves/meltCurve_Q8NDC0_MAPK1IP1L.pdf")</f>
        <v>Melting_Curves/meltCurve_Q8NDC0_MAPK1IP1L.pdf</v>
      </c>
    </row>
    <row r="4151" spans="1:28" x14ac:dyDescent="0.25">
      <c r="A4151" t="s">
        <v>4155</v>
      </c>
      <c r="B4151">
        <v>0.99996721820229495</v>
      </c>
      <c r="C4151">
        <v>1.1466139717528501</v>
      </c>
      <c r="D4151">
        <v>1.20490399096822</v>
      </c>
      <c r="E4151">
        <v>1.3622368280292501</v>
      </c>
      <c r="F4151">
        <v>0.99820491292777902</v>
      </c>
      <c r="G4151">
        <v>0.73120577922743901</v>
      </c>
      <c r="H4151">
        <v>0.43928672565829602</v>
      </c>
      <c r="I4151">
        <v>0.20974590597496201</v>
      </c>
      <c r="J4151">
        <v>0.110879191552774</v>
      </c>
      <c r="K4151">
        <v>8.3406427470766403E-2</v>
      </c>
      <c r="L4151">
        <v>1556.4260522345201</v>
      </c>
      <c r="M4151">
        <v>26.064701190306199</v>
      </c>
      <c r="N4151">
        <v>60.049600659418502</v>
      </c>
      <c r="O4151">
        <v>59.365768562051102</v>
      </c>
      <c r="P4151">
        <v>-0.102323509135268</v>
      </c>
      <c r="Q4151">
        <v>6.77898814561778E-2</v>
      </c>
      <c r="R4151">
        <v>0.90252465247008296</v>
      </c>
      <c r="S4151" t="s">
        <v>9977</v>
      </c>
      <c r="T4151" t="s">
        <v>11650</v>
      </c>
      <c r="U4151" t="s">
        <v>11650</v>
      </c>
      <c r="V4151" t="s">
        <v>11650</v>
      </c>
      <c r="W4151" t="s">
        <v>15747</v>
      </c>
      <c r="X4151">
        <v>5</v>
      </c>
      <c r="Y4151" t="s">
        <v>21423</v>
      </c>
      <c r="Z4151" t="s">
        <v>27213</v>
      </c>
      <c r="AA4151">
        <v>0.68722916610114171</v>
      </c>
      <c r="AB4151" t="str">
        <f>HYPERLINK("Melting_Curves/meltCurve_Q8NDH3_NPEPL1.pdf", "Melting_Curves/meltCurve_Q8NDH3_NPEPL1.pdf")</f>
        <v>Melting_Curves/meltCurve_Q8NDH3_NPEPL1.pdf</v>
      </c>
    </row>
    <row r="4152" spans="1:28" x14ac:dyDescent="0.25">
      <c r="A4152" t="s">
        <v>4156</v>
      </c>
      <c r="B4152">
        <v>0.99996721820229495</v>
      </c>
      <c r="C4152">
        <v>0.861842677400531</v>
      </c>
      <c r="D4152">
        <v>0.73449156731961196</v>
      </c>
      <c r="E4152">
        <v>0.44619894782133002</v>
      </c>
      <c r="F4152">
        <v>0.44478492744776799</v>
      </c>
      <c r="G4152">
        <v>0.37792313200979</v>
      </c>
      <c r="H4152">
        <v>0.25687658445304801</v>
      </c>
      <c r="I4152">
        <v>0.19101816368789201</v>
      </c>
      <c r="J4152">
        <v>0.156472591100317</v>
      </c>
      <c r="K4152">
        <v>0.12804095209830099</v>
      </c>
      <c r="L4152">
        <v>507.917901357657</v>
      </c>
      <c r="M4152">
        <v>10.2224231424176</v>
      </c>
      <c r="N4152">
        <v>51.0065290051717</v>
      </c>
      <c r="O4152">
        <v>47.897793372001999</v>
      </c>
      <c r="P4152">
        <v>-4.7175829913280502E-2</v>
      </c>
      <c r="Q4152">
        <v>0.11621413809461401</v>
      </c>
      <c r="R4152">
        <v>0.97369239293521104</v>
      </c>
      <c r="S4152" t="s">
        <v>9978</v>
      </c>
      <c r="T4152" t="s">
        <v>11650</v>
      </c>
      <c r="U4152" t="s">
        <v>11650</v>
      </c>
      <c r="V4152" t="s">
        <v>11650</v>
      </c>
      <c r="W4152" t="s">
        <v>15748</v>
      </c>
      <c r="X4152">
        <v>34</v>
      </c>
      <c r="Y4152" t="s">
        <v>21424</v>
      </c>
      <c r="Z4152" t="s">
        <v>27214</v>
      </c>
      <c r="AA4152">
        <v>0.4412947410742834</v>
      </c>
      <c r="AB4152" t="str">
        <f>HYPERLINK("Melting_Curves/meltCurve_Q8NDI1_3_EHBP1.pdf", "Melting_Curves/meltCurve_Q8NDI1_3_EHBP1.pdf")</f>
        <v>Melting_Curves/meltCurve_Q8NDI1_3_EHBP1.pdf</v>
      </c>
    </row>
    <row r="4153" spans="1:28" x14ac:dyDescent="0.25">
      <c r="A4153" t="s">
        <v>4157</v>
      </c>
      <c r="B4153">
        <v>0.99996721820229495</v>
      </c>
      <c r="C4153">
        <v>0.82595461388735403</v>
      </c>
      <c r="D4153">
        <v>0.64580584280433895</v>
      </c>
      <c r="E4153">
        <v>0.97681153751979499</v>
      </c>
      <c r="F4153">
        <v>0.98816942658211804</v>
      </c>
      <c r="G4153">
        <v>0.58631435891643602</v>
      </c>
      <c r="H4153">
        <v>0.552062259097028</v>
      </c>
      <c r="I4153">
        <v>0.51179215501392195</v>
      </c>
      <c r="J4153">
        <v>0.257641025746847</v>
      </c>
      <c r="K4153">
        <v>0.48112337401140998</v>
      </c>
      <c r="L4153">
        <v>373.51913894700101</v>
      </c>
      <c r="M4153">
        <v>5.8631776891279204</v>
      </c>
      <c r="N4153">
        <v>63.7059211988214</v>
      </c>
      <c r="O4153">
        <v>57.471137325831897</v>
      </c>
      <c r="P4153">
        <v>-2.55945321991068E-2</v>
      </c>
      <c r="Q4153">
        <v>0</v>
      </c>
      <c r="R4153">
        <v>0.653636637349301</v>
      </c>
      <c r="S4153" t="s">
        <v>9979</v>
      </c>
      <c r="T4153" t="s">
        <v>11650</v>
      </c>
      <c r="U4153" t="s">
        <v>11650</v>
      </c>
      <c r="V4153" t="s">
        <v>11650</v>
      </c>
      <c r="W4153" t="s">
        <v>15749</v>
      </c>
      <c r="X4153">
        <v>3</v>
      </c>
      <c r="Y4153" t="s">
        <v>21425</v>
      </c>
      <c r="Z4153" t="s">
        <v>27215</v>
      </c>
      <c r="AA4153">
        <v>0.70081759748409811</v>
      </c>
      <c r="AB4153" t="str">
        <f>HYPERLINK("Melting_Curves/meltCurve_Q8NDV7_6_TNRC6A.pdf", "Melting_Curves/meltCurve_Q8NDV7_6_TNRC6A.pdf")</f>
        <v>Melting_Curves/meltCurve_Q8NDV7_6_TNRC6A.pdf</v>
      </c>
    </row>
    <row r="4154" spans="1:28" x14ac:dyDescent="0.25">
      <c r="A4154" t="s">
        <v>4158</v>
      </c>
      <c r="B4154">
        <v>0.99996721820229495</v>
      </c>
      <c r="C4154">
        <v>0.92830528126392697</v>
      </c>
      <c r="D4154">
        <v>1.3006732476555201</v>
      </c>
      <c r="E4154">
        <v>1.4567944918722999</v>
      </c>
      <c r="F4154">
        <v>1.83048591348414</v>
      </c>
      <c r="G4154">
        <v>1.93095594247024</v>
      </c>
      <c r="H4154">
        <v>1.3688854544759601</v>
      </c>
      <c r="I4154">
        <v>0.96136592076910299</v>
      </c>
      <c r="J4154">
        <v>0.42735780861233402</v>
      </c>
      <c r="K4154">
        <v>0.62734430599265201</v>
      </c>
      <c r="L4154">
        <v>15000</v>
      </c>
      <c r="M4154">
        <v>231.96723689259699</v>
      </c>
      <c r="O4154">
        <v>64.659498558129101</v>
      </c>
      <c r="P4154">
        <v>-0.423945734262409</v>
      </c>
      <c r="Q4154">
        <v>0.52731051758525205</v>
      </c>
      <c r="R4154">
        <v>5.2874685618625399E-2</v>
      </c>
      <c r="S4154" t="s">
        <v>9980</v>
      </c>
      <c r="T4154" t="s">
        <v>11650</v>
      </c>
      <c r="U4154" t="s">
        <v>11650</v>
      </c>
      <c r="V4154" t="s">
        <v>11650</v>
      </c>
      <c r="W4154" t="s">
        <v>15750</v>
      </c>
      <c r="X4154">
        <v>1</v>
      </c>
      <c r="Y4154" t="s">
        <v>21426</v>
      </c>
      <c r="Z4154" t="s">
        <v>27216</v>
      </c>
      <c r="AA4154">
        <v>0.91599140209368068</v>
      </c>
      <c r="AB4154" t="str">
        <f>HYPERLINK("Melting_Curves/meltCurve_Q8NE00_TMEM104.pdf", "Melting_Curves/meltCurve_Q8NE00_TMEM104.pdf")</f>
        <v>Melting_Curves/meltCurve_Q8NE00_TMEM104.pdf</v>
      </c>
    </row>
    <row r="4155" spans="1:28" x14ac:dyDescent="0.25">
      <c r="A4155" t="s">
        <v>4159</v>
      </c>
      <c r="B4155">
        <v>0.99996721820229495</v>
      </c>
      <c r="C4155">
        <v>1.0300092470856701</v>
      </c>
      <c r="D4155">
        <v>0.82616943392657005</v>
      </c>
      <c r="E4155">
        <v>0.71991098845277501</v>
      </c>
      <c r="F4155">
        <v>0.52314505954840596</v>
      </c>
      <c r="G4155">
        <v>0.440616093970851</v>
      </c>
      <c r="H4155">
        <v>0.28388225819235802</v>
      </c>
      <c r="I4155">
        <v>0.20566984946410799</v>
      </c>
      <c r="J4155">
        <v>0.175739504568312</v>
      </c>
      <c r="K4155">
        <v>0.13012827279509601</v>
      </c>
      <c r="L4155">
        <v>584.83489373067505</v>
      </c>
      <c r="M4155">
        <v>10.9003297321341</v>
      </c>
      <c r="N4155">
        <v>54.500415158600703</v>
      </c>
      <c r="O4155">
        <v>51.9419360309955</v>
      </c>
      <c r="P4155">
        <v>-4.8391054017909101E-2</v>
      </c>
      <c r="Q4155">
        <v>7.7955574790660107E-2</v>
      </c>
      <c r="R4155">
        <v>0.98623604502862705</v>
      </c>
      <c r="S4155" t="s">
        <v>9981</v>
      </c>
      <c r="T4155" t="s">
        <v>11650</v>
      </c>
      <c r="U4155" t="s">
        <v>11650</v>
      </c>
      <c r="V4155" t="s">
        <v>11650</v>
      </c>
      <c r="W4155" t="s">
        <v>15751</v>
      </c>
      <c r="X4155">
        <v>18</v>
      </c>
      <c r="Y4155" t="s">
        <v>21427</v>
      </c>
      <c r="Z4155" t="s">
        <v>27217</v>
      </c>
      <c r="AA4155">
        <v>0.52476660832860977</v>
      </c>
      <c r="AB4155" t="str">
        <f>HYPERLINK("Melting_Curves/meltCurve_Q8NE71_2_ABCF1.pdf", "Melting_Curves/meltCurve_Q8NE71_2_ABCF1.pdf")</f>
        <v>Melting_Curves/meltCurve_Q8NE71_2_ABCF1.pdf</v>
      </c>
    </row>
    <row r="4156" spans="1:28" x14ac:dyDescent="0.25">
      <c r="A4156" t="s">
        <v>4160</v>
      </c>
      <c r="B4156">
        <v>0.99996721820229495</v>
      </c>
      <c r="C4156">
        <v>0.89603660769340598</v>
      </c>
      <c r="D4156">
        <v>0.96215594400110305</v>
      </c>
      <c r="E4156">
        <v>1.26675905121247</v>
      </c>
      <c r="F4156">
        <v>1.1606177051843001</v>
      </c>
      <c r="G4156">
        <v>0.61063536514703498</v>
      </c>
      <c r="H4156">
        <v>0.305249919619837</v>
      </c>
      <c r="I4156">
        <v>0.24585866243065199</v>
      </c>
      <c r="J4156">
        <v>0.183023565300893</v>
      </c>
      <c r="K4156">
        <v>0.12857716908728301</v>
      </c>
      <c r="L4156">
        <v>4085.2221793354602</v>
      </c>
      <c r="M4156">
        <v>71.618671276600907</v>
      </c>
      <c r="N4156">
        <v>57.4867781998068</v>
      </c>
      <c r="O4156">
        <v>56.996880236915501</v>
      </c>
      <c r="P4156">
        <v>-0.247236062363654</v>
      </c>
      <c r="Q4156">
        <v>0.212960535158704</v>
      </c>
      <c r="R4156">
        <v>0.92502024842939101</v>
      </c>
      <c r="S4156" t="s">
        <v>9982</v>
      </c>
      <c r="T4156" t="s">
        <v>11650</v>
      </c>
      <c r="U4156" t="s">
        <v>11650</v>
      </c>
      <c r="V4156" t="s">
        <v>11650</v>
      </c>
      <c r="W4156" t="s">
        <v>15752</v>
      </c>
      <c r="X4156">
        <v>5</v>
      </c>
      <c r="Y4156" t="s">
        <v>21428</v>
      </c>
      <c r="Z4156" t="s">
        <v>27218</v>
      </c>
      <c r="AA4156">
        <v>0.66099544671538479</v>
      </c>
      <c r="AB4156" t="str">
        <f>HYPERLINK("Melting_Curves/meltCurve_Q8NE86_3_MCU.pdf", "Melting_Curves/meltCurve_Q8NE86_3_MCU.pdf")</f>
        <v>Melting_Curves/meltCurve_Q8NE86_3_MCU.pdf</v>
      </c>
    </row>
    <row r="4157" spans="1:28" x14ac:dyDescent="0.25">
      <c r="A4157" t="s">
        <v>4161</v>
      </c>
      <c r="B4157">
        <v>0.99996721820229495</v>
      </c>
      <c r="C4157">
        <v>1.07372066641506</v>
      </c>
      <c r="D4157">
        <v>0.72978714763253205</v>
      </c>
      <c r="E4157">
        <v>0.363227697775303</v>
      </c>
      <c r="F4157">
        <v>0.46039370955679798</v>
      </c>
      <c r="G4157">
        <v>0.32165472222753699</v>
      </c>
      <c r="H4157">
        <v>0.20722335914607801</v>
      </c>
      <c r="I4157">
        <v>0.137424095177931</v>
      </c>
      <c r="J4157">
        <v>0.13369672418751299</v>
      </c>
      <c r="K4157">
        <v>0.101436348818772</v>
      </c>
      <c r="L4157">
        <v>757.477685971597</v>
      </c>
      <c r="M4157">
        <v>15.468003762431399</v>
      </c>
      <c r="N4157">
        <v>50.0961668923484</v>
      </c>
      <c r="O4157">
        <v>48.174016857254401</v>
      </c>
      <c r="P4157">
        <v>-6.8494978155589997E-2</v>
      </c>
      <c r="Q4157">
        <v>0.14678512504851299</v>
      </c>
      <c r="R4157">
        <v>0.93718715853872003</v>
      </c>
      <c r="S4157" t="s">
        <v>9983</v>
      </c>
      <c r="T4157" t="s">
        <v>11650</v>
      </c>
      <c r="U4157" t="s">
        <v>11650</v>
      </c>
      <c r="V4157" t="s">
        <v>11650</v>
      </c>
      <c r="W4157" t="s">
        <v>15753</v>
      </c>
      <c r="X4157">
        <v>2</v>
      </c>
      <c r="Y4157" t="s">
        <v>21429</v>
      </c>
      <c r="Z4157" t="s">
        <v>27219</v>
      </c>
      <c r="AA4157">
        <v>0.42180213203526062</v>
      </c>
      <c r="AB4157" t="str">
        <f>HYPERLINK("Melting_Curves/meltCurve_Q8NEC7_GSTCD.pdf", "Melting_Curves/meltCurve_Q8NEC7_GSTCD.pdf")</f>
        <v>Melting_Curves/meltCurve_Q8NEC7_GSTCD.pdf</v>
      </c>
    </row>
    <row r="4158" spans="1:28" x14ac:dyDescent="0.25">
      <c r="A4158" t="s">
        <v>4162</v>
      </c>
      <c r="B4158">
        <v>0.99996721820229495</v>
      </c>
      <c r="C4158">
        <v>0.81461585033510298</v>
      </c>
      <c r="D4158">
        <v>0.88110434746446498</v>
      </c>
      <c r="E4158">
        <v>1.0753799440852401</v>
      </c>
      <c r="F4158">
        <v>0.52729692298176301</v>
      </c>
      <c r="G4158">
        <v>0.33855251278019599</v>
      </c>
      <c r="H4158">
        <v>0.209069848064425</v>
      </c>
      <c r="I4158">
        <v>0.121473340139944</v>
      </c>
      <c r="J4158">
        <v>8.0924761501315806E-2</v>
      </c>
      <c r="K4158">
        <v>7.3601424540157806E-2</v>
      </c>
      <c r="L4158">
        <v>1403.04550522253</v>
      </c>
      <c r="M4158">
        <v>26.054672443728901</v>
      </c>
      <c r="N4158">
        <v>54.369213035030597</v>
      </c>
      <c r="O4158">
        <v>53.535834023034397</v>
      </c>
      <c r="P4158">
        <v>-0.108271323385929</v>
      </c>
      <c r="Q4158">
        <v>0.110128263535541</v>
      </c>
      <c r="R4158">
        <v>0.92880956881367605</v>
      </c>
      <c r="S4158" t="s">
        <v>9984</v>
      </c>
      <c r="T4158" t="s">
        <v>11650</v>
      </c>
      <c r="U4158" t="s">
        <v>11650</v>
      </c>
      <c r="V4158" t="s">
        <v>11650</v>
      </c>
      <c r="W4158" t="s">
        <v>15754</v>
      </c>
      <c r="X4158">
        <v>3</v>
      </c>
      <c r="Y4158" t="s">
        <v>21430</v>
      </c>
      <c r="Z4158" t="s">
        <v>27220</v>
      </c>
      <c r="AA4158">
        <v>0.52858063024367197</v>
      </c>
      <c r="AB4158" t="str">
        <f>HYPERLINK("Melting_Curves/meltCurve_Q8NEL9_2_DDHD1.pdf", "Melting_Curves/meltCurve_Q8NEL9_2_DDHD1.pdf")</f>
        <v>Melting_Curves/meltCurve_Q8NEL9_2_DDHD1.pdf</v>
      </c>
    </row>
    <row r="4159" spans="1:28" x14ac:dyDescent="0.25">
      <c r="A4159" t="s">
        <v>4163</v>
      </c>
      <c r="B4159">
        <v>0.99996721820229495</v>
      </c>
      <c r="C4159">
        <v>0.81734252982574696</v>
      </c>
      <c r="D4159">
        <v>0.71247163767019495</v>
      </c>
      <c r="E4159">
        <v>0.85482382301386095</v>
      </c>
      <c r="F4159">
        <v>0.60742078803636901</v>
      </c>
      <c r="G4159">
        <v>0.34758410935434197</v>
      </c>
      <c r="H4159">
        <v>0.28009520471851101</v>
      </c>
      <c r="I4159">
        <v>0.26002287265375501</v>
      </c>
      <c r="J4159">
        <v>0.17573987632853499</v>
      </c>
      <c r="K4159">
        <v>0.20983609558542199</v>
      </c>
      <c r="L4159">
        <v>439.05794686176699</v>
      </c>
      <c r="M4159">
        <v>8.0179389710719793</v>
      </c>
      <c r="N4159">
        <v>54.961089046626299</v>
      </c>
      <c r="O4159">
        <v>51.668160882589397</v>
      </c>
      <c r="P4159">
        <v>-3.8275953146667402E-2</v>
      </c>
      <c r="Q4159">
        <v>1.44935679276035E-2</v>
      </c>
      <c r="R4159">
        <v>0.925598449075684</v>
      </c>
      <c r="S4159" t="s">
        <v>9985</v>
      </c>
      <c r="T4159" t="s">
        <v>11650</v>
      </c>
      <c r="U4159" t="s">
        <v>11650</v>
      </c>
      <c r="V4159" t="s">
        <v>11650</v>
      </c>
      <c r="W4159" t="s">
        <v>15755</v>
      </c>
      <c r="X4159">
        <v>4</v>
      </c>
      <c r="Y4159" t="s">
        <v>21431</v>
      </c>
      <c r="Z4159" t="s">
        <v>27221</v>
      </c>
      <c r="AA4159">
        <v>0.52778192118766476</v>
      </c>
      <c r="AB4159" t="str">
        <f>HYPERLINK("Melting_Curves/meltCurve_Q8NEN9_PDZD8.pdf", "Melting_Curves/meltCurve_Q8NEN9_PDZD8.pdf")</f>
        <v>Melting_Curves/meltCurve_Q8NEN9_PDZD8.pdf</v>
      </c>
    </row>
    <row r="4160" spans="1:28" x14ac:dyDescent="0.25">
      <c r="A4160" t="s">
        <v>4164</v>
      </c>
      <c r="B4160">
        <v>0.99996721820229495</v>
      </c>
      <c r="C4160">
        <v>0.99694778564388697</v>
      </c>
      <c r="D4160">
        <v>0.83652380706912499</v>
      </c>
      <c r="E4160">
        <v>0.257154909457604</v>
      </c>
      <c r="F4160">
        <v>0.25179199078442899</v>
      </c>
      <c r="G4160">
        <v>0.221465880800125</v>
      </c>
      <c r="H4160">
        <v>0.14691164978688701</v>
      </c>
      <c r="I4160">
        <v>8.7906353513363497E-2</v>
      </c>
      <c r="J4160">
        <v>5.6883164517679899E-2</v>
      </c>
      <c r="K4160">
        <v>5.2050236394260999E-2</v>
      </c>
      <c r="L4160">
        <v>1578.6659615962001</v>
      </c>
      <c r="M4160">
        <v>32.954259034271999</v>
      </c>
      <c r="N4160">
        <v>48.320907403547999</v>
      </c>
      <c r="O4160">
        <v>47.729390781082301</v>
      </c>
      <c r="P4160">
        <v>-0.151286747974608</v>
      </c>
      <c r="Q4160">
        <v>0.12353763489516301</v>
      </c>
      <c r="R4160">
        <v>0.97756855579971702</v>
      </c>
      <c r="S4160" t="s">
        <v>9986</v>
      </c>
      <c r="T4160" t="s">
        <v>11650</v>
      </c>
      <c r="U4160" t="s">
        <v>11650</v>
      </c>
      <c r="V4160" t="s">
        <v>11650</v>
      </c>
      <c r="W4160" t="s">
        <v>15756</v>
      </c>
      <c r="X4160">
        <v>18</v>
      </c>
      <c r="Y4160" t="s">
        <v>21432</v>
      </c>
      <c r="Z4160" t="s">
        <v>27222</v>
      </c>
      <c r="AA4160">
        <v>0.35881275344813429</v>
      </c>
      <c r="AB4160" t="str">
        <f>HYPERLINK("Melting_Curves/meltCurve_Q8NEU8_APPL2.pdf", "Melting_Curves/meltCurve_Q8NEU8_APPL2.pdf")</f>
        <v>Melting_Curves/meltCurve_Q8NEU8_APPL2.pdf</v>
      </c>
    </row>
    <row r="4161" spans="1:28" x14ac:dyDescent="0.25">
      <c r="A4161" t="s">
        <v>4165</v>
      </c>
      <c r="B4161">
        <v>0.99996721820229495</v>
      </c>
      <c r="C4161">
        <v>0.82786203734905495</v>
      </c>
      <c r="D4161">
        <v>0.91712961216177202</v>
      </c>
      <c r="E4161">
        <v>0.936412267537856</v>
      </c>
      <c r="F4161">
        <v>0.83128670747633004</v>
      </c>
      <c r="G4161">
        <v>0.82338486089073104</v>
      </c>
      <c r="H4161">
        <v>0.54945484566720304</v>
      </c>
      <c r="I4161">
        <v>0.33158534298160502</v>
      </c>
      <c r="J4161">
        <v>0.14097043043732599</v>
      </c>
      <c r="K4161">
        <v>0.160237418848307</v>
      </c>
      <c r="L4161">
        <v>951.52490532435399</v>
      </c>
      <c r="M4161">
        <v>15.5221610388834</v>
      </c>
      <c r="N4161">
        <v>61.301058727207703</v>
      </c>
      <c r="O4161">
        <v>60.310641266460202</v>
      </c>
      <c r="P4161">
        <v>-6.4348231045933901E-2</v>
      </c>
      <c r="Q4161">
        <v>0</v>
      </c>
      <c r="R4161">
        <v>0.94425726428203904</v>
      </c>
      <c r="S4161" t="s">
        <v>9987</v>
      </c>
      <c r="T4161" t="s">
        <v>11650</v>
      </c>
      <c r="U4161" t="s">
        <v>11650</v>
      </c>
      <c r="V4161" t="s">
        <v>11650</v>
      </c>
      <c r="W4161" t="s">
        <v>15757</v>
      </c>
      <c r="X4161">
        <v>3</v>
      </c>
      <c r="Y4161" t="s">
        <v>21433</v>
      </c>
      <c r="Z4161" t="s">
        <v>27223</v>
      </c>
      <c r="AA4161">
        <v>0.71179553573460375</v>
      </c>
      <c r="AB4161" t="str">
        <f>HYPERLINK("Melting_Curves/meltCurve_Q8NEW0_SLC30A7.pdf", "Melting_Curves/meltCurve_Q8NEW0_SLC30A7.pdf")</f>
        <v>Melting_Curves/meltCurve_Q8NEW0_SLC30A7.pdf</v>
      </c>
    </row>
    <row r="4162" spans="1:28" x14ac:dyDescent="0.25">
      <c r="A4162" t="s">
        <v>4166</v>
      </c>
      <c r="B4162">
        <v>0.99996721820229495</v>
      </c>
      <c r="C4162">
        <v>0.98833316837447005</v>
      </c>
      <c r="D4162">
        <v>0.83035621168308105</v>
      </c>
      <c r="E4162">
        <v>0.75106515631341697</v>
      </c>
      <c r="F4162">
        <v>1.0022419883651399</v>
      </c>
      <c r="G4162">
        <v>1.1395993107130999</v>
      </c>
      <c r="H4162">
        <v>0.86772849909836902</v>
      </c>
      <c r="I4162">
        <v>0.80536415146292895</v>
      </c>
      <c r="J4162">
        <v>0.72774161112284397</v>
      </c>
      <c r="K4162">
        <v>0.54183782847947004</v>
      </c>
      <c r="L4162">
        <v>1287.63614156112</v>
      </c>
      <c r="M4162">
        <v>19.018518160585199</v>
      </c>
      <c r="O4162">
        <v>66.969122904496203</v>
      </c>
      <c r="P4162">
        <v>-4.8614760763422499E-2</v>
      </c>
      <c r="Q4162">
        <v>0.31528658805277499</v>
      </c>
      <c r="R4162">
        <v>0.55040326360545999</v>
      </c>
      <c r="S4162" t="s">
        <v>9988</v>
      </c>
      <c r="T4162" t="s">
        <v>11650</v>
      </c>
      <c r="U4162" t="s">
        <v>11650</v>
      </c>
      <c r="V4162" t="s">
        <v>11650</v>
      </c>
      <c r="W4162" t="s">
        <v>15758</v>
      </c>
      <c r="X4162">
        <v>15</v>
      </c>
      <c r="Y4162" t="s">
        <v>21434</v>
      </c>
      <c r="Z4162" t="s">
        <v>27224</v>
      </c>
      <c r="AA4162">
        <v>0.9194443350739907</v>
      </c>
      <c r="AB4162" t="str">
        <f>HYPERLINK("Melting_Curves/meltCurve_Q8NEY1_2_NAV1.pdf", "Melting_Curves/meltCurve_Q8NEY1_2_NAV1.pdf")</f>
        <v>Melting_Curves/meltCurve_Q8NEY1_2_NAV1.pdf</v>
      </c>
    </row>
    <row r="4163" spans="1:28" x14ac:dyDescent="0.25">
      <c r="A4163" t="s">
        <v>4167</v>
      </c>
      <c r="B4163">
        <v>0.99996721820229495</v>
      </c>
      <c r="C4163">
        <v>0.98532701853152505</v>
      </c>
      <c r="D4163">
        <v>1.0267982649039</v>
      </c>
      <c r="E4163">
        <v>0.81687466946109599</v>
      </c>
      <c r="F4163">
        <v>0.45637717299089497</v>
      </c>
      <c r="G4163">
        <v>0.41703148591197398</v>
      </c>
      <c r="H4163">
        <v>0.24960776520869399</v>
      </c>
      <c r="I4163">
        <v>0.11400946681140101</v>
      </c>
      <c r="J4163">
        <v>8.4830455295357599E-2</v>
      </c>
      <c r="K4163">
        <v>5.91805461469158E-2</v>
      </c>
      <c r="L4163">
        <v>804.60718137038498</v>
      </c>
      <c r="M4163">
        <v>14.9104042236323</v>
      </c>
      <c r="N4163">
        <v>54.352264635420298</v>
      </c>
      <c r="O4163">
        <v>53.020043067542602</v>
      </c>
      <c r="P4163">
        <v>-6.6750388609619501E-2</v>
      </c>
      <c r="Q4163">
        <v>5.0664912139619399E-2</v>
      </c>
      <c r="R4163">
        <v>0.97428805122645701</v>
      </c>
      <c r="S4163" t="s">
        <v>9989</v>
      </c>
      <c r="T4163" t="s">
        <v>11650</v>
      </c>
      <c r="U4163" t="s">
        <v>11650</v>
      </c>
      <c r="V4163" t="s">
        <v>11650</v>
      </c>
      <c r="W4163" t="s">
        <v>15759</v>
      </c>
      <c r="X4163">
        <v>2</v>
      </c>
      <c r="Y4163" t="s">
        <v>21435</v>
      </c>
      <c r="Z4163" t="s">
        <v>27225</v>
      </c>
      <c r="AA4163">
        <v>0.51217346137056408</v>
      </c>
      <c r="AB4163" t="str">
        <f>HYPERLINK("Melting_Curves/meltCurve_Q8NEZ2_2_VPS37A.pdf", "Melting_Curves/meltCurve_Q8NEZ2_2_VPS37A.pdf")</f>
        <v>Melting_Curves/meltCurve_Q8NEZ2_2_VPS37A.pdf</v>
      </c>
    </row>
    <row r="4164" spans="1:28" x14ac:dyDescent="0.25">
      <c r="A4164" t="s">
        <v>4168</v>
      </c>
      <c r="B4164">
        <v>0.99996721820229495</v>
      </c>
      <c r="C4164">
        <v>1.0965373327763599</v>
      </c>
      <c r="D4164">
        <v>1.0361135090736</v>
      </c>
      <c r="E4164">
        <v>0.91674688651760305</v>
      </c>
      <c r="F4164">
        <v>0.72167330623753501</v>
      </c>
      <c r="G4164">
        <v>0.39791722968395199</v>
      </c>
      <c r="H4164">
        <v>0.17314613058185899</v>
      </c>
      <c r="I4164">
        <v>9.5652466865872393E-2</v>
      </c>
      <c r="J4164">
        <v>7.5805311223463304E-2</v>
      </c>
      <c r="K4164">
        <v>5.6808688298638499E-2</v>
      </c>
      <c r="L4164">
        <v>1174.29235251706</v>
      </c>
      <c r="M4164">
        <v>21.187115264920301</v>
      </c>
      <c r="N4164">
        <v>55.695468031263502</v>
      </c>
      <c r="O4164">
        <v>54.938143979004302</v>
      </c>
      <c r="P4164">
        <v>-9.1699708627962506E-2</v>
      </c>
      <c r="Q4164">
        <v>4.8915670073968701E-2</v>
      </c>
      <c r="R4164">
        <v>0.99282831114827996</v>
      </c>
      <c r="S4164" t="s">
        <v>9990</v>
      </c>
      <c r="T4164" t="s">
        <v>11650</v>
      </c>
      <c r="U4164" t="s">
        <v>11650</v>
      </c>
      <c r="V4164" t="s">
        <v>11650</v>
      </c>
      <c r="W4164" t="s">
        <v>15760</v>
      </c>
      <c r="X4164">
        <v>8</v>
      </c>
      <c r="Y4164" t="s">
        <v>21436</v>
      </c>
      <c r="Z4164" t="s">
        <v>27226</v>
      </c>
      <c r="AA4164">
        <v>0.54941075461618138</v>
      </c>
      <c r="AB4164" t="str">
        <f>HYPERLINK("Melting_Curves/meltCurve_Q8NEZ5_FBXO22.pdf", "Melting_Curves/meltCurve_Q8NEZ5_FBXO22.pdf")</f>
        <v>Melting_Curves/meltCurve_Q8NEZ5_FBXO22.pdf</v>
      </c>
    </row>
    <row r="4165" spans="1:28" x14ac:dyDescent="0.25">
      <c r="A4165" t="s">
        <v>4169</v>
      </c>
      <c r="B4165">
        <v>0.99996721820229495</v>
      </c>
      <c r="C4165">
        <v>0.905081673091365</v>
      </c>
      <c r="D4165">
        <v>0.98817759641840797</v>
      </c>
      <c r="E4165">
        <v>0.96617277597861395</v>
      </c>
      <c r="F4165">
        <v>0.76023819353000699</v>
      </c>
      <c r="G4165">
        <v>0.32993275602058603</v>
      </c>
      <c r="H4165">
        <v>0.19856854434606599</v>
      </c>
      <c r="I4165">
        <v>0.15034966681987899</v>
      </c>
      <c r="J4165">
        <v>0.119678683765604</v>
      </c>
      <c r="K4165">
        <v>0.10196818149805301</v>
      </c>
      <c r="L4165">
        <v>1577.67237838803</v>
      </c>
      <c r="M4165">
        <v>28.783893552002901</v>
      </c>
      <c r="N4165">
        <v>55.358676371499001</v>
      </c>
      <c r="O4165">
        <v>54.548430912838199</v>
      </c>
      <c r="P4165">
        <v>-0.11557300383807401</v>
      </c>
      <c r="Q4165">
        <v>0.123915946061396</v>
      </c>
      <c r="R4165">
        <v>0.99232491860323502</v>
      </c>
      <c r="S4165" t="s">
        <v>9991</v>
      </c>
      <c r="T4165" t="s">
        <v>11650</v>
      </c>
      <c r="U4165" t="s">
        <v>11650</v>
      </c>
      <c r="V4165" t="s">
        <v>11650</v>
      </c>
      <c r="W4165" t="s">
        <v>15761</v>
      </c>
      <c r="X4165">
        <v>9</v>
      </c>
      <c r="Y4165" t="s">
        <v>21437</v>
      </c>
      <c r="Z4165" t="s">
        <v>27227</v>
      </c>
      <c r="AA4165">
        <v>0.56270996053541611</v>
      </c>
      <c r="AB4165" t="str">
        <f>HYPERLINK("Melting_Curves/meltCurve_Q8NF37_LPCAT1.pdf", "Melting_Curves/meltCurve_Q8NF37_LPCAT1.pdf")</f>
        <v>Melting_Curves/meltCurve_Q8NF37_LPCAT1.pdf</v>
      </c>
    </row>
    <row r="4166" spans="1:28" x14ac:dyDescent="0.25">
      <c r="A4166" t="s">
        <v>4170</v>
      </c>
      <c r="B4166">
        <v>0.99996721820229495</v>
      </c>
      <c r="C4166">
        <v>0.973198806448486</v>
      </c>
      <c r="D4166">
        <v>0.98937929343743303</v>
      </c>
      <c r="E4166">
        <v>1.2304841222426299</v>
      </c>
      <c r="F4166">
        <v>1.5579859022232401</v>
      </c>
      <c r="G4166">
        <v>1.4768272662333</v>
      </c>
      <c r="H4166">
        <v>0.94846375085784496</v>
      </c>
      <c r="I4166">
        <v>0.71323674788832503</v>
      </c>
      <c r="J4166">
        <v>0.59446436640092404</v>
      </c>
      <c r="K4166">
        <v>0.61992162609754398</v>
      </c>
      <c r="L4166">
        <v>4279.4373618183699</v>
      </c>
      <c r="M4166">
        <v>67.917195686392901</v>
      </c>
      <c r="O4166">
        <v>62.955069143640202</v>
      </c>
      <c r="P4166">
        <v>-0.106439059633315</v>
      </c>
      <c r="Q4166">
        <v>0.60535021436411895</v>
      </c>
      <c r="R4166">
        <v>0.39751471758740398</v>
      </c>
      <c r="S4166" t="s">
        <v>9992</v>
      </c>
      <c r="T4166" t="s">
        <v>11650</v>
      </c>
      <c r="U4166" t="s">
        <v>11650</v>
      </c>
      <c r="V4166" t="s">
        <v>11650</v>
      </c>
      <c r="W4166" t="s">
        <v>15762</v>
      </c>
      <c r="X4166">
        <v>35</v>
      </c>
      <c r="Y4166" t="s">
        <v>21438</v>
      </c>
      <c r="Z4166" t="s">
        <v>27228</v>
      </c>
      <c r="AA4166">
        <v>0.90861703675014915</v>
      </c>
      <c r="AB4166" t="str">
        <f>HYPERLINK("Melting_Curves/meltCurve_Q8NFC6_BOD1L1.pdf", "Melting_Curves/meltCurve_Q8NFC6_BOD1L1.pdf")</f>
        <v>Melting_Curves/meltCurve_Q8NFC6_BOD1L1.pdf</v>
      </c>
    </row>
    <row r="4167" spans="1:28" x14ac:dyDescent="0.25">
      <c r="A4167" t="s">
        <v>4171</v>
      </c>
      <c r="B4167">
        <v>0.99996721820229495</v>
      </c>
      <c r="C4167">
        <v>0.97316488440774995</v>
      </c>
      <c r="D4167">
        <v>0.89736817057910001</v>
      </c>
      <c r="E4167">
        <v>0.56485084280219799</v>
      </c>
      <c r="F4167">
        <v>0.231966033428541</v>
      </c>
      <c r="G4167">
        <v>0.279739636634602</v>
      </c>
      <c r="H4167">
        <v>0.198198957543752</v>
      </c>
      <c r="I4167">
        <v>0.126927889254455</v>
      </c>
      <c r="J4167">
        <v>0.11710047982511999</v>
      </c>
      <c r="K4167">
        <v>6.1750886678446602E-2</v>
      </c>
      <c r="L4167">
        <v>1170.8169185785</v>
      </c>
      <c r="M4167">
        <v>23.520559792369099</v>
      </c>
      <c r="N4167">
        <v>50.450559754645397</v>
      </c>
      <c r="O4167">
        <v>49.422804529308003</v>
      </c>
      <c r="P4167">
        <v>-0.102975075512657</v>
      </c>
      <c r="Q4167">
        <v>0.13450532592966</v>
      </c>
      <c r="R4167">
        <v>0.98087217936097304</v>
      </c>
      <c r="S4167" t="s">
        <v>9993</v>
      </c>
      <c r="T4167" t="s">
        <v>11650</v>
      </c>
      <c r="U4167" t="s">
        <v>11650</v>
      </c>
      <c r="V4167" t="s">
        <v>11650</v>
      </c>
      <c r="W4167" t="s">
        <v>15763</v>
      </c>
      <c r="X4167">
        <v>7</v>
      </c>
      <c r="Y4167" t="s">
        <v>21439</v>
      </c>
      <c r="Z4167" t="s">
        <v>27229</v>
      </c>
      <c r="AA4167">
        <v>0.4253410788985178</v>
      </c>
      <c r="AB4167" t="str">
        <f>HYPERLINK("Melting_Curves/meltCurve_Q8NFF5_2_FLAD1.pdf", "Melting_Curves/meltCurve_Q8NFF5_2_FLAD1.pdf")</f>
        <v>Melting_Curves/meltCurve_Q8NFF5_2_FLAD1.pdf</v>
      </c>
    </row>
    <row r="4168" spans="1:28" x14ac:dyDescent="0.25">
      <c r="A4168" t="s">
        <v>4172</v>
      </c>
      <c r="B4168">
        <v>0.99996721820229495</v>
      </c>
      <c r="C4168">
        <v>0.98641724993685398</v>
      </c>
      <c r="D4168">
        <v>1.01054610341401</v>
      </c>
      <c r="E4168">
        <v>1.0700561165532601</v>
      </c>
      <c r="F4168">
        <v>1.62121365402721</v>
      </c>
      <c r="G4168">
        <v>1.5808813035092899</v>
      </c>
      <c r="H4168">
        <v>0.71253967053095801</v>
      </c>
      <c r="I4168">
        <v>0.26288722026563999</v>
      </c>
      <c r="J4168">
        <v>0.115379602673069</v>
      </c>
      <c r="K4168">
        <v>7.3483235437311403E-2</v>
      </c>
      <c r="L4168">
        <v>3709.15717807187</v>
      </c>
      <c r="M4168">
        <v>59.844221362442099</v>
      </c>
      <c r="N4168">
        <v>62.220659943606201</v>
      </c>
      <c r="O4168">
        <v>61.9111091184446</v>
      </c>
      <c r="P4168">
        <v>-0.21670651072546901</v>
      </c>
      <c r="Q4168">
        <v>0.103236068059228</v>
      </c>
      <c r="R4168">
        <v>0.73149370360091703</v>
      </c>
      <c r="S4168" t="s">
        <v>9994</v>
      </c>
      <c r="T4168" t="s">
        <v>11650</v>
      </c>
      <c r="U4168" t="s">
        <v>11650</v>
      </c>
      <c r="V4168" t="s">
        <v>11650</v>
      </c>
      <c r="W4168" t="s">
        <v>15764</v>
      </c>
      <c r="X4168">
        <v>4</v>
      </c>
      <c r="Y4168" t="s">
        <v>21440</v>
      </c>
      <c r="Z4168" t="s">
        <v>27230</v>
      </c>
      <c r="AA4168">
        <v>0.76193661600500551</v>
      </c>
      <c r="AB4168" t="str">
        <f>HYPERLINK("Melting_Curves/meltCurve_Q8NFH3_NUP43.pdf", "Melting_Curves/meltCurve_Q8NFH3_NUP43.pdf")</f>
        <v>Melting_Curves/meltCurve_Q8NFH3_NUP43.pdf</v>
      </c>
    </row>
    <row r="4169" spans="1:28" x14ac:dyDescent="0.25">
      <c r="A4169" t="s">
        <v>4173</v>
      </c>
      <c r="B4169">
        <v>0.99996721820229495</v>
      </c>
      <c r="C4169">
        <v>1.0041891320476499</v>
      </c>
      <c r="D4169">
        <v>0.97044336199082704</v>
      </c>
      <c r="E4169">
        <v>0.84831024101150798</v>
      </c>
      <c r="F4169">
        <v>0.95552266945877595</v>
      </c>
      <c r="G4169">
        <v>0.84792347540297097</v>
      </c>
      <c r="H4169">
        <v>0.296594041751923</v>
      </c>
      <c r="I4169">
        <v>0.27164806050729301</v>
      </c>
      <c r="J4169">
        <v>0.12261379070086301</v>
      </c>
      <c r="K4169">
        <v>9.2070960401054905E-2</v>
      </c>
      <c r="L4169">
        <v>2149.9313125149902</v>
      </c>
      <c r="M4169">
        <v>36.367457239720999</v>
      </c>
      <c r="N4169">
        <v>59.603799655229302</v>
      </c>
      <c r="O4169">
        <v>58.939013405849003</v>
      </c>
      <c r="P4169">
        <v>-0.134435606148852</v>
      </c>
      <c r="Q4169">
        <v>0.12850912316599999</v>
      </c>
      <c r="R4169">
        <v>0.97263984897281597</v>
      </c>
      <c r="S4169" t="s">
        <v>9995</v>
      </c>
      <c r="T4169" t="s">
        <v>11650</v>
      </c>
      <c r="U4169" t="s">
        <v>11650</v>
      </c>
      <c r="V4169" t="s">
        <v>11650</v>
      </c>
      <c r="W4169" t="s">
        <v>15765</v>
      </c>
      <c r="X4169">
        <v>8</v>
      </c>
      <c r="Y4169" t="s">
        <v>21441</v>
      </c>
      <c r="Z4169" t="s">
        <v>27231</v>
      </c>
      <c r="AA4169">
        <v>0.68791840522896242</v>
      </c>
      <c r="AB4169" t="str">
        <f>HYPERLINK("Melting_Curves/meltCurve_Q8NFH4_NUP37.pdf", "Melting_Curves/meltCurve_Q8NFH4_NUP37.pdf")</f>
        <v>Melting_Curves/meltCurve_Q8NFH4_NUP37.pdf</v>
      </c>
    </row>
    <row r="4170" spans="1:28" x14ac:dyDescent="0.25">
      <c r="A4170" t="s">
        <v>4174</v>
      </c>
      <c r="B4170">
        <v>0.99996721820229495</v>
      </c>
      <c r="C4170">
        <v>1.0206352210996401</v>
      </c>
      <c r="D4170">
        <v>0.87257528498668402</v>
      </c>
      <c r="E4170">
        <v>1.14793886507437</v>
      </c>
      <c r="F4170">
        <v>0.93228775773600603</v>
      </c>
      <c r="G4170">
        <v>0.67539173136779496</v>
      </c>
      <c r="H4170">
        <v>0.38214853695741502</v>
      </c>
      <c r="I4170">
        <v>0.20864900886506299</v>
      </c>
      <c r="J4170">
        <v>0.108498062408926</v>
      </c>
      <c r="K4170">
        <v>0.10155278562068</v>
      </c>
      <c r="L4170">
        <v>1377.0244424674299</v>
      </c>
      <c r="M4170">
        <v>23.390029148288001</v>
      </c>
      <c r="N4170">
        <v>59.294377095913802</v>
      </c>
      <c r="O4170">
        <v>58.447027245175498</v>
      </c>
      <c r="P4170">
        <v>-9.2376894974622106E-2</v>
      </c>
      <c r="Q4170">
        <v>7.66903880978098E-2</v>
      </c>
      <c r="R4170">
        <v>0.970183868570765</v>
      </c>
      <c r="S4170" t="s">
        <v>9996</v>
      </c>
      <c r="T4170" t="s">
        <v>11650</v>
      </c>
      <c r="U4170" t="s">
        <v>11650</v>
      </c>
      <c r="V4170" t="s">
        <v>11650</v>
      </c>
      <c r="W4170" t="s">
        <v>15766</v>
      </c>
      <c r="X4170">
        <v>3</v>
      </c>
      <c r="Y4170" t="s">
        <v>21442</v>
      </c>
      <c r="Z4170" t="s">
        <v>27232</v>
      </c>
      <c r="AA4170">
        <v>0.66576327039130712</v>
      </c>
      <c r="AB4170" t="str">
        <f>HYPERLINK("Melting_Curves/meltCurve_Q8NFI3_ENGASE.pdf", "Melting_Curves/meltCurve_Q8NFI3_ENGASE.pdf")</f>
        <v>Melting_Curves/meltCurve_Q8NFI3_ENGASE.pdf</v>
      </c>
    </row>
    <row r="4171" spans="1:28" x14ac:dyDescent="0.25">
      <c r="A4171" t="s">
        <v>4175</v>
      </c>
      <c r="B4171">
        <v>0.99996721820229495</v>
      </c>
      <c r="C4171">
        <v>0.895966986348116</v>
      </c>
      <c r="D4171">
        <v>0.94311169799403605</v>
      </c>
      <c r="E4171">
        <v>0.87502216777488995</v>
      </c>
      <c r="F4171">
        <v>0.55275187623458599</v>
      </c>
      <c r="G4171">
        <v>0.43639037671271902</v>
      </c>
      <c r="H4171">
        <v>0.26911975047185399</v>
      </c>
      <c r="I4171">
        <v>0.192062009942985</v>
      </c>
      <c r="J4171">
        <v>0.14621756674043701</v>
      </c>
      <c r="K4171">
        <v>0.13042913430709199</v>
      </c>
      <c r="L4171">
        <v>755.724575035935</v>
      </c>
      <c r="M4171">
        <v>13.8717739682857</v>
      </c>
      <c r="N4171">
        <v>55.279322931259003</v>
      </c>
      <c r="O4171">
        <v>53.384563836277103</v>
      </c>
      <c r="P4171">
        <v>-5.9061813876682599E-2</v>
      </c>
      <c r="Q4171">
        <v>9.0943458546849501E-2</v>
      </c>
      <c r="R4171">
        <v>0.98214593525709704</v>
      </c>
      <c r="S4171" t="s">
        <v>9997</v>
      </c>
      <c r="T4171" t="s">
        <v>11650</v>
      </c>
      <c r="U4171" t="s">
        <v>11650</v>
      </c>
      <c r="V4171" t="s">
        <v>11650</v>
      </c>
      <c r="W4171" t="s">
        <v>15767</v>
      </c>
      <c r="X4171">
        <v>9</v>
      </c>
      <c r="Y4171" t="s">
        <v>21443</v>
      </c>
      <c r="Z4171" t="s">
        <v>27233</v>
      </c>
      <c r="AA4171">
        <v>0.54946622917479659</v>
      </c>
      <c r="AB4171" t="str">
        <f>HYPERLINK("Melting_Curves/meltCurve_Q8NFQ8_TOR1AIP2.pdf", "Melting_Curves/meltCurve_Q8NFQ8_TOR1AIP2.pdf")</f>
        <v>Melting_Curves/meltCurve_Q8NFQ8_TOR1AIP2.pdf</v>
      </c>
    </row>
    <row r="4172" spans="1:28" x14ac:dyDescent="0.25">
      <c r="A4172" t="s">
        <v>4176</v>
      </c>
      <c r="B4172">
        <v>0.99996721820229495</v>
      </c>
      <c r="C4172">
        <v>1.0482728133624999</v>
      </c>
      <c r="D4172">
        <v>0.87020453110650697</v>
      </c>
      <c r="E4172">
        <v>0.67394473928801302</v>
      </c>
      <c r="F4172">
        <v>0.72617277510217304</v>
      </c>
      <c r="G4172">
        <v>0.58405207557588401</v>
      </c>
      <c r="H4172">
        <v>0.342140500490828</v>
      </c>
      <c r="I4172">
        <v>0.289817162322769</v>
      </c>
      <c r="J4172">
        <v>0.26516104125449202</v>
      </c>
      <c r="K4172">
        <v>0.15941659209144099</v>
      </c>
      <c r="L4172">
        <v>491.23318344256103</v>
      </c>
      <c r="M4172">
        <v>8.5237759407354794</v>
      </c>
      <c r="N4172">
        <v>57.630938079193498</v>
      </c>
      <c r="O4172">
        <v>54.721530775019303</v>
      </c>
      <c r="P4172">
        <v>-3.8976311836556997E-2</v>
      </c>
      <c r="Q4172">
        <v>0</v>
      </c>
      <c r="R4172">
        <v>0.96434199967230105</v>
      </c>
      <c r="S4172" t="s">
        <v>9998</v>
      </c>
      <c r="T4172" t="s">
        <v>11650</v>
      </c>
      <c r="U4172" t="s">
        <v>11650</v>
      </c>
      <c r="V4172" t="s">
        <v>11650</v>
      </c>
      <c r="W4172" t="s">
        <v>15768</v>
      </c>
      <c r="X4172">
        <v>8</v>
      </c>
      <c r="Y4172" t="s">
        <v>21444</v>
      </c>
      <c r="Z4172" t="s">
        <v>27234</v>
      </c>
      <c r="AA4172">
        <v>0.59629473002013889</v>
      </c>
      <c r="AB4172" t="str">
        <f>HYPERLINK("Melting_Curves/meltCurve_Q8NFU3_TSTD1.pdf", "Melting_Curves/meltCurve_Q8NFU3_TSTD1.pdf")</f>
        <v>Melting_Curves/meltCurve_Q8NFU3_TSTD1.pdf</v>
      </c>
    </row>
    <row r="4173" spans="1:28" x14ac:dyDescent="0.25">
      <c r="A4173" t="s">
        <v>4177</v>
      </c>
      <c r="B4173">
        <v>0.99996721820229495</v>
      </c>
      <c r="C4173">
        <v>0.90339632405928005</v>
      </c>
      <c r="D4173">
        <v>0.65123606251141297</v>
      </c>
      <c r="E4173">
        <v>0.30034866443655001</v>
      </c>
      <c r="F4173">
        <v>0.30522783005274701</v>
      </c>
      <c r="G4173">
        <v>0.24601157111060901</v>
      </c>
      <c r="H4173">
        <v>0.172672255565154</v>
      </c>
      <c r="I4173">
        <v>0.158396035177404</v>
      </c>
      <c r="J4173">
        <v>0.14261115226253901</v>
      </c>
      <c r="K4173">
        <v>0.10435413889476899</v>
      </c>
      <c r="L4173">
        <v>918.06003214546899</v>
      </c>
      <c r="M4173">
        <v>19.582417744681099</v>
      </c>
      <c r="N4173">
        <v>47.825485342699601</v>
      </c>
      <c r="O4173">
        <v>46.401161919105498</v>
      </c>
      <c r="P4173">
        <v>-8.8602700870837603E-2</v>
      </c>
      <c r="Q4173">
        <v>0.160242036317018</v>
      </c>
      <c r="R4173">
        <v>0.98415475150132703</v>
      </c>
      <c r="S4173" t="s">
        <v>9999</v>
      </c>
      <c r="T4173" t="s">
        <v>11650</v>
      </c>
      <c r="U4173" t="s">
        <v>11650</v>
      </c>
      <c r="V4173" t="s">
        <v>11650</v>
      </c>
      <c r="W4173" t="s">
        <v>15769</v>
      </c>
      <c r="X4173">
        <v>9</v>
      </c>
      <c r="Y4173" t="s">
        <v>21445</v>
      </c>
      <c r="Z4173" t="s">
        <v>27235</v>
      </c>
      <c r="AA4173">
        <v>0.36582479493114162</v>
      </c>
      <c r="AB4173" t="str">
        <f>HYPERLINK("Melting_Curves/meltCurve_Q8NFV4_ABHD11.pdf", "Melting_Curves/meltCurve_Q8NFV4_ABHD11.pdf")</f>
        <v>Melting_Curves/meltCurve_Q8NFV4_ABHD11.pdf</v>
      </c>
    </row>
    <row r="4174" spans="1:28" x14ac:dyDescent="0.25">
      <c r="A4174" t="s">
        <v>4178</v>
      </c>
      <c r="B4174">
        <v>0.99996721820229495</v>
      </c>
      <c r="C4174">
        <v>0.81685969394941205</v>
      </c>
      <c r="D4174">
        <v>0.72136898285977802</v>
      </c>
      <c r="E4174">
        <v>0.65286944759972798</v>
      </c>
      <c r="F4174">
        <v>0.48024598583356698</v>
      </c>
      <c r="G4174">
        <v>0.36523112326554102</v>
      </c>
      <c r="H4174">
        <v>0.25795788754342203</v>
      </c>
      <c r="I4174">
        <v>0.17916029407086101</v>
      </c>
      <c r="J4174">
        <v>0.11549126380833701</v>
      </c>
      <c r="K4174">
        <v>0.114948021961202</v>
      </c>
      <c r="L4174">
        <v>433.163408918024</v>
      </c>
      <c r="M4174">
        <v>8.2242463927799108</v>
      </c>
      <c r="N4174">
        <v>52.669068860729404</v>
      </c>
      <c r="O4174">
        <v>49.830219464765698</v>
      </c>
      <c r="P4174">
        <v>-4.13034193702565E-2</v>
      </c>
      <c r="Q4174">
        <v>0</v>
      </c>
      <c r="R4174">
        <v>0.98551153078467102</v>
      </c>
      <c r="S4174" t="s">
        <v>10000</v>
      </c>
      <c r="T4174" t="s">
        <v>11650</v>
      </c>
      <c r="U4174" t="s">
        <v>11650</v>
      </c>
      <c r="V4174" t="s">
        <v>11650</v>
      </c>
      <c r="W4174" t="s">
        <v>15770</v>
      </c>
      <c r="X4174">
        <v>7</v>
      </c>
      <c r="Y4174" t="s">
        <v>21446</v>
      </c>
      <c r="Z4174" t="s">
        <v>27236</v>
      </c>
      <c r="AA4174">
        <v>0.46428009153024918</v>
      </c>
      <c r="AB4174" t="str">
        <f>HYPERLINK("Melting_Curves/meltCurve_Q8NFX7_2_STXBP6.pdf", "Melting_Curves/meltCurve_Q8NFX7_2_STXBP6.pdf")</f>
        <v>Melting_Curves/meltCurve_Q8NFX7_2_STXBP6.pdf</v>
      </c>
    </row>
    <row r="4175" spans="1:28" x14ac:dyDescent="0.25">
      <c r="A4175" t="s">
        <v>4179</v>
      </c>
      <c r="B4175">
        <v>0.99996721820229495</v>
      </c>
      <c r="C4175">
        <v>0.75212617578061602</v>
      </c>
      <c r="D4175">
        <v>0.76309847534870801</v>
      </c>
      <c r="E4175">
        <v>1.3450025058845501</v>
      </c>
      <c r="F4175">
        <v>1.2860990866930699</v>
      </c>
      <c r="G4175">
        <v>1.0979190499573801</v>
      </c>
      <c r="H4175">
        <v>1.2708828668287</v>
      </c>
      <c r="I4175">
        <v>0.64100996379872799</v>
      </c>
      <c r="J4175">
        <v>0.45945077752283803</v>
      </c>
      <c r="K4175">
        <v>0.481901931140091</v>
      </c>
      <c r="L4175">
        <v>15000</v>
      </c>
      <c r="M4175">
        <v>235.12026484792099</v>
      </c>
      <c r="N4175">
        <v>64.575998626641393</v>
      </c>
      <c r="O4175">
        <v>63.792509051318198</v>
      </c>
      <c r="P4175">
        <v>-0.48774077247604503</v>
      </c>
      <c r="Q4175">
        <v>0.47066724902270501</v>
      </c>
      <c r="R4175">
        <v>0.60209069002875903</v>
      </c>
      <c r="S4175" t="s">
        <v>10001</v>
      </c>
      <c r="T4175" t="s">
        <v>11650</v>
      </c>
      <c r="U4175" t="s">
        <v>11650</v>
      </c>
      <c r="V4175" t="s">
        <v>11650</v>
      </c>
      <c r="W4175" t="s">
        <v>15771</v>
      </c>
      <c r="X4175">
        <v>3</v>
      </c>
      <c r="Y4175" t="s">
        <v>21447</v>
      </c>
      <c r="Z4175" t="s">
        <v>27237</v>
      </c>
      <c r="AA4175">
        <v>0.89062107402202062</v>
      </c>
      <c r="AB4175" t="str">
        <f>HYPERLINK("Melting_Curves/meltCurve_Q8NFZ4_NLGN2.pdf", "Melting_Curves/meltCurve_Q8NFZ4_NLGN2.pdf")</f>
        <v>Melting_Curves/meltCurve_Q8NFZ4_NLGN2.pdf</v>
      </c>
    </row>
    <row r="4176" spans="1:28" x14ac:dyDescent="0.25">
      <c r="A4176" t="s">
        <v>4180</v>
      </c>
      <c r="B4176">
        <v>0.99996721820229495</v>
      </c>
      <c r="C4176">
        <v>1.02603845897894</v>
      </c>
      <c r="D4176">
        <v>0.91545265833640799</v>
      </c>
      <c r="E4176">
        <v>1.1652798039415999</v>
      </c>
      <c r="F4176">
        <v>1.47195779024286</v>
      </c>
      <c r="G4176">
        <v>1.9150441660597599</v>
      </c>
      <c r="H4176">
        <v>1.3190307172272</v>
      </c>
      <c r="I4176">
        <v>0.62059647660402995</v>
      </c>
      <c r="J4176">
        <v>0.48797792969476</v>
      </c>
      <c r="K4176">
        <v>0.32931052195886401</v>
      </c>
      <c r="L4176">
        <v>15000</v>
      </c>
      <c r="M4176">
        <v>234.956963669126</v>
      </c>
      <c r="N4176">
        <v>64.306681770711606</v>
      </c>
      <c r="O4176">
        <v>63.836853521160002</v>
      </c>
      <c r="P4176">
        <v>-0.54414478445952696</v>
      </c>
      <c r="Q4176">
        <v>0.40863228251665701</v>
      </c>
      <c r="R4176">
        <v>0.40899553438943398</v>
      </c>
      <c r="S4176" t="s">
        <v>10002</v>
      </c>
      <c r="T4176" t="s">
        <v>11650</v>
      </c>
      <c r="U4176" t="s">
        <v>11650</v>
      </c>
      <c r="V4176" t="s">
        <v>11650</v>
      </c>
      <c r="W4176" t="s">
        <v>15772</v>
      </c>
      <c r="X4176">
        <v>1</v>
      </c>
      <c r="Y4176" t="s">
        <v>21448</v>
      </c>
      <c r="Z4176" t="s">
        <v>27238</v>
      </c>
      <c r="AA4176">
        <v>0.87867665987203658</v>
      </c>
      <c r="AB4176" t="str">
        <f>HYPERLINK("Melting_Curves/meltCurve_Q8NFZ8_CADM4.pdf", "Melting_Curves/meltCurve_Q8NFZ8_CADM4.pdf")</f>
        <v>Melting_Curves/meltCurve_Q8NFZ8_CADM4.pdf</v>
      </c>
    </row>
    <row r="4177" spans="1:28" x14ac:dyDescent="0.25">
      <c r="A4177" t="s">
        <v>4181</v>
      </c>
      <c r="B4177">
        <v>0.99996721820229495</v>
      </c>
      <c r="C4177">
        <v>0.79482970909265804</v>
      </c>
      <c r="D4177">
        <v>0.77136638076770403</v>
      </c>
      <c r="E4177">
        <v>0.99103286738669705</v>
      </c>
      <c r="F4177">
        <v>1.2207192448537301</v>
      </c>
      <c r="G4177">
        <v>1.12318864585391</v>
      </c>
      <c r="H4177">
        <v>0.85019816477732901</v>
      </c>
      <c r="I4177">
        <v>0.70635402256679503</v>
      </c>
      <c r="J4177">
        <v>0.62782884452094501</v>
      </c>
      <c r="K4177">
        <v>0.47063698112982999</v>
      </c>
      <c r="L4177">
        <v>1930.19980268992</v>
      </c>
      <c r="M4177">
        <v>30.279348510159501</v>
      </c>
      <c r="O4177">
        <v>63.470308365105303</v>
      </c>
      <c r="P4177">
        <v>-6.2817082661182494E-2</v>
      </c>
      <c r="Q4177">
        <v>0.473305150558474</v>
      </c>
      <c r="R4177">
        <v>0.64593429056876195</v>
      </c>
      <c r="S4177" t="s">
        <v>10003</v>
      </c>
      <c r="T4177" t="s">
        <v>11650</v>
      </c>
      <c r="U4177" t="s">
        <v>11650</v>
      </c>
      <c r="V4177" t="s">
        <v>11650</v>
      </c>
      <c r="W4177" t="s">
        <v>15773</v>
      </c>
      <c r="X4177">
        <v>3</v>
      </c>
      <c r="Y4177" t="s">
        <v>21449</v>
      </c>
      <c r="Z4177" t="s">
        <v>27239</v>
      </c>
      <c r="AA4177">
        <v>0.89116258919058133</v>
      </c>
      <c r="AB4177" t="str">
        <f>HYPERLINK("Melting_Curves/meltCurve_Q8NG27_3_PJA1.pdf", "Melting_Curves/meltCurve_Q8NG27_3_PJA1.pdf")</f>
        <v>Melting_Curves/meltCurve_Q8NG27_3_PJA1.pdf</v>
      </c>
    </row>
    <row r="4178" spans="1:28" x14ac:dyDescent="0.25">
      <c r="A4178" t="s">
        <v>4182</v>
      </c>
      <c r="B4178">
        <v>0.99996721820229495</v>
      </c>
      <c r="C4178">
        <v>0.93121869788060396</v>
      </c>
      <c r="D4178">
        <v>1.0132044073078299</v>
      </c>
      <c r="E4178">
        <v>1.06940946223352</v>
      </c>
      <c r="F4178">
        <v>0.79933091028123004</v>
      </c>
      <c r="G4178">
        <v>0.394813516460092</v>
      </c>
      <c r="H4178">
        <v>0.27794468071494099</v>
      </c>
      <c r="I4178">
        <v>0.127748520670807</v>
      </c>
      <c r="J4178">
        <v>9.4149465346507893E-2</v>
      </c>
      <c r="K4178">
        <v>8.8346657583382407E-2</v>
      </c>
      <c r="L4178">
        <v>1486.56423819066</v>
      </c>
      <c r="M4178">
        <v>26.663213190805699</v>
      </c>
      <c r="N4178">
        <v>56.2729396812395</v>
      </c>
      <c r="O4178">
        <v>55.442598698413001</v>
      </c>
      <c r="P4178">
        <v>-0.107112065551874</v>
      </c>
      <c r="Q4178">
        <v>0.109108260387263</v>
      </c>
      <c r="R4178">
        <v>0.98271072888462097</v>
      </c>
      <c r="S4178" t="s">
        <v>10004</v>
      </c>
      <c r="T4178" t="s">
        <v>11650</v>
      </c>
      <c r="U4178" t="s">
        <v>11650</v>
      </c>
      <c r="V4178" t="s">
        <v>11650</v>
      </c>
      <c r="W4178" t="s">
        <v>15774</v>
      </c>
      <c r="X4178">
        <v>8</v>
      </c>
      <c r="Y4178" t="s">
        <v>21450</v>
      </c>
      <c r="Z4178" t="s">
        <v>27240</v>
      </c>
      <c r="AA4178">
        <v>0.58426819235056304</v>
      </c>
      <c r="AB4178" t="str">
        <f>HYPERLINK("Melting_Curves/meltCurve_Q8NG68_TTL.pdf", "Melting_Curves/meltCurve_Q8NG68_TTL.pdf")</f>
        <v>Melting_Curves/meltCurve_Q8NG68_TTL.pdf</v>
      </c>
    </row>
    <row r="4179" spans="1:28" x14ac:dyDescent="0.25">
      <c r="A4179" t="s">
        <v>4183</v>
      </c>
      <c r="B4179">
        <v>0.99996721820229495</v>
      </c>
      <c r="C4179">
        <v>0.92362444730361204</v>
      </c>
      <c r="D4179">
        <v>1.0169248103199999</v>
      </c>
      <c r="E4179">
        <v>1.0453363430882301</v>
      </c>
      <c r="F4179">
        <v>1.5437246378228</v>
      </c>
      <c r="G4179">
        <v>1.5615793883397799</v>
      </c>
      <c r="H4179">
        <v>1.30094837648562</v>
      </c>
      <c r="I4179">
        <v>1.4572404411772</v>
      </c>
      <c r="J4179">
        <v>1.2445698151317399</v>
      </c>
      <c r="K4179">
        <v>1.39720781443825</v>
      </c>
      <c r="L4179">
        <v>12605.259383783199</v>
      </c>
      <c r="M4179">
        <v>250</v>
      </c>
      <c r="O4179">
        <v>50.4177869194585</v>
      </c>
      <c r="P4179">
        <v>0.51760628764963301</v>
      </c>
      <c r="Q4179">
        <v>1.4175452160845501</v>
      </c>
      <c r="R4179">
        <v>0.82883870628238698</v>
      </c>
      <c r="S4179" t="s">
        <v>10005</v>
      </c>
      <c r="T4179" t="s">
        <v>11650</v>
      </c>
      <c r="U4179" t="s">
        <v>11650</v>
      </c>
      <c r="V4179" t="s">
        <v>11650</v>
      </c>
      <c r="W4179" t="s">
        <v>15775</v>
      </c>
      <c r="X4179">
        <v>3</v>
      </c>
      <c r="Y4179" t="s">
        <v>21451</v>
      </c>
      <c r="Z4179" t="s">
        <v>27241</v>
      </c>
      <c r="AA4179">
        <v>1.272466455972213</v>
      </c>
      <c r="AB4179" t="str">
        <f>HYPERLINK("Melting_Curves/meltCurve_Q8NHG7_SVIP.pdf", "Melting_Curves/meltCurve_Q8NHG7_SVIP.pdf")</f>
        <v>Melting_Curves/meltCurve_Q8NHG7_SVIP.pdf</v>
      </c>
    </row>
    <row r="4180" spans="1:28" x14ac:dyDescent="0.25">
      <c r="A4180" t="s">
        <v>4184</v>
      </c>
      <c r="B4180">
        <v>0.99996721820229495</v>
      </c>
      <c r="C4180">
        <v>0.94921253612512202</v>
      </c>
      <c r="D4180">
        <v>0.98045803650874797</v>
      </c>
      <c r="E4180">
        <v>0.82527595295263301</v>
      </c>
      <c r="F4180">
        <v>0.33737362426837098</v>
      </c>
      <c r="G4180">
        <v>0.27597968913103799</v>
      </c>
      <c r="H4180">
        <v>0.15568918508607599</v>
      </c>
      <c r="I4180">
        <v>0.104038689463947</v>
      </c>
      <c r="J4180">
        <v>7.9702579675733506E-2</v>
      </c>
      <c r="K4180">
        <v>0.103935819154336</v>
      </c>
      <c r="L4180">
        <v>1891.7107933642601</v>
      </c>
      <c r="M4180">
        <v>36.630290309822598</v>
      </c>
      <c r="N4180">
        <v>52.080893851823802</v>
      </c>
      <c r="O4180">
        <v>51.490144748995199</v>
      </c>
      <c r="P4180">
        <v>-0.15429469029256401</v>
      </c>
      <c r="Q4180">
        <v>0.132451998684013</v>
      </c>
      <c r="R4180">
        <v>0.98415951623349496</v>
      </c>
      <c r="S4180" t="s">
        <v>10006</v>
      </c>
      <c r="T4180" t="s">
        <v>11650</v>
      </c>
      <c r="U4180" t="s">
        <v>11650</v>
      </c>
      <c r="V4180" t="s">
        <v>11650</v>
      </c>
      <c r="W4180" t="s">
        <v>15776</v>
      </c>
      <c r="X4180">
        <v>8</v>
      </c>
      <c r="Y4180" t="s">
        <v>21452</v>
      </c>
      <c r="Z4180" t="s">
        <v>27242</v>
      </c>
      <c r="AA4180">
        <v>0.47285283558252289</v>
      </c>
      <c r="AB4180" t="str">
        <f>HYPERLINK("Melting_Curves/meltCurve_Q8NHH9_ATL2.pdf", "Melting_Curves/meltCurve_Q8NHH9_ATL2.pdf")</f>
        <v>Melting_Curves/meltCurve_Q8NHH9_ATL2.pdf</v>
      </c>
    </row>
    <row r="4181" spans="1:28" x14ac:dyDescent="0.25">
      <c r="A4181" t="s">
        <v>4185</v>
      </c>
      <c r="B4181">
        <v>0.99996721820229495</v>
      </c>
      <c r="C4181">
        <v>1.0104617075053499</v>
      </c>
      <c r="D4181">
        <v>1.05854538324892</v>
      </c>
      <c r="E4181">
        <v>1.0869775854838</v>
      </c>
      <c r="F4181">
        <v>1.2868744712531099</v>
      </c>
      <c r="G4181">
        <v>1.32009667672047</v>
      </c>
      <c r="H4181">
        <v>0.91992278925093396</v>
      </c>
      <c r="I4181">
        <v>0.57365028695307896</v>
      </c>
      <c r="J4181">
        <v>0.30850726677002999</v>
      </c>
      <c r="K4181">
        <v>0.20613031493287801</v>
      </c>
      <c r="L4181">
        <v>3174.44122534587</v>
      </c>
      <c r="M4181">
        <v>49.737017704941501</v>
      </c>
      <c r="N4181">
        <v>64.557098272540898</v>
      </c>
      <c r="O4181">
        <v>63.721594204473902</v>
      </c>
      <c r="P4181">
        <v>-0.153053805037872</v>
      </c>
      <c r="Q4181">
        <v>0.21564867126687501</v>
      </c>
      <c r="R4181">
        <v>0.85216694634589496</v>
      </c>
      <c r="S4181" t="s">
        <v>10007</v>
      </c>
      <c r="T4181" t="s">
        <v>11650</v>
      </c>
      <c r="U4181" t="s">
        <v>11650</v>
      </c>
      <c r="V4181" t="s">
        <v>11650</v>
      </c>
      <c r="W4181" t="s">
        <v>15777</v>
      </c>
      <c r="X4181">
        <v>14</v>
      </c>
      <c r="Y4181" t="s">
        <v>21453</v>
      </c>
      <c r="Z4181" t="s">
        <v>27243</v>
      </c>
      <c r="AA4181">
        <v>0.84025143087685961</v>
      </c>
      <c r="AB4181" t="str">
        <f>HYPERLINK("Melting_Curves/meltCurve_Q8NHP8_PLBD2.pdf", "Melting_Curves/meltCurve_Q8NHP8_PLBD2.pdf")</f>
        <v>Melting_Curves/meltCurve_Q8NHP8_PLBD2.pdf</v>
      </c>
    </row>
    <row r="4182" spans="1:28" x14ac:dyDescent="0.25">
      <c r="A4182" t="s">
        <v>4186</v>
      </c>
      <c r="B4182">
        <v>0.99996721820229495</v>
      </c>
      <c r="C4182">
        <v>1.08503555675426</v>
      </c>
      <c r="D4182">
        <v>1.0893729407274</v>
      </c>
      <c r="E4182">
        <v>0.78836452169931004</v>
      </c>
      <c r="F4182">
        <v>0.88522657072437305</v>
      </c>
      <c r="G4182">
        <v>1.30160480053511</v>
      </c>
      <c r="H4182">
        <v>0.92816435552766297</v>
      </c>
      <c r="I4182">
        <v>0.89436656106553303</v>
      </c>
      <c r="J4182">
        <v>0.72783690425744696</v>
      </c>
      <c r="K4182">
        <v>0.54314455177509602</v>
      </c>
      <c r="L4182">
        <v>2090.34178051448</v>
      </c>
      <c r="M4182">
        <v>31.102410742956899</v>
      </c>
      <c r="O4182">
        <v>66.932349330018297</v>
      </c>
      <c r="P4182">
        <v>-6.8093146942144203E-2</v>
      </c>
      <c r="Q4182">
        <v>0.41385784604812098</v>
      </c>
      <c r="R4182">
        <v>0.58657655046172696</v>
      </c>
      <c r="S4182" t="s">
        <v>10008</v>
      </c>
      <c r="T4182" t="s">
        <v>11650</v>
      </c>
      <c r="U4182" t="s">
        <v>11650</v>
      </c>
      <c r="V4182" t="s">
        <v>11650</v>
      </c>
      <c r="W4182" t="s">
        <v>15778</v>
      </c>
      <c r="X4182">
        <v>1</v>
      </c>
      <c r="Y4182" t="s">
        <v>21454</v>
      </c>
      <c r="Z4182" t="s">
        <v>27244</v>
      </c>
      <c r="AA4182">
        <v>0.93742099911057186</v>
      </c>
      <c r="AB4182" t="str">
        <f>HYPERLINK("Melting_Curves/meltCurve_Q8NHQ8_2_RASSF8.pdf", "Melting_Curves/meltCurve_Q8NHQ8_2_RASSF8.pdf")</f>
        <v>Melting_Curves/meltCurve_Q8NHQ8_2_RASSF8.pdf</v>
      </c>
    </row>
    <row r="4183" spans="1:28" x14ac:dyDescent="0.25">
      <c r="A4183" t="s">
        <v>4187</v>
      </c>
      <c r="B4183">
        <v>0.99996721820229495</v>
      </c>
      <c r="C4183">
        <v>0.84054982817600299</v>
      </c>
      <c r="D4183">
        <v>1.1738488904684401</v>
      </c>
      <c r="E4183">
        <v>1.1988152496380999</v>
      </c>
      <c r="F4183">
        <v>1.5018594045481399</v>
      </c>
      <c r="G4183">
        <v>1.34902344084818</v>
      </c>
      <c r="H4183">
        <v>0.79208559413646196</v>
      </c>
      <c r="I4183">
        <v>0.47694708036394001</v>
      </c>
      <c r="J4183">
        <v>0.36375993381250299</v>
      </c>
      <c r="K4183">
        <v>0.27912451393291499</v>
      </c>
      <c r="L4183">
        <v>3206.5565340482599</v>
      </c>
      <c r="M4183">
        <v>51.4630899687617</v>
      </c>
      <c r="N4183">
        <v>63.543042246369701</v>
      </c>
      <c r="O4183">
        <v>62.214022029729698</v>
      </c>
      <c r="P4183">
        <v>-0.14142484600961799</v>
      </c>
      <c r="Q4183">
        <v>0.316123325795306</v>
      </c>
      <c r="R4183">
        <v>0.70274179227658995</v>
      </c>
      <c r="S4183" t="s">
        <v>10009</v>
      </c>
      <c r="T4183" t="s">
        <v>11650</v>
      </c>
      <c r="U4183" t="s">
        <v>11650</v>
      </c>
      <c r="V4183" t="s">
        <v>11650</v>
      </c>
      <c r="W4183" t="s">
        <v>15779</v>
      </c>
      <c r="X4183">
        <v>1</v>
      </c>
      <c r="Y4183" t="s">
        <v>21455</v>
      </c>
      <c r="Z4183" t="s">
        <v>27245</v>
      </c>
      <c r="AA4183">
        <v>0.82629778746783844</v>
      </c>
      <c r="AB4183" t="str">
        <f>HYPERLINK("Melting_Curves/meltCurve_Q8NHU3_SGMS2.pdf", "Melting_Curves/meltCurve_Q8NHU3_SGMS2.pdf")</f>
        <v>Melting_Curves/meltCurve_Q8NHU3_SGMS2.pdf</v>
      </c>
    </row>
    <row r="4184" spans="1:28" x14ac:dyDescent="0.25">
      <c r="A4184" t="s">
        <v>4188</v>
      </c>
      <c r="B4184">
        <v>0.99996721820229495</v>
      </c>
      <c r="C4184">
        <v>0.99378102261631895</v>
      </c>
      <c r="D4184">
        <v>0.89669534732244105</v>
      </c>
      <c r="E4184">
        <v>0.41953265143637802</v>
      </c>
      <c r="F4184">
        <v>0.25920116364857398</v>
      </c>
      <c r="G4184">
        <v>0.179549213517396</v>
      </c>
      <c r="H4184">
        <v>9.5273252860301694E-2</v>
      </c>
      <c r="I4184">
        <v>7.8869766288343607E-2</v>
      </c>
      <c r="J4184">
        <v>5.1257747189135998E-2</v>
      </c>
      <c r="K4184">
        <v>3.7261095577092999E-2</v>
      </c>
      <c r="L4184">
        <v>1158.70667473002</v>
      </c>
      <c r="M4184">
        <v>23.479500991437401</v>
      </c>
      <c r="N4184">
        <v>49.705447566958398</v>
      </c>
      <c r="O4184">
        <v>48.995929925383898</v>
      </c>
      <c r="P4184">
        <v>-0.110539800677976</v>
      </c>
      <c r="Q4184">
        <v>7.7338926792522994E-2</v>
      </c>
      <c r="R4184">
        <v>0.992011238048088</v>
      </c>
      <c r="S4184" t="s">
        <v>10010</v>
      </c>
      <c r="T4184" t="s">
        <v>11650</v>
      </c>
      <c r="U4184" t="s">
        <v>11650</v>
      </c>
      <c r="V4184" t="s">
        <v>11650</v>
      </c>
      <c r="W4184" t="s">
        <v>15780</v>
      </c>
      <c r="X4184">
        <v>6</v>
      </c>
      <c r="Y4184" t="s">
        <v>21456</v>
      </c>
      <c r="Z4184" t="s">
        <v>27246</v>
      </c>
      <c r="AA4184">
        <v>0.37420924941373029</v>
      </c>
      <c r="AB4184" t="str">
        <f>HYPERLINK("Melting_Curves/meltCurve_Q8NHU6_TDRD7.pdf", "Melting_Curves/meltCurve_Q8NHU6_TDRD7.pdf")</f>
        <v>Melting_Curves/meltCurve_Q8NHU6_TDRD7.pdf</v>
      </c>
    </row>
    <row r="4185" spans="1:28" x14ac:dyDescent="0.25">
      <c r="A4185" t="s">
        <v>4189</v>
      </c>
      <c r="B4185">
        <v>0.99996721820229495</v>
      </c>
      <c r="C4185">
        <v>0.97783296614811899</v>
      </c>
      <c r="D4185">
        <v>1.0107496475200799</v>
      </c>
      <c r="E4185">
        <v>0.99502338286860503</v>
      </c>
      <c r="F4185">
        <v>1.2009704023838399</v>
      </c>
      <c r="G4185">
        <v>1.8672714000629</v>
      </c>
      <c r="H4185">
        <v>1.02177234914905</v>
      </c>
      <c r="I4185">
        <v>0.17969958660414401</v>
      </c>
      <c r="J4185">
        <v>4.4290785553626297E-2</v>
      </c>
      <c r="K4185">
        <v>1.09132116121966E-2</v>
      </c>
      <c r="L4185">
        <v>15000</v>
      </c>
      <c r="M4185">
        <v>236.06003560203899</v>
      </c>
      <c r="N4185">
        <v>63.558444129123401</v>
      </c>
      <c r="O4185">
        <v>63.538597113259399</v>
      </c>
      <c r="P4185">
        <v>-0.90317429920757397</v>
      </c>
      <c r="Q4185">
        <v>2.7596055285672601E-2</v>
      </c>
      <c r="R4185">
        <v>0.74147531130887101</v>
      </c>
      <c r="S4185" t="s">
        <v>10011</v>
      </c>
      <c r="T4185" t="s">
        <v>11650</v>
      </c>
      <c r="U4185" t="s">
        <v>11650</v>
      </c>
      <c r="V4185" t="s">
        <v>11650</v>
      </c>
      <c r="W4185" t="s">
        <v>15781</v>
      </c>
      <c r="X4185">
        <v>1</v>
      </c>
      <c r="Y4185" t="s">
        <v>21457</v>
      </c>
      <c r="Z4185" t="s">
        <v>27247</v>
      </c>
      <c r="AA4185">
        <v>0.79083298831998072</v>
      </c>
      <c r="AB4185" t="str">
        <f>HYPERLINK("Melting_Curves/meltCurve_Q8NHV1_GIMAP7.pdf", "Melting_Curves/meltCurve_Q8NHV1_GIMAP7.pdf")</f>
        <v>Melting_Curves/meltCurve_Q8NHV1_GIMAP7.pdf</v>
      </c>
    </row>
    <row r="4186" spans="1:28" x14ac:dyDescent="0.25">
      <c r="A4186" t="s">
        <v>4190</v>
      </c>
      <c r="B4186">
        <v>0.99996721820229495</v>
      </c>
      <c r="C4186">
        <v>1.02458422005858</v>
      </c>
      <c r="D4186">
        <v>0.97131508701182501</v>
      </c>
      <c r="E4186">
        <v>0.89884858366899001</v>
      </c>
      <c r="F4186">
        <v>1.01286459133314</v>
      </c>
      <c r="G4186">
        <v>0.85437438617930905</v>
      </c>
      <c r="H4186">
        <v>0.49836116830430799</v>
      </c>
      <c r="I4186">
        <v>0.37558072476716298</v>
      </c>
      <c r="J4186">
        <v>0.19082217124695799</v>
      </c>
      <c r="K4186">
        <v>0.21095533619542101</v>
      </c>
      <c r="L4186">
        <v>1536.2168962409601</v>
      </c>
      <c r="M4186">
        <v>25.480730604228601</v>
      </c>
      <c r="N4186">
        <v>61.3154053311155</v>
      </c>
      <c r="O4186">
        <v>59.921699309022799</v>
      </c>
      <c r="P4186">
        <v>-8.7857598564631406E-2</v>
      </c>
      <c r="Q4186">
        <v>0.17356987878949701</v>
      </c>
      <c r="R4186">
        <v>0.98386677544981505</v>
      </c>
      <c r="S4186" t="s">
        <v>10012</v>
      </c>
      <c r="T4186" t="s">
        <v>11650</v>
      </c>
      <c r="U4186" t="s">
        <v>11650</v>
      </c>
      <c r="V4186" t="s">
        <v>11650</v>
      </c>
      <c r="W4186" t="s">
        <v>15782</v>
      </c>
      <c r="X4186">
        <v>4</v>
      </c>
      <c r="Y4186" t="s">
        <v>21458</v>
      </c>
      <c r="Z4186" t="s">
        <v>27248</v>
      </c>
      <c r="AA4186">
        <v>0.73830121937352056</v>
      </c>
      <c r="AB4186" t="str">
        <f>HYPERLINK("Melting_Curves/meltCurve_Q8NHV4_NEDD1.pdf", "Melting_Curves/meltCurve_Q8NHV4_NEDD1.pdf")</f>
        <v>Melting_Curves/meltCurve_Q8NHV4_NEDD1.pdf</v>
      </c>
    </row>
    <row r="4187" spans="1:28" x14ac:dyDescent="0.25">
      <c r="A4187" t="s">
        <v>4191</v>
      </c>
      <c r="B4187">
        <v>0.99996721820229495</v>
      </c>
      <c r="C4187">
        <v>1.0577377349827699</v>
      </c>
      <c r="D4187">
        <v>1.05170031276861</v>
      </c>
      <c r="E4187">
        <v>1.13288175742201</v>
      </c>
      <c r="F4187">
        <v>1.67671674024539</v>
      </c>
      <c r="G4187">
        <v>2.2242138262217401</v>
      </c>
      <c r="H4187">
        <v>1.8521571847151399</v>
      </c>
      <c r="I4187">
        <v>1.9320647811493199</v>
      </c>
      <c r="J4187">
        <v>1.8642150315541599</v>
      </c>
      <c r="K4187">
        <v>1.1655953584730001</v>
      </c>
      <c r="L4187">
        <v>12550.8103980085</v>
      </c>
      <c r="M4187">
        <v>250</v>
      </c>
      <c r="O4187">
        <v>50.200028923170201</v>
      </c>
      <c r="P4187">
        <v>0.62250960229419705</v>
      </c>
      <c r="Q4187">
        <v>1.5</v>
      </c>
      <c r="R4187">
        <v>0.40970065398588801</v>
      </c>
      <c r="S4187" t="s">
        <v>10013</v>
      </c>
      <c r="T4187" t="s">
        <v>11650</v>
      </c>
      <c r="U4187" t="s">
        <v>11650</v>
      </c>
      <c r="V4187" t="s">
        <v>11650</v>
      </c>
      <c r="W4187" t="s">
        <v>15783</v>
      </c>
      <c r="X4187">
        <v>3</v>
      </c>
      <c r="Y4187" t="s">
        <v>21459</v>
      </c>
      <c r="Z4187" t="s">
        <v>27249</v>
      </c>
      <c r="AA4187">
        <v>1.3299019205122711</v>
      </c>
      <c r="AB4187" t="str">
        <f>HYPERLINK("Melting_Curves/meltCurve_Q8NHZ8_CDC26.pdf", "Melting_Curves/meltCurve_Q8NHZ8_CDC26.pdf")</f>
        <v>Melting_Curves/meltCurve_Q8NHZ8_CDC26.pdf</v>
      </c>
    </row>
    <row r="4188" spans="1:28" x14ac:dyDescent="0.25">
      <c r="A4188" t="s">
        <v>4192</v>
      </c>
      <c r="B4188">
        <v>0.99996721820229495</v>
      </c>
      <c r="C4188">
        <v>1.0190456047913301</v>
      </c>
      <c r="D4188">
        <v>1.0037452508490301</v>
      </c>
      <c r="E4188">
        <v>0.86216609325182703</v>
      </c>
      <c r="F4188">
        <v>0.56805042612907897</v>
      </c>
      <c r="G4188">
        <v>0.51739576536972398</v>
      </c>
      <c r="H4188">
        <v>0.33699256797589699</v>
      </c>
      <c r="I4188">
        <v>0.25154451641658399</v>
      </c>
      <c r="J4188">
        <v>0.18370027376058901</v>
      </c>
      <c r="K4188">
        <v>0.143620506223476</v>
      </c>
      <c r="L4188">
        <v>729.11083820369902</v>
      </c>
      <c r="M4188">
        <v>13.187038445358001</v>
      </c>
      <c r="N4188">
        <v>56.386618663452403</v>
      </c>
      <c r="O4188">
        <v>54.064881314590501</v>
      </c>
      <c r="P4188">
        <v>-5.4089531380669499E-2</v>
      </c>
      <c r="Q4188">
        <v>0.113112323439184</v>
      </c>
      <c r="R4188">
        <v>0.98016664128543096</v>
      </c>
      <c r="S4188" t="s">
        <v>10014</v>
      </c>
      <c r="T4188" t="s">
        <v>11650</v>
      </c>
      <c r="U4188" t="s">
        <v>11650</v>
      </c>
      <c r="V4188" t="s">
        <v>11650</v>
      </c>
      <c r="W4188" t="s">
        <v>15784</v>
      </c>
      <c r="X4188">
        <v>6</v>
      </c>
      <c r="Y4188" t="s">
        <v>21460</v>
      </c>
      <c r="Z4188" t="s">
        <v>27250</v>
      </c>
      <c r="AA4188">
        <v>0.58390497074928094</v>
      </c>
      <c r="AB4188" t="str">
        <f>HYPERLINK("Melting_Curves/meltCurve_Q8NI08_2_NCOA7.pdf", "Melting_Curves/meltCurve_Q8NI08_2_NCOA7.pdf")</f>
        <v>Melting_Curves/meltCurve_Q8NI08_2_NCOA7.pdf</v>
      </c>
    </row>
    <row r="4189" spans="1:28" x14ac:dyDescent="0.25">
      <c r="A4189" t="s">
        <v>4193</v>
      </c>
      <c r="B4189">
        <v>0.99996721820229495</v>
      </c>
      <c r="C4189">
        <v>1.1131599704709201</v>
      </c>
      <c r="D4189">
        <v>1.0158957377109099</v>
      </c>
      <c r="E4189">
        <v>0.876970544081626</v>
      </c>
      <c r="F4189">
        <v>1.0792939076186101</v>
      </c>
      <c r="G4189">
        <v>1.60377180160362</v>
      </c>
      <c r="H4189">
        <v>1.28042727375082</v>
      </c>
      <c r="I4189">
        <v>1.1640085741428099</v>
      </c>
      <c r="J4189">
        <v>1.2014694786673401</v>
      </c>
      <c r="K4189">
        <v>0.717108971877919</v>
      </c>
      <c r="L4189">
        <v>13269.270461108101</v>
      </c>
      <c r="M4189">
        <v>250</v>
      </c>
      <c r="O4189">
        <v>53.073685350121103</v>
      </c>
      <c r="P4189">
        <v>0.22769902012815399</v>
      </c>
      <c r="Q4189">
        <v>1.19335721783787</v>
      </c>
      <c r="R4189">
        <v>0.160423812175851</v>
      </c>
      <c r="S4189" t="s">
        <v>10015</v>
      </c>
      <c r="T4189" t="s">
        <v>11650</v>
      </c>
      <c r="U4189" t="s">
        <v>11650</v>
      </c>
      <c r="V4189" t="s">
        <v>11650</v>
      </c>
      <c r="W4189" t="s">
        <v>15785</v>
      </c>
      <c r="X4189">
        <v>2</v>
      </c>
      <c r="Y4189" t="s">
        <v>21461</v>
      </c>
      <c r="Z4189" t="s">
        <v>27251</v>
      </c>
      <c r="AA4189">
        <v>1.109054267956292</v>
      </c>
      <c r="AB4189" t="str">
        <f>HYPERLINK("Melting_Curves/meltCurve_Q8NI22_2_MCFD2.pdf", "Melting_Curves/meltCurve_Q8NI22_2_MCFD2.pdf")</f>
        <v>Melting_Curves/meltCurve_Q8NI22_2_MCFD2.pdf</v>
      </c>
    </row>
    <row r="4190" spans="1:28" x14ac:dyDescent="0.25">
      <c r="A4190" t="s">
        <v>4194</v>
      </c>
      <c r="B4190">
        <v>0.99996721820229495</v>
      </c>
      <c r="C4190">
        <v>1.0738926605230099</v>
      </c>
      <c r="D4190">
        <v>0.88948060547393704</v>
      </c>
      <c r="E4190">
        <v>0.84393415287129003</v>
      </c>
      <c r="F4190">
        <v>0.32074763105348397</v>
      </c>
      <c r="G4190">
        <v>0.33308094037154101</v>
      </c>
      <c r="H4190">
        <v>0.19157457215857901</v>
      </c>
      <c r="I4190">
        <v>0.13513006852263401</v>
      </c>
      <c r="J4190">
        <v>0.128405599033239</v>
      </c>
      <c r="K4190">
        <v>5.6534829454952598E-2</v>
      </c>
      <c r="L4190">
        <v>2135.1078681716399</v>
      </c>
      <c r="M4190">
        <v>41.4432973373005</v>
      </c>
      <c r="N4190">
        <v>52.002871223103199</v>
      </c>
      <c r="O4190">
        <v>51.399255676307597</v>
      </c>
      <c r="P4190">
        <v>-0.16931491700024801</v>
      </c>
      <c r="Q4190">
        <v>0.16004318453383101</v>
      </c>
      <c r="R4190">
        <v>0.96122511089875495</v>
      </c>
      <c r="S4190" t="s">
        <v>10016</v>
      </c>
      <c r="T4190" t="s">
        <v>11650</v>
      </c>
      <c r="U4190" t="s">
        <v>11650</v>
      </c>
      <c r="V4190" t="s">
        <v>11650</v>
      </c>
      <c r="W4190" t="s">
        <v>15786</v>
      </c>
      <c r="X4190">
        <v>2</v>
      </c>
      <c r="Y4190" t="s">
        <v>21462</v>
      </c>
      <c r="Z4190" t="s">
        <v>27252</v>
      </c>
      <c r="AA4190">
        <v>0.48533677020605032</v>
      </c>
      <c r="AB4190" t="str">
        <f>HYPERLINK("Melting_Curves/meltCurve_Q8NI37_PPTC7.pdf", "Melting_Curves/meltCurve_Q8NI37_PPTC7.pdf")</f>
        <v>Melting_Curves/meltCurve_Q8NI37_PPTC7.pdf</v>
      </c>
    </row>
    <row r="4191" spans="1:28" x14ac:dyDescent="0.25">
      <c r="A4191" t="s">
        <v>4195</v>
      </c>
      <c r="B4191">
        <v>0.99996721820229495</v>
      </c>
      <c r="C4191">
        <v>0.87485444548023805</v>
      </c>
      <c r="D4191">
        <v>0.99237418671660604</v>
      </c>
      <c r="E4191">
        <v>1.32784302785526</v>
      </c>
      <c r="F4191">
        <v>1.64518888057686</v>
      </c>
      <c r="G4191">
        <v>1.9355195372057299</v>
      </c>
      <c r="H4191">
        <v>1.6158731460899001</v>
      </c>
      <c r="I4191">
        <v>0.57813483607722005</v>
      </c>
      <c r="J4191">
        <v>0.32560497142807698</v>
      </c>
      <c r="K4191">
        <v>0.24612508779342199</v>
      </c>
      <c r="L4191">
        <v>15000</v>
      </c>
      <c r="M4191">
        <v>234.74173060741001</v>
      </c>
      <c r="N4191">
        <v>64.131664013385404</v>
      </c>
      <c r="O4191">
        <v>63.8953830504039</v>
      </c>
      <c r="P4191">
        <v>-0.65591865109566905</v>
      </c>
      <c r="Q4191">
        <v>0.28585055518258101</v>
      </c>
      <c r="R4191">
        <v>0.394036949439595</v>
      </c>
      <c r="S4191" t="s">
        <v>10017</v>
      </c>
      <c r="T4191" t="s">
        <v>11650</v>
      </c>
      <c r="U4191" t="s">
        <v>11650</v>
      </c>
      <c r="V4191" t="s">
        <v>11650</v>
      </c>
      <c r="W4191" t="s">
        <v>15787</v>
      </c>
      <c r="X4191">
        <v>2</v>
      </c>
      <c r="Y4191" t="s">
        <v>21463</v>
      </c>
      <c r="Z4191" t="s">
        <v>27253</v>
      </c>
      <c r="AA4191">
        <v>0.85488079879637791</v>
      </c>
      <c r="AB4191" t="str">
        <f>HYPERLINK("Melting_Curves/meltCurve_Q8TAA9_2_VANGL1.pdf", "Melting_Curves/meltCurve_Q8TAA9_2_VANGL1.pdf")</f>
        <v>Melting_Curves/meltCurve_Q8TAA9_2_VANGL1.pdf</v>
      </c>
    </row>
    <row r="4192" spans="1:28" x14ac:dyDescent="0.25">
      <c r="A4192" t="s">
        <v>4196</v>
      </c>
      <c r="B4192">
        <v>0.99996721820229495</v>
      </c>
      <c r="C4192">
        <v>0.83623463634961503</v>
      </c>
      <c r="D4192">
        <v>0.70379305896142097</v>
      </c>
      <c r="E4192">
        <v>0.85464102161585698</v>
      </c>
      <c r="F4192">
        <v>1.2215927999040199</v>
      </c>
      <c r="G4192">
        <v>1.38248982977685</v>
      </c>
      <c r="H4192">
        <v>1.12632511554752</v>
      </c>
      <c r="I4192">
        <v>0.88434505588517398</v>
      </c>
      <c r="J4192">
        <v>0.864283807035928</v>
      </c>
      <c r="K4192">
        <v>0.94106508743848905</v>
      </c>
      <c r="L4192">
        <v>10130.4855431019</v>
      </c>
      <c r="M4192">
        <v>161.11957863493899</v>
      </c>
      <c r="O4192">
        <v>62.8658854004847</v>
      </c>
      <c r="P4192">
        <v>-6.695422778948E-2</v>
      </c>
      <c r="Q4192">
        <v>0.89550278573911801</v>
      </c>
      <c r="R4192">
        <v>7.4723566341325806E-2</v>
      </c>
      <c r="S4192" t="s">
        <v>10018</v>
      </c>
      <c r="T4192" t="s">
        <v>11650</v>
      </c>
      <c r="U4192" t="s">
        <v>11650</v>
      </c>
      <c r="V4192" t="s">
        <v>11650</v>
      </c>
      <c r="W4192" t="s">
        <v>15788</v>
      </c>
      <c r="X4192">
        <v>2</v>
      </c>
      <c r="Y4192" t="s">
        <v>21464</v>
      </c>
      <c r="Z4192" t="s">
        <v>27254</v>
      </c>
      <c r="AA4192">
        <v>0.97521167139366793</v>
      </c>
      <c r="AB4192" t="str">
        <f>HYPERLINK("Melting_Curves/meltCurve_Q8TAE8_GADD45GIP1.pdf", "Melting_Curves/meltCurve_Q8TAE8_GADD45GIP1.pdf")</f>
        <v>Melting_Curves/meltCurve_Q8TAE8_GADD45GIP1.pdf</v>
      </c>
    </row>
    <row r="4193" spans="1:28" x14ac:dyDescent="0.25">
      <c r="A4193" t="s">
        <v>4197</v>
      </c>
      <c r="B4193">
        <v>0.99996721820229495</v>
      </c>
      <c r="C4193">
        <v>0.94235533600658605</v>
      </c>
      <c r="D4193">
        <v>0.96219569426972795</v>
      </c>
      <c r="E4193">
        <v>1.37398869274114</v>
      </c>
      <c r="F4193">
        <v>1.8476423283854999</v>
      </c>
      <c r="G4193">
        <v>2.1351613345909399</v>
      </c>
      <c r="H4193">
        <v>0.67920950987137096</v>
      </c>
      <c r="I4193">
        <v>0.31532599308845</v>
      </c>
      <c r="J4193">
        <v>0.19821902952432199</v>
      </c>
      <c r="K4193">
        <v>0.186237663265377</v>
      </c>
      <c r="L4193">
        <v>6246.0531161078297</v>
      </c>
      <c r="M4193">
        <v>102.023013009604</v>
      </c>
      <c r="N4193">
        <v>61.592331146123001</v>
      </c>
      <c r="O4193">
        <v>61.1984899098995</v>
      </c>
      <c r="P4193">
        <v>-0.32122559087976899</v>
      </c>
      <c r="Q4193">
        <v>0.22925153720346</v>
      </c>
      <c r="R4193">
        <v>0.46173612739418501</v>
      </c>
      <c r="S4193" t="s">
        <v>10019</v>
      </c>
      <c r="T4193" t="s">
        <v>11650</v>
      </c>
      <c r="U4193" t="s">
        <v>11650</v>
      </c>
      <c r="V4193" t="s">
        <v>11650</v>
      </c>
      <c r="W4193" t="s">
        <v>15789</v>
      </c>
      <c r="X4193">
        <v>5</v>
      </c>
      <c r="Y4193" t="s">
        <v>21465</v>
      </c>
      <c r="Z4193" t="s">
        <v>27255</v>
      </c>
      <c r="AA4193">
        <v>0.77497680101565924</v>
      </c>
      <c r="AB4193" t="str">
        <f>HYPERLINK("Melting_Curves/meltCurve_Q8TAF3_WDR48.pdf", "Melting_Curves/meltCurve_Q8TAF3_WDR48.pdf")</f>
        <v>Melting_Curves/meltCurve_Q8TAF3_WDR48.pdf</v>
      </c>
    </row>
    <row r="4194" spans="1:28" x14ac:dyDescent="0.25">
      <c r="A4194" t="s">
        <v>4198</v>
      </c>
      <c r="B4194">
        <v>0.99996721820229495</v>
      </c>
      <c r="C4194">
        <v>0.93142407902132196</v>
      </c>
      <c r="D4194">
        <v>0.92687690740369399</v>
      </c>
      <c r="E4194">
        <v>0.87758531292583897</v>
      </c>
      <c r="F4194">
        <v>1.1511281956363499</v>
      </c>
      <c r="G4194">
        <v>0.634630992141335</v>
      </c>
      <c r="H4194">
        <v>0.36223418557471798</v>
      </c>
      <c r="I4194">
        <v>0.209626504863269</v>
      </c>
      <c r="J4194">
        <v>0.16544246646855801</v>
      </c>
      <c r="K4194">
        <v>0.16515200653453899</v>
      </c>
      <c r="L4194">
        <v>1977.7943785027401</v>
      </c>
      <c r="M4194">
        <v>34.167929873841899</v>
      </c>
      <c r="N4194">
        <v>58.644736482620502</v>
      </c>
      <c r="O4194">
        <v>57.687325456638703</v>
      </c>
      <c r="P4194">
        <v>-0.121580869542083</v>
      </c>
      <c r="Q4194">
        <v>0.17892041012912099</v>
      </c>
      <c r="R4194">
        <v>0.94990186699738899</v>
      </c>
      <c r="S4194" t="s">
        <v>10020</v>
      </c>
      <c r="T4194" t="s">
        <v>11650</v>
      </c>
      <c r="U4194" t="s">
        <v>11650</v>
      </c>
      <c r="V4194" t="s">
        <v>11650</v>
      </c>
      <c r="W4194" t="s">
        <v>15790</v>
      </c>
      <c r="X4194">
        <v>1</v>
      </c>
      <c r="Y4194" t="s">
        <v>21466</v>
      </c>
      <c r="Z4194" t="s">
        <v>27256</v>
      </c>
      <c r="AA4194">
        <v>0.67272890716421008</v>
      </c>
      <c r="AB4194" t="str">
        <f>HYPERLINK("Melting_Curves/meltCurve_Q8TAP6_2_CEP76.pdf", "Melting_Curves/meltCurve_Q8TAP6_2_CEP76.pdf")</f>
        <v>Melting_Curves/meltCurve_Q8TAP6_2_CEP76.pdf</v>
      </c>
    </row>
    <row r="4195" spans="1:28" x14ac:dyDescent="0.25">
      <c r="A4195" t="s">
        <v>4199</v>
      </c>
      <c r="B4195">
        <v>0.99996721820229495</v>
      </c>
      <c r="C4195">
        <v>1.0918424967831399</v>
      </c>
      <c r="D4195">
        <v>1.1561223357030299</v>
      </c>
      <c r="E4195">
        <v>1.10224860821975</v>
      </c>
      <c r="F4195">
        <v>1.06482074057405</v>
      </c>
      <c r="G4195">
        <v>1.09324738209409</v>
      </c>
      <c r="H4195">
        <v>0.78318041368041103</v>
      </c>
      <c r="I4195">
        <v>0.52321101122077596</v>
      </c>
      <c r="J4195">
        <v>0.376240381315392</v>
      </c>
      <c r="K4195">
        <v>0.26786809318580901</v>
      </c>
      <c r="L4195">
        <v>2274.89110139068</v>
      </c>
      <c r="M4195">
        <v>36.239387771988</v>
      </c>
      <c r="N4195">
        <v>64.214863814643493</v>
      </c>
      <c r="O4195">
        <v>62.583764525476198</v>
      </c>
      <c r="P4195">
        <v>-0.10448025349382099</v>
      </c>
      <c r="Q4195">
        <v>0.278271764213186</v>
      </c>
      <c r="R4195">
        <v>0.93849934496682297</v>
      </c>
      <c r="S4195" t="s">
        <v>10021</v>
      </c>
      <c r="T4195" t="s">
        <v>11650</v>
      </c>
      <c r="U4195" t="s">
        <v>11650</v>
      </c>
      <c r="V4195" t="s">
        <v>11650</v>
      </c>
      <c r="W4195" t="s">
        <v>15791</v>
      </c>
      <c r="X4195">
        <v>1</v>
      </c>
      <c r="Y4195" t="s">
        <v>21467</v>
      </c>
      <c r="Z4195" t="s">
        <v>27257</v>
      </c>
      <c r="AA4195">
        <v>0.82868486951485609</v>
      </c>
      <c r="AB4195" t="str">
        <f>HYPERLINK("Melting_Curves/meltCurve_Q8TAP8_PPP1R35.pdf", "Melting_Curves/meltCurve_Q8TAP8_PPP1R35.pdf")</f>
        <v>Melting_Curves/meltCurve_Q8TAP8_PPP1R35.pdf</v>
      </c>
    </row>
    <row r="4196" spans="1:28" x14ac:dyDescent="0.25">
      <c r="A4196" t="s">
        <v>4200</v>
      </c>
      <c r="B4196">
        <v>0.99996721820229495</v>
      </c>
      <c r="C4196">
        <v>0.95321240204314694</v>
      </c>
      <c r="D4196">
        <v>0.90291982096838197</v>
      </c>
      <c r="E4196">
        <v>0.95786490397166202</v>
      </c>
      <c r="F4196">
        <v>0.56481868179198902</v>
      </c>
      <c r="G4196">
        <v>0.316663182700677</v>
      </c>
      <c r="H4196">
        <v>0.18780443421555101</v>
      </c>
      <c r="I4196">
        <v>0.12296879344025501</v>
      </c>
      <c r="J4196">
        <v>8.7214598891446699E-2</v>
      </c>
      <c r="K4196">
        <v>7.7328141086503793E-2</v>
      </c>
      <c r="L4196">
        <v>1197.56033788179</v>
      </c>
      <c r="M4196">
        <v>22.226156635454402</v>
      </c>
      <c r="N4196">
        <v>54.376152481463301</v>
      </c>
      <c r="O4196">
        <v>53.4501944219123</v>
      </c>
      <c r="P4196">
        <v>-9.4429884247240595E-2</v>
      </c>
      <c r="Q4196">
        <v>9.1667074635513698E-2</v>
      </c>
      <c r="R4196">
        <v>0.984069982066064</v>
      </c>
      <c r="S4196" t="s">
        <v>10022</v>
      </c>
      <c r="T4196" t="s">
        <v>11650</v>
      </c>
      <c r="U4196" t="s">
        <v>11650</v>
      </c>
      <c r="V4196" t="s">
        <v>11650</v>
      </c>
      <c r="W4196" t="s">
        <v>15792</v>
      </c>
      <c r="X4196">
        <v>21</v>
      </c>
      <c r="Y4196" t="s">
        <v>21468</v>
      </c>
      <c r="Z4196" t="s">
        <v>27258</v>
      </c>
      <c r="AA4196">
        <v>0.52230362189492341</v>
      </c>
      <c r="AB4196" t="str">
        <f>HYPERLINK("Melting_Curves/meltCurve_Q8TAT6_NPLOC4.pdf", "Melting_Curves/meltCurve_Q8TAT6_NPLOC4.pdf")</f>
        <v>Melting_Curves/meltCurve_Q8TAT6_NPLOC4.pdf</v>
      </c>
    </row>
    <row r="4197" spans="1:28" x14ac:dyDescent="0.25">
      <c r="A4197" t="s">
        <v>4201</v>
      </c>
      <c r="B4197">
        <v>0.99996721820229495</v>
      </c>
      <c r="C4197">
        <v>0.89166694590155404</v>
      </c>
      <c r="D4197">
        <v>0.79505299312029398</v>
      </c>
      <c r="E4197">
        <v>0.71886936895525499</v>
      </c>
      <c r="F4197">
        <v>0.302251829614548</v>
      </c>
      <c r="G4197">
        <v>0.16431640038495399</v>
      </c>
      <c r="H4197">
        <v>8.0017981664351603E-2</v>
      </c>
      <c r="I4197">
        <v>4.9004482746049398E-2</v>
      </c>
      <c r="J4197">
        <v>4.0303925757849197E-2</v>
      </c>
      <c r="K4197">
        <v>3.00779453868588E-2</v>
      </c>
      <c r="L4197">
        <v>803.02407977235805</v>
      </c>
      <c r="M4197">
        <v>15.670378243545199</v>
      </c>
      <c r="N4197">
        <v>51.284142877357297</v>
      </c>
      <c r="O4197">
        <v>50.431954857593297</v>
      </c>
      <c r="P4197">
        <v>-7.7222257547376993E-2</v>
      </c>
      <c r="Q4197">
        <v>5.9875120969502902E-3</v>
      </c>
      <c r="R4197">
        <v>0.97997836364500701</v>
      </c>
      <c r="S4197" t="s">
        <v>10023</v>
      </c>
      <c r="T4197" t="s">
        <v>11650</v>
      </c>
      <c r="U4197" t="s">
        <v>11650</v>
      </c>
      <c r="V4197" t="s">
        <v>11650</v>
      </c>
      <c r="W4197" t="s">
        <v>15793</v>
      </c>
      <c r="X4197">
        <v>10</v>
      </c>
      <c r="Y4197" t="s">
        <v>21469</v>
      </c>
      <c r="Z4197" t="s">
        <v>27259</v>
      </c>
      <c r="AA4197">
        <v>0.39977491258393361</v>
      </c>
      <c r="AB4197" t="str">
        <f>HYPERLINK("Melting_Curves/meltCurve_Q8TB03_CXorf38.pdf", "Melting_Curves/meltCurve_Q8TB03_CXorf38.pdf")</f>
        <v>Melting_Curves/meltCurve_Q8TB03_CXorf38.pdf</v>
      </c>
    </row>
    <row r="4198" spans="1:28" x14ac:dyDescent="0.25">
      <c r="A4198" t="s">
        <v>4202</v>
      </c>
      <c r="B4198">
        <v>0.99996721820229495</v>
      </c>
      <c r="C4198">
        <v>0.95657804635759203</v>
      </c>
      <c r="D4198">
        <v>0.88813338844888901</v>
      </c>
      <c r="E4198">
        <v>0.78205977415435401</v>
      </c>
      <c r="F4198">
        <v>0.48473363321276403</v>
      </c>
      <c r="G4198">
        <v>0.34061041865147701</v>
      </c>
      <c r="H4198">
        <v>0.218160616701712</v>
      </c>
      <c r="I4198">
        <v>0.140440144595113</v>
      </c>
      <c r="J4198">
        <v>9.74368327922501E-2</v>
      </c>
      <c r="K4198">
        <v>8.2329083560308797E-2</v>
      </c>
      <c r="L4198">
        <v>733.31808052732799</v>
      </c>
      <c r="M4198">
        <v>13.7671724736534</v>
      </c>
      <c r="N4198">
        <v>53.715815074897598</v>
      </c>
      <c r="O4198">
        <v>52.179566226008298</v>
      </c>
      <c r="P4198">
        <v>-6.2375812573896398E-2</v>
      </c>
      <c r="Q4198">
        <v>5.4480266326941001E-2</v>
      </c>
      <c r="R4198">
        <v>0.99377858238386296</v>
      </c>
      <c r="S4198" t="s">
        <v>10024</v>
      </c>
      <c r="T4198" t="s">
        <v>11650</v>
      </c>
      <c r="U4198" t="s">
        <v>11650</v>
      </c>
      <c r="V4198" t="s">
        <v>11650</v>
      </c>
      <c r="W4198" t="s">
        <v>15794</v>
      </c>
      <c r="X4198">
        <v>7</v>
      </c>
      <c r="Y4198" t="s">
        <v>21470</v>
      </c>
      <c r="Z4198" t="s">
        <v>27260</v>
      </c>
      <c r="AA4198">
        <v>0.49506232003493322</v>
      </c>
      <c r="AB4198" t="str">
        <f>HYPERLINK("Melting_Curves/meltCurve_Q8TB22_3_SPATA20.pdf", "Melting_Curves/meltCurve_Q8TB22_3_SPATA20.pdf")</f>
        <v>Melting_Curves/meltCurve_Q8TB22_3_SPATA20.pdf</v>
      </c>
    </row>
    <row r="4199" spans="1:28" x14ac:dyDescent="0.25">
      <c r="A4199" t="s">
        <v>4203</v>
      </c>
      <c r="B4199">
        <v>0.99996721820229495</v>
      </c>
      <c r="C4199">
        <v>1.1302747639536299</v>
      </c>
      <c r="D4199">
        <v>1.0775184876441899</v>
      </c>
      <c r="E4199">
        <v>0.80118265609460404</v>
      </c>
      <c r="F4199">
        <v>0.24437759082212099</v>
      </c>
      <c r="G4199">
        <v>0.20324828023496599</v>
      </c>
      <c r="H4199">
        <v>0.106756325459679</v>
      </c>
      <c r="I4199">
        <v>0.115024202825592</v>
      </c>
      <c r="J4199">
        <v>2.0479961092898399E-2</v>
      </c>
      <c r="K4199">
        <v>3.46358542693192E-2</v>
      </c>
      <c r="L4199">
        <v>2475.5133325258898</v>
      </c>
      <c r="M4199">
        <v>48.245789135283303</v>
      </c>
      <c r="N4199">
        <v>51.5300830390862</v>
      </c>
      <c r="O4199">
        <v>51.222531200170401</v>
      </c>
      <c r="P4199">
        <v>-0.213588408464121</v>
      </c>
      <c r="Q4199">
        <v>9.2934064104677402E-2</v>
      </c>
      <c r="R4199">
        <v>0.977858390941861</v>
      </c>
      <c r="S4199" t="s">
        <v>10025</v>
      </c>
      <c r="T4199" t="s">
        <v>11650</v>
      </c>
      <c r="U4199" t="s">
        <v>11650</v>
      </c>
      <c r="V4199" t="s">
        <v>11650</v>
      </c>
      <c r="W4199" t="s">
        <v>15795</v>
      </c>
      <c r="X4199">
        <v>1</v>
      </c>
      <c r="Y4199" t="s">
        <v>21471</v>
      </c>
      <c r="Z4199" t="s">
        <v>27261</v>
      </c>
      <c r="AA4199">
        <v>0.43711741751552319</v>
      </c>
      <c r="AB4199" t="str">
        <f>HYPERLINK("Melting_Curves/meltCurve_Q8TB24_RIN3.pdf", "Melting_Curves/meltCurve_Q8TB24_RIN3.pdf")</f>
        <v>Melting_Curves/meltCurve_Q8TB24_RIN3.pdf</v>
      </c>
    </row>
    <row r="4200" spans="1:28" x14ac:dyDescent="0.25">
      <c r="A4200" t="s">
        <v>4204</v>
      </c>
      <c r="B4200">
        <v>0.99996721820229495</v>
      </c>
      <c r="C4200">
        <v>0.80966943719268303</v>
      </c>
      <c r="D4200">
        <v>0.88017001502134995</v>
      </c>
      <c r="E4200">
        <v>1.0114290384518501</v>
      </c>
      <c r="F4200">
        <v>1.1031627533974599</v>
      </c>
      <c r="G4200">
        <v>0.72360397160944301</v>
      </c>
      <c r="H4200">
        <v>0.19379880902725299</v>
      </c>
      <c r="I4200">
        <v>0.15611026069945999</v>
      </c>
      <c r="J4200">
        <v>0.107086862163959</v>
      </c>
      <c r="K4200">
        <v>9.2315071760508294E-2</v>
      </c>
      <c r="L4200">
        <v>2937.4859603067998</v>
      </c>
      <c r="M4200">
        <v>50.702069433969399</v>
      </c>
      <c r="N4200">
        <v>58.247090790847302</v>
      </c>
      <c r="O4200">
        <v>57.846309063675697</v>
      </c>
      <c r="P4200">
        <v>-0.19314923567438</v>
      </c>
      <c r="Q4200">
        <v>0.11854016613739</v>
      </c>
      <c r="R4200">
        <v>0.958912748468149</v>
      </c>
      <c r="S4200" t="s">
        <v>10026</v>
      </c>
      <c r="T4200" t="s">
        <v>11650</v>
      </c>
      <c r="U4200" t="s">
        <v>11650</v>
      </c>
      <c r="V4200" t="s">
        <v>11650</v>
      </c>
      <c r="W4200" t="s">
        <v>15796</v>
      </c>
      <c r="X4200">
        <v>6</v>
      </c>
      <c r="Y4200" t="s">
        <v>21472</v>
      </c>
      <c r="Z4200" t="s">
        <v>27262</v>
      </c>
      <c r="AA4200">
        <v>0.64772401098726851</v>
      </c>
      <c r="AB4200" t="str">
        <f>HYPERLINK("Melting_Curves/meltCurve_Q8TB36_2_GDAP1.pdf", "Melting_Curves/meltCurve_Q8TB36_2_GDAP1.pdf")</f>
        <v>Melting_Curves/meltCurve_Q8TB36_2_GDAP1.pdf</v>
      </c>
    </row>
    <row r="4201" spans="1:28" x14ac:dyDescent="0.25">
      <c r="A4201" t="s">
        <v>4205</v>
      </c>
      <c r="B4201">
        <v>0.99996721820229495</v>
      </c>
      <c r="C4201">
        <v>0.95438176271747899</v>
      </c>
      <c r="D4201">
        <v>0.88561951927432903</v>
      </c>
      <c r="E4201">
        <v>0.79992192124032102</v>
      </c>
      <c r="F4201">
        <v>0.35733439525681299</v>
      </c>
      <c r="G4201">
        <v>0.20017853642157499</v>
      </c>
      <c r="H4201">
        <v>0.10037916903467201</v>
      </c>
      <c r="I4201">
        <v>5.02993621629391E-2</v>
      </c>
      <c r="J4201">
        <v>3.0772189609325901E-2</v>
      </c>
      <c r="K4201">
        <v>1.98849879957478E-2</v>
      </c>
      <c r="L4201">
        <v>1131.46522717376</v>
      </c>
      <c r="M4201">
        <v>21.720853124394399</v>
      </c>
      <c r="N4201">
        <v>52.267273313853998</v>
      </c>
      <c r="O4201">
        <v>51.655695005938597</v>
      </c>
      <c r="P4201">
        <v>-0.10141687401720401</v>
      </c>
      <c r="Q4201">
        <v>3.5279863481559197E-2</v>
      </c>
      <c r="R4201">
        <v>0.98807491472786002</v>
      </c>
      <c r="S4201" t="s">
        <v>10027</v>
      </c>
      <c r="T4201" t="s">
        <v>11650</v>
      </c>
      <c r="U4201" t="s">
        <v>11650</v>
      </c>
      <c r="V4201" t="s">
        <v>11650</v>
      </c>
      <c r="W4201" t="s">
        <v>15797</v>
      </c>
      <c r="X4201">
        <v>6</v>
      </c>
      <c r="Y4201" t="s">
        <v>21473</v>
      </c>
      <c r="Z4201" t="s">
        <v>27263</v>
      </c>
      <c r="AA4201">
        <v>0.43558933108071157</v>
      </c>
      <c r="AB4201" t="str">
        <f>HYPERLINK("Melting_Curves/meltCurve_Q8TB37_NUBPL.pdf", "Melting_Curves/meltCurve_Q8TB37_NUBPL.pdf")</f>
        <v>Melting_Curves/meltCurve_Q8TB37_NUBPL.pdf</v>
      </c>
    </row>
    <row r="4202" spans="1:28" x14ac:dyDescent="0.25">
      <c r="A4202" t="s">
        <v>4206</v>
      </c>
      <c r="B4202">
        <v>0.99996721820229495</v>
      </c>
      <c r="C4202">
        <v>0.82320569874659499</v>
      </c>
      <c r="D4202">
        <v>0.63697139567150496</v>
      </c>
      <c r="E4202">
        <v>0.34298577169929101</v>
      </c>
      <c r="F4202">
        <v>0.68721458444850203</v>
      </c>
      <c r="G4202">
        <v>0.37355605826428101</v>
      </c>
      <c r="H4202">
        <v>0.19915433802163099</v>
      </c>
      <c r="I4202">
        <v>0.102733428976336</v>
      </c>
      <c r="J4202">
        <v>5.1824244328681601E-2</v>
      </c>
      <c r="K4202">
        <v>5.3459094600225798E-2</v>
      </c>
      <c r="L4202">
        <v>420.39825738791802</v>
      </c>
      <c r="M4202">
        <v>8.2282827853901495</v>
      </c>
      <c r="N4202">
        <v>51.091851101379703</v>
      </c>
      <c r="O4202">
        <v>48.3404846224172</v>
      </c>
      <c r="P4202">
        <v>-4.2597105845511699E-2</v>
      </c>
      <c r="Q4202">
        <v>0</v>
      </c>
      <c r="R4202">
        <v>0.86667654473972999</v>
      </c>
      <c r="S4202" t="s">
        <v>10028</v>
      </c>
      <c r="T4202" t="s">
        <v>11650</v>
      </c>
      <c r="U4202" t="s">
        <v>11650</v>
      </c>
      <c r="V4202" t="s">
        <v>11650</v>
      </c>
      <c r="W4202" t="s">
        <v>15798</v>
      </c>
      <c r="X4202">
        <v>2</v>
      </c>
      <c r="Y4202" t="s">
        <v>21474</v>
      </c>
      <c r="Z4202" t="s">
        <v>27264</v>
      </c>
      <c r="AA4202">
        <v>0.42106292020634362</v>
      </c>
      <c r="AB4202" t="str">
        <f>HYPERLINK("Melting_Curves/meltCurve_Q8TB40_ABHD4.pdf", "Melting_Curves/meltCurve_Q8TB40_ABHD4.pdf")</f>
        <v>Melting_Curves/meltCurve_Q8TB40_ABHD4.pdf</v>
      </c>
    </row>
    <row r="4203" spans="1:28" x14ac:dyDescent="0.25">
      <c r="A4203" t="s">
        <v>4207</v>
      </c>
      <c r="B4203">
        <v>0.99996721820229495</v>
      </c>
      <c r="C4203">
        <v>0.70346823681548698</v>
      </c>
      <c r="D4203">
        <v>1.14450111785631</v>
      </c>
      <c r="E4203">
        <v>1.2464489028841701</v>
      </c>
      <c r="F4203">
        <v>1.7374767085917799</v>
      </c>
      <c r="G4203">
        <v>1.49597619343217</v>
      </c>
      <c r="H4203">
        <v>0.80629460461032498</v>
      </c>
      <c r="I4203">
        <v>0.24148937911391299</v>
      </c>
      <c r="J4203">
        <v>9.5419319867172794E-2</v>
      </c>
      <c r="K4203">
        <v>9.85442525354253E-2</v>
      </c>
      <c r="L4203">
        <v>4154.3008469519</v>
      </c>
      <c r="M4203">
        <v>66.691885851202301</v>
      </c>
      <c r="N4203">
        <v>62.494057566461301</v>
      </c>
      <c r="O4203">
        <v>62.235025881740803</v>
      </c>
      <c r="P4203">
        <v>-0.241799452867592</v>
      </c>
      <c r="Q4203">
        <v>9.7438143106592504E-2</v>
      </c>
      <c r="R4203">
        <v>0.67923233237548897</v>
      </c>
      <c r="S4203" t="s">
        <v>10029</v>
      </c>
      <c r="T4203" t="s">
        <v>11650</v>
      </c>
      <c r="U4203" t="s">
        <v>11650</v>
      </c>
      <c r="V4203" t="s">
        <v>11650</v>
      </c>
      <c r="W4203" t="s">
        <v>15799</v>
      </c>
      <c r="X4203">
        <v>8</v>
      </c>
      <c r="Y4203" t="s">
        <v>21475</v>
      </c>
      <c r="Z4203" t="s">
        <v>27265</v>
      </c>
      <c r="AA4203">
        <v>0.76943691374475454</v>
      </c>
      <c r="AB4203" t="str">
        <f>HYPERLINK("Melting_Curves/meltCurve_Q8TB61_3_SLC35B2.pdf", "Melting_Curves/meltCurve_Q8TB61_3_SLC35B2.pdf")</f>
        <v>Melting_Curves/meltCurve_Q8TB61_3_SLC35B2.pdf</v>
      </c>
    </row>
    <row r="4204" spans="1:28" x14ac:dyDescent="0.25">
      <c r="A4204" t="s">
        <v>4208</v>
      </c>
      <c r="B4204">
        <v>0.99996721820229495</v>
      </c>
      <c r="C4204">
        <v>1.05898135645323</v>
      </c>
      <c r="D4204">
        <v>0.97512286828142603</v>
      </c>
      <c r="E4204">
        <v>0.90484932107697402</v>
      </c>
      <c r="F4204">
        <v>0.97696197459223699</v>
      </c>
      <c r="G4204">
        <v>1.04022431248983</v>
      </c>
      <c r="H4204">
        <v>0.81423368217411596</v>
      </c>
      <c r="I4204">
        <v>0.70439376821261401</v>
      </c>
      <c r="J4204">
        <v>0.68251004547573002</v>
      </c>
      <c r="K4204">
        <v>0.46158225369860401</v>
      </c>
      <c r="L4204">
        <v>879.572766836965</v>
      </c>
      <c r="M4204">
        <v>12.6358145746718</v>
      </c>
      <c r="N4204">
        <v>69.6095001063957</v>
      </c>
      <c r="O4204">
        <v>67.935091562999702</v>
      </c>
      <c r="P4204">
        <v>-4.6508765514841302E-2</v>
      </c>
      <c r="Q4204">
        <v>0</v>
      </c>
      <c r="R4204">
        <v>0.91196482562415404</v>
      </c>
      <c r="S4204" t="s">
        <v>10030</v>
      </c>
      <c r="T4204" t="s">
        <v>11650</v>
      </c>
      <c r="U4204" t="s">
        <v>11650</v>
      </c>
      <c r="V4204" t="s">
        <v>11650</v>
      </c>
      <c r="W4204" t="s">
        <v>15800</v>
      </c>
      <c r="X4204">
        <v>4</v>
      </c>
      <c r="Y4204" t="s">
        <v>21476</v>
      </c>
      <c r="Z4204" t="s">
        <v>27266</v>
      </c>
      <c r="AA4204">
        <v>0.88527526746114127</v>
      </c>
      <c r="AB4204" t="str">
        <f>HYPERLINK("Melting_Curves/meltCurve_Q8TB72_2_PUM2.pdf", "Melting_Curves/meltCurve_Q8TB72_2_PUM2.pdf")</f>
        <v>Melting_Curves/meltCurve_Q8TB72_2_PUM2.pdf</v>
      </c>
    </row>
    <row r="4205" spans="1:28" x14ac:dyDescent="0.25">
      <c r="A4205" t="s">
        <v>4209</v>
      </c>
      <c r="B4205">
        <v>0.99996721820229495</v>
      </c>
      <c r="C4205">
        <v>0.96346385503753795</v>
      </c>
      <c r="D4205">
        <v>1.07163022106135</v>
      </c>
      <c r="E4205">
        <v>1.2795175804630301</v>
      </c>
      <c r="F4205">
        <v>1.7775046879093399</v>
      </c>
      <c r="G4205">
        <v>1.9889845175584899</v>
      </c>
      <c r="H4205">
        <v>1.4065563089634701</v>
      </c>
      <c r="I4205">
        <v>0.70965309602601201</v>
      </c>
      <c r="J4205">
        <v>0.42309355028215601</v>
      </c>
      <c r="K4205">
        <v>0.44326995909401001</v>
      </c>
      <c r="L4205">
        <v>15000</v>
      </c>
      <c r="M4205">
        <v>234.423824217483</v>
      </c>
      <c r="N4205">
        <v>64.540751240328007</v>
      </c>
      <c r="O4205">
        <v>63.982002883669999</v>
      </c>
      <c r="P4205">
        <v>-0.519200118504338</v>
      </c>
      <c r="Q4205">
        <v>0.43317247496014599</v>
      </c>
      <c r="R4205">
        <v>0.25086761409151098</v>
      </c>
      <c r="S4205" t="s">
        <v>10031</v>
      </c>
      <c r="T4205" t="s">
        <v>11650</v>
      </c>
      <c r="U4205" t="s">
        <v>11650</v>
      </c>
      <c r="V4205" t="s">
        <v>11650</v>
      </c>
      <c r="W4205" t="s">
        <v>15801</v>
      </c>
      <c r="X4205">
        <v>7</v>
      </c>
      <c r="Y4205" t="s">
        <v>21477</v>
      </c>
      <c r="Z4205" t="s">
        <v>27267</v>
      </c>
      <c r="AA4205">
        <v>0.88645503840458528</v>
      </c>
      <c r="AB4205" t="str">
        <f>HYPERLINK("Melting_Curves/meltCurve_Q8TB96_ITFG1.pdf", "Melting_Curves/meltCurve_Q8TB96_ITFG1.pdf")</f>
        <v>Melting_Curves/meltCurve_Q8TB96_ITFG1.pdf</v>
      </c>
    </row>
    <row r="4206" spans="1:28" x14ac:dyDescent="0.25">
      <c r="A4206" t="s">
        <v>4210</v>
      </c>
      <c r="B4206">
        <v>0.99996721820229495</v>
      </c>
      <c r="C4206">
        <v>0.89805402593847405</v>
      </c>
      <c r="D4206">
        <v>0.89659831638232002</v>
      </c>
      <c r="E4206">
        <v>1.12132886191155</v>
      </c>
      <c r="F4206">
        <v>1.14390652161471</v>
      </c>
      <c r="G4206">
        <v>0.91499333496308399</v>
      </c>
      <c r="H4206">
        <v>0.60874299958592004</v>
      </c>
      <c r="I4206">
        <v>0.42416791085127997</v>
      </c>
      <c r="J4206">
        <v>0.31705668840227502</v>
      </c>
      <c r="K4206">
        <v>0.29645921512927198</v>
      </c>
      <c r="L4206">
        <v>2038.51720114765</v>
      </c>
      <c r="M4206">
        <v>33.5820246839153</v>
      </c>
      <c r="N4206">
        <v>62.361508415508503</v>
      </c>
      <c r="O4206">
        <v>60.488589818188203</v>
      </c>
      <c r="P4206">
        <v>-9.7801967773195095E-2</v>
      </c>
      <c r="Q4206">
        <v>0.29535178762159298</v>
      </c>
      <c r="R4206">
        <v>0.93739303460068502</v>
      </c>
      <c r="S4206" t="s">
        <v>10032</v>
      </c>
      <c r="T4206" t="s">
        <v>11650</v>
      </c>
      <c r="U4206" t="s">
        <v>11650</v>
      </c>
      <c r="V4206" t="s">
        <v>11650</v>
      </c>
      <c r="W4206" t="s">
        <v>15802</v>
      </c>
      <c r="X4206">
        <v>35</v>
      </c>
      <c r="Y4206" t="s">
        <v>21478</v>
      </c>
      <c r="Z4206" t="s">
        <v>27268</v>
      </c>
      <c r="AA4206">
        <v>0.78513369652127263</v>
      </c>
      <c r="AB4206" t="str">
        <f>HYPERLINK("Melting_Curves/meltCurve_Q8TBA6_2_GOLGA5.pdf", "Melting_Curves/meltCurve_Q8TBA6_2_GOLGA5.pdf")</f>
        <v>Melting_Curves/meltCurve_Q8TBA6_2_GOLGA5.pdf</v>
      </c>
    </row>
    <row r="4207" spans="1:28" x14ac:dyDescent="0.25">
      <c r="A4207" t="s">
        <v>4211</v>
      </c>
      <c r="B4207">
        <v>0.99996721820229495</v>
      </c>
      <c r="C4207">
        <v>0.74272266022961997</v>
      </c>
      <c r="D4207">
        <v>0.69718111151703499</v>
      </c>
      <c r="E4207">
        <v>1.12636791243454</v>
      </c>
      <c r="F4207">
        <v>1.42123766092663</v>
      </c>
      <c r="G4207">
        <v>1.56926172633247</v>
      </c>
      <c r="H4207">
        <v>1.9209182269796199</v>
      </c>
      <c r="I4207">
        <v>2.02453522186909</v>
      </c>
      <c r="J4207">
        <v>1.8667360235919901</v>
      </c>
      <c r="K4207">
        <v>1.26532375084519</v>
      </c>
      <c r="L4207">
        <v>2804.1558584638701</v>
      </c>
      <c r="M4207">
        <v>54.862431451085399</v>
      </c>
      <c r="O4207">
        <v>51.044730481930301</v>
      </c>
      <c r="P4207">
        <v>0.13434901480372</v>
      </c>
      <c r="Q4207">
        <v>1.5</v>
      </c>
      <c r="R4207">
        <v>0.61137571035757099</v>
      </c>
      <c r="S4207" t="s">
        <v>10033</v>
      </c>
      <c r="T4207" t="s">
        <v>11650</v>
      </c>
      <c r="U4207" t="s">
        <v>11650</v>
      </c>
      <c r="V4207" t="s">
        <v>11650</v>
      </c>
      <c r="W4207" t="s">
        <v>15803</v>
      </c>
      <c r="X4207">
        <v>1</v>
      </c>
      <c r="Y4207" t="s">
        <v>21479</v>
      </c>
      <c r="Z4207" t="s">
        <v>27269</v>
      </c>
      <c r="AA4207">
        <v>1.313856290624696</v>
      </c>
      <c r="AB4207" t="str">
        <f>HYPERLINK("Melting_Curves/meltCurve_Q8TBB0_2_THAP6.pdf", "Melting_Curves/meltCurve_Q8TBB0_2_THAP6.pdf")</f>
        <v>Melting_Curves/meltCurve_Q8TBB0_2_THAP6.pdf</v>
      </c>
    </row>
    <row r="4208" spans="1:28" x14ac:dyDescent="0.25">
      <c r="A4208" t="s">
        <v>4212</v>
      </c>
      <c r="B4208">
        <v>0.99996721820229495</v>
      </c>
      <c r="C4208">
        <v>0.95437728968926905</v>
      </c>
      <c r="D4208">
        <v>1.0585287055414201</v>
      </c>
      <c r="E4208">
        <v>1.0002187396250499</v>
      </c>
      <c r="F4208">
        <v>1.1566214916148601</v>
      </c>
      <c r="G4208">
        <v>1.2817908948433401</v>
      </c>
      <c r="H4208">
        <v>0.97435877137219296</v>
      </c>
      <c r="I4208">
        <v>0.55947902613018097</v>
      </c>
      <c r="J4208">
        <v>0.53454701965401696</v>
      </c>
      <c r="K4208">
        <v>0.66586170030663505</v>
      </c>
      <c r="L4208">
        <v>15000</v>
      </c>
      <c r="M4208">
        <v>243.188365787468</v>
      </c>
      <c r="O4208">
        <v>61.6764109331993</v>
      </c>
      <c r="P4208">
        <v>-0.40749478595955602</v>
      </c>
      <c r="Q4208">
        <v>0.58661154282769301</v>
      </c>
      <c r="R4208">
        <v>0.789502104442946</v>
      </c>
      <c r="S4208" t="s">
        <v>10034</v>
      </c>
      <c r="T4208" t="s">
        <v>11650</v>
      </c>
      <c r="U4208" t="s">
        <v>11650</v>
      </c>
      <c r="V4208" t="s">
        <v>11650</v>
      </c>
      <c r="W4208" t="s">
        <v>15804</v>
      </c>
      <c r="X4208">
        <v>1</v>
      </c>
      <c r="Y4208" t="s">
        <v>21480</v>
      </c>
      <c r="Z4208" t="s">
        <v>27270</v>
      </c>
      <c r="AA4208">
        <v>0.88540891565403657</v>
      </c>
      <c r="AB4208" t="str">
        <f>HYPERLINK("Melting_Curves/meltCurve_Q8TBB6_SLC7A14.pdf", "Melting_Curves/meltCurve_Q8TBB6_SLC7A14.pdf")</f>
        <v>Melting_Curves/meltCurve_Q8TBB6_SLC7A14.pdf</v>
      </c>
    </row>
    <row r="4209" spans="1:28" x14ac:dyDescent="0.25">
      <c r="A4209" t="s">
        <v>4213</v>
      </c>
      <c r="B4209">
        <v>0.99996721820229495</v>
      </c>
      <c r="C4209">
        <v>1.0079814923172199</v>
      </c>
      <c r="D4209">
        <v>1.09924846703866</v>
      </c>
      <c r="E4209">
        <v>1.1316944703987299</v>
      </c>
      <c r="F4209">
        <v>0.56361509293016498</v>
      </c>
      <c r="G4209">
        <v>0.43124396129342402</v>
      </c>
      <c r="H4209">
        <v>0.22752107639427199</v>
      </c>
      <c r="I4209">
        <v>0.17272976918119101</v>
      </c>
      <c r="J4209">
        <v>0.15415423790496799</v>
      </c>
      <c r="K4209">
        <v>0.11355930575061</v>
      </c>
      <c r="L4209">
        <v>1452.9548599413999</v>
      </c>
      <c r="M4209">
        <v>26.7517475815682</v>
      </c>
      <c r="N4209">
        <v>55.104255482638898</v>
      </c>
      <c r="O4209">
        <v>54.011771990964199</v>
      </c>
      <c r="P4209">
        <v>-0.104067658712099</v>
      </c>
      <c r="Q4209">
        <v>0.15955864369730799</v>
      </c>
      <c r="R4209">
        <v>0.94671321982587797</v>
      </c>
      <c r="S4209" t="s">
        <v>10035</v>
      </c>
      <c r="T4209" t="s">
        <v>11650</v>
      </c>
      <c r="U4209" t="s">
        <v>11650</v>
      </c>
      <c r="V4209" t="s">
        <v>11650</v>
      </c>
      <c r="W4209" t="s">
        <v>15805</v>
      </c>
      <c r="X4209">
        <v>18</v>
      </c>
      <c r="Y4209" t="s">
        <v>21481</v>
      </c>
      <c r="Z4209" t="s">
        <v>27271</v>
      </c>
      <c r="AA4209">
        <v>0.56739608140912068</v>
      </c>
      <c r="AB4209" t="str">
        <f>HYPERLINK("Melting_Curves/meltCurve_Q8TBC4_UBA3.pdf", "Melting_Curves/meltCurve_Q8TBC4_UBA3.pdf")</f>
        <v>Melting_Curves/meltCurve_Q8TBC4_UBA3.pdf</v>
      </c>
    </row>
    <row r="4210" spans="1:28" x14ac:dyDescent="0.25">
      <c r="A4210" t="s">
        <v>4214</v>
      </c>
      <c r="B4210">
        <v>0.99996721820229495</v>
      </c>
      <c r="C4210">
        <v>1.0001051732198301</v>
      </c>
      <c r="D4210">
        <v>0.85984233545586597</v>
      </c>
      <c r="E4210">
        <v>0.584712720608488</v>
      </c>
      <c r="F4210">
        <v>0.49059878985803601</v>
      </c>
      <c r="G4210">
        <v>0.60745153851093003</v>
      </c>
      <c r="H4210">
        <v>0.40519211555938101</v>
      </c>
      <c r="I4210">
        <v>0.386466394942105</v>
      </c>
      <c r="J4210">
        <v>0.33933564601062</v>
      </c>
      <c r="K4210">
        <v>0.29049326302016698</v>
      </c>
      <c r="L4210">
        <v>671.35621440988496</v>
      </c>
      <c r="M4210">
        <v>13.4832127899267</v>
      </c>
      <c r="N4210">
        <v>54.521656422081797</v>
      </c>
      <c r="O4210">
        <v>48.735004714243097</v>
      </c>
      <c r="P4210">
        <v>-4.5327174384145102E-2</v>
      </c>
      <c r="Q4210">
        <v>0.34476103319495199</v>
      </c>
      <c r="R4210">
        <v>0.928330445256212</v>
      </c>
      <c r="S4210" t="s">
        <v>10036</v>
      </c>
      <c r="T4210" t="s">
        <v>11650</v>
      </c>
      <c r="U4210" t="s">
        <v>11650</v>
      </c>
      <c r="V4210" t="s">
        <v>11650</v>
      </c>
      <c r="W4210" t="s">
        <v>15806</v>
      </c>
      <c r="X4210">
        <v>1</v>
      </c>
      <c r="Y4210" t="s">
        <v>21482</v>
      </c>
      <c r="Z4210" t="s">
        <v>27272</v>
      </c>
      <c r="AA4210">
        <v>0.57758737978741326</v>
      </c>
      <c r="AB4210" t="str">
        <f>HYPERLINK("Melting_Curves/meltCurve_Q8TBC5_4_ZSCAN18.pdf", "Melting_Curves/meltCurve_Q8TBC5_4_ZSCAN18.pdf")</f>
        <v>Melting_Curves/meltCurve_Q8TBC5_4_ZSCAN18.pdf</v>
      </c>
    </row>
    <row r="4211" spans="1:28" x14ac:dyDescent="0.25">
      <c r="A4211" t="s">
        <v>4215</v>
      </c>
      <c r="B4211">
        <v>0.99996721820229495</v>
      </c>
      <c r="C4211">
        <v>1.0137116689755199</v>
      </c>
      <c r="D4211">
        <v>0.84012474829102302</v>
      </c>
      <c r="E4211">
        <v>0.482370225130206</v>
      </c>
      <c r="F4211">
        <v>0.29840567667163997</v>
      </c>
      <c r="G4211">
        <v>0.20462663837404299</v>
      </c>
      <c r="H4211">
        <v>0.120717056686601</v>
      </c>
      <c r="I4211">
        <v>7.7955239640161503E-2</v>
      </c>
      <c r="J4211">
        <v>7.0204839238816097E-2</v>
      </c>
      <c r="K4211">
        <v>5.1869645950346703E-2</v>
      </c>
      <c r="L4211">
        <v>940.32404046822796</v>
      </c>
      <c r="M4211">
        <v>18.9117913466612</v>
      </c>
      <c r="N4211">
        <v>50.1627962211926</v>
      </c>
      <c r="O4211">
        <v>49.175630804334197</v>
      </c>
      <c r="P4211">
        <v>-8.8780903149538196E-2</v>
      </c>
      <c r="Q4211">
        <v>7.6622551347304405E-2</v>
      </c>
      <c r="R4211">
        <v>0.99387181235718602</v>
      </c>
      <c r="S4211" t="s">
        <v>10037</v>
      </c>
      <c r="T4211" t="s">
        <v>11650</v>
      </c>
      <c r="U4211" t="s">
        <v>11650</v>
      </c>
      <c r="V4211" t="s">
        <v>11650</v>
      </c>
      <c r="W4211" t="s">
        <v>15807</v>
      </c>
      <c r="X4211">
        <v>7</v>
      </c>
      <c r="Y4211" t="s">
        <v>21483</v>
      </c>
      <c r="Z4211" t="s">
        <v>27273</v>
      </c>
      <c r="AA4211">
        <v>0.390208539180807</v>
      </c>
      <c r="AB4211" t="str">
        <f>HYPERLINK("Melting_Curves/meltCurve_Q8TBE9_NANP.pdf", "Melting_Curves/meltCurve_Q8TBE9_NANP.pdf")</f>
        <v>Melting_Curves/meltCurve_Q8TBE9_NANP.pdf</v>
      </c>
    </row>
    <row r="4212" spans="1:28" x14ac:dyDescent="0.25">
      <c r="A4212" t="s">
        <v>4216</v>
      </c>
      <c r="B4212">
        <v>0.99996721820229495</v>
      </c>
      <c r="C4212">
        <v>0.539476317517112</v>
      </c>
      <c r="D4212">
        <v>0.435069546581073</v>
      </c>
      <c r="E4212">
        <v>1.0242172937709499</v>
      </c>
      <c r="F4212">
        <v>0.63101108651670901</v>
      </c>
      <c r="G4212">
        <v>0.296968742470125</v>
      </c>
      <c r="H4212">
        <v>0.291467205786752</v>
      </c>
      <c r="I4212">
        <v>0.22566424992706299</v>
      </c>
      <c r="J4212">
        <v>0.138960030914141</v>
      </c>
      <c r="K4212">
        <v>0.30541280105329499</v>
      </c>
      <c r="L4212">
        <v>286.888538171937</v>
      </c>
      <c r="M4212">
        <v>5.38296201857505</v>
      </c>
      <c r="N4212">
        <v>53.295664511381297</v>
      </c>
      <c r="O4212">
        <v>47.280899948359</v>
      </c>
      <c r="P4212">
        <v>-2.8597825678179398E-2</v>
      </c>
      <c r="Q4212">
        <v>0</v>
      </c>
      <c r="R4212">
        <v>0.54513288564586004</v>
      </c>
      <c r="S4212" t="s">
        <v>10038</v>
      </c>
      <c r="T4212" t="s">
        <v>11650</v>
      </c>
      <c r="U4212" t="s">
        <v>11650</v>
      </c>
      <c r="V4212" t="s">
        <v>11650</v>
      </c>
      <c r="W4212" t="s">
        <v>15808</v>
      </c>
      <c r="X4212">
        <v>4</v>
      </c>
      <c r="Y4212" t="s">
        <v>21484</v>
      </c>
      <c r="Z4212" t="s">
        <v>27274</v>
      </c>
      <c r="AA4212">
        <v>0.4894169611266197</v>
      </c>
      <c r="AB4212" t="str">
        <f>HYPERLINK("Melting_Curves/meltCurve_Q8TBN0_RAB3IL1.pdf", "Melting_Curves/meltCurve_Q8TBN0_RAB3IL1.pdf")</f>
        <v>Melting_Curves/meltCurve_Q8TBN0_RAB3IL1.pdf</v>
      </c>
    </row>
    <row r="4213" spans="1:28" x14ac:dyDescent="0.25">
      <c r="A4213" t="s">
        <v>4217</v>
      </c>
      <c r="B4213">
        <v>0.99996721820229495</v>
      </c>
      <c r="C4213">
        <v>0.99040646089205198</v>
      </c>
      <c r="D4213">
        <v>0.88945042825355003</v>
      </c>
      <c r="E4213">
        <v>0.602351716528709</v>
      </c>
      <c r="F4213">
        <v>0.397433396040825</v>
      </c>
      <c r="G4213">
        <v>0.34968416117127599</v>
      </c>
      <c r="H4213">
        <v>0.26054826013558802</v>
      </c>
      <c r="I4213">
        <v>0.192187465344139</v>
      </c>
      <c r="J4213">
        <v>0.12745297518478599</v>
      </c>
      <c r="K4213">
        <v>0.118014567685674</v>
      </c>
      <c r="L4213">
        <v>769.62738207419795</v>
      </c>
      <c r="M4213">
        <v>15.121043769096399</v>
      </c>
      <c r="N4213">
        <v>52.065901056739897</v>
      </c>
      <c r="O4213">
        <v>50.032467992666298</v>
      </c>
      <c r="P4213">
        <v>-6.4693925941078201E-2</v>
      </c>
      <c r="Q4213">
        <v>0.14384747829921701</v>
      </c>
      <c r="R4213">
        <v>0.98580347077953201</v>
      </c>
      <c r="S4213" t="s">
        <v>10039</v>
      </c>
      <c r="T4213" t="s">
        <v>11650</v>
      </c>
      <c r="U4213" t="s">
        <v>11650</v>
      </c>
      <c r="V4213" t="s">
        <v>11650</v>
      </c>
      <c r="W4213" t="s">
        <v>15809</v>
      </c>
      <c r="X4213">
        <v>11</v>
      </c>
      <c r="Y4213" t="s">
        <v>21485</v>
      </c>
      <c r="Z4213" t="s">
        <v>27275</v>
      </c>
      <c r="AA4213">
        <v>0.47443313419851812</v>
      </c>
      <c r="AB4213" t="str">
        <f>HYPERLINK("Melting_Curves/meltCurve_Q8TBX8_PIP4K2C.pdf", "Melting_Curves/meltCurve_Q8TBX8_PIP4K2C.pdf")</f>
        <v>Melting_Curves/meltCurve_Q8TBX8_PIP4K2C.pdf</v>
      </c>
    </row>
    <row r="4214" spans="1:28" x14ac:dyDescent="0.25">
      <c r="A4214" t="s">
        <v>4218</v>
      </c>
      <c r="B4214">
        <v>0.99996721820229495</v>
      </c>
      <c r="C4214">
        <v>0.92729514686407299</v>
      </c>
      <c r="D4214">
        <v>0.96850813033329197</v>
      </c>
      <c r="E4214">
        <v>0.81497914697219698</v>
      </c>
      <c r="F4214">
        <v>0.331010198958472</v>
      </c>
      <c r="G4214">
        <v>0.302342658864789</v>
      </c>
      <c r="H4214">
        <v>0.15808853642642501</v>
      </c>
      <c r="I4214">
        <v>0.116313060428395</v>
      </c>
      <c r="J4214">
        <v>9.1934056132392902E-2</v>
      </c>
      <c r="K4214">
        <v>7.1358923418133102E-2</v>
      </c>
      <c r="L4214">
        <v>1631.9151926305301</v>
      </c>
      <c r="M4214">
        <v>31.6021210992925</v>
      </c>
      <c r="N4214">
        <v>52.133205289521797</v>
      </c>
      <c r="O4214">
        <v>51.433966858224203</v>
      </c>
      <c r="P4214">
        <v>-0.13373857999126501</v>
      </c>
      <c r="Q4214">
        <v>0.12934089660996601</v>
      </c>
      <c r="R4214">
        <v>0.97613049859685097</v>
      </c>
      <c r="S4214" t="s">
        <v>10040</v>
      </c>
      <c r="T4214" t="s">
        <v>11650</v>
      </c>
      <c r="U4214" t="s">
        <v>11650</v>
      </c>
      <c r="V4214" t="s">
        <v>11650</v>
      </c>
      <c r="W4214" t="s">
        <v>15810</v>
      </c>
      <c r="X4214">
        <v>14</v>
      </c>
      <c r="Y4214" t="s">
        <v>21486</v>
      </c>
      <c r="Z4214" t="s">
        <v>27276</v>
      </c>
      <c r="AA4214">
        <v>0.47212594760573201</v>
      </c>
      <c r="AB4214" t="str">
        <f>HYPERLINK("Melting_Curves/meltCurve_Q8TC07_2_TBC1D15.pdf", "Melting_Curves/meltCurve_Q8TC07_2_TBC1D15.pdf")</f>
        <v>Melting_Curves/meltCurve_Q8TC07_2_TBC1D15.pdf</v>
      </c>
    </row>
    <row r="4215" spans="1:28" x14ac:dyDescent="0.25">
      <c r="A4215" t="s">
        <v>4219</v>
      </c>
      <c r="B4215">
        <v>0.99996721820229495</v>
      </c>
      <c r="C4215">
        <v>0.84461859690136898</v>
      </c>
      <c r="D4215">
        <v>0.58151507461138396</v>
      </c>
      <c r="E4215">
        <v>0.18698576606526399</v>
      </c>
      <c r="F4215">
        <v>0.15031092207111901</v>
      </c>
      <c r="G4215">
        <v>0.14416483677615</v>
      </c>
      <c r="H4215">
        <v>0.11234276799375199</v>
      </c>
      <c r="I4215">
        <v>5.9624457408543399E-2</v>
      </c>
      <c r="J4215">
        <v>4.1329156824752501E-2</v>
      </c>
      <c r="K4215">
        <v>4.7126245407228803E-2</v>
      </c>
      <c r="L4215">
        <v>1034.49173856322</v>
      </c>
      <c r="M4215">
        <v>22.370640277147299</v>
      </c>
      <c r="N4215">
        <v>46.5885840456151</v>
      </c>
      <c r="O4215">
        <v>45.8785174270147</v>
      </c>
      <c r="P4215">
        <v>-0.112591411103538</v>
      </c>
      <c r="Q4215">
        <v>7.6393296473551295E-2</v>
      </c>
      <c r="R4215">
        <v>0.99166432007418504</v>
      </c>
      <c r="S4215" t="s">
        <v>10041</v>
      </c>
      <c r="T4215" t="s">
        <v>11650</v>
      </c>
      <c r="U4215" t="s">
        <v>11650</v>
      </c>
      <c r="V4215" t="s">
        <v>11650</v>
      </c>
      <c r="W4215" t="s">
        <v>15811</v>
      </c>
      <c r="X4215">
        <v>9</v>
      </c>
      <c r="Y4215" t="s">
        <v>21487</v>
      </c>
      <c r="Z4215" t="s">
        <v>27277</v>
      </c>
      <c r="AA4215">
        <v>0.27948227753086191</v>
      </c>
      <c r="AB4215" t="str">
        <f>HYPERLINK("Melting_Curves/meltCurve_Q8TC12_RDH11.pdf", "Melting_Curves/meltCurve_Q8TC12_RDH11.pdf")</f>
        <v>Melting_Curves/meltCurve_Q8TC12_RDH11.pdf</v>
      </c>
    </row>
    <row r="4216" spans="1:28" x14ac:dyDescent="0.25">
      <c r="A4216" t="s">
        <v>4220</v>
      </c>
      <c r="B4216">
        <v>0.99996721820229495</v>
      </c>
      <c r="C4216">
        <v>1.08952212686495</v>
      </c>
      <c r="D4216">
        <v>1.20603470749935</v>
      </c>
      <c r="E4216">
        <v>0.94377086505812702</v>
      </c>
      <c r="F4216">
        <v>0.31747226622383301</v>
      </c>
      <c r="G4216">
        <v>0.32490618883253403</v>
      </c>
      <c r="H4216">
        <v>0.233975941129485</v>
      </c>
      <c r="I4216">
        <v>0.15083753686059401</v>
      </c>
      <c r="J4216">
        <v>0.19616848675819701</v>
      </c>
      <c r="K4216">
        <v>0.16414835420662099</v>
      </c>
      <c r="L4216">
        <v>3895.0198707704999</v>
      </c>
      <c r="M4216">
        <v>75.355836008318903</v>
      </c>
      <c r="N4216">
        <v>52.073374841482803</v>
      </c>
      <c r="O4216">
        <v>51.651996809832198</v>
      </c>
      <c r="P4216">
        <v>-0.28682724257556402</v>
      </c>
      <c r="Q4216">
        <v>0.21358726154500601</v>
      </c>
      <c r="R4216">
        <v>0.95928987102387597</v>
      </c>
      <c r="S4216" t="s">
        <v>10042</v>
      </c>
      <c r="T4216" t="s">
        <v>11650</v>
      </c>
      <c r="U4216" t="s">
        <v>11650</v>
      </c>
      <c r="V4216" t="s">
        <v>11650</v>
      </c>
      <c r="W4216" t="s">
        <v>15812</v>
      </c>
      <c r="X4216">
        <v>9</v>
      </c>
      <c r="Y4216" t="s">
        <v>21488</v>
      </c>
      <c r="Z4216" t="s">
        <v>27278</v>
      </c>
      <c r="AA4216">
        <v>0.52077011808487839</v>
      </c>
      <c r="AB4216" t="str">
        <f>HYPERLINK("Melting_Curves/meltCurve_Q8TC71_2_SPATA18.pdf", "Melting_Curves/meltCurve_Q8TC71_2_SPATA18.pdf")</f>
        <v>Melting_Curves/meltCurve_Q8TC71_2_SPATA18.pdf</v>
      </c>
    </row>
    <row r="4217" spans="1:28" x14ac:dyDescent="0.25">
      <c r="A4217" t="s">
        <v>4221</v>
      </c>
      <c r="B4217">
        <v>0.99996721820229495</v>
      </c>
      <c r="C4217">
        <v>1.0354885744661699</v>
      </c>
      <c r="D4217">
        <v>1.1194597009177101</v>
      </c>
      <c r="E4217">
        <v>1.12454372723563</v>
      </c>
      <c r="F4217">
        <v>1.46271471526387</v>
      </c>
      <c r="G4217">
        <v>1.3948109244298701</v>
      </c>
      <c r="H4217">
        <v>0.35860741623676901</v>
      </c>
      <c r="I4217">
        <v>0.20240731980252899</v>
      </c>
      <c r="J4217">
        <v>0.137985465728093</v>
      </c>
      <c r="K4217">
        <v>0.109507378084163</v>
      </c>
      <c r="L4217">
        <v>12218.9062511639</v>
      </c>
      <c r="M4217">
        <v>201.43282707377699</v>
      </c>
      <c r="N4217">
        <v>60.767513965022502</v>
      </c>
      <c r="O4217">
        <v>60.653971885828398</v>
      </c>
      <c r="P4217">
        <v>-0.70575272361994301</v>
      </c>
      <c r="Q4217">
        <v>0.14995565880310299</v>
      </c>
      <c r="R4217">
        <v>0.84173639309165305</v>
      </c>
      <c r="S4217" t="s">
        <v>10043</v>
      </c>
      <c r="T4217" t="s">
        <v>11650</v>
      </c>
      <c r="U4217" t="s">
        <v>11650</v>
      </c>
      <c r="V4217" t="s">
        <v>11650</v>
      </c>
      <c r="W4217" t="s">
        <v>15813</v>
      </c>
      <c r="X4217">
        <v>4</v>
      </c>
      <c r="Y4217" t="s">
        <v>21489</v>
      </c>
      <c r="Z4217" t="s">
        <v>27279</v>
      </c>
      <c r="AA4217">
        <v>0.7354909984947966</v>
      </c>
      <c r="AB4217" t="str">
        <f>HYPERLINK("Melting_Curves/meltCurve_Q8TCA0_LRRC20.pdf", "Melting_Curves/meltCurve_Q8TCA0_LRRC20.pdf")</f>
        <v>Melting_Curves/meltCurve_Q8TCA0_LRRC20.pdf</v>
      </c>
    </row>
    <row r="4218" spans="1:28" x14ac:dyDescent="0.25">
      <c r="A4218" t="s">
        <v>4222</v>
      </c>
      <c r="B4218">
        <v>0.99996721820229495</v>
      </c>
      <c r="C4218">
        <v>1.15325233114308</v>
      </c>
      <c r="D4218">
        <v>1.1243119764971099</v>
      </c>
      <c r="E4218">
        <v>1.16744053786605</v>
      </c>
      <c r="F4218">
        <v>1.2534233388142799</v>
      </c>
      <c r="G4218">
        <v>1.62327973961454</v>
      </c>
      <c r="H4218">
        <v>1.2930764951656899</v>
      </c>
      <c r="I4218">
        <v>1.0954173332151</v>
      </c>
      <c r="J4218">
        <v>0.93524934733025999</v>
      </c>
      <c r="K4218">
        <v>0.81695524678339604</v>
      </c>
      <c r="L4218">
        <v>15000</v>
      </c>
      <c r="M4218">
        <v>223.277616560962</v>
      </c>
      <c r="O4218">
        <v>67.175549795466694</v>
      </c>
      <c r="P4218">
        <v>-0.152120294692349</v>
      </c>
      <c r="Q4218">
        <v>0.81693168269440997</v>
      </c>
      <c r="R4218">
        <v>-0.40170626432946499</v>
      </c>
      <c r="S4218" t="s">
        <v>10044</v>
      </c>
      <c r="T4218" t="s">
        <v>11650</v>
      </c>
      <c r="U4218" t="s">
        <v>11650</v>
      </c>
      <c r="V4218" t="s">
        <v>11650</v>
      </c>
      <c r="W4218" t="s">
        <v>15814</v>
      </c>
      <c r="X4218">
        <v>1</v>
      </c>
      <c r="Y4218" t="s">
        <v>21490</v>
      </c>
      <c r="Z4218" t="s">
        <v>27280</v>
      </c>
      <c r="AA4218">
        <v>0.9828241207293904</v>
      </c>
      <c r="AB4218" t="str">
        <f>HYPERLINK("Melting_Curves/meltCurve_Q8TCD1_C18orf32.pdf", "Melting_Curves/meltCurve_Q8TCD1_C18orf32.pdf")</f>
        <v>Melting_Curves/meltCurve_Q8TCD1_C18orf32.pdf</v>
      </c>
    </row>
    <row r="4219" spans="1:28" x14ac:dyDescent="0.25">
      <c r="A4219" t="s">
        <v>4223</v>
      </c>
      <c r="B4219">
        <v>0.99996721820229495</v>
      </c>
      <c r="C4219">
        <v>0.78874233355781698</v>
      </c>
      <c r="D4219">
        <v>0.70205774360365303</v>
      </c>
      <c r="E4219">
        <v>0.91184098158974303</v>
      </c>
      <c r="F4219">
        <v>1.0513087809056101</v>
      </c>
      <c r="G4219">
        <v>0.82949551462804605</v>
      </c>
      <c r="H4219">
        <v>0.595053302358165</v>
      </c>
      <c r="I4219">
        <v>0.30295709714828201</v>
      </c>
      <c r="J4219">
        <v>0.186691925801651</v>
      </c>
      <c r="K4219">
        <v>0.28462751632647798</v>
      </c>
      <c r="L4219">
        <v>1744.9285398617701</v>
      </c>
      <c r="M4219">
        <v>28.890248447104401</v>
      </c>
      <c r="N4219">
        <v>61.519212489923802</v>
      </c>
      <c r="O4219">
        <v>60.111383585129197</v>
      </c>
      <c r="P4219">
        <v>-9.5570174201081007E-2</v>
      </c>
      <c r="Q4219">
        <v>0.204602192759165</v>
      </c>
      <c r="R4219">
        <v>0.81839122631345496</v>
      </c>
      <c r="S4219" t="s">
        <v>10045</v>
      </c>
      <c r="T4219" t="s">
        <v>11650</v>
      </c>
      <c r="U4219" t="s">
        <v>11650</v>
      </c>
      <c r="V4219" t="s">
        <v>11650</v>
      </c>
      <c r="W4219" t="s">
        <v>15815</v>
      </c>
      <c r="X4219">
        <v>11</v>
      </c>
      <c r="Y4219" t="s">
        <v>21491</v>
      </c>
      <c r="Z4219" t="s">
        <v>27281</v>
      </c>
      <c r="AA4219">
        <v>0.75032277636564104</v>
      </c>
      <c r="AB4219" t="str">
        <f>HYPERLINK("Melting_Curves/meltCurve_Q8TCD5_NT5C.pdf", "Melting_Curves/meltCurve_Q8TCD5_NT5C.pdf")</f>
        <v>Melting_Curves/meltCurve_Q8TCD5_NT5C.pdf</v>
      </c>
    </row>
    <row r="4220" spans="1:28" x14ac:dyDescent="0.25">
      <c r="A4220" t="s">
        <v>4224</v>
      </c>
      <c r="B4220">
        <v>0.99996721820229495</v>
      </c>
      <c r="C4220">
        <v>0.95865910738580695</v>
      </c>
      <c r="D4220">
        <v>0.75144577276723301</v>
      </c>
      <c r="E4220">
        <v>0.40437719567191099</v>
      </c>
      <c r="F4220">
        <v>0.35064494699403598</v>
      </c>
      <c r="G4220">
        <v>0.25949275988791998</v>
      </c>
      <c r="H4220">
        <v>0.13637142299044</v>
      </c>
      <c r="I4220">
        <v>7.1741815326864203E-2</v>
      </c>
      <c r="J4220">
        <v>5.2528498036447997E-2</v>
      </c>
      <c r="K4220">
        <v>3.7822274194208999E-2</v>
      </c>
      <c r="L4220">
        <v>681.48521305817496</v>
      </c>
      <c r="M4220">
        <v>13.7717180867522</v>
      </c>
      <c r="N4220">
        <v>49.864019476400799</v>
      </c>
      <c r="O4220">
        <v>48.476031693273903</v>
      </c>
      <c r="P4220">
        <v>-6.74981847337804E-2</v>
      </c>
      <c r="Q4220">
        <v>4.9768065043402102E-2</v>
      </c>
      <c r="R4220">
        <v>0.98292558740023395</v>
      </c>
      <c r="S4220" t="s">
        <v>10046</v>
      </c>
      <c r="T4220" t="s">
        <v>11650</v>
      </c>
      <c r="U4220" t="s">
        <v>11650</v>
      </c>
      <c r="V4220" t="s">
        <v>11650</v>
      </c>
      <c r="W4220" t="s">
        <v>15816</v>
      </c>
      <c r="X4220">
        <v>4</v>
      </c>
      <c r="Y4220" t="s">
        <v>21492</v>
      </c>
      <c r="Z4220" t="s">
        <v>27282</v>
      </c>
      <c r="AA4220">
        <v>0.37704778220830037</v>
      </c>
      <c r="AB4220" t="str">
        <f>HYPERLINK("Melting_Curves/meltCurve_Q8TCE6_2_FAM45A.pdf", "Melting_Curves/meltCurve_Q8TCE6_2_FAM45A.pdf")</f>
        <v>Melting_Curves/meltCurve_Q8TCE6_2_FAM45A.pdf</v>
      </c>
    </row>
    <row r="4221" spans="1:28" x14ac:dyDescent="0.25">
      <c r="A4221" t="s">
        <v>4225</v>
      </c>
      <c r="B4221">
        <v>0.99996721820229495</v>
      </c>
      <c r="C4221">
        <v>1.0640812455442801</v>
      </c>
      <c r="D4221">
        <v>0.99636703575443197</v>
      </c>
      <c r="E4221">
        <v>0.71875560970194596</v>
      </c>
      <c r="F4221">
        <v>0.65253926043896804</v>
      </c>
      <c r="G4221">
        <v>0.41757947512704002</v>
      </c>
      <c r="H4221">
        <v>0.25336972854442302</v>
      </c>
      <c r="I4221">
        <v>0.179295501854394</v>
      </c>
      <c r="J4221">
        <v>0.1242986024254</v>
      </c>
      <c r="K4221">
        <v>9.0150539273803898E-2</v>
      </c>
      <c r="L4221">
        <v>741.33274022827197</v>
      </c>
      <c r="M4221">
        <v>13.5176250384949</v>
      </c>
      <c r="N4221">
        <v>55.300130126383898</v>
      </c>
      <c r="O4221">
        <v>53.683427063806803</v>
      </c>
      <c r="P4221">
        <v>-5.9624641643599999E-2</v>
      </c>
      <c r="Q4221">
        <v>5.29783887684891E-2</v>
      </c>
      <c r="R4221">
        <v>0.98643091796555604</v>
      </c>
      <c r="S4221" t="s">
        <v>10047</v>
      </c>
      <c r="T4221" t="s">
        <v>11650</v>
      </c>
      <c r="U4221" t="s">
        <v>11650</v>
      </c>
      <c r="V4221" t="s">
        <v>11650</v>
      </c>
      <c r="W4221" t="s">
        <v>15817</v>
      </c>
      <c r="X4221">
        <v>3</v>
      </c>
      <c r="Y4221" t="s">
        <v>21493</v>
      </c>
      <c r="Z4221" t="s">
        <v>27283</v>
      </c>
      <c r="AA4221">
        <v>0.5420070679613247</v>
      </c>
      <c r="AB4221" t="str">
        <f>HYPERLINK("Melting_Curves/meltCurve_Q8TCG2_PI4K2B.pdf", "Melting_Curves/meltCurve_Q8TCG2_PI4K2B.pdf")</f>
        <v>Melting_Curves/meltCurve_Q8TCG2_PI4K2B.pdf</v>
      </c>
    </row>
    <row r="4222" spans="1:28" x14ac:dyDescent="0.25">
      <c r="A4222" t="s">
        <v>4226</v>
      </c>
      <c r="B4222">
        <v>0.99996721820229495</v>
      </c>
      <c r="C4222">
        <v>0.80470123290778095</v>
      </c>
      <c r="D4222">
        <v>0.959851292876158</v>
      </c>
      <c r="E4222">
        <v>2.13664935876024</v>
      </c>
      <c r="F4222">
        <v>1.71310976058093</v>
      </c>
      <c r="G4222">
        <v>1.0265897475436601</v>
      </c>
      <c r="H4222">
        <v>0.68275358683184195</v>
      </c>
      <c r="I4222">
        <v>0.37123159315541199</v>
      </c>
      <c r="J4222">
        <v>0.242799014281078</v>
      </c>
      <c r="K4222">
        <v>0.30515385407699303</v>
      </c>
      <c r="L4222">
        <v>3343.5658304323902</v>
      </c>
      <c r="M4222">
        <v>54.517560626364002</v>
      </c>
      <c r="N4222">
        <v>62.265572877964402</v>
      </c>
      <c r="O4222">
        <v>61.247715790118498</v>
      </c>
      <c r="P4222">
        <v>-0.16031333857177599</v>
      </c>
      <c r="Q4222">
        <v>0.27958479622314703</v>
      </c>
      <c r="R4222">
        <v>0.44687181607587301</v>
      </c>
      <c r="S4222" t="s">
        <v>10048</v>
      </c>
      <c r="T4222" t="s">
        <v>11650</v>
      </c>
      <c r="U4222" t="s">
        <v>11650</v>
      </c>
      <c r="V4222" t="s">
        <v>11650</v>
      </c>
      <c r="W4222" t="s">
        <v>15818</v>
      </c>
      <c r="X4222">
        <v>7</v>
      </c>
      <c r="Y4222" t="s">
        <v>21494</v>
      </c>
      <c r="Z4222" t="s">
        <v>27284</v>
      </c>
      <c r="AA4222">
        <v>0.79339663069370425</v>
      </c>
      <c r="AB4222" t="str">
        <f>HYPERLINK("Melting_Curves/meltCurve_Q8TCJ2_STT3B.pdf", "Melting_Curves/meltCurve_Q8TCJ2_STT3B.pdf")</f>
        <v>Melting_Curves/meltCurve_Q8TCJ2_STT3B.pdf</v>
      </c>
    </row>
    <row r="4223" spans="1:28" x14ac:dyDescent="0.25">
      <c r="A4223" t="s">
        <v>4227</v>
      </c>
      <c r="B4223">
        <v>0.99996721820229495</v>
      </c>
      <c r="C4223">
        <v>1.02486241016844</v>
      </c>
      <c r="D4223">
        <v>0.96489501260889499</v>
      </c>
      <c r="E4223">
        <v>0.725250210100849</v>
      </c>
      <c r="F4223">
        <v>0.89082929172597103</v>
      </c>
      <c r="G4223">
        <v>0.68427471434957099</v>
      </c>
      <c r="H4223">
        <v>0.313856715297824</v>
      </c>
      <c r="I4223">
        <v>0.234020477882981</v>
      </c>
      <c r="J4223">
        <v>0.176928290666131</v>
      </c>
      <c r="K4223">
        <v>0.115774340352243</v>
      </c>
      <c r="L4223">
        <v>773.38488982778597</v>
      </c>
      <c r="M4223">
        <v>13.158485302225801</v>
      </c>
      <c r="N4223">
        <v>58.774613732280997</v>
      </c>
      <c r="O4223">
        <v>57.466893095275701</v>
      </c>
      <c r="P4223">
        <v>-5.7253432442901701E-2</v>
      </c>
      <c r="Q4223">
        <v>0</v>
      </c>
      <c r="R4223">
        <v>0.95505672301122602</v>
      </c>
      <c r="S4223" t="s">
        <v>10049</v>
      </c>
      <c r="T4223" t="s">
        <v>11650</v>
      </c>
      <c r="U4223" t="s">
        <v>11650</v>
      </c>
      <c r="V4223" t="s">
        <v>11650</v>
      </c>
      <c r="W4223" t="s">
        <v>15819</v>
      </c>
      <c r="X4223">
        <v>3</v>
      </c>
      <c r="Y4223" t="s">
        <v>21495</v>
      </c>
      <c r="Z4223" t="s">
        <v>27285</v>
      </c>
      <c r="AA4223">
        <v>0.63612888963172998</v>
      </c>
      <c r="AB4223" t="str">
        <f>HYPERLINK("Melting_Curves/meltCurve_Q8TCS8_PNPT1.pdf", "Melting_Curves/meltCurve_Q8TCS8_PNPT1.pdf")</f>
        <v>Melting_Curves/meltCurve_Q8TCS8_PNPT1.pdf</v>
      </c>
    </row>
    <row r="4224" spans="1:28" x14ac:dyDescent="0.25">
      <c r="A4224" t="s">
        <v>4228</v>
      </c>
      <c r="B4224">
        <v>0.99996721820229495</v>
      </c>
      <c r="C4224">
        <v>0.84589103983587299</v>
      </c>
      <c r="D4224">
        <v>1.13194402444097</v>
      </c>
      <c r="E4224">
        <v>1.28273770872499</v>
      </c>
      <c r="F4224">
        <v>1.70656764255777</v>
      </c>
      <c r="G4224">
        <v>2.0509594395412898</v>
      </c>
      <c r="H4224">
        <v>1.4690032716535799</v>
      </c>
      <c r="I4224">
        <v>0.53876324530557196</v>
      </c>
      <c r="J4224">
        <v>0.20347272979501099</v>
      </c>
      <c r="K4224">
        <v>0.24674913757403</v>
      </c>
      <c r="L4224">
        <v>15000</v>
      </c>
      <c r="M4224">
        <v>234.76044732152201</v>
      </c>
      <c r="N4224">
        <v>64.058153425203699</v>
      </c>
      <c r="O4224">
        <v>63.890299412154498</v>
      </c>
      <c r="P4224">
        <v>-0.71182977469846098</v>
      </c>
      <c r="Q4224">
        <v>0.22509934989980701</v>
      </c>
      <c r="R4224">
        <v>0.41686588021667198</v>
      </c>
      <c r="S4224" t="s">
        <v>10050</v>
      </c>
      <c r="T4224" t="s">
        <v>11650</v>
      </c>
      <c r="U4224" t="s">
        <v>11650</v>
      </c>
      <c r="V4224" t="s">
        <v>11650</v>
      </c>
      <c r="W4224" t="s">
        <v>15820</v>
      </c>
      <c r="X4224">
        <v>8</v>
      </c>
      <c r="Y4224" t="s">
        <v>21496</v>
      </c>
      <c r="Z4224" t="s">
        <v>27286</v>
      </c>
      <c r="AA4224">
        <v>0.84240419486203122</v>
      </c>
      <c r="AB4224" t="str">
        <f>HYPERLINK("Melting_Curves/meltCurve_Q8TCT9_5_HM13.pdf", "Melting_Curves/meltCurve_Q8TCT9_5_HM13.pdf")</f>
        <v>Melting_Curves/meltCurve_Q8TCT9_5_HM13.pdf</v>
      </c>
    </row>
    <row r="4225" spans="1:28" x14ac:dyDescent="0.25">
      <c r="A4225" t="s">
        <v>4229</v>
      </c>
      <c r="B4225">
        <v>0.99996721820229495</v>
      </c>
      <c r="C4225">
        <v>1.0549487592098199</v>
      </c>
      <c r="D4225">
        <v>0.953505269981202</v>
      </c>
      <c r="E4225">
        <v>0.76594367619787496</v>
      </c>
      <c r="F4225">
        <v>0.41642030275708902</v>
      </c>
      <c r="G4225">
        <v>0.383742387909699</v>
      </c>
      <c r="H4225">
        <v>0.24284919071800301</v>
      </c>
      <c r="I4225">
        <v>0.14369126125691001</v>
      </c>
      <c r="J4225">
        <v>0.102263508303679</v>
      </c>
      <c r="K4225">
        <v>9.04631211119169E-2</v>
      </c>
      <c r="L4225">
        <v>860.66838775077099</v>
      </c>
      <c r="M4225">
        <v>16.3532448936901</v>
      </c>
      <c r="N4225">
        <v>53.400268102603</v>
      </c>
      <c r="O4225">
        <v>51.861703188667903</v>
      </c>
      <c r="P4225">
        <v>-7.0552075795370497E-2</v>
      </c>
      <c r="Q4225">
        <v>0.105085894768105</v>
      </c>
      <c r="R4225">
        <v>0.97743692745195399</v>
      </c>
      <c r="S4225" t="s">
        <v>10051</v>
      </c>
      <c r="T4225" t="s">
        <v>11650</v>
      </c>
      <c r="U4225" t="s">
        <v>11650</v>
      </c>
      <c r="V4225" t="s">
        <v>11650</v>
      </c>
      <c r="W4225" t="s">
        <v>15821</v>
      </c>
      <c r="X4225">
        <v>2</v>
      </c>
      <c r="Y4225" t="s">
        <v>21497</v>
      </c>
      <c r="Z4225" t="s">
        <v>27287</v>
      </c>
      <c r="AA4225">
        <v>0.4990234517191573</v>
      </c>
      <c r="AB4225" t="str">
        <f>HYPERLINK("Melting_Curves/meltCurve_Q8TCX1_DYNC2LI1.pdf", "Melting_Curves/meltCurve_Q8TCX1_DYNC2LI1.pdf")</f>
        <v>Melting_Curves/meltCurve_Q8TCX1_DYNC2LI1.pdf</v>
      </c>
    </row>
    <row r="4226" spans="1:28" x14ac:dyDescent="0.25">
      <c r="A4226" t="s">
        <v>4230</v>
      </c>
      <c r="B4226">
        <v>0.99996721820229495</v>
      </c>
      <c r="C4226">
        <v>1.1574131458005701</v>
      </c>
      <c r="D4226">
        <v>1.1294545523365001</v>
      </c>
      <c r="E4226">
        <v>1.1394604746972301</v>
      </c>
      <c r="F4226">
        <v>1.8124257284860199</v>
      </c>
      <c r="G4226">
        <v>1.8427043048937499</v>
      </c>
      <c r="H4226">
        <v>1.3460142982251799</v>
      </c>
      <c r="I4226">
        <v>1.0311751049551201</v>
      </c>
      <c r="J4226">
        <v>0.87227491878480701</v>
      </c>
      <c r="K4226">
        <v>0.63261006885652304</v>
      </c>
      <c r="L4226">
        <v>15000</v>
      </c>
      <c r="M4226">
        <v>223.25101446531801</v>
      </c>
      <c r="O4226">
        <v>67.183552869975998</v>
      </c>
      <c r="P4226">
        <v>-0.30524847873720201</v>
      </c>
      <c r="Q4226">
        <v>0.63256288327726795</v>
      </c>
      <c r="R4226">
        <v>-0.17777757971119201</v>
      </c>
      <c r="S4226" t="s">
        <v>10052</v>
      </c>
      <c r="T4226" t="s">
        <v>11650</v>
      </c>
      <c r="U4226" t="s">
        <v>11650</v>
      </c>
      <c r="V4226" t="s">
        <v>11650</v>
      </c>
      <c r="W4226" t="s">
        <v>15822</v>
      </c>
      <c r="X4226">
        <v>4</v>
      </c>
      <c r="Y4226" t="s">
        <v>21498</v>
      </c>
      <c r="Z4226" t="s">
        <v>27288</v>
      </c>
      <c r="AA4226">
        <v>0.96562427927702355</v>
      </c>
      <c r="AB4226" t="str">
        <f>HYPERLINK("Melting_Curves/meltCurve_Q8TCZ2_6_CD99L2.pdf", "Melting_Curves/meltCurve_Q8TCZ2_6_CD99L2.pdf")</f>
        <v>Melting_Curves/meltCurve_Q8TCZ2_6_CD99L2.pdf</v>
      </c>
    </row>
    <row r="4227" spans="1:28" x14ac:dyDescent="0.25">
      <c r="A4227" t="s">
        <v>4231</v>
      </c>
      <c r="B4227">
        <v>0.99996721820229495</v>
      </c>
      <c r="C4227">
        <v>0.9934322050762</v>
      </c>
      <c r="D4227">
        <v>1.00513393063976</v>
      </c>
      <c r="E4227">
        <v>0.87854232262715604</v>
      </c>
      <c r="F4227">
        <v>0.49360205203610602</v>
      </c>
      <c r="G4227">
        <v>0.43489761104617303</v>
      </c>
      <c r="H4227">
        <v>0.28020624421309798</v>
      </c>
      <c r="I4227">
        <v>0.20680608569318101</v>
      </c>
      <c r="J4227">
        <v>0.172431907760111</v>
      </c>
      <c r="K4227">
        <v>0.12675085181769799</v>
      </c>
      <c r="L4227">
        <v>937.42638415656495</v>
      </c>
      <c r="M4227">
        <v>17.5184338872028</v>
      </c>
      <c r="N4227">
        <v>54.676718271264001</v>
      </c>
      <c r="O4227">
        <v>52.828189569702303</v>
      </c>
      <c r="P4227">
        <v>-6.9985997227080696E-2</v>
      </c>
      <c r="Q4227">
        <v>0.15585364122190401</v>
      </c>
      <c r="R4227">
        <v>0.97657561027128603</v>
      </c>
      <c r="S4227" t="s">
        <v>10053</v>
      </c>
      <c r="T4227" t="s">
        <v>11650</v>
      </c>
      <c r="U4227" t="s">
        <v>11650</v>
      </c>
      <c r="V4227" t="s">
        <v>11650</v>
      </c>
      <c r="W4227" t="s">
        <v>15823</v>
      </c>
      <c r="X4227">
        <v>31</v>
      </c>
      <c r="Y4227" t="s">
        <v>21499</v>
      </c>
      <c r="Z4227" t="s">
        <v>27289</v>
      </c>
      <c r="AA4227">
        <v>0.55027776200795631</v>
      </c>
      <c r="AB4227" t="str">
        <f>HYPERLINK("Melting_Curves/meltCurve_Q8TD16_BICD2.pdf", "Melting_Curves/meltCurve_Q8TD16_BICD2.pdf")</f>
        <v>Melting_Curves/meltCurve_Q8TD16_BICD2.pdf</v>
      </c>
    </row>
    <row r="4228" spans="1:28" x14ac:dyDescent="0.25">
      <c r="A4228" t="s">
        <v>4232</v>
      </c>
      <c r="B4228">
        <v>0.99996721820229495</v>
      </c>
      <c r="C4228">
        <v>0.99503102318893299</v>
      </c>
      <c r="D4228">
        <v>1.15748712006924</v>
      </c>
      <c r="E4228">
        <v>1.21308320079455</v>
      </c>
      <c r="F4228">
        <v>0.55175582086298702</v>
      </c>
      <c r="G4228">
        <v>0.40560806565628699</v>
      </c>
      <c r="H4228">
        <v>0.24169473878680101</v>
      </c>
      <c r="I4228">
        <v>0.16878908290314201</v>
      </c>
      <c r="J4228">
        <v>0.133622461379724</v>
      </c>
      <c r="K4228">
        <v>0.113484562402194</v>
      </c>
      <c r="L4228">
        <v>13235.213336057601</v>
      </c>
      <c r="M4228">
        <v>250</v>
      </c>
      <c r="N4228">
        <v>53.058398130736997</v>
      </c>
      <c r="O4228">
        <v>52.937465305809198</v>
      </c>
      <c r="P4228">
        <v>-0.92958767705275203</v>
      </c>
      <c r="Q4228">
        <v>0.212639751877544</v>
      </c>
      <c r="R4228">
        <v>0.93026491491622298</v>
      </c>
      <c r="S4228" t="s">
        <v>10054</v>
      </c>
      <c r="T4228" t="s">
        <v>11650</v>
      </c>
      <c r="U4228" t="s">
        <v>11650</v>
      </c>
      <c r="V4228" t="s">
        <v>11650</v>
      </c>
      <c r="W4228" t="s">
        <v>15824</v>
      </c>
      <c r="X4228">
        <v>19</v>
      </c>
      <c r="Y4228" t="s">
        <v>21500</v>
      </c>
      <c r="Z4228" t="s">
        <v>27290</v>
      </c>
      <c r="AA4228">
        <v>0.55235002248006948</v>
      </c>
      <c r="AB4228" t="str">
        <f>HYPERLINK("Melting_Curves/meltCurve_Q8TD19_NEK9.pdf", "Melting_Curves/meltCurve_Q8TD19_NEK9.pdf")</f>
        <v>Melting_Curves/meltCurve_Q8TD19_NEK9.pdf</v>
      </c>
    </row>
    <row r="4229" spans="1:28" x14ac:dyDescent="0.25">
      <c r="A4229" t="s">
        <v>4233</v>
      </c>
      <c r="B4229">
        <v>0.99996721820229495</v>
      </c>
      <c r="C4229">
        <v>1.0346911676369701</v>
      </c>
      <c r="D4229">
        <v>0.91210339016210495</v>
      </c>
      <c r="E4229">
        <v>0.55745732308915596</v>
      </c>
      <c r="F4229">
        <v>0.57081280690909297</v>
      </c>
      <c r="G4229">
        <v>0.40436114013760099</v>
      </c>
      <c r="H4229">
        <v>0.23886630607798001</v>
      </c>
      <c r="I4229">
        <v>0.12902986014978901</v>
      </c>
      <c r="J4229">
        <v>0.102873570138547</v>
      </c>
      <c r="K4229">
        <v>8.5163057737928094E-2</v>
      </c>
      <c r="L4229">
        <v>595.44007113612201</v>
      </c>
      <c r="M4229">
        <v>11.1092012604777</v>
      </c>
      <c r="N4229">
        <v>53.773805442752597</v>
      </c>
      <c r="O4229">
        <v>51.949985221862804</v>
      </c>
      <c r="P4229">
        <v>-5.2529023001738701E-2</v>
      </c>
      <c r="Q4229">
        <v>1.7752620335337799E-2</v>
      </c>
      <c r="R4229">
        <v>0.97198259289580502</v>
      </c>
      <c r="S4229" t="s">
        <v>10055</v>
      </c>
      <c r="T4229" t="s">
        <v>11650</v>
      </c>
      <c r="U4229" t="s">
        <v>11650</v>
      </c>
      <c r="V4229" t="s">
        <v>11650</v>
      </c>
      <c r="W4229" t="s">
        <v>15825</v>
      </c>
      <c r="X4229">
        <v>8</v>
      </c>
      <c r="Y4229" t="s">
        <v>21501</v>
      </c>
      <c r="Z4229" t="s">
        <v>27291</v>
      </c>
      <c r="AA4229">
        <v>0.49164541246951199</v>
      </c>
      <c r="AB4229" t="str">
        <f>HYPERLINK("Melting_Curves/meltCurve_Q8TD30_GPT2.pdf", "Melting_Curves/meltCurve_Q8TD30_GPT2.pdf")</f>
        <v>Melting_Curves/meltCurve_Q8TD30_GPT2.pdf</v>
      </c>
    </row>
    <row r="4230" spans="1:28" x14ac:dyDescent="0.25">
      <c r="A4230" t="s">
        <v>4234</v>
      </c>
      <c r="B4230">
        <v>0.99996721820229495</v>
      </c>
      <c r="C4230">
        <v>1.03557136068651</v>
      </c>
      <c r="D4230">
        <v>0.99676475473896298</v>
      </c>
      <c r="E4230">
        <v>0.95787367103492704</v>
      </c>
      <c r="F4230">
        <v>0.78916662634695001</v>
      </c>
      <c r="G4230">
        <v>0.57681409450176502</v>
      </c>
      <c r="H4230">
        <v>0.26961906116595802</v>
      </c>
      <c r="I4230">
        <v>0.166734163396969</v>
      </c>
      <c r="J4230">
        <v>0.13324752694440101</v>
      </c>
      <c r="K4230">
        <v>0.110943864534381</v>
      </c>
      <c r="L4230">
        <v>1082.8882406405501</v>
      </c>
      <c r="M4230">
        <v>18.969251772272202</v>
      </c>
      <c r="N4230">
        <v>57.577751740836803</v>
      </c>
      <c r="O4230">
        <v>56.463424668690898</v>
      </c>
      <c r="P4230">
        <v>-7.7717136129000899E-2</v>
      </c>
      <c r="Q4230">
        <v>7.4713188628763499E-2</v>
      </c>
      <c r="R4230">
        <v>0.99669044311851995</v>
      </c>
      <c r="S4230" t="s">
        <v>10056</v>
      </c>
      <c r="T4230" t="s">
        <v>11650</v>
      </c>
      <c r="U4230" t="s">
        <v>11650</v>
      </c>
      <c r="V4230" t="s">
        <v>11650</v>
      </c>
      <c r="W4230" t="s">
        <v>15826</v>
      </c>
      <c r="X4230">
        <v>23</v>
      </c>
      <c r="Y4230" t="s">
        <v>21502</v>
      </c>
      <c r="Z4230" t="s">
        <v>27292</v>
      </c>
      <c r="AA4230">
        <v>0.61366077985548695</v>
      </c>
      <c r="AB4230" t="str">
        <f>HYPERLINK("Melting_Curves/meltCurve_Q8TD55_PLEKHO2.pdf", "Melting_Curves/meltCurve_Q8TD55_PLEKHO2.pdf")</f>
        <v>Melting_Curves/meltCurve_Q8TD55_PLEKHO2.pdf</v>
      </c>
    </row>
    <row r="4231" spans="1:28" x14ac:dyDescent="0.25">
      <c r="A4231" t="s">
        <v>4235</v>
      </c>
      <c r="B4231">
        <v>0.99996721820229495</v>
      </c>
      <c r="C4231">
        <v>0.94218878840192899</v>
      </c>
      <c r="D4231">
        <v>1.09530383347501</v>
      </c>
      <c r="E4231">
        <v>0.99911786945102599</v>
      </c>
      <c r="F4231">
        <v>1.26007562110547</v>
      </c>
      <c r="G4231">
        <v>1.3895886950035801</v>
      </c>
      <c r="H4231">
        <v>1.0724529919113599</v>
      </c>
      <c r="I4231">
        <v>0.92475111853235004</v>
      </c>
      <c r="J4231">
        <v>0.84569925857394102</v>
      </c>
      <c r="K4231">
        <v>0.75289107942736599</v>
      </c>
      <c r="L4231">
        <v>3056.9122668446498</v>
      </c>
      <c r="M4231">
        <v>46.196054608836803</v>
      </c>
      <c r="O4231">
        <v>66.048949379040593</v>
      </c>
      <c r="P4231">
        <v>-4.5712071671031099E-2</v>
      </c>
      <c r="Q4231">
        <v>0.73857245335569999</v>
      </c>
      <c r="R4231">
        <v>0.25211969620312902</v>
      </c>
      <c r="S4231" t="s">
        <v>10057</v>
      </c>
      <c r="T4231" t="s">
        <v>11650</v>
      </c>
      <c r="U4231" t="s">
        <v>11650</v>
      </c>
      <c r="V4231" t="s">
        <v>11650</v>
      </c>
      <c r="W4231" t="s">
        <v>15827</v>
      </c>
      <c r="X4231">
        <v>1</v>
      </c>
      <c r="Y4231" t="s">
        <v>21503</v>
      </c>
      <c r="Z4231" t="s">
        <v>27293</v>
      </c>
      <c r="AA4231">
        <v>0.96641283501850617</v>
      </c>
      <c r="AB4231" t="str">
        <f>HYPERLINK("Melting_Curves/meltCurve_Q8TDB4_MGARP.pdf", "Melting_Curves/meltCurve_Q8TDB4_MGARP.pdf")</f>
        <v>Melting_Curves/meltCurve_Q8TDB4_MGARP.pdf</v>
      </c>
    </row>
    <row r="4232" spans="1:28" x14ac:dyDescent="0.25">
      <c r="A4232" t="s">
        <v>4236</v>
      </c>
      <c r="B4232">
        <v>0.99996721820229495</v>
      </c>
      <c r="C4232">
        <v>0.88472892283752202</v>
      </c>
      <c r="D4232">
        <v>0.93805758217061397</v>
      </c>
      <c r="E4232">
        <v>1.1715740822671701</v>
      </c>
      <c r="F4232">
        <v>1.4326806020450999</v>
      </c>
      <c r="G4232">
        <v>1.3176502023489101</v>
      </c>
      <c r="H4232">
        <v>0.57669749589080999</v>
      </c>
      <c r="I4232">
        <v>0.40123422907558798</v>
      </c>
      <c r="J4232">
        <v>0.40975377285608999</v>
      </c>
      <c r="K4232">
        <v>0.42578359170957297</v>
      </c>
      <c r="L4232">
        <v>15000</v>
      </c>
      <c r="M4232">
        <v>246.84717521597</v>
      </c>
      <c r="N4232">
        <v>61.197768225913201</v>
      </c>
      <c r="O4232">
        <v>60.762342009250901</v>
      </c>
      <c r="P4232">
        <v>-0.596927271988694</v>
      </c>
      <c r="Q4232">
        <v>0.41225649252725199</v>
      </c>
      <c r="R4232">
        <v>0.75049333373570803</v>
      </c>
      <c r="S4232" t="s">
        <v>10058</v>
      </c>
      <c r="T4232" t="s">
        <v>11650</v>
      </c>
      <c r="U4232" t="s">
        <v>11650</v>
      </c>
      <c r="V4232" t="s">
        <v>11650</v>
      </c>
      <c r="W4232" t="s">
        <v>15828</v>
      </c>
      <c r="X4232">
        <v>6</v>
      </c>
      <c r="Y4232" t="s">
        <v>21504</v>
      </c>
      <c r="Z4232" t="s">
        <v>27294</v>
      </c>
      <c r="AA4232">
        <v>0.81916354994967988</v>
      </c>
      <c r="AB4232" t="str">
        <f>HYPERLINK("Melting_Curves/meltCurve_Q8TDH9_BLOC1S5.pdf", "Melting_Curves/meltCurve_Q8TDH9_BLOC1S5.pdf")</f>
        <v>Melting_Curves/meltCurve_Q8TDH9_BLOC1S5.pdf</v>
      </c>
    </row>
    <row r="4233" spans="1:28" x14ac:dyDescent="0.25">
      <c r="A4233" t="s">
        <v>4237</v>
      </c>
      <c r="B4233">
        <v>0.99996721820229495</v>
      </c>
      <c r="C4233">
        <v>0.927221134915032</v>
      </c>
      <c r="D4233">
        <v>0.95124398013127398</v>
      </c>
      <c r="E4233">
        <v>0.79783416367781501</v>
      </c>
      <c r="F4233">
        <v>0.76796329928392504</v>
      </c>
      <c r="G4233">
        <v>0.46553376938387903</v>
      </c>
      <c r="H4233">
        <v>0.23272947718609199</v>
      </c>
      <c r="I4233">
        <v>0.14413373331028301</v>
      </c>
      <c r="J4233">
        <v>8.79818267931229E-2</v>
      </c>
      <c r="K4233">
        <v>7.9656214559867697E-2</v>
      </c>
      <c r="L4233">
        <v>791.36702466146301</v>
      </c>
      <c r="M4233">
        <v>14.0452589285185</v>
      </c>
      <c r="N4233">
        <v>56.344065557088499</v>
      </c>
      <c r="O4233">
        <v>55.238749766889697</v>
      </c>
      <c r="P4233">
        <v>-6.3574452400377804E-2</v>
      </c>
      <c r="Q4233">
        <v>0</v>
      </c>
      <c r="R4233">
        <v>0.99103250406141496</v>
      </c>
      <c r="S4233" t="s">
        <v>10059</v>
      </c>
      <c r="T4233" t="s">
        <v>11650</v>
      </c>
      <c r="U4233" t="s">
        <v>11650</v>
      </c>
      <c r="V4233" t="s">
        <v>11650</v>
      </c>
      <c r="W4233" t="s">
        <v>15829</v>
      </c>
      <c r="X4233">
        <v>2</v>
      </c>
      <c r="Y4233" t="s">
        <v>21505</v>
      </c>
      <c r="Z4233" t="s">
        <v>27295</v>
      </c>
      <c r="AA4233">
        <v>0.56272704159258047</v>
      </c>
      <c r="AB4233" t="str">
        <f>HYPERLINK("Melting_Curves/meltCurve_Q8TDM0_3_BCAS4.pdf", "Melting_Curves/meltCurve_Q8TDM0_3_BCAS4.pdf")</f>
        <v>Melting_Curves/meltCurve_Q8TDM0_3_BCAS4.pdf</v>
      </c>
    </row>
    <row r="4234" spans="1:28" x14ac:dyDescent="0.25">
      <c r="A4234" t="s">
        <v>4238</v>
      </c>
      <c r="B4234">
        <v>0.99996721820229495</v>
      </c>
      <c r="C4234">
        <v>0.94288030170758097</v>
      </c>
      <c r="D4234">
        <v>1.08268589418877</v>
      </c>
      <c r="E4234">
        <v>1.3532544651777001</v>
      </c>
      <c r="F4234">
        <v>1.7910279697009299</v>
      </c>
      <c r="G4234">
        <v>1.6952817769133799</v>
      </c>
      <c r="H4234">
        <v>1.2566300481336901</v>
      </c>
      <c r="I4234">
        <v>0.97972131747414604</v>
      </c>
      <c r="J4234">
        <v>0.70742370843087499</v>
      </c>
      <c r="K4234">
        <v>0.48002393948892902</v>
      </c>
      <c r="L4234">
        <v>5612.7610603229496</v>
      </c>
      <c r="M4234">
        <v>83.977970716678797</v>
      </c>
      <c r="N4234">
        <v>69.110344976352906</v>
      </c>
      <c r="O4234">
        <v>66.798239059733902</v>
      </c>
      <c r="P4234">
        <v>-0.167060190804979</v>
      </c>
      <c r="Q4234">
        <v>0.46846415723894202</v>
      </c>
      <c r="R4234">
        <v>0.126729373122864</v>
      </c>
      <c r="S4234" t="s">
        <v>10060</v>
      </c>
      <c r="T4234" t="s">
        <v>11650</v>
      </c>
      <c r="U4234" t="s">
        <v>11650</v>
      </c>
      <c r="V4234" t="s">
        <v>11650</v>
      </c>
      <c r="W4234" t="s">
        <v>15830</v>
      </c>
      <c r="X4234">
        <v>2</v>
      </c>
      <c r="Y4234" t="s">
        <v>21506</v>
      </c>
      <c r="Z4234" t="s">
        <v>27296</v>
      </c>
      <c r="AA4234">
        <v>0.94414353553027575</v>
      </c>
      <c r="AB4234" t="str">
        <f>HYPERLINK("Melting_Curves/meltCurve_Q8TDM6_DLG5.pdf", "Melting_Curves/meltCurve_Q8TDM6_DLG5.pdf")</f>
        <v>Melting_Curves/meltCurve_Q8TDM6_DLG5.pdf</v>
      </c>
    </row>
    <row r="4235" spans="1:28" x14ac:dyDescent="0.25">
      <c r="A4235" t="s">
        <v>4239</v>
      </c>
      <c r="B4235">
        <v>0.99996721820229495</v>
      </c>
      <c r="C4235">
        <v>1.1515860108578599</v>
      </c>
      <c r="D4235">
        <v>1.3436860874985299</v>
      </c>
      <c r="E4235">
        <v>1.5278913225167501</v>
      </c>
      <c r="F4235">
        <v>2.3447132526585399</v>
      </c>
      <c r="G4235">
        <v>2.9618439476476199</v>
      </c>
      <c r="H4235">
        <v>2.3066411494972998</v>
      </c>
      <c r="I4235">
        <v>1.44368758773378</v>
      </c>
      <c r="J4235">
        <v>0.37279356737024899</v>
      </c>
      <c r="K4235">
        <v>0.148932315508537</v>
      </c>
      <c r="L4235">
        <v>15000</v>
      </c>
      <c r="M4235">
        <v>224.909251129301</v>
      </c>
      <c r="N4235">
        <v>66.798506709012898</v>
      </c>
      <c r="O4235">
        <v>66.688301722389795</v>
      </c>
      <c r="P4235">
        <v>-0.71766449419002099</v>
      </c>
      <c r="Q4235">
        <v>0.14881545048592401</v>
      </c>
      <c r="R4235">
        <v>-0.14323737233640199</v>
      </c>
      <c r="S4235" t="s">
        <v>10061</v>
      </c>
      <c r="T4235" t="s">
        <v>11650</v>
      </c>
      <c r="U4235" t="s">
        <v>11650</v>
      </c>
      <c r="V4235" t="s">
        <v>11650</v>
      </c>
      <c r="W4235" t="s">
        <v>15831</v>
      </c>
      <c r="X4235">
        <v>13</v>
      </c>
      <c r="Y4235" t="s">
        <v>21507</v>
      </c>
      <c r="Z4235" t="s">
        <v>27297</v>
      </c>
      <c r="AA4235">
        <v>0.9063100262303736</v>
      </c>
      <c r="AB4235" t="str">
        <f>HYPERLINK("Melting_Curves/meltCurve_Q8TDQ7_GNPDA2.pdf", "Melting_Curves/meltCurve_Q8TDQ7_GNPDA2.pdf")</f>
        <v>Melting_Curves/meltCurve_Q8TDQ7_GNPDA2.pdf</v>
      </c>
    </row>
    <row r="4236" spans="1:28" x14ac:dyDescent="0.25">
      <c r="A4236" t="s">
        <v>4240</v>
      </c>
      <c r="B4236">
        <v>0.99996721820229495</v>
      </c>
      <c r="C4236">
        <v>1.00067019166094</v>
      </c>
      <c r="D4236">
        <v>0.80870637260223199</v>
      </c>
      <c r="E4236">
        <v>0.485825865181299</v>
      </c>
      <c r="F4236">
        <v>0.217365206169056</v>
      </c>
      <c r="G4236">
        <v>0.17905612991500799</v>
      </c>
      <c r="H4236">
        <v>0.103451413276319</v>
      </c>
      <c r="I4236">
        <v>6.3997474263685294E-2</v>
      </c>
      <c r="J4236">
        <v>4.6524494550659302E-2</v>
      </c>
      <c r="K4236">
        <v>2.9864392643616899E-2</v>
      </c>
      <c r="L4236">
        <v>980.70340523703999</v>
      </c>
      <c r="M4236">
        <v>19.843066712318301</v>
      </c>
      <c r="N4236">
        <v>49.734746097819098</v>
      </c>
      <c r="O4236">
        <v>48.9292579670904</v>
      </c>
      <c r="P4236">
        <v>-9.5460470733286895E-2</v>
      </c>
      <c r="Q4236">
        <v>5.84820112903277E-2</v>
      </c>
      <c r="R4236">
        <v>0.99377420556486595</v>
      </c>
      <c r="S4236" t="s">
        <v>10062</v>
      </c>
      <c r="T4236" t="s">
        <v>11650</v>
      </c>
      <c r="U4236" t="s">
        <v>11650</v>
      </c>
      <c r="V4236" t="s">
        <v>11650</v>
      </c>
      <c r="W4236" t="s">
        <v>15832</v>
      </c>
      <c r="X4236">
        <v>14</v>
      </c>
      <c r="Y4236" t="s">
        <v>21508</v>
      </c>
      <c r="Z4236" t="s">
        <v>27298</v>
      </c>
      <c r="AA4236">
        <v>0.36756547179054211</v>
      </c>
      <c r="AB4236" t="str">
        <f>HYPERLINK("Melting_Curves/meltCurve_Q8TDX7_NEK7.pdf", "Melting_Curves/meltCurve_Q8TDX7_NEK7.pdf")</f>
        <v>Melting_Curves/meltCurve_Q8TDX7_NEK7.pdf</v>
      </c>
    </row>
    <row r="4237" spans="1:28" x14ac:dyDescent="0.25">
      <c r="A4237" t="s">
        <v>4241</v>
      </c>
      <c r="B4237">
        <v>0.99996721820229495</v>
      </c>
      <c r="C4237">
        <v>0.72186294756300395</v>
      </c>
      <c r="D4237">
        <v>0.60549549116575496</v>
      </c>
      <c r="E4237">
        <v>0.92507639271049902</v>
      </c>
      <c r="F4237">
        <v>0.80116141091144999</v>
      </c>
      <c r="G4237">
        <v>0.56031000210298598</v>
      </c>
      <c r="H4237">
        <v>0.44823532716389802</v>
      </c>
      <c r="I4237">
        <v>0.35944746282538798</v>
      </c>
      <c r="J4237">
        <v>0.30487307383027501</v>
      </c>
      <c r="K4237">
        <v>0.24013203205115399</v>
      </c>
      <c r="L4237">
        <v>337.92937975822201</v>
      </c>
      <c r="M4237">
        <v>5.7227947421941199</v>
      </c>
      <c r="N4237">
        <v>59.049732970011199</v>
      </c>
      <c r="O4237">
        <v>53.029991415597699</v>
      </c>
      <c r="P4237">
        <v>-2.7082395961404299E-2</v>
      </c>
      <c r="Q4237">
        <v>0</v>
      </c>
      <c r="R4237">
        <v>0.76274343013231605</v>
      </c>
      <c r="S4237" t="s">
        <v>10063</v>
      </c>
      <c r="T4237" t="s">
        <v>11650</v>
      </c>
      <c r="U4237" t="s">
        <v>11650</v>
      </c>
      <c r="V4237" t="s">
        <v>11650</v>
      </c>
      <c r="W4237" t="s">
        <v>15833</v>
      </c>
      <c r="X4237">
        <v>2</v>
      </c>
      <c r="Y4237" t="s">
        <v>21509</v>
      </c>
      <c r="Z4237" t="s">
        <v>27299</v>
      </c>
      <c r="AA4237">
        <v>0.61046559463701344</v>
      </c>
      <c r="AB4237" t="str">
        <f>HYPERLINK("Melting_Curves/meltCurve_Q8TDY2_2_RB1CC1.pdf", "Melting_Curves/meltCurve_Q8TDY2_2_RB1CC1.pdf")</f>
        <v>Melting_Curves/meltCurve_Q8TDY2_2_RB1CC1.pdf</v>
      </c>
    </row>
    <row r="4238" spans="1:28" x14ac:dyDescent="0.25">
      <c r="A4238" t="s">
        <v>4242</v>
      </c>
      <c r="B4238">
        <v>0.99996721820229495</v>
      </c>
      <c r="C4238">
        <v>0.84584515630028101</v>
      </c>
      <c r="D4238">
        <v>0.457617570318329</v>
      </c>
      <c r="E4238">
        <v>0.32361994571520603</v>
      </c>
      <c r="F4238">
        <v>0.29802291871388598</v>
      </c>
      <c r="G4238">
        <v>0.23459130450278001</v>
      </c>
      <c r="H4238">
        <v>0.178279706400511</v>
      </c>
      <c r="I4238">
        <v>0.106629502979809</v>
      </c>
      <c r="J4238">
        <v>4.2050981616457601E-2</v>
      </c>
      <c r="K4238">
        <v>6.9934742767171099E-2</v>
      </c>
      <c r="L4238">
        <v>703.41880430498202</v>
      </c>
      <c r="M4238">
        <v>15.232560877685399</v>
      </c>
      <c r="N4238">
        <v>46.970138021960601</v>
      </c>
      <c r="O4238">
        <v>45.404695330169297</v>
      </c>
      <c r="P4238">
        <v>-7.4384328276010006E-2</v>
      </c>
      <c r="Q4238">
        <v>0.113195331897933</v>
      </c>
      <c r="R4238">
        <v>0.95427546696768495</v>
      </c>
      <c r="S4238" t="s">
        <v>10064</v>
      </c>
      <c r="T4238" t="s">
        <v>11650</v>
      </c>
      <c r="U4238" t="s">
        <v>11650</v>
      </c>
      <c r="V4238" t="s">
        <v>11650</v>
      </c>
      <c r="W4238" t="s">
        <v>15834</v>
      </c>
      <c r="X4238">
        <v>3</v>
      </c>
      <c r="Y4238" t="s">
        <v>21510</v>
      </c>
      <c r="Z4238" t="s">
        <v>27300</v>
      </c>
      <c r="AA4238">
        <v>0.32055060050452983</v>
      </c>
      <c r="AB4238" t="str">
        <f>HYPERLINK("Melting_Curves/meltCurve_Q8TDY4_3_ASAP3.pdf", "Melting_Curves/meltCurve_Q8TDY4_3_ASAP3.pdf")</f>
        <v>Melting_Curves/meltCurve_Q8TDY4_3_ASAP3.pdf</v>
      </c>
    </row>
    <row r="4239" spans="1:28" x14ac:dyDescent="0.25">
      <c r="A4239" t="s">
        <v>4243</v>
      </c>
      <c r="B4239">
        <v>0.99996721820229495</v>
      </c>
      <c r="C4239">
        <v>0.96494519222777797</v>
      </c>
      <c r="D4239">
        <v>0.944579001984309</v>
      </c>
      <c r="E4239">
        <v>0.76101582617711805</v>
      </c>
      <c r="F4239">
        <v>0.35788457695593801</v>
      </c>
      <c r="G4239">
        <v>0.28840205823374798</v>
      </c>
      <c r="H4239">
        <v>0.169227776086422</v>
      </c>
      <c r="I4239">
        <v>0.13368616090335</v>
      </c>
      <c r="J4239">
        <v>0.102509689173302</v>
      </c>
      <c r="K4239">
        <v>8.28188856371289E-2</v>
      </c>
      <c r="L4239">
        <v>1151.1440563672099</v>
      </c>
      <c r="M4239">
        <v>22.2938039689632</v>
      </c>
      <c r="N4239">
        <v>52.265839188494397</v>
      </c>
      <c r="O4239">
        <v>51.225083861884897</v>
      </c>
      <c r="P4239">
        <v>-9.5973574278767002E-2</v>
      </c>
      <c r="Q4239">
        <v>0.117934265341266</v>
      </c>
      <c r="R4239">
        <v>0.98762731607068899</v>
      </c>
      <c r="S4239" t="s">
        <v>10065</v>
      </c>
      <c r="T4239" t="s">
        <v>11650</v>
      </c>
      <c r="U4239" t="s">
        <v>11650</v>
      </c>
      <c r="V4239" t="s">
        <v>11650</v>
      </c>
      <c r="W4239" t="s">
        <v>15835</v>
      </c>
      <c r="X4239">
        <v>24</v>
      </c>
      <c r="Y4239" t="s">
        <v>21511</v>
      </c>
      <c r="Z4239" t="s">
        <v>27301</v>
      </c>
      <c r="AA4239">
        <v>0.47002537533376548</v>
      </c>
      <c r="AB4239" t="str">
        <f>HYPERLINK("Melting_Curves/meltCurve_Q8TDZ2_MICAL1.pdf", "Melting_Curves/meltCurve_Q8TDZ2_MICAL1.pdf")</f>
        <v>Melting_Curves/meltCurve_Q8TDZ2_MICAL1.pdf</v>
      </c>
    </row>
    <row r="4240" spans="1:28" x14ac:dyDescent="0.25">
      <c r="A4240" t="s">
        <v>4244</v>
      </c>
      <c r="B4240">
        <v>0.99996721820229495</v>
      </c>
      <c r="C4240">
        <v>1.08467517713095</v>
      </c>
      <c r="D4240">
        <v>1.3535027629038101</v>
      </c>
      <c r="E4240">
        <v>1.9379387914847801</v>
      </c>
      <c r="F4240">
        <v>4.78040050970555</v>
      </c>
      <c r="G4240">
        <v>2.9768693157452599</v>
      </c>
      <c r="H4240">
        <v>1.00137165511388</v>
      </c>
      <c r="I4240">
        <v>0.67483271162848801</v>
      </c>
      <c r="J4240">
        <v>0.60078148170511503</v>
      </c>
      <c r="K4240">
        <v>0.48624006081877003</v>
      </c>
      <c r="L4240">
        <v>2547.5381017287</v>
      </c>
      <c r="M4240">
        <v>56.566122636254804</v>
      </c>
      <c r="O4240">
        <v>44.9802799200476</v>
      </c>
      <c r="P4240">
        <v>0.157197087828259</v>
      </c>
      <c r="Q4240">
        <v>1.5</v>
      </c>
      <c r="R4240">
        <v>2.19683142022827E-2</v>
      </c>
      <c r="S4240" t="s">
        <v>10066</v>
      </c>
      <c r="T4240" t="s">
        <v>11650</v>
      </c>
      <c r="U4240" t="s">
        <v>11650</v>
      </c>
      <c r="V4240" t="s">
        <v>11650</v>
      </c>
      <c r="W4240" t="s">
        <v>15836</v>
      </c>
      <c r="X4240">
        <v>1</v>
      </c>
      <c r="Y4240" t="s">
        <v>21512</v>
      </c>
      <c r="Z4240" t="s">
        <v>27302</v>
      </c>
      <c r="AA4240">
        <v>1.415275637567535</v>
      </c>
      <c r="AB4240" t="str">
        <f>HYPERLINK("Melting_Curves/meltCurve_Q8TE73_DNAH5.pdf", "Melting_Curves/meltCurve_Q8TE73_DNAH5.pdf")</f>
        <v>Melting_Curves/meltCurve_Q8TE73_DNAH5.pdf</v>
      </c>
    </row>
    <row r="4241" spans="1:28" x14ac:dyDescent="0.25">
      <c r="A4241" t="s">
        <v>4245</v>
      </c>
      <c r="B4241">
        <v>0.99996721820229495</v>
      </c>
      <c r="C4241">
        <v>0.88407171814962404</v>
      </c>
      <c r="D4241">
        <v>0.631615089996306</v>
      </c>
      <c r="E4241">
        <v>0.30264409685064497</v>
      </c>
      <c r="F4241">
        <v>0.19978635832952499</v>
      </c>
      <c r="G4241">
        <v>0.16616092135139399</v>
      </c>
      <c r="H4241">
        <v>0.105820098653695</v>
      </c>
      <c r="I4241">
        <v>7.1466444950585406E-2</v>
      </c>
      <c r="J4241">
        <v>5.5799069479887602E-2</v>
      </c>
      <c r="K4241">
        <v>5.93427561072827E-2</v>
      </c>
      <c r="L4241">
        <v>863.72468780858196</v>
      </c>
      <c r="M4241">
        <v>18.313660360661601</v>
      </c>
      <c r="N4241">
        <v>47.602967141371799</v>
      </c>
      <c r="O4241">
        <v>46.6113119855344</v>
      </c>
      <c r="P4241">
        <v>-9.0580204563837502E-2</v>
      </c>
      <c r="Q4241">
        <v>7.7875749700308805E-2</v>
      </c>
      <c r="R4241">
        <v>0.99484410526249201</v>
      </c>
      <c r="S4241" t="s">
        <v>10067</v>
      </c>
      <c r="T4241" t="s">
        <v>11650</v>
      </c>
      <c r="U4241" t="s">
        <v>11650</v>
      </c>
      <c r="V4241" t="s">
        <v>11650</v>
      </c>
      <c r="W4241" t="s">
        <v>15837</v>
      </c>
      <c r="X4241">
        <v>13</v>
      </c>
      <c r="Y4241" t="s">
        <v>21513</v>
      </c>
      <c r="Z4241" t="s">
        <v>27303</v>
      </c>
      <c r="AA4241">
        <v>0.31430606099892339</v>
      </c>
      <c r="AB4241" t="str">
        <f>HYPERLINK("Melting_Curves/meltCurve_Q8TE77_SSH3.pdf", "Melting_Curves/meltCurve_Q8TE77_SSH3.pdf")</f>
        <v>Melting_Curves/meltCurve_Q8TE77_SSH3.pdf</v>
      </c>
    </row>
    <row r="4242" spans="1:28" x14ac:dyDescent="0.25">
      <c r="A4242" t="s">
        <v>4246</v>
      </c>
      <c r="B4242">
        <v>0.99996721820229495</v>
      </c>
      <c r="C4242">
        <v>1.0005592604389499</v>
      </c>
      <c r="D4242">
        <v>0.95546395564220099</v>
      </c>
      <c r="E4242">
        <v>0.91539698747710296</v>
      </c>
      <c r="F4242">
        <v>0.37012120730748599</v>
      </c>
      <c r="G4242">
        <v>0.27880653973906599</v>
      </c>
      <c r="H4242">
        <v>0.169999310656133</v>
      </c>
      <c r="I4242">
        <v>0.14979013129339899</v>
      </c>
      <c r="J4242">
        <v>7.2852589375630494E-2</v>
      </c>
      <c r="K4242">
        <v>5.6112450012159303E-2</v>
      </c>
      <c r="L4242">
        <v>2522.6239446139498</v>
      </c>
      <c r="M4242">
        <v>48.491177604523401</v>
      </c>
      <c r="N4242">
        <v>52.377942931144702</v>
      </c>
      <c r="O4242">
        <v>51.934083025530803</v>
      </c>
      <c r="P4242">
        <v>-0.20068641730963499</v>
      </c>
      <c r="Q4242">
        <v>0.14025970598329501</v>
      </c>
      <c r="R4242">
        <v>0.97996410306571402</v>
      </c>
      <c r="S4242" t="s">
        <v>10068</v>
      </c>
      <c r="T4242" t="s">
        <v>11650</v>
      </c>
      <c r="U4242" t="s">
        <v>11650</v>
      </c>
      <c r="V4242" t="s">
        <v>11650</v>
      </c>
      <c r="W4242" t="s">
        <v>15838</v>
      </c>
      <c r="X4242">
        <v>3</v>
      </c>
      <c r="Y4242" t="s">
        <v>21514</v>
      </c>
      <c r="Z4242" t="s">
        <v>27304</v>
      </c>
      <c r="AA4242">
        <v>0.4868937780306879</v>
      </c>
      <c r="AB4242" t="str">
        <f>HYPERLINK("Melting_Curves/meltCurve_Q8TEA1_NSUN6.pdf", "Melting_Curves/meltCurve_Q8TEA1_NSUN6.pdf")</f>
        <v>Melting_Curves/meltCurve_Q8TEA1_NSUN6.pdf</v>
      </c>
    </row>
    <row r="4243" spans="1:28" x14ac:dyDescent="0.25">
      <c r="A4243" t="s">
        <v>4247</v>
      </c>
      <c r="B4243">
        <v>0.99996721820229495</v>
      </c>
      <c r="C4243">
        <v>0.84836472233724203</v>
      </c>
      <c r="D4243">
        <v>0.82665047182311002</v>
      </c>
      <c r="E4243">
        <v>0.84170585635075101</v>
      </c>
      <c r="F4243">
        <v>0.75514131739923296</v>
      </c>
      <c r="G4243">
        <v>0.84351634237395301</v>
      </c>
      <c r="H4243">
        <v>0.65721433003917296</v>
      </c>
      <c r="I4243">
        <v>0.45455858317027298</v>
      </c>
      <c r="J4243">
        <v>0.29946247361169398</v>
      </c>
      <c r="K4243">
        <v>0.359882548352353</v>
      </c>
      <c r="L4243">
        <v>424.04069942062898</v>
      </c>
      <c r="M4243">
        <v>6.66255008577917</v>
      </c>
      <c r="N4243">
        <v>63.645405076414001</v>
      </c>
      <c r="O4243">
        <v>58.645688557706102</v>
      </c>
      <c r="P4243">
        <v>-2.8464769946544798E-2</v>
      </c>
      <c r="Q4243">
        <v>0</v>
      </c>
      <c r="R4243">
        <v>0.85672039007091005</v>
      </c>
      <c r="S4243" t="s">
        <v>10069</v>
      </c>
      <c r="T4243" t="s">
        <v>11650</v>
      </c>
      <c r="U4243" t="s">
        <v>11650</v>
      </c>
      <c r="V4243" t="s">
        <v>11650</v>
      </c>
      <c r="W4243" t="s">
        <v>15839</v>
      </c>
      <c r="X4243">
        <v>3</v>
      </c>
      <c r="Y4243" t="s">
        <v>21515</v>
      </c>
      <c r="Z4243" t="s">
        <v>27305</v>
      </c>
      <c r="AA4243">
        <v>0.71325977745754476</v>
      </c>
      <c r="AB4243" t="str">
        <f>HYPERLINK("Melting_Curves/meltCurve_Q8TEA8_DTD1.pdf", "Melting_Curves/meltCurve_Q8TEA8_DTD1.pdf")</f>
        <v>Melting_Curves/meltCurve_Q8TEA8_DTD1.pdf</v>
      </c>
    </row>
    <row r="4244" spans="1:28" x14ac:dyDescent="0.25">
      <c r="A4244" t="s">
        <v>4248</v>
      </c>
      <c r="B4244">
        <v>0.99996721820229495</v>
      </c>
      <c r="C4244">
        <v>0.82655816569001395</v>
      </c>
      <c r="D4244">
        <v>0.85575003940149197</v>
      </c>
      <c r="E4244">
        <v>0.53687460326602499</v>
      </c>
      <c r="F4244">
        <v>0.29166754229395198</v>
      </c>
      <c r="G4244">
        <v>0.23278729966175199</v>
      </c>
      <c r="H4244">
        <v>0.15439946228158</v>
      </c>
      <c r="I4244">
        <v>8.8720492415046703E-2</v>
      </c>
      <c r="J4244">
        <v>6.7129689626019104E-2</v>
      </c>
      <c r="K4244">
        <v>5.9458212733158003E-2</v>
      </c>
      <c r="L4244">
        <v>703.866217359198</v>
      </c>
      <c r="M4244">
        <v>14.060195962676801</v>
      </c>
      <c r="N4244">
        <v>50.4639226763639</v>
      </c>
      <c r="O4244">
        <v>49.080866734460301</v>
      </c>
      <c r="P4244">
        <v>-6.7822998393505696E-2</v>
      </c>
      <c r="Q4244">
        <v>5.3105978083682899E-2</v>
      </c>
      <c r="R4244">
        <v>0.98354055811743701</v>
      </c>
      <c r="S4244" t="s">
        <v>10070</v>
      </c>
      <c r="T4244" t="s">
        <v>11650</v>
      </c>
      <c r="U4244" t="s">
        <v>11650</v>
      </c>
      <c r="V4244" t="s">
        <v>11650</v>
      </c>
      <c r="W4244" t="s">
        <v>15840</v>
      </c>
      <c r="X4244">
        <v>10</v>
      </c>
      <c r="Y4244" t="s">
        <v>21516</v>
      </c>
      <c r="Z4244" t="s">
        <v>27306</v>
      </c>
      <c r="AA4244">
        <v>0.39587556976751392</v>
      </c>
      <c r="AB4244" t="str">
        <f>HYPERLINK("Melting_Curves/meltCurve_Q8TED1_GPX8.pdf", "Melting_Curves/meltCurve_Q8TED1_GPX8.pdf")</f>
        <v>Melting_Curves/meltCurve_Q8TED1_GPX8.pdf</v>
      </c>
    </row>
    <row r="4245" spans="1:28" x14ac:dyDescent="0.25">
      <c r="A4245" t="s">
        <v>4249</v>
      </c>
      <c r="B4245">
        <v>0.99996721820229495</v>
      </c>
      <c r="C4245">
        <v>0.77169394027056704</v>
      </c>
      <c r="D4245">
        <v>0.89442821049929599</v>
      </c>
      <c r="E4245">
        <v>1.2049565348173099</v>
      </c>
      <c r="F4245">
        <v>1.9162713683018699</v>
      </c>
      <c r="G4245">
        <v>1.8942024863807201</v>
      </c>
      <c r="H4245">
        <v>1.63253498871749</v>
      </c>
      <c r="I4245">
        <v>1.1473114937408799</v>
      </c>
      <c r="J4245">
        <v>0.96672831689882699</v>
      </c>
      <c r="K4245">
        <v>0.84965271127445396</v>
      </c>
      <c r="L4245">
        <v>1052.3556541190301</v>
      </c>
      <c r="M4245">
        <v>5.7868566725059898</v>
      </c>
      <c r="Q4245">
        <v>0</v>
      </c>
      <c r="R4245">
        <v>-0.31045419653952699</v>
      </c>
      <c r="S4245" t="s">
        <v>10071</v>
      </c>
      <c r="T4245" t="s">
        <v>11650</v>
      </c>
      <c r="U4245" t="s">
        <v>11650</v>
      </c>
      <c r="V4245" t="s">
        <v>11650</v>
      </c>
      <c r="W4245" t="s">
        <v>15841</v>
      </c>
      <c r="X4245">
        <v>1</v>
      </c>
      <c r="Y4245" t="s">
        <v>21517</v>
      </c>
      <c r="Z4245" t="s">
        <v>27307</v>
      </c>
      <c r="AA4245">
        <v>0.9999867094733168</v>
      </c>
      <c r="AB4245" t="str">
        <f>HYPERLINK("Melting_Curves/meltCurve_Q8TED4_3_SLC37A2.pdf", "Melting_Curves/meltCurve_Q8TED4_3_SLC37A2.pdf")</f>
        <v>Melting_Curves/meltCurve_Q8TED4_3_SLC37A2.pdf</v>
      </c>
    </row>
    <row r="4246" spans="1:28" x14ac:dyDescent="0.25">
      <c r="A4246" t="s">
        <v>4250</v>
      </c>
      <c r="B4246">
        <v>0.99996721820229495</v>
      </c>
      <c r="C4246">
        <v>0.97914954798628095</v>
      </c>
      <c r="D4246">
        <v>0.82662117535773605</v>
      </c>
      <c r="E4246">
        <v>0.82711714552836801</v>
      </c>
      <c r="F4246">
        <v>0.86878423459717002</v>
      </c>
      <c r="G4246">
        <v>0.896648011952623</v>
      </c>
      <c r="H4246">
        <v>0.66002502073637404</v>
      </c>
      <c r="I4246">
        <v>0.32831988161706099</v>
      </c>
      <c r="J4246">
        <v>0.327227887606094</v>
      </c>
      <c r="K4246">
        <v>0.233520803519043</v>
      </c>
      <c r="L4246">
        <v>788.23248028049204</v>
      </c>
      <c r="M4246">
        <v>12.5335871863078</v>
      </c>
      <c r="N4246">
        <v>62.889615619945097</v>
      </c>
      <c r="O4246">
        <v>61.353041276567197</v>
      </c>
      <c r="P4246">
        <v>-5.1081965136735102E-2</v>
      </c>
      <c r="Q4246">
        <v>0</v>
      </c>
      <c r="R4246">
        <v>0.89804306135363499</v>
      </c>
      <c r="S4246" t="s">
        <v>10072</v>
      </c>
      <c r="T4246" t="s">
        <v>11650</v>
      </c>
      <c r="U4246" t="s">
        <v>11650</v>
      </c>
      <c r="V4246" t="s">
        <v>11650</v>
      </c>
      <c r="W4246" t="s">
        <v>15842</v>
      </c>
      <c r="X4246">
        <v>3</v>
      </c>
      <c r="Y4246" t="s">
        <v>21518</v>
      </c>
      <c r="Z4246" t="s">
        <v>27308</v>
      </c>
      <c r="AA4246">
        <v>0.7465744276101437</v>
      </c>
      <c r="AB4246" t="str">
        <f>HYPERLINK("Melting_Curves/meltCurve_Q8TEJ3_SH3RF3.pdf", "Melting_Curves/meltCurve_Q8TEJ3_SH3RF3.pdf")</f>
        <v>Melting_Curves/meltCurve_Q8TEJ3_SH3RF3.pdf</v>
      </c>
    </row>
    <row r="4247" spans="1:28" x14ac:dyDescent="0.25">
      <c r="A4247" t="s">
        <v>4251</v>
      </c>
      <c r="B4247">
        <v>0.99996721820229495</v>
      </c>
      <c r="C4247">
        <v>0.63427819470397695</v>
      </c>
      <c r="D4247">
        <v>0.52624074193889003</v>
      </c>
      <c r="E4247">
        <v>0.36277041057521098</v>
      </c>
      <c r="F4247">
        <v>7.5275320871723603E-2</v>
      </c>
      <c r="G4247">
        <v>4.84636933912274E-2</v>
      </c>
      <c r="H4247">
        <v>0.106417006781171</v>
      </c>
      <c r="I4247">
        <v>4.0899459758648102E-2</v>
      </c>
      <c r="J4247">
        <v>7.2017788892589002E-2</v>
      </c>
      <c r="K4247">
        <v>0</v>
      </c>
      <c r="L4247">
        <v>640.76111229784999</v>
      </c>
      <c r="M4247">
        <v>13.9236047119595</v>
      </c>
      <c r="N4247">
        <v>46.189682165947502</v>
      </c>
      <c r="O4247">
        <v>45.1016539340295</v>
      </c>
      <c r="P4247">
        <v>-7.5262430265440203E-2</v>
      </c>
      <c r="Q4247">
        <v>2.4964448233013699E-2</v>
      </c>
      <c r="R4247">
        <v>0.95528810657720198</v>
      </c>
      <c r="S4247" t="s">
        <v>10073</v>
      </c>
      <c r="T4247" t="s">
        <v>11650</v>
      </c>
      <c r="U4247" t="s">
        <v>11650</v>
      </c>
      <c r="V4247" t="s">
        <v>11650</v>
      </c>
      <c r="W4247" t="s">
        <v>15843</v>
      </c>
      <c r="X4247">
        <v>2</v>
      </c>
      <c r="Y4247" t="s">
        <v>21519</v>
      </c>
      <c r="Z4247" t="s">
        <v>27309</v>
      </c>
      <c r="AA4247">
        <v>0.25377382166175272</v>
      </c>
      <c r="AB4247" t="str">
        <f>HYPERLINK("Melting_Curves/meltCurve_Q8TEQ0_2_SNX29.pdf", "Melting_Curves/meltCurve_Q8TEQ0_2_SNX29.pdf")</f>
        <v>Melting_Curves/meltCurve_Q8TEQ0_2_SNX29.pdf</v>
      </c>
    </row>
    <row r="4248" spans="1:28" x14ac:dyDescent="0.25">
      <c r="A4248" t="s">
        <v>4252</v>
      </c>
      <c r="B4248">
        <v>0.99996721820229495</v>
      </c>
      <c r="C4248">
        <v>0.81536238548324602</v>
      </c>
      <c r="D4248">
        <v>1.06228447274676</v>
      </c>
      <c r="E4248">
        <v>1.28774421948496</v>
      </c>
      <c r="F4248">
        <v>1.47705349603827</v>
      </c>
      <c r="G4248">
        <v>1.2673292613120499</v>
      </c>
      <c r="H4248">
        <v>0.65115163513458196</v>
      </c>
      <c r="I4248">
        <v>0.46870774395256998</v>
      </c>
      <c r="J4248">
        <v>0.39624000426707801</v>
      </c>
      <c r="K4248">
        <v>0.27313610411273398</v>
      </c>
      <c r="L4248">
        <v>5045.0388209880002</v>
      </c>
      <c r="M4248">
        <v>82.874211870147704</v>
      </c>
      <c r="N4248">
        <v>61.904216672858603</v>
      </c>
      <c r="O4248">
        <v>60.840439408918002</v>
      </c>
      <c r="P4248">
        <v>-0.213246744555427</v>
      </c>
      <c r="Q4248">
        <v>0.37379680271476001</v>
      </c>
      <c r="R4248">
        <v>0.71641992343300598</v>
      </c>
      <c r="S4248" t="s">
        <v>10074</v>
      </c>
      <c r="T4248" t="s">
        <v>11650</v>
      </c>
      <c r="U4248" t="s">
        <v>11650</v>
      </c>
      <c r="V4248" t="s">
        <v>11650</v>
      </c>
      <c r="W4248" t="s">
        <v>15844</v>
      </c>
      <c r="X4248">
        <v>1</v>
      </c>
      <c r="Y4248" t="s">
        <v>21520</v>
      </c>
      <c r="Z4248" t="s">
        <v>27310</v>
      </c>
      <c r="AA4248">
        <v>0.81015725838628605</v>
      </c>
      <c r="AB4248" t="str">
        <f>HYPERLINK("Melting_Curves/meltCurve_Q8TEV9_2_SMCR8.pdf", "Melting_Curves/meltCurve_Q8TEV9_2_SMCR8.pdf")</f>
        <v>Melting_Curves/meltCurve_Q8TEV9_2_SMCR8.pdf</v>
      </c>
    </row>
    <row r="4249" spans="1:28" x14ac:dyDescent="0.25">
      <c r="A4249" t="s">
        <v>4253</v>
      </c>
      <c r="B4249">
        <v>0.99996721820229495</v>
      </c>
      <c r="C4249">
        <v>0.98116216625224295</v>
      </c>
      <c r="D4249">
        <v>1.03017591331186</v>
      </c>
      <c r="E4249">
        <v>1.0180086824027399</v>
      </c>
      <c r="F4249">
        <v>0.61923456116117004</v>
      </c>
      <c r="G4249">
        <v>0.40935563215562898</v>
      </c>
      <c r="H4249">
        <v>0.217424720066793</v>
      </c>
      <c r="I4249">
        <v>0.13363175814084899</v>
      </c>
      <c r="J4249">
        <v>8.8880038419044502E-2</v>
      </c>
      <c r="K4249">
        <v>8.6020201535231405E-2</v>
      </c>
      <c r="L4249">
        <v>1178.5719245641001</v>
      </c>
      <c r="M4249">
        <v>21.446959873943399</v>
      </c>
      <c r="N4249">
        <v>55.467154131634899</v>
      </c>
      <c r="O4249">
        <v>54.481799305242802</v>
      </c>
      <c r="P4249">
        <v>-8.9542203295796194E-2</v>
      </c>
      <c r="Q4249">
        <v>9.0164776438597605E-2</v>
      </c>
      <c r="R4249">
        <v>0.98264720516803405</v>
      </c>
      <c r="S4249" t="s">
        <v>10075</v>
      </c>
      <c r="T4249" t="s">
        <v>11650</v>
      </c>
      <c r="U4249" t="s">
        <v>11650</v>
      </c>
      <c r="V4249" t="s">
        <v>11650</v>
      </c>
      <c r="W4249" t="s">
        <v>15845</v>
      </c>
      <c r="X4249">
        <v>12</v>
      </c>
      <c r="Y4249" t="s">
        <v>21521</v>
      </c>
      <c r="Z4249" t="s">
        <v>27311</v>
      </c>
      <c r="AA4249">
        <v>0.55453901661706384</v>
      </c>
      <c r="AB4249" t="str">
        <f>HYPERLINK("Melting_Curves/meltCurve_Q8TEX9_IPO4.pdf", "Melting_Curves/meltCurve_Q8TEX9_IPO4.pdf")</f>
        <v>Melting_Curves/meltCurve_Q8TEX9_IPO4.pdf</v>
      </c>
    </row>
    <row r="4250" spans="1:28" x14ac:dyDescent="0.25">
      <c r="A4250" t="s">
        <v>4254</v>
      </c>
      <c r="B4250">
        <v>0.99996721820229495</v>
      </c>
      <c r="C4250">
        <v>0.94421895348821505</v>
      </c>
      <c r="D4250">
        <v>0.910580490838651</v>
      </c>
      <c r="E4250">
        <v>1.3740657714900799</v>
      </c>
      <c r="F4250">
        <v>1.76277221598205</v>
      </c>
      <c r="G4250">
        <v>1.3377539535369301</v>
      </c>
      <c r="H4250">
        <v>0.86045068455760998</v>
      </c>
      <c r="I4250">
        <v>0.90813497818926203</v>
      </c>
      <c r="J4250">
        <v>0.67646181433830099</v>
      </c>
      <c r="K4250">
        <v>0.71166010771162502</v>
      </c>
      <c r="L4250">
        <v>2643.2285669642201</v>
      </c>
      <c r="M4250">
        <v>41.092342975191301</v>
      </c>
      <c r="O4250">
        <v>64.1723386756683</v>
      </c>
      <c r="P4250">
        <v>-5.2277038146638401E-2</v>
      </c>
      <c r="Q4250">
        <v>0.67344441128523702</v>
      </c>
      <c r="R4250">
        <v>0.16652386968873401</v>
      </c>
      <c r="S4250" t="s">
        <v>10076</v>
      </c>
      <c r="T4250" t="s">
        <v>11650</v>
      </c>
      <c r="U4250" t="s">
        <v>11650</v>
      </c>
      <c r="V4250" t="s">
        <v>11650</v>
      </c>
      <c r="W4250" t="s">
        <v>15846</v>
      </c>
      <c r="X4250">
        <v>3</v>
      </c>
      <c r="Y4250" t="s">
        <v>21522</v>
      </c>
      <c r="Z4250" t="s">
        <v>27312</v>
      </c>
      <c r="AA4250">
        <v>0.93884293825910714</v>
      </c>
      <c r="AB4250" t="str">
        <f>HYPERLINK("Melting_Curves/meltCurve_Q8TF01_PNISR.pdf", "Melting_Curves/meltCurve_Q8TF01_PNISR.pdf")</f>
        <v>Melting_Curves/meltCurve_Q8TF01_PNISR.pdf</v>
      </c>
    </row>
    <row r="4251" spans="1:28" x14ac:dyDescent="0.25">
      <c r="A4251" t="s">
        <v>4255</v>
      </c>
      <c r="B4251">
        <v>0.99996721820229495</v>
      </c>
      <c r="C4251">
        <v>1.0194506360325899</v>
      </c>
      <c r="D4251">
        <v>1.0232342267107799</v>
      </c>
      <c r="E4251">
        <v>1.07108009000377</v>
      </c>
      <c r="F4251">
        <v>0.48130565804257203</v>
      </c>
      <c r="G4251">
        <v>0.35096002764731299</v>
      </c>
      <c r="H4251">
        <v>0.18720608909095601</v>
      </c>
      <c r="I4251">
        <v>0.133199757273845</v>
      </c>
      <c r="J4251">
        <v>0.111393505437747</v>
      </c>
      <c r="K4251">
        <v>8.4534584350055106E-2</v>
      </c>
      <c r="L4251">
        <v>13222.3493009823</v>
      </c>
      <c r="M4251">
        <v>250</v>
      </c>
      <c r="N4251">
        <v>52.979679564869301</v>
      </c>
      <c r="O4251">
        <v>52.886011350147001</v>
      </c>
      <c r="P4251">
        <v>-0.97679564235746097</v>
      </c>
      <c r="Q4251">
        <v>0.17345877405094101</v>
      </c>
      <c r="R4251">
        <v>0.96955888446636895</v>
      </c>
      <c r="S4251" t="s">
        <v>10077</v>
      </c>
      <c r="T4251" t="s">
        <v>11650</v>
      </c>
      <c r="U4251" t="s">
        <v>11650</v>
      </c>
      <c r="V4251" t="s">
        <v>11650</v>
      </c>
      <c r="W4251" t="s">
        <v>15847</v>
      </c>
      <c r="X4251">
        <v>15</v>
      </c>
      <c r="Y4251" t="s">
        <v>21523</v>
      </c>
      <c r="Z4251" t="s">
        <v>27313</v>
      </c>
      <c r="AA4251">
        <v>0.52865609922052614</v>
      </c>
      <c r="AB4251" t="str">
        <f>HYPERLINK("Melting_Curves/meltCurve_Q8TF05_2_PPP4R1.pdf", "Melting_Curves/meltCurve_Q8TF05_2_PPP4R1.pdf")</f>
        <v>Melting_Curves/meltCurve_Q8TF05_2_PPP4R1.pdf</v>
      </c>
    </row>
    <row r="4252" spans="1:28" x14ac:dyDescent="0.25">
      <c r="A4252" t="s">
        <v>4256</v>
      </c>
      <c r="B4252">
        <v>0.99996721820229495</v>
      </c>
      <c r="C4252">
        <v>1.0571222710316599</v>
      </c>
      <c r="D4252">
        <v>0.95576002546328598</v>
      </c>
      <c r="E4252">
        <v>0.52558266849989699</v>
      </c>
      <c r="F4252">
        <v>0.30041695427337101</v>
      </c>
      <c r="G4252">
        <v>0.227592879898214</v>
      </c>
      <c r="H4252">
        <v>0.116847666704811</v>
      </c>
      <c r="I4252">
        <v>7.4462923317336796E-2</v>
      </c>
      <c r="J4252">
        <v>6.07711596878375E-2</v>
      </c>
      <c r="K4252">
        <v>5.2427791053073797E-2</v>
      </c>
      <c r="L4252">
        <v>1177.91216580897</v>
      </c>
      <c r="M4252">
        <v>23.4388301723626</v>
      </c>
      <c r="N4252">
        <v>50.670453417415999</v>
      </c>
      <c r="O4252">
        <v>49.893209900895997</v>
      </c>
      <c r="P4252">
        <v>-0.10717389614988</v>
      </c>
      <c r="Q4252">
        <v>8.7470348728338101E-2</v>
      </c>
      <c r="R4252">
        <v>0.98713557527817897</v>
      </c>
      <c r="S4252" t="s">
        <v>10078</v>
      </c>
      <c r="T4252" t="s">
        <v>11650</v>
      </c>
      <c r="U4252" t="s">
        <v>11650</v>
      </c>
      <c r="V4252" t="s">
        <v>11650</v>
      </c>
      <c r="W4252" t="s">
        <v>15848</v>
      </c>
      <c r="X4252">
        <v>1</v>
      </c>
      <c r="Y4252" t="s">
        <v>21524</v>
      </c>
      <c r="Z4252" t="s">
        <v>27314</v>
      </c>
      <c r="AA4252">
        <v>0.40869418652751188</v>
      </c>
      <c r="AB4252" t="str">
        <f>HYPERLINK("Melting_Curves/meltCurve_Q8TF42_UBASH3B.pdf", "Melting_Curves/meltCurve_Q8TF42_UBASH3B.pdf")</f>
        <v>Melting_Curves/meltCurve_Q8TF42_UBASH3B.pdf</v>
      </c>
    </row>
    <row r="4253" spans="1:28" x14ac:dyDescent="0.25">
      <c r="A4253" t="s">
        <v>4257</v>
      </c>
      <c r="B4253">
        <v>0.99996721820229495</v>
      </c>
      <c r="C4253">
        <v>0.83550118489382297</v>
      </c>
      <c r="D4253">
        <v>0.94077317363250601</v>
      </c>
      <c r="E4253">
        <v>1.07289484631761</v>
      </c>
      <c r="F4253">
        <v>1.07317538810094</v>
      </c>
      <c r="G4253">
        <v>0.54288824490943299</v>
      </c>
      <c r="H4253">
        <v>0.22980328284495899</v>
      </c>
      <c r="I4253">
        <v>0.119806816658085</v>
      </c>
      <c r="J4253">
        <v>6.9532262108910198E-2</v>
      </c>
      <c r="K4253">
        <v>6.9559727704577703E-2</v>
      </c>
      <c r="L4253">
        <v>2465.3956484995902</v>
      </c>
      <c r="M4253">
        <v>43.151265283574197</v>
      </c>
      <c r="N4253">
        <v>57.437423095560398</v>
      </c>
      <c r="O4253">
        <v>57.011499859407401</v>
      </c>
      <c r="P4253">
        <v>-0.16992566756744801</v>
      </c>
      <c r="Q4253">
        <v>0.101977434205238</v>
      </c>
      <c r="R4253">
        <v>0.96764712113113505</v>
      </c>
      <c r="S4253" t="s">
        <v>10079</v>
      </c>
      <c r="T4253" t="s">
        <v>11650</v>
      </c>
      <c r="U4253" t="s">
        <v>11650</v>
      </c>
      <c r="V4253" t="s">
        <v>11650</v>
      </c>
      <c r="W4253" t="s">
        <v>15849</v>
      </c>
      <c r="X4253">
        <v>11</v>
      </c>
      <c r="Y4253" t="s">
        <v>21525</v>
      </c>
      <c r="Z4253" t="s">
        <v>27315</v>
      </c>
      <c r="AA4253">
        <v>0.6178837923682764</v>
      </c>
      <c r="AB4253" t="str">
        <f>HYPERLINK("Melting_Curves/meltCurve_Q8TF66_LRRC15.pdf", "Melting_Curves/meltCurve_Q8TF66_LRRC15.pdf")</f>
        <v>Melting_Curves/meltCurve_Q8TF66_LRRC15.pdf</v>
      </c>
    </row>
    <row r="4254" spans="1:28" x14ac:dyDescent="0.25">
      <c r="A4254" t="s">
        <v>4258</v>
      </c>
      <c r="B4254">
        <v>0.99996721820229495</v>
      </c>
      <c r="C4254">
        <v>0.69385242635440203</v>
      </c>
      <c r="D4254">
        <v>0.71781498200968297</v>
      </c>
      <c r="E4254">
        <v>1.72511287091374</v>
      </c>
      <c r="F4254">
        <v>2.5093690612361201</v>
      </c>
      <c r="G4254">
        <v>1.23794995876894</v>
      </c>
      <c r="H4254">
        <v>2.67817909907486</v>
      </c>
      <c r="I4254">
        <v>2.5111525283174099</v>
      </c>
      <c r="J4254">
        <v>1.1265245428683399</v>
      </c>
      <c r="K4254">
        <v>2.87338797294945</v>
      </c>
      <c r="L4254">
        <v>11986.6277325259</v>
      </c>
      <c r="M4254">
        <v>250</v>
      </c>
      <c r="O4254">
        <v>47.943459015420203</v>
      </c>
      <c r="P4254">
        <v>0.65180967904429998</v>
      </c>
      <c r="Q4254">
        <v>1.5</v>
      </c>
      <c r="R4254">
        <v>0.13648667866292999</v>
      </c>
      <c r="S4254" t="s">
        <v>10080</v>
      </c>
      <c r="T4254" t="s">
        <v>11650</v>
      </c>
      <c r="U4254" t="s">
        <v>11650</v>
      </c>
      <c r="V4254" t="s">
        <v>11650</v>
      </c>
      <c r="W4254" t="s">
        <v>15850</v>
      </c>
      <c r="X4254">
        <v>6</v>
      </c>
      <c r="Y4254" t="s">
        <v>21526</v>
      </c>
      <c r="Z4254" t="s">
        <v>27316</v>
      </c>
      <c r="AA4254">
        <v>1.3675160784747431</v>
      </c>
      <c r="AB4254" t="str">
        <f>HYPERLINK("Melting_Curves/meltCurve_Q8TF72_SHROOM3.pdf", "Melting_Curves/meltCurve_Q8TF72_SHROOM3.pdf")</f>
        <v>Melting_Curves/meltCurve_Q8TF72_SHROOM3.pdf</v>
      </c>
    </row>
    <row r="4255" spans="1:28" x14ac:dyDescent="0.25">
      <c r="A4255" t="s">
        <v>4259</v>
      </c>
      <c r="B4255">
        <v>0.99996721820229495</v>
      </c>
      <c r="C4255">
        <v>0.91994633286461602</v>
      </c>
      <c r="D4255">
        <v>0.92515183765639897</v>
      </c>
      <c r="E4255">
        <v>0.98095061184838905</v>
      </c>
      <c r="F4255">
        <v>1.02706027574119</v>
      </c>
      <c r="G4255">
        <v>0.97033507433085397</v>
      </c>
      <c r="H4255">
        <v>0.65217978576420199</v>
      </c>
      <c r="I4255">
        <v>0.53229516979230895</v>
      </c>
      <c r="J4255">
        <v>0.503543421963355</v>
      </c>
      <c r="K4255">
        <v>0.41577632080212001</v>
      </c>
      <c r="L4255">
        <v>2424.3232958867702</v>
      </c>
      <c r="M4255">
        <v>40.205881890751598</v>
      </c>
      <c r="N4255">
        <v>64.354226480660898</v>
      </c>
      <c r="O4255">
        <v>60.149135448608902</v>
      </c>
      <c r="P4255">
        <v>-9.0181842798710901E-2</v>
      </c>
      <c r="Q4255">
        <v>0.46034275701942101</v>
      </c>
      <c r="R4255">
        <v>0.96539297937295598</v>
      </c>
      <c r="S4255" t="s">
        <v>10081</v>
      </c>
      <c r="T4255" t="s">
        <v>11650</v>
      </c>
      <c r="U4255" t="s">
        <v>11650</v>
      </c>
      <c r="V4255" t="s">
        <v>11650</v>
      </c>
      <c r="W4255" t="s">
        <v>15851</v>
      </c>
      <c r="X4255">
        <v>11</v>
      </c>
      <c r="Y4255" t="s">
        <v>21527</v>
      </c>
      <c r="Z4255" t="s">
        <v>27317</v>
      </c>
      <c r="AA4255">
        <v>0.82755000331075312</v>
      </c>
      <c r="AB4255" t="str">
        <f>HYPERLINK("Melting_Curves/meltCurve_Q8TF74_WIPF2.pdf", "Melting_Curves/meltCurve_Q8TF74_WIPF2.pdf")</f>
        <v>Melting_Curves/meltCurve_Q8TF74_WIPF2.pdf</v>
      </c>
    </row>
    <row r="4256" spans="1:28" x14ac:dyDescent="0.25">
      <c r="A4256" t="s">
        <v>4260</v>
      </c>
      <c r="B4256">
        <v>0.99996721820229495</v>
      </c>
      <c r="C4256">
        <v>0.97638938769443195</v>
      </c>
      <c r="D4256">
        <v>0.971069302291937</v>
      </c>
      <c r="E4256">
        <v>0.60360104149887805</v>
      </c>
      <c r="F4256">
        <v>0.76256840490193301</v>
      </c>
      <c r="G4256">
        <v>0.52221583290304296</v>
      </c>
      <c r="H4256">
        <v>0.38172628124316299</v>
      </c>
      <c r="I4256">
        <v>0.242766548489113</v>
      </c>
      <c r="J4256">
        <v>4.6566512721001797E-2</v>
      </c>
      <c r="K4256">
        <v>0.14803546508148699</v>
      </c>
      <c r="L4256">
        <v>574.01729678316099</v>
      </c>
      <c r="M4256">
        <v>10.125057404117699</v>
      </c>
      <c r="N4256">
        <v>56.692747119578897</v>
      </c>
      <c r="O4256">
        <v>54.614576692892598</v>
      </c>
      <c r="P4256">
        <v>-4.6369275548690803E-2</v>
      </c>
      <c r="Q4256">
        <v>0</v>
      </c>
      <c r="R4256">
        <v>0.939041796707484</v>
      </c>
      <c r="S4256" t="s">
        <v>10082</v>
      </c>
      <c r="T4256" t="s">
        <v>11650</v>
      </c>
      <c r="U4256" t="s">
        <v>11650</v>
      </c>
      <c r="V4256" t="s">
        <v>11650</v>
      </c>
      <c r="W4256" t="s">
        <v>15852</v>
      </c>
      <c r="X4256">
        <v>2</v>
      </c>
      <c r="Y4256" t="s">
        <v>21528</v>
      </c>
      <c r="Z4256" t="s">
        <v>27318</v>
      </c>
      <c r="AA4256">
        <v>0.57400779099400523</v>
      </c>
      <c r="AB4256" t="str">
        <f>HYPERLINK("Melting_Curves/meltCurve_Q8WTS1_ABHD5.pdf", "Melting_Curves/meltCurve_Q8WTS1_ABHD5.pdf")</f>
        <v>Melting_Curves/meltCurve_Q8WTS1_ABHD5.pdf</v>
      </c>
    </row>
    <row r="4257" spans="1:28" x14ac:dyDescent="0.25">
      <c r="A4257" t="s">
        <v>4261</v>
      </c>
      <c r="B4257">
        <v>0.99996721820229495</v>
      </c>
      <c r="C4257">
        <v>1.10194689066316</v>
      </c>
      <c r="D4257">
        <v>0.93444676754880496</v>
      </c>
      <c r="E4257">
        <v>0.28138189262927399</v>
      </c>
      <c r="F4257">
        <v>0.31463226546496398</v>
      </c>
      <c r="G4257">
        <v>0.30870799245752401</v>
      </c>
      <c r="H4257">
        <v>0.22041136602365</v>
      </c>
      <c r="I4257">
        <v>0.15004780938610901</v>
      </c>
      <c r="J4257">
        <v>0.11175820523416399</v>
      </c>
      <c r="K4257">
        <v>8.7416890847351797E-2</v>
      </c>
      <c r="L4257">
        <v>2487.50324276024</v>
      </c>
      <c r="M4257">
        <v>51.7125104500102</v>
      </c>
      <c r="N4257">
        <v>48.568752957436303</v>
      </c>
      <c r="O4257">
        <v>48.030770476623701</v>
      </c>
      <c r="P4257">
        <v>-0.21650520097849199</v>
      </c>
      <c r="Q4257">
        <v>0.19563727851503199</v>
      </c>
      <c r="R4257">
        <v>0.95931282102385196</v>
      </c>
      <c r="S4257" t="s">
        <v>10083</v>
      </c>
      <c r="T4257" t="s">
        <v>11650</v>
      </c>
      <c r="U4257" t="s">
        <v>11650</v>
      </c>
      <c r="V4257" t="s">
        <v>11650</v>
      </c>
      <c r="W4257" t="s">
        <v>15853</v>
      </c>
      <c r="X4257">
        <v>9</v>
      </c>
      <c r="Y4257" t="s">
        <v>21529</v>
      </c>
      <c r="Z4257" t="s">
        <v>27319</v>
      </c>
      <c r="AA4257">
        <v>0.4144788191407584</v>
      </c>
      <c r="AB4257" t="str">
        <f>HYPERLINK("Melting_Curves/meltCurve_Q8WTS6_SETD7.pdf", "Melting_Curves/meltCurve_Q8WTS6_SETD7.pdf")</f>
        <v>Melting_Curves/meltCurve_Q8WTS6_SETD7.pdf</v>
      </c>
    </row>
    <row r="4258" spans="1:28" x14ac:dyDescent="0.25">
      <c r="A4258" t="s">
        <v>4262</v>
      </c>
      <c r="B4258">
        <v>0.99996721820229495</v>
      </c>
      <c r="C4258">
        <v>1.12031738829079</v>
      </c>
      <c r="D4258">
        <v>1.0196087876228801</v>
      </c>
      <c r="E4258">
        <v>0.83216582648190895</v>
      </c>
      <c r="F4258">
        <v>0.880750058992264</v>
      </c>
      <c r="G4258">
        <v>0.76960983738317301</v>
      </c>
      <c r="H4258">
        <v>0.37060329168677297</v>
      </c>
      <c r="I4258">
        <v>0.17333394728336199</v>
      </c>
      <c r="J4258">
        <v>0.117355925809671</v>
      </c>
      <c r="K4258">
        <v>9.1093569720090695E-2</v>
      </c>
      <c r="L4258">
        <v>1164.62090309057</v>
      </c>
      <c r="M4258">
        <v>19.602864462159999</v>
      </c>
      <c r="N4258">
        <v>59.523269815783102</v>
      </c>
      <c r="O4258">
        <v>58.802841429608499</v>
      </c>
      <c r="P4258">
        <v>-8.1828485587082694E-2</v>
      </c>
      <c r="Q4258">
        <v>1.81887223468916E-2</v>
      </c>
      <c r="R4258">
        <v>0.970266981605865</v>
      </c>
      <c r="S4258" t="s">
        <v>10084</v>
      </c>
      <c r="T4258" t="s">
        <v>11650</v>
      </c>
      <c r="U4258" t="s">
        <v>11650</v>
      </c>
      <c r="V4258" t="s">
        <v>11650</v>
      </c>
      <c r="W4258" t="s">
        <v>15854</v>
      </c>
      <c r="X4258">
        <v>4</v>
      </c>
      <c r="Y4258" t="s">
        <v>21530</v>
      </c>
      <c r="Z4258" t="s">
        <v>27320</v>
      </c>
      <c r="AA4258">
        <v>0.66278081000465561</v>
      </c>
      <c r="AB4258" t="str">
        <f>HYPERLINK("Melting_Curves/meltCurve_Q8WU10_PYROXD1.pdf", "Melting_Curves/meltCurve_Q8WU10_PYROXD1.pdf")</f>
        <v>Melting_Curves/meltCurve_Q8WU10_PYROXD1.pdf</v>
      </c>
    </row>
    <row r="4259" spans="1:28" x14ac:dyDescent="0.25">
      <c r="A4259" t="s">
        <v>4263</v>
      </c>
      <c r="B4259">
        <v>0.99996721820229495</v>
      </c>
      <c r="C4259">
        <v>1.0347727187893001</v>
      </c>
      <c r="D4259">
        <v>1.08870085300692</v>
      </c>
      <c r="E4259">
        <v>1.23725058104955</v>
      </c>
      <c r="F4259">
        <v>1.95140548590318</v>
      </c>
      <c r="G4259">
        <v>1.8723148233432301</v>
      </c>
      <c r="H4259">
        <v>1.2329732261139801</v>
      </c>
      <c r="I4259">
        <v>0.40178569687907101</v>
      </c>
      <c r="J4259">
        <v>0.25805825083502998</v>
      </c>
      <c r="K4259">
        <v>0.17955724602275999</v>
      </c>
      <c r="L4259">
        <v>15000</v>
      </c>
      <c r="M4259">
        <v>235.55918146431</v>
      </c>
      <c r="N4259">
        <v>63.834222777209597</v>
      </c>
      <c r="O4259">
        <v>63.673676488906104</v>
      </c>
      <c r="P4259">
        <v>-0.72251557157497204</v>
      </c>
      <c r="Q4259">
        <v>0.21879127807853199</v>
      </c>
      <c r="R4259">
        <v>0.467705125356837</v>
      </c>
      <c r="S4259" t="s">
        <v>10085</v>
      </c>
      <c r="T4259" t="s">
        <v>11650</v>
      </c>
      <c r="U4259" t="s">
        <v>11650</v>
      </c>
      <c r="V4259" t="s">
        <v>11650</v>
      </c>
      <c r="W4259" t="s">
        <v>15855</v>
      </c>
      <c r="X4259">
        <v>2</v>
      </c>
      <c r="Y4259" t="s">
        <v>21531</v>
      </c>
      <c r="Z4259" t="s">
        <v>27321</v>
      </c>
      <c r="AA4259">
        <v>0.83547852335058082</v>
      </c>
      <c r="AB4259" t="str">
        <f>HYPERLINK("Melting_Curves/meltCurve_Q8WU17_RNF139.pdf", "Melting_Curves/meltCurve_Q8WU17_RNF139.pdf")</f>
        <v>Melting_Curves/meltCurve_Q8WU17_RNF139.pdf</v>
      </c>
    </row>
    <row r="4260" spans="1:28" x14ac:dyDescent="0.25">
      <c r="A4260" t="s">
        <v>4264</v>
      </c>
      <c r="B4260">
        <v>0.99996721820229495</v>
      </c>
      <c r="C4260">
        <v>1.03209272647192</v>
      </c>
      <c r="D4260">
        <v>0.98517192321861502</v>
      </c>
      <c r="E4260">
        <v>1.00910620728649</v>
      </c>
      <c r="F4260">
        <v>0.51112584590922405</v>
      </c>
      <c r="G4260">
        <v>0.25023608147401699</v>
      </c>
      <c r="H4260">
        <v>0.120486679793383</v>
      </c>
      <c r="I4260">
        <v>7.4935529470238904E-2</v>
      </c>
      <c r="J4260">
        <v>6.0408678247932099E-2</v>
      </c>
      <c r="K4260">
        <v>5.0698023849500201E-2</v>
      </c>
      <c r="L4260">
        <v>1904.4742823049701</v>
      </c>
      <c r="M4260">
        <v>35.820363240328099</v>
      </c>
      <c r="N4260">
        <v>53.458707010712999</v>
      </c>
      <c r="O4260">
        <v>53.002473589843099</v>
      </c>
      <c r="P4260">
        <v>-0.153974908522407</v>
      </c>
      <c r="Q4260">
        <v>8.8672034032757793E-2</v>
      </c>
      <c r="R4260">
        <v>0.986684020709369</v>
      </c>
      <c r="S4260" t="s">
        <v>10086</v>
      </c>
      <c r="T4260" t="s">
        <v>11650</v>
      </c>
      <c r="U4260" t="s">
        <v>11650</v>
      </c>
      <c r="V4260" t="s">
        <v>11650</v>
      </c>
      <c r="W4260" t="s">
        <v>15856</v>
      </c>
      <c r="X4260">
        <v>2</v>
      </c>
      <c r="Y4260" t="s">
        <v>21532</v>
      </c>
      <c r="Z4260" t="s">
        <v>27322</v>
      </c>
      <c r="AA4260">
        <v>0.49283658517405438</v>
      </c>
      <c r="AB4260" t="str">
        <f>HYPERLINK("Melting_Curves/meltCurve_Q8WU76_2_SCFD2.pdf", "Melting_Curves/meltCurve_Q8WU76_2_SCFD2.pdf")</f>
        <v>Melting_Curves/meltCurve_Q8WU76_2_SCFD2.pdf</v>
      </c>
    </row>
    <row r="4261" spans="1:28" x14ac:dyDescent="0.25">
      <c r="A4261" t="s">
        <v>4265</v>
      </c>
      <c r="B4261">
        <v>0.99996721820229495</v>
      </c>
      <c r="C4261">
        <v>0.97219667307850699</v>
      </c>
      <c r="D4261">
        <v>0.76379403358170295</v>
      </c>
      <c r="E4261">
        <v>0.398537881915562</v>
      </c>
      <c r="F4261">
        <v>0.27149442464652401</v>
      </c>
      <c r="G4261">
        <v>0.33516138637114901</v>
      </c>
      <c r="H4261">
        <v>0.277585780495478</v>
      </c>
      <c r="I4261">
        <v>0.17001762056864</v>
      </c>
      <c r="J4261">
        <v>0.167034158861711</v>
      </c>
      <c r="K4261">
        <v>8.2479707949548606E-2</v>
      </c>
      <c r="L4261">
        <v>1028.54732240775</v>
      </c>
      <c r="M4261">
        <v>21.477029620435701</v>
      </c>
      <c r="N4261">
        <v>48.999650964771</v>
      </c>
      <c r="O4261">
        <v>47.481196850721098</v>
      </c>
      <c r="P4261">
        <v>-9.1316232133424297E-2</v>
      </c>
      <c r="Q4261">
        <v>0.19249614630991099</v>
      </c>
      <c r="R4261">
        <v>0.96595827433182302</v>
      </c>
      <c r="S4261" t="s">
        <v>10087</v>
      </c>
      <c r="T4261" t="s">
        <v>11650</v>
      </c>
      <c r="U4261" t="s">
        <v>11650</v>
      </c>
      <c r="V4261" t="s">
        <v>11650</v>
      </c>
      <c r="W4261" t="s">
        <v>15857</v>
      </c>
      <c r="X4261">
        <v>6</v>
      </c>
      <c r="Y4261" t="s">
        <v>21533</v>
      </c>
      <c r="Z4261" t="s">
        <v>27323</v>
      </c>
      <c r="AA4261">
        <v>0.41476425979533998</v>
      </c>
      <c r="AB4261" t="str">
        <f>HYPERLINK("Melting_Curves/meltCurve_Q8WU79_2_SMAP2.pdf", "Melting_Curves/meltCurve_Q8WU79_2_SMAP2.pdf")</f>
        <v>Melting_Curves/meltCurve_Q8WU79_2_SMAP2.pdf</v>
      </c>
    </row>
    <row r="4262" spans="1:28" x14ac:dyDescent="0.25">
      <c r="A4262" t="s">
        <v>4266</v>
      </c>
      <c r="B4262">
        <v>0.99996721820229495</v>
      </c>
      <c r="C4262">
        <v>0.94161810145118896</v>
      </c>
      <c r="D4262">
        <v>0.98306276415718596</v>
      </c>
      <c r="E4262">
        <v>0.89549293186996104</v>
      </c>
      <c r="F4262">
        <v>0.93948284750574296</v>
      </c>
      <c r="G4262">
        <v>0.942527468870901</v>
      </c>
      <c r="H4262">
        <v>0.68171671895136798</v>
      </c>
      <c r="I4262">
        <v>0.55271027445477405</v>
      </c>
      <c r="J4262">
        <v>0.46696035931927898</v>
      </c>
      <c r="K4262">
        <v>0.46073294705735002</v>
      </c>
      <c r="L4262">
        <v>1693.3078891970599</v>
      </c>
      <c r="M4262">
        <v>27.957426053546701</v>
      </c>
      <c r="N4262">
        <v>65.613226018006003</v>
      </c>
      <c r="O4262">
        <v>60.260013320268101</v>
      </c>
      <c r="P4262">
        <v>-6.4749105681468896E-2</v>
      </c>
      <c r="Q4262">
        <v>0.441758392541029</v>
      </c>
      <c r="R4262">
        <v>0.95961397555134997</v>
      </c>
      <c r="S4262" t="s">
        <v>10088</v>
      </c>
      <c r="T4262" t="s">
        <v>11650</v>
      </c>
      <c r="U4262" t="s">
        <v>11650</v>
      </c>
      <c r="V4262" t="s">
        <v>11650</v>
      </c>
      <c r="W4262" t="s">
        <v>15858</v>
      </c>
      <c r="X4262">
        <v>3</v>
      </c>
      <c r="Y4262" t="s">
        <v>21534</v>
      </c>
      <c r="Z4262" t="s">
        <v>27324</v>
      </c>
      <c r="AA4262">
        <v>0.82796026867759998</v>
      </c>
      <c r="AB4262" t="str">
        <f>HYPERLINK("Melting_Curves/meltCurve_Q8WU90_ZC3H15.pdf", "Melting_Curves/meltCurve_Q8WU90_ZC3H15.pdf")</f>
        <v>Melting_Curves/meltCurve_Q8WU90_ZC3H15.pdf</v>
      </c>
    </row>
    <row r="4263" spans="1:28" x14ac:dyDescent="0.25">
      <c r="A4263" t="s">
        <v>4267</v>
      </c>
      <c r="B4263">
        <v>0.99996721820229495</v>
      </c>
      <c r="C4263">
        <v>1.1111632224890899</v>
      </c>
      <c r="D4263">
        <v>0.99994470885341002</v>
      </c>
      <c r="E4263">
        <v>0.67966186733554501</v>
      </c>
      <c r="F4263">
        <v>0.45256676148952302</v>
      </c>
      <c r="G4263">
        <v>0.40088113189194902</v>
      </c>
      <c r="H4263">
        <v>0.23832038108622899</v>
      </c>
      <c r="I4263">
        <v>0.159637244816561</v>
      </c>
      <c r="J4263">
        <v>0.12237592760741201</v>
      </c>
      <c r="K4263">
        <v>9.0505415171384704E-2</v>
      </c>
      <c r="L4263">
        <v>857.87223309737499</v>
      </c>
      <c r="M4263">
        <v>16.355455857634901</v>
      </c>
      <c r="N4263">
        <v>53.340764432780801</v>
      </c>
      <c r="O4263">
        <v>51.686426922700399</v>
      </c>
      <c r="P4263">
        <v>-6.9676516675344705E-2</v>
      </c>
      <c r="Q4263">
        <v>0.11929789257049001</v>
      </c>
      <c r="R4263">
        <v>0.968608464884536</v>
      </c>
      <c r="S4263" t="s">
        <v>10089</v>
      </c>
      <c r="T4263" t="s">
        <v>11650</v>
      </c>
      <c r="U4263" t="s">
        <v>11650</v>
      </c>
      <c r="V4263" t="s">
        <v>11650</v>
      </c>
      <c r="W4263" t="s">
        <v>15859</v>
      </c>
      <c r="X4263">
        <v>9</v>
      </c>
      <c r="Y4263" t="s">
        <v>21535</v>
      </c>
      <c r="Z4263" t="s">
        <v>27325</v>
      </c>
      <c r="AA4263">
        <v>0.50183003383043701</v>
      </c>
      <c r="AB4263" t="str">
        <f>HYPERLINK("Melting_Curves/meltCurve_Q8WUA2_PPIL4.pdf", "Melting_Curves/meltCurve_Q8WUA2_PPIL4.pdf")</f>
        <v>Melting_Curves/meltCurve_Q8WUA2_PPIL4.pdf</v>
      </c>
    </row>
    <row r="4264" spans="1:28" x14ac:dyDescent="0.25">
      <c r="A4264" t="s">
        <v>4268</v>
      </c>
      <c r="B4264">
        <v>0.99996721820229495</v>
      </c>
      <c r="C4264">
        <v>0.84929983398001896</v>
      </c>
      <c r="D4264">
        <v>0.75986745449052895</v>
      </c>
      <c r="E4264">
        <v>0.81192127030152395</v>
      </c>
      <c r="F4264">
        <v>0.82275899792761498</v>
      </c>
      <c r="G4264">
        <v>0.398377848779501</v>
      </c>
      <c r="H4264">
        <v>0.20041117616054299</v>
      </c>
      <c r="I4264">
        <v>0.16186682409252601</v>
      </c>
      <c r="J4264">
        <v>9.4030890516144397E-2</v>
      </c>
      <c r="K4264">
        <v>0.13667759632552001</v>
      </c>
      <c r="L4264">
        <v>675.67763555803197</v>
      </c>
      <c r="M4264">
        <v>12.0919391729478</v>
      </c>
      <c r="N4264">
        <v>55.878357639293803</v>
      </c>
      <c r="O4264">
        <v>54.415921934775199</v>
      </c>
      <c r="P4264">
        <v>-5.5566315696307302E-2</v>
      </c>
      <c r="Q4264">
        <v>0</v>
      </c>
      <c r="R4264">
        <v>0.92837284622153604</v>
      </c>
      <c r="S4264" t="s">
        <v>10090</v>
      </c>
      <c r="T4264" t="s">
        <v>11650</v>
      </c>
      <c r="U4264" t="s">
        <v>11650</v>
      </c>
      <c r="V4264" t="s">
        <v>11650</v>
      </c>
      <c r="W4264" t="s">
        <v>15860</v>
      </c>
      <c r="X4264">
        <v>2</v>
      </c>
      <c r="Y4264" t="s">
        <v>21536</v>
      </c>
      <c r="Z4264" t="s">
        <v>27326</v>
      </c>
      <c r="AA4264">
        <v>0.5499908018295282</v>
      </c>
      <c r="AB4264" t="str">
        <f>HYPERLINK("Melting_Curves/meltCurve_Q8WUA8_TSKU.pdf", "Melting_Curves/meltCurve_Q8WUA8_TSKU.pdf")</f>
        <v>Melting_Curves/meltCurve_Q8WUA8_TSKU.pdf</v>
      </c>
    </row>
    <row r="4265" spans="1:28" x14ac:dyDescent="0.25">
      <c r="A4265" t="s">
        <v>4269</v>
      </c>
      <c r="B4265">
        <v>0.99996721820229495</v>
      </c>
      <c r="C4265">
        <v>0.85763705813864</v>
      </c>
      <c r="D4265">
        <v>0.82992915340254503</v>
      </c>
      <c r="E4265">
        <v>0.80948346102324897</v>
      </c>
      <c r="F4265">
        <v>0.93220593173905397</v>
      </c>
      <c r="G4265">
        <v>0.80315430168079605</v>
      </c>
      <c r="H4265">
        <v>0.51171956492314996</v>
      </c>
      <c r="I4265">
        <v>0.45584785040428599</v>
      </c>
      <c r="J4265">
        <v>0.29720575349648798</v>
      </c>
      <c r="K4265">
        <v>0.259716182202965</v>
      </c>
      <c r="L4265">
        <v>591.04087879167196</v>
      </c>
      <c r="M4265">
        <v>9.4760966435998704</v>
      </c>
      <c r="N4265">
        <v>62.371747397682697</v>
      </c>
      <c r="O4265">
        <v>59.783500731599197</v>
      </c>
      <c r="P4265">
        <v>-3.9650383681505703E-2</v>
      </c>
      <c r="Q4265">
        <v>0</v>
      </c>
      <c r="R4265">
        <v>0.89771968170129701</v>
      </c>
      <c r="S4265" t="s">
        <v>10091</v>
      </c>
      <c r="T4265" t="s">
        <v>11650</v>
      </c>
      <c r="U4265" t="s">
        <v>11650</v>
      </c>
      <c r="V4265" t="s">
        <v>11650</v>
      </c>
      <c r="W4265" t="s">
        <v>15861</v>
      </c>
      <c r="X4265">
        <v>1</v>
      </c>
      <c r="Y4265" t="s">
        <v>21537</v>
      </c>
      <c r="Z4265" t="s">
        <v>27327</v>
      </c>
      <c r="AA4265">
        <v>0.71730897206458488</v>
      </c>
      <c r="AB4265" t="str">
        <f>HYPERLINK("Melting_Curves/meltCurve_Q8WUB8_3_PHF10.pdf", "Melting_Curves/meltCurve_Q8WUB8_3_PHF10.pdf")</f>
        <v>Melting_Curves/meltCurve_Q8WUB8_3_PHF10.pdf</v>
      </c>
    </row>
    <row r="4266" spans="1:28" x14ac:dyDescent="0.25">
      <c r="A4266" t="s">
        <v>4270</v>
      </c>
      <c r="B4266">
        <v>0.99996721820229495</v>
      </c>
      <c r="C4266">
        <v>0.92820248134233496</v>
      </c>
      <c r="D4266">
        <v>1.00907836395451</v>
      </c>
      <c r="E4266">
        <v>1.03627227478443</v>
      </c>
      <c r="F4266">
        <v>1.29152405924319</v>
      </c>
      <c r="G4266">
        <v>1.2186130410963201</v>
      </c>
      <c r="H4266">
        <v>0.86778089382041401</v>
      </c>
      <c r="I4266">
        <v>0.57990487509695798</v>
      </c>
      <c r="J4266">
        <v>0.256531957021846</v>
      </c>
      <c r="K4266">
        <v>0.12929207498085099</v>
      </c>
      <c r="L4266">
        <v>2554.9742488755701</v>
      </c>
      <c r="M4266">
        <v>39.8110225243625</v>
      </c>
      <c r="N4266">
        <v>64.562471323836903</v>
      </c>
      <c r="O4266">
        <v>64.016270884762903</v>
      </c>
      <c r="P4266">
        <v>-0.13904825893845099</v>
      </c>
      <c r="Q4266">
        <v>0.10564150037231999</v>
      </c>
      <c r="R4266">
        <v>0.89472135608008596</v>
      </c>
      <c r="S4266" t="s">
        <v>10092</v>
      </c>
      <c r="T4266" t="s">
        <v>11650</v>
      </c>
      <c r="U4266" t="s">
        <v>11650</v>
      </c>
      <c r="V4266" t="s">
        <v>11650</v>
      </c>
      <c r="W4266" t="s">
        <v>15862</v>
      </c>
      <c r="X4266">
        <v>17</v>
      </c>
      <c r="Y4266" t="s">
        <v>21538</v>
      </c>
      <c r="Z4266" t="s">
        <v>27328</v>
      </c>
      <c r="AA4266">
        <v>0.82825690075416392</v>
      </c>
      <c r="AB4266" t="str">
        <f>HYPERLINK("Melting_Curves/meltCurve_Q8WUD1_RAB2B.pdf", "Melting_Curves/meltCurve_Q8WUD1_RAB2B.pdf")</f>
        <v>Melting_Curves/meltCurve_Q8WUD1_RAB2B.pdf</v>
      </c>
    </row>
    <row r="4267" spans="1:28" x14ac:dyDescent="0.25">
      <c r="A4267" t="s">
        <v>4271</v>
      </c>
      <c r="B4267">
        <v>0.99996721820229495</v>
      </c>
      <c r="C4267">
        <v>0.89704650106206896</v>
      </c>
      <c r="D4267">
        <v>0.908515633104093</v>
      </c>
      <c r="E4267">
        <v>0.91810708693020004</v>
      </c>
      <c r="F4267">
        <v>0.76041381456014601</v>
      </c>
      <c r="G4267">
        <v>0.65016883014384896</v>
      </c>
      <c r="H4267">
        <v>0.39487814690561801</v>
      </c>
      <c r="I4267">
        <v>0.287124925732685</v>
      </c>
      <c r="J4267">
        <v>0.240312158544744</v>
      </c>
      <c r="K4267">
        <v>0.16811225353343801</v>
      </c>
      <c r="L4267">
        <v>630.25017476557605</v>
      </c>
      <c r="M4267">
        <v>10.638457960388999</v>
      </c>
      <c r="N4267">
        <v>59.242600214548503</v>
      </c>
      <c r="O4267">
        <v>57.264329775369603</v>
      </c>
      <c r="P4267">
        <v>-4.6462328225662201E-2</v>
      </c>
      <c r="Q4267">
        <v>0</v>
      </c>
      <c r="R4267">
        <v>0.983236426706945</v>
      </c>
      <c r="S4267" t="s">
        <v>10093</v>
      </c>
      <c r="T4267" t="s">
        <v>11650</v>
      </c>
      <c r="U4267" t="s">
        <v>11650</v>
      </c>
      <c r="V4267" t="s">
        <v>11650</v>
      </c>
      <c r="W4267" t="s">
        <v>15863</v>
      </c>
      <c r="X4267">
        <v>4</v>
      </c>
      <c r="Y4267" t="s">
        <v>21539</v>
      </c>
      <c r="Z4267" t="s">
        <v>27329</v>
      </c>
      <c r="AA4267">
        <v>0.64502297739139058</v>
      </c>
      <c r="AB4267" t="str">
        <f>HYPERLINK("Melting_Curves/meltCurve_Q8WUF5_PPP1R13L.pdf", "Melting_Curves/meltCurve_Q8WUF5_PPP1R13L.pdf")</f>
        <v>Melting_Curves/meltCurve_Q8WUF5_PPP1R13L.pdf</v>
      </c>
    </row>
    <row r="4268" spans="1:28" x14ac:dyDescent="0.25">
      <c r="A4268" t="s">
        <v>4272</v>
      </c>
      <c r="B4268">
        <v>0.99996721820229495</v>
      </c>
      <c r="C4268">
        <v>0.91469757422584297</v>
      </c>
      <c r="D4268">
        <v>0.78981456228768798</v>
      </c>
      <c r="E4268">
        <v>0.56738034174829999</v>
      </c>
      <c r="F4268">
        <v>0.34790392567791001</v>
      </c>
      <c r="G4268">
        <v>0.27743006509784202</v>
      </c>
      <c r="H4268">
        <v>0.130096481069437</v>
      </c>
      <c r="I4268">
        <v>8.9735205113503205E-2</v>
      </c>
      <c r="J4268">
        <v>5.57043965134527E-2</v>
      </c>
      <c r="K4268">
        <v>4.3275277806471897E-2</v>
      </c>
      <c r="L4268">
        <v>628.12821910981904</v>
      </c>
      <c r="M4268">
        <v>12.341873647413699</v>
      </c>
      <c r="N4268">
        <v>51.045228404198603</v>
      </c>
      <c r="O4268">
        <v>49.6132804944368</v>
      </c>
      <c r="P4268">
        <v>-6.1087742562787303E-2</v>
      </c>
      <c r="Q4268">
        <v>1.7942229758786201E-2</v>
      </c>
      <c r="R4268">
        <v>0.99519588019688698</v>
      </c>
      <c r="S4268" t="s">
        <v>10094</v>
      </c>
      <c r="T4268" t="s">
        <v>11650</v>
      </c>
      <c r="U4268" t="s">
        <v>11650</v>
      </c>
      <c r="V4268" t="s">
        <v>11650</v>
      </c>
      <c r="W4268" t="s">
        <v>15864</v>
      </c>
      <c r="X4268">
        <v>6</v>
      </c>
      <c r="Y4268" t="s">
        <v>21540</v>
      </c>
      <c r="Z4268" t="s">
        <v>27330</v>
      </c>
      <c r="AA4268">
        <v>0.40550302217652862</v>
      </c>
      <c r="AB4268" t="str">
        <f>HYPERLINK("Melting_Curves/meltCurve_Q8WUF8_FAM172A.pdf", "Melting_Curves/meltCurve_Q8WUF8_FAM172A.pdf")</f>
        <v>Melting_Curves/meltCurve_Q8WUF8_FAM172A.pdf</v>
      </c>
    </row>
    <row r="4269" spans="1:28" x14ac:dyDescent="0.25">
      <c r="A4269" t="s">
        <v>4273</v>
      </c>
      <c r="B4269">
        <v>0.99996721820229495</v>
      </c>
      <c r="C4269">
        <v>1.15021579966779</v>
      </c>
      <c r="D4269">
        <v>0.92051485983152004</v>
      </c>
      <c r="E4269">
        <v>0.68851228841457801</v>
      </c>
      <c r="F4269">
        <v>0.81627835523380199</v>
      </c>
      <c r="G4269">
        <v>0.62947649003079398</v>
      </c>
      <c r="H4269">
        <v>0.26699589841947502</v>
      </c>
      <c r="I4269">
        <v>0.13082509712392901</v>
      </c>
      <c r="J4269">
        <v>7.3040527825990395E-2</v>
      </c>
      <c r="K4269">
        <v>9.0522868163616599E-2</v>
      </c>
      <c r="L4269">
        <v>801.420792646721</v>
      </c>
      <c r="M4269">
        <v>13.987493825088601</v>
      </c>
      <c r="N4269">
        <v>57.2955243403879</v>
      </c>
      <c r="O4269">
        <v>56.162546707068003</v>
      </c>
      <c r="P4269">
        <v>-6.2271710011910099E-2</v>
      </c>
      <c r="Q4269">
        <v>0</v>
      </c>
      <c r="R4269">
        <v>0.94016783198354303</v>
      </c>
      <c r="S4269" t="s">
        <v>10095</v>
      </c>
      <c r="T4269" t="s">
        <v>11650</v>
      </c>
      <c r="U4269" t="s">
        <v>11650</v>
      </c>
      <c r="V4269" t="s">
        <v>11650</v>
      </c>
      <c r="W4269" t="s">
        <v>15865</v>
      </c>
      <c r="X4269">
        <v>3</v>
      </c>
      <c r="Y4269" t="s">
        <v>21541</v>
      </c>
      <c r="Z4269" t="s">
        <v>27331</v>
      </c>
      <c r="AA4269">
        <v>0.59208639582311406</v>
      </c>
      <c r="AB4269" t="str">
        <f>HYPERLINK("Melting_Curves/meltCurve_Q8WUH1_CHURC1.pdf", "Melting_Curves/meltCurve_Q8WUH1_CHURC1.pdf")</f>
        <v>Melting_Curves/meltCurve_Q8WUH1_CHURC1.pdf</v>
      </c>
    </row>
    <row r="4270" spans="1:28" x14ac:dyDescent="0.25">
      <c r="A4270" t="s">
        <v>4274</v>
      </c>
      <c r="B4270">
        <v>0.99996721820229495</v>
      </c>
      <c r="C4270">
        <v>1.01936317303157</v>
      </c>
      <c r="D4270">
        <v>0.93911960651870396</v>
      </c>
      <c r="E4270">
        <v>0.667997601721118</v>
      </c>
      <c r="F4270">
        <v>0.52528751226956705</v>
      </c>
      <c r="G4270">
        <v>0.38045472199288699</v>
      </c>
      <c r="H4270">
        <v>0.22987593614056701</v>
      </c>
      <c r="I4270">
        <v>0.24641154115477101</v>
      </c>
      <c r="J4270">
        <v>0.25123631752512199</v>
      </c>
      <c r="K4270">
        <v>0.16551332755043</v>
      </c>
      <c r="L4270">
        <v>850.95675782503201</v>
      </c>
      <c r="M4270">
        <v>16.449735578046099</v>
      </c>
      <c r="N4270">
        <v>53.374249236713602</v>
      </c>
      <c r="O4270">
        <v>50.984342164058702</v>
      </c>
      <c r="P4270">
        <v>-6.4637346797516995E-2</v>
      </c>
      <c r="Q4270">
        <v>0.19870781135600199</v>
      </c>
      <c r="R4270">
        <v>0.98997501608182104</v>
      </c>
      <c r="S4270" t="s">
        <v>10096</v>
      </c>
      <c r="T4270" t="s">
        <v>11650</v>
      </c>
      <c r="U4270" t="s">
        <v>11650</v>
      </c>
      <c r="V4270" t="s">
        <v>11650</v>
      </c>
      <c r="W4270" t="s">
        <v>15866</v>
      </c>
      <c r="X4270">
        <v>5</v>
      </c>
      <c r="Y4270" t="s">
        <v>21542</v>
      </c>
      <c r="Z4270" t="s">
        <v>27332</v>
      </c>
      <c r="AA4270">
        <v>0.52761927311181023</v>
      </c>
      <c r="AB4270" t="str">
        <f>HYPERLINK("Melting_Curves/meltCurve_Q8WUH6_C12orf23.pdf", "Melting_Curves/meltCurve_Q8WUH6_C12orf23.pdf")</f>
        <v>Melting_Curves/meltCurve_Q8WUH6_C12orf23.pdf</v>
      </c>
    </row>
    <row r="4271" spans="1:28" x14ac:dyDescent="0.25">
      <c r="A4271" t="s">
        <v>4275</v>
      </c>
      <c r="B4271">
        <v>0.99996721820229495</v>
      </c>
      <c r="C4271">
        <v>0.90334226813589302</v>
      </c>
      <c r="D4271">
        <v>0.88995562657961902</v>
      </c>
      <c r="E4271">
        <v>0.87964827827241099</v>
      </c>
      <c r="F4271">
        <v>0.80795720730912102</v>
      </c>
      <c r="G4271">
        <v>0.66252165059505697</v>
      </c>
      <c r="H4271">
        <v>0.28771283936898001</v>
      </c>
      <c r="I4271">
        <v>0.17280482752087001</v>
      </c>
      <c r="J4271">
        <v>0.14393086506855099</v>
      </c>
      <c r="K4271">
        <v>7.6240029823657296E-2</v>
      </c>
      <c r="L4271">
        <v>865.97808587662905</v>
      </c>
      <c r="M4271">
        <v>14.8731833373705</v>
      </c>
      <c r="N4271">
        <v>58.2241252324756</v>
      </c>
      <c r="O4271">
        <v>57.201969416493696</v>
      </c>
      <c r="P4271">
        <v>-6.5009723085997007E-2</v>
      </c>
      <c r="Q4271">
        <v>0</v>
      </c>
      <c r="R4271">
        <v>0.97597380022402302</v>
      </c>
      <c r="S4271" t="s">
        <v>10097</v>
      </c>
      <c r="T4271" t="s">
        <v>11650</v>
      </c>
      <c r="U4271" t="s">
        <v>11650</v>
      </c>
      <c r="V4271" t="s">
        <v>11650</v>
      </c>
      <c r="W4271" t="s">
        <v>15867</v>
      </c>
      <c r="X4271">
        <v>4</v>
      </c>
      <c r="Y4271" t="s">
        <v>21543</v>
      </c>
      <c r="Z4271" t="s">
        <v>27333</v>
      </c>
      <c r="AA4271">
        <v>0.62029875975013837</v>
      </c>
      <c r="AB4271" t="str">
        <f>HYPERLINK("Melting_Curves/meltCurve_Q8WUI4_3_HDAC7.pdf", "Melting_Curves/meltCurve_Q8WUI4_3_HDAC7.pdf")</f>
        <v>Melting_Curves/meltCurve_Q8WUI4_3_HDAC7.pdf</v>
      </c>
    </row>
    <row r="4272" spans="1:28" x14ac:dyDescent="0.25">
      <c r="A4272" t="s">
        <v>4276</v>
      </c>
      <c r="B4272">
        <v>0.99996721820229495</v>
      </c>
      <c r="C4272">
        <v>1.04352194004718</v>
      </c>
      <c r="D4272">
        <v>1.0157372203135</v>
      </c>
      <c r="E4272">
        <v>0.66683473937128501</v>
      </c>
      <c r="F4272">
        <v>0.46791622053001503</v>
      </c>
      <c r="G4272">
        <v>0.38702765057010002</v>
      </c>
      <c r="H4272">
        <v>0.22159669942257501</v>
      </c>
      <c r="I4272">
        <v>0.24411503560433301</v>
      </c>
      <c r="J4272">
        <v>0.12359621110017199</v>
      </c>
      <c r="K4272">
        <v>0.15120417093173399</v>
      </c>
      <c r="L4272">
        <v>940.83902691501203</v>
      </c>
      <c r="M4272">
        <v>18.149490709721299</v>
      </c>
      <c r="N4272">
        <v>53.0580375083779</v>
      </c>
      <c r="O4272">
        <v>51.221285458732901</v>
      </c>
      <c r="P4272">
        <v>-7.3477969417756694E-2</v>
      </c>
      <c r="Q4272">
        <v>0.170564866425196</v>
      </c>
      <c r="R4272">
        <v>0.97634095998077497</v>
      </c>
      <c r="S4272" t="s">
        <v>10098</v>
      </c>
      <c r="T4272" t="s">
        <v>11650</v>
      </c>
      <c r="U4272" t="s">
        <v>11650</v>
      </c>
      <c r="V4272" t="s">
        <v>11650</v>
      </c>
      <c r="W4272" t="s">
        <v>15868</v>
      </c>
      <c r="X4272">
        <v>1</v>
      </c>
      <c r="Y4272" t="s">
        <v>21544</v>
      </c>
      <c r="Z4272" t="s">
        <v>27334</v>
      </c>
      <c r="AA4272">
        <v>0.51150537312781663</v>
      </c>
      <c r="AB4272" t="str">
        <f>HYPERLINK("Melting_Curves/meltCurve_Q8WUJ0_STYX.pdf", "Melting_Curves/meltCurve_Q8WUJ0_STYX.pdf")</f>
        <v>Melting_Curves/meltCurve_Q8WUJ0_STYX.pdf</v>
      </c>
    </row>
    <row r="4273" spans="1:28" x14ac:dyDescent="0.25">
      <c r="A4273" t="s">
        <v>4277</v>
      </c>
      <c r="B4273">
        <v>0.99996721820229495</v>
      </c>
      <c r="C4273">
        <v>1.1302120558389099</v>
      </c>
      <c r="D4273">
        <v>0.98999807383649197</v>
      </c>
      <c r="E4273">
        <v>0.90910216638403896</v>
      </c>
      <c r="F4273">
        <v>0.72526397147969501</v>
      </c>
      <c r="G4273">
        <v>0.59466665987004796</v>
      </c>
      <c r="H4273">
        <v>0.42990388152204301</v>
      </c>
      <c r="I4273">
        <v>0.42465921979415999</v>
      </c>
      <c r="J4273">
        <v>0.36524328751225099</v>
      </c>
      <c r="K4273">
        <v>0.219171425421778</v>
      </c>
      <c r="L4273">
        <v>764.47729318322899</v>
      </c>
      <c r="M4273">
        <v>13.5490121333575</v>
      </c>
      <c r="N4273">
        <v>59.305284062345002</v>
      </c>
      <c r="O4273">
        <v>55.236561016652701</v>
      </c>
      <c r="P4273">
        <v>-4.6539927411701702E-2</v>
      </c>
      <c r="Q4273">
        <v>0.2411792369752</v>
      </c>
      <c r="R4273">
        <v>0.96214603510347796</v>
      </c>
      <c r="S4273" t="s">
        <v>10099</v>
      </c>
      <c r="T4273" t="s">
        <v>11650</v>
      </c>
      <c r="U4273" t="s">
        <v>11650</v>
      </c>
      <c r="V4273" t="s">
        <v>11650</v>
      </c>
      <c r="W4273" t="s">
        <v>15869</v>
      </c>
      <c r="X4273">
        <v>1</v>
      </c>
      <c r="Y4273" t="s">
        <v>21545</v>
      </c>
      <c r="Z4273" t="s">
        <v>27335</v>
      </c>
      <c r="AA4273">
        <v>0.67032250885855049</v>
      </c>
      <c r="AB4273" t="str">
        <f>HYPERLINK("Melting_Curves/meltCurve_Q8WUK0_2_PTPMT1.pdf", "Melting_Curves/meltCurve_Q8WUK0_2_PTPMT1.pdf")</f>
        <v>Melting_Curves/meltCurve_Q8WUK0_2_PTPMT1.pdf</v>
      </c>
    </row>
    <row r="4274" spans="1:28" x14ac:dyDescent="0.25">
      <c r="A4274" t="s">
        <v>4278</v>
      </c>
      <c r="B4274">
        <v>0.99996721820229495</v>
      </c>
      <c r="C4274">
        <v>1.04073718888563</v>
      </c>
      <c r="D4274">
        <v>1.0189324153856401</v>
      </c>
      <c r="E4274">
        <v>0.34487395500510598</v>
      </c>
      <c r="F4274">
        <v>0.20012421448023801</v>
      </c>
      <c r="G4274">
        <v>0.15775679153904201</v>
      </c>
      <c r="H4274">
        <v>0.10367561482245399</v>
      </c>
      <c r="I4274">
        <v>7.1815234156118096E-2</v>
      </c>
      <c r="J4274">
        <v>5.43657338682225E-2</v>
      </c>
      <c r="K4274">
        <v>4.0824770979990703E-2</v>
      </c>
      <c r="L4274">
        <v>2590.2215531155298</v>
      </c>
      <c r="M4274">
        <v>52.710787130161201</v>
      </c>
      <c r="N4274">
        <v>49.348553288471599</v>
      </c>
      <c r="O4274">
        <v>49.069679865888503</v>
      </c>
      <c r="P4274">
        <v>-0.24176608181256801</v>
      </c>
      <c r="Q4274">
        <v>9.9738279962578696E-2</v>
      </c>
      <c r="R4274">
        <v>0.98824297400385797</v>
      </c>
      <c r="S4274" t="s">
        <v>10100</v>
      </c>
      <c r="T4274" t="s">
        <v>11650</v>
      </c>
      <c r="U4274" t="s">
        <v>11650</v>
      </c>
      <c r="V4274" t="s">
        <v>11650</v>
      </c>
      <c r="W4274" t="s">
        <v>15870</v>
      </c>
      <c r="X4274">
        <v>64</v>
      </c>
      <c r="Y4274" t="s">
        <v>21546</v>
      </c>
      <c r="Z4274" t="s">
        <v>27336</v>
      </c>
      <c r="AA4274">
        <v>0.37578064883232659</v>
      </c>
      <c r="AB4274" t="str">
        <f>HYPERLINK("Melting_Curves/meltCurve_Q8WUM4_PDCD6IP.pdf", "Melting_Curves/meltCurve_Q8WUM4_PDCD6IP.pdf")</f>
        <v>Melting_Curves/meltCurve_Q8WUM4_PDCD6IP.pdf</v>
      </c>
    </row>
    <row r="4275" spans="1:28" x14ac:dyDescent="0.25">
      <c r="A4275" t="s">
        <v>4279</v>
      </c>
      <c r="B4275">
        <v>0.99996721820229495</v>
      </c>
      <c r="C4275">
        <v>0.73129499126611797</v>
      </c>
      <c r="D4275">
        <v>0.90634325771833502</v>
      </c>
      <c r="E4275">
        <v>1.03024427197832</v>
      </c>
      <c r="F4275">
        <v>1.34646349007762</v>
      </c>
      <c r="G4275">
        <v>1.33283004510047</v>
      </c>
      <c r="H4275">
        <v>1.03655073177535</v>
      </c>
      <c r="I4275">
        <v>0.71714354024898996</v>
      </c>
      <c r="J4275">
        <v>0.41621262572341999</v>
      </c>
      <c r="K4275">
        <v>0.55558708337013796</v>
      </c>
      <c r="L4275">
        <v>15000</v>
      </c>
      <c r="M4275">
        <v>234.57648824515101</v>
      </c>
      <c r="N4275">
        <v>64.932730374245295</v>
      </c>
      <c r="O4275">
        <v>63.940386634481897</v>
      </c>
      <c r="P4275">
        <v>-0.471519872712857</v>
      </c>
      <c r="Q4275">
        <v>0.48589630780848803</v>
      </c>
      <c r="R4275">
        <v>0.61747505138991798</v>
      </c>
      <c r="S4275" t="s">
        <v>10101</v>
      </c>
      <c r="T4275" t="s">
        <v>11650</v>
      </c>
      <c r="U4275" t="s">
        <v>11650</v>
      </c>
      <c r="V4275" t="s">
        <v>11650</v>
      </c>
      <c r="W4275" t="s">
        <v>15871</v>
      </c>
      <c r="X4275">
        <v>7</v>
      </c>
      <c r="Y4275" t="s">
        <v>21547</v>
      </c>
      <c r="Z4275" t="s">
        <v>27337</v>
      </c>
      <c r="AA4275">
        <v>0.89630274220596917</v>
      </c>
      <c r="AB4275" t="str">
        <f>HYPERLINK("Melting_Curves/meltCurve_Q8WUM9_SLC20A1.pdf", "Melting_Curves/meltCurve_Q8WUM9_SLC20A1.pdf")</f>
        <v>Melting_Curves/meltCurve_Q8WUM9_SLC20A1.pdf</v>
      </c>
    </row>
    <row r="4276" spans="1:28" x14ac:dyDescent="0.25">
      <c r="A4276" t="s">
        <v>4280</v>
      </c>
      <c r="B4276">
        <v>0.99996721820229495</v>
      </c>
      <c r="C4276">
        <v>0.94106615738141297</v>
      </c>
      <c r="D4276">
        <v>0.89086644923977998</v>
      </c>
      <c r="E4276">
        <v>0.902045301578145</v>
      </c>
      <c r="F4276">
        <v>0.97751731198482605</v>
      </c>
      <c r="G4276">
        <v>0.88895434499079595</v>
      </c>
      <c r="H4276">
        <v>0.404776500643935</v>
      </c>
      <c r="I4276">
        <v>0.28165974751536799</v>
      </c>
      <c r="J4276">
        <v>0.237550694419254</v>
      </c>
      <c r="K4276">
        <v>0.19677423697278401</v>
      </c>
      <c r="L4276">
        <v>2431.3513389780701</v>
      </c>
      <c r="M4276">
        <v>40.950166694924903</v>
      </c>
      <c r="N4276">
        <v>60.226685189498902</v>
      </c>
      <c r="O4276">
        <v>59.232352851197</v>
      </c>
      <c r="P4276">
        <v>-0.13479634519566799</v>
      </c>
      <c r="Q4276">
        <v>0.22009698755176399</v>
      </c>
      <c r="R4276">
        <v>0.97484323666621997</v>
      </c>
      <c r="S4276" t="s">
        <v>10102</v>
      </c>
      <c r="T4276" t="s">
        <v>11650</v>
      </c>
      <c r="U4276" t="s">
        <v>11650</v>
      </c>
      <c r="V4276" t="s">
        <v>11650</v>
      </c>
      <c r="W4276" t="s">
        <v>15872</v>
      </c>
      <c r="X4276">
        <v>22</v>
      </c>
      <c r="Y4276" t="s">
        <v>21548</v>
      </c>
      <c r="Z4276" t="s">
        <v>27338</v>
      </c>
      <c r="AA4276">
        <v>0.7266857138140963</v>
      </c>
      <c r="AB4276" t="str">
        <f>HYPERLINK("Melting_Curves/meltCurve_Q8WUP2_FBLIM1.pdf", "Melting_Curves/meltCurve_Q8WUP2_FBLIM1.pdf")</f>
        <v>Melting_Curves/meltCurve_Q8WUP2_FBLIM1.pdf</v>
      </c>
    </row>
    <row r="4277" spans="1:28" x14ac:dyDescent="0.25">
      <c r="A4277" t="s">
        <v>4281</v>
      </c>
      <c r="B4277">
        <v>0.99996721820229495</v>
      </c>
      <c r="C4277">
        <v>0.96056062591997804</v>
      </c>
      <c r="D4277">
        <v>0.83533430785555096</v>
      </c>
      <c r="E4277">
        <v>0.90456395107898402</v>
      </c>
      <c r="F4277">
        <v>1.14726669536767</v>
      </c>
      <c r="G4277">
        <v>1.0973563103422199</v>
      </c>
      <c r="H4277">
        <v>0.85293275764493803</v>
      </c>
      <c r="I4277">
        <v>0.62817157118615896</v>
      </c>
      <c r="J4277">
        <v>0.63449449456143303</v>
      </c>
      <c r="K4277">
        <v>0.48413442267759998</v>
      </c>
      <c r="L4277">
        <v>2978.0128926992002</v>
      </c>
      <c r="M4277">
        <v>47.976501875315002</v>
      </c>
      <c r="O4277">
        <v>61.964763807115602</v>
      </c>
      <c r="P4277">
        <v>-8.7548933757515504E-2</v>
      </c>
      <c r="Q4277">
        <v>0.54769994910355102</v>
      </c>
      <c r="R4277">
        <v>0.80770447987165905</v>
      </c>
      <c r="S4277" t="s">
        <v>10103</v>
      </c>
      <c r="T4277" t="s">
        <v>11650</v>
      </c>
      <c r="U4277" t="s">
        <v>11650</v>
      </c>
      <c r="V4277" t="s">
        <v>11650</v>
      </c>
      <c r="W4277" t="s">
        <v>15873</v>
      </c>
      <c r="X4277">
        <v>3</v>
      </c>
      <c r="Y4277" t="s">
        <v>21549</v>
      </c>
      <c r="Z4277" t="s">
        <v>27339</v>
      </c>
      <c r="AA4277">
        <v>0.8817091648439418</v>
      </c>
      <c r="AB4277" t="str">
        <f>HYPERLINK("Melting_Curves/meltCurve_Q8WUR7_C15orf40.pdf", "Melting_Curves/meltCurve_Q8WUR7_C15orf40.pdf")</f>
        <v>Melting_Curves/meltCurve_Q8WUR7_C15orf40.pdf</v>
      </c>
    </row>
    <row r="4278" spans="1:28" x14ac:dyDescent="0.25">
      <c r="A4278" t="s">
        <v>4282</v>
      </c>
      <c r="B4278">
        <v>0.99996721820229495</v>
      </c>
      <c r="C4278">
        <v>1.1667861269072499</v>
      </c>
      <c r="D4278">
        <v>1.10952061108581</v>
      </c>
      <c r="E4278">
        <v>1.21065503872402</v>
      </c>
      <c r="F4278">
        <v>1.14157963373045</v>
      </c>
      <c r="G4278">
        <v>0.746202826398497</v>
      </c>
      <c r="H4278">
        <v>0.31079798018405802</v>
      </c>
      <c r="I4278">
        <v>0.142894556357238</v>
      </c>
      <c r="J4278">
        <v>8.5660347537103804E-2</v>
      </c>
      <c r="K4278">
        <v>4.41178580907544E-2</v>
      </c>
      <c r="L4278">
        <v>2040.1888807601799</v>
      </c>
      <c r="M4278">
        <v>34.569589771288399</v>
      </c>
      <c r="N4278">
        <v>59.260925609145403</v>
      </c>
      <c r="O4278">
        <v>58.820403680440997</v>
      </c>
      <c r="P4278">
        <v>-0.13718041376481299</v>
      </c>
      <c r="Q4278">
        <v>6.6349304725754094E-2</v>
      </c>
      <c r="R4278">
        <v>0.94850127547088203</v>
      </c>
      <c r="S4278" t="s">
        <v>10104</v>
      </c>
      <c r="T4278" t="s">
        <v>11650</v>
      </c>
      <c r="U4278" t="s">
        <v>11650</v>
      </c>
      <c r="V4278" t="s">
        <v>11650</v>
      </c>
      <c r="W4278" t="s">
        <v>15874</v>
      </c>
      <c r="X4278">
        <v>4</v>
      </c>
      <c r="Y4278" t="s">
        <v>21550</v>
      </c>
      <c r="Z4278" t="s">
        <v>27340</v>
      </c>
      <c r="AA4278">
        <v>0.66294850616708689</v>
      </c>
      <c r="AB4278" t="str">
        <f>HYPERLINK("Melting_Curves/meltCurve_Q8WUX2_CHAC2.pdf", "Melting_Curves/meltCurve_Q8WUX2_CHAC2.pdf")</f>
        <v>Melting_Curves/meltCurve_Q8WUX2_CHAC2.pdf</v>
      </c>
    </row>
    <row r="4279" spans="1:28" x14ac:dyDescent="0.25">
      <c r="A4279" t="s">
        <v>4283</v>
      </c>
      <c r="B4279">
        <v>0.99996721820229495</v>
      </c>
      <c r="C4279">
        <v>0.918030214100098</v>
      </c>
      <c r="D4279">
        <v>0.74440542421593903</v>
      </c>
      <c r="E4279">
        <v>0.34447433706470898</v>
      </c>
      <c r="F4279">
        <v>0.26964012749410698</v>
      </c>
      <c r="G4279">
        <v>0.22982289208970899</v>
      </c>
      <c r="H4279">
        <v>0.14671445838557601</v>
      </c>
      <c r="I4279">
        <v>0.12936855201286099</v>
      </c>
      <c r="J4279">
        <v>0.117006417395545</v>
      </c>
      <c r="K4279">
        <v>7.7914813527170598E-2</v>
      </c>
      <c r="L4279">
        <v>923.29125618240005</v>
      </c>
      <c r="M4279">
        <v>19.286859570495999</v>
      </c>
      <c r="N4279">
        <v>48.603028175215499</v>
      </c>
      <c r="O4279">
        <v>47.3657840932364</v>
      </c>
      <c r="P4279">
        <v>-8.8977125994797304E-2</v>
      </c>
      <c r="Q4279">
        <v>0.12597212132027</v>
      </c>
      <c r="R4279">
        <v>0.99031766002164201</v>
      </c>
      <c r="S4279" t="s">
        <v>10105</v>
      </c>
      <c r="T4279" t="s">
        <v>11650</v>
      </c>
      <c r="U4279" t="s">
        <v>11650</v>
      </c>
      <c r="V4279" t="s">
        <v>11650</v>
      </c>
      <c r="W4279" t="s">
        <v>15875</v>
      </c>
      <c r="X4279">
        <v>8</v>
      </c>
      <c r="Y4279" t="s">
        <v>21551</v>
      </c>
      <c r="Z4279" t="s">
        <v>27341</v>
      </c>
      <c r="AA4279">
        <v>0.36875934938537558</v>
      </c>
      <c r="AB4279" t="str">
        <f>HYPERLINK("Melting_Curves/meltCurve_Q8WUX9_CHMP7.pdf", "Melting_Curves/meltCurve_Q8WUX9_CHMP7.pdf")</f>
        <v>Melting_Curves/meltCurve_Q8WUX9_CHMP7.pdf</v>
      </c>
    </row>
    <row r="4280" spans="1:28" x14ac:dyDescent="0.25">
      <c r="A4280" t="s">
        <v>4284</v>
      </c>
      <c r="B4280">
        <v>0.99996721820229495</v>
      </c>
      <c r="C4280">
        <v>0.85903419834499495</v>
      </c>
      <c r="D4280">
        <v>0.86323287731771403</v>
      </c>
      <c r="E4280">
        <v>0.89805549701949305</v>
      </c>
      <c r="F4280">
        <v>1.05541597557463</v>
      </c>
      <c r="G4280">
        <v>1.0811979255681401</v>
      </c>
      <c r="H4280">
        <v>0.82896407751763901</v>
      </c>
      <c r="I4280">
        <v>0.55427001491751404</v>
      </c>
      <c r="J4280">
        <v>0.32512468140905798</v>
      </c>
      <c r="K4280">
        <v>0.13989497336012799</v>
      </c>
      <c r="L4280">
        <v>1939.30934945222</v>
      </c>
      <c r="M4280">
        <v>30.186954807544399</v>
      </c>
      <c r="N4280">
        <v>64.658111772506402</v>
      </c>
      <c r="O4280">
        <v>63.963338432319503</v>
      </c>
      <c r="P4280">
        <v>-0.107599451015058</v>
      </c>
      <c r="Q4280">
        <v>8.8033049250438006E-2</v>
      </c>
      <c r="R4280">
        <v>0.92923733624702898</v>
      </c>
      <c r="S4280" t="s">
        <v>10106</v>
      </c>
      <c r="T4280" t="s">
        <v>11650</v>
      </c>
      <c r="U4280" t="s">
        <v>11650</v>
      </c>
      <c r="V4280" t="s">
        <v>11650</v>
      </c>
      <c r="W4280" t="s">
        <v>15876</v>
      </c>
      <c r="X4280">
        <v>7</v>
      </c>
      <c r="Y4280" t="s">
        <v>21552</v>
      </c>
      <c r="Z4280" t="s">
        <v>27342</v>
      </c>
      <c r="AA4280">
        <v>0.82548950971003177</v>
      </c>
      <c r="AB4280" t="str">
        <f>HYPERLINK("Melting_Curves/meltCurve_Q8WUY1_THEM6.pdf", "Melting_Curves/meltCurve_Q8WUY1_THEM6.pdf")</f>
        <v>Melting_Curves/meltCurve_Q8WUY1_THEM6.pdf</v>
      </c>
    </row>
    <row r="4281" spans="1:28" x14ac:dyDescent="0.25">
      <c r="A4281" t="s">
        <v>4285</v>
      </c>
      <c r="B4281">
        <v>0.99996721820229495</v>
      </c>
      <c r="C4281">
        <v>0.987058640233615</v>
      </c>
      <c r="D4281">
        <v>0.96727405139729505</v>
      </c>
      <c r="E4281">
        <v>1.01058341075558</v>
      </c>
      <c r="F4281">
        <v>0.93237869011947505</v>
      </c>
      <c r="G4281">
        <v>0.75453890388896305</v>
      </c>
      <c r="H4281">
        <v>0.49959411625878403</v>
      </c>
      <c r="I4281">
        <v>0.31993247910730599</v>
      </c>
      <c r="J4281">
        <v>0.254664400610982</v>
      </c>
      <c r="K4281">
        <v>0.200029988348948</v>
      </c>
      <c r="L4281">
        <v>1189.7802003899001</v>
      </c>
      <c r="M4281">
        <v>19.950875878269802</v>
      </c>
      <c r="N4281">
        <v>60.824529917985899</v>
      </c>
      <c r="O4281">
        <v>59.046035726423703</v>
      </c>
      <c r="P4281">
        <v>-7.0833618599748405E-2</v>
      </c>
      <c r="Q4281">
        <v>0.16147898391177701</v>
      </c>
      <c r="R4281">
        <v>0.997753617017475</v>
      </c>
      <c r="S4281" t="s">
        <v>10107</v>
      </c>
      <c r="T4281" t="s">
        <v>11650</v>
      </c>
      <c r="U4281" t="s">
        <v>11650</v>
      </c>
      <c r="V4281" t="s">
        <v>11650</v>
      </c>
      <c r="W4281" t="s">
        <v>15877</v>
      </c>
      <c r="X4281">
        <v>18</v>
      </c>
      <c r="Y4281" t="s">
        <v>21553</v>
      </c>
      <c r="Z4281" t="s">
        <v>27343</v>
      </c>
      <c r="AA4281">
        <v>0.71789238636107711</v>
      </c>
      <c r="AB4281" t="str">
        <f>HYPERLINK("Melting_Curves/meltCurve_Q8WUY3_4_PRUNE2.pdf", "Melting_Curves/meltCurve_Q8WUY3_4_PRUNE2.pdf")</f>
        <v>Melting_Curves/meltCurve_Q8WUY3_4_PRUNE2.pdf</v>
      </c>
    </row>
    <row r="4282" spans="1:28" x14ac:dyDescent="0.25">
      <c r="A4282" t="s">
        <v>4286</v>
      </c>
      <c r="B4282">
        <v>0.99996721820229495</v>
      </c>
      <c r="C4282">
        <v>0.84804612611168595</v>
      </c>
      <c r="D4282">
        <v>1.07151358731102</v>
      </c>
      <c r="E4282">
        <v>0.87099907092273499</v>
      </c>
      <c r="F4282">
        <v>0.58415061546819602</v>
      </c>
      <c r="G4282">
        <v>0.410590479902816</v>
      </c>
      <c r="H4282">
        <v>0.16367475388696801</v>
      </c>
      <c r="I4282">
        <v>8.00765006406636E-2</v>
      </c>
      <c r="J4282">
        <v>8.2412320749712401E-2</v>
      </c>
      <c r="K4282">
        <v>3.2511844938252099E-2</v>
      </c>
      <c r="L4282">
        <v>925.49994112202501</v>
      </c>
      <c r="M4282">
        <v>16.856060597796102</v>
      </c>
      <c r="N4282">
        <v>55.022162283350497</v>
      </c>
      <c r="O4282">
        <v>54.150744278164197</v>
      </c>
      <c r="P4282">
        <v>-7.6465466352936898E-2</v>
      </c>
      <c r="Q4282">
        <v>1.7469749047931901E-2</v>
      </c>
      <c r="R4282">
        <v>0.973146836081074</v>
      </c>
      <c r="S4282" t="s">
        <v>10108</v>
      </c>
      <c r="T4282" t="s">
        <v>11650</v>
      </c>
      <c r="U4282" t="s">
        <v>11650</v>
      </c>
      <c r="V4282" t="s">
        <v>11650</v>
      </c>
      <c r="W4282" t="s">
        <v>15878</v>
      </c>
      <c r="X4282">
        <v>2</v>
      </c>
      <c r="Y4282" t="s">
        <v>21554</v>
      </c>
      <c r="Z4282" t="s">
        <v>27344</v>
      </c>
      <c r="AA4282">
        <v>0.52228961420075282</v>
      </c>
      <c r="AB4282" t="str">
        <f>HYPERLINK("Melting_Curves/meltCurve_Q8WUY8_NAT14.pdf", "Melting_Curves/meltCurve_Q8WUY8_NAT14.pdf")</f>
        <v>Melting_Curves/meltCurve_Q8WUY8_NAT14.pdf</v>
      </c>
    </row>
    <row r="4283" spans="1:28" x14ac:dyDescent="0.25">
      <c r="A4283" t="s">
        <v>4287</v>
      </c>
      <c r="B4283">
        <v>0.99996721820229495</v>
      </c>
      <c r="C4283">
        <v>0.90166739326659096</v>
      </c>
      <c r="D4283">
        <v>0.63411636474960598</v>
      </c>
      <c r="E4283">
        <v>0.63197883965249702</v>
      </c>
      <c r="F4283">
        <v>0.657009189677772</v>
      </c>
      <c r="G4283">
        <v>0.73426458004231498</v>
      </c>
      <c r="H4283">
        <v>0.46979332191467699</v>
      </c>
      <c r="I4283">
        <v>0.319862253061237</v>
      </c>
      <c r="J4283">
        <v>0.30335418001095099</v>
      </c>
      <c r="K4283">
        <v>0.205531014387308</v>
      </c>
      <c r="L4283">
        <v>316.04206536287899</v>
      </c>
      <c r="M4283">
        <v>5.4424688253247204</v>
      </c>
      <c r="N4283">
        <v>58.069614269728298</v>
      </c>
      <c r="O4283">
        <v>51.633733224307903</v>
      </c>
      <c r="P4283">
        <v>-2.64717461538664E-2</v>
      </c>
      <c r="Q4283">
        <v>0</v>
      </c>
      <c r="R4283">
        <v>0.84002073231852403</v>
      </c>
      <c r="S4283" t="s">
        <v>10109</v>
      </c>
      <c r="T4283" t="s">
        <v>11650</v>
      </c>
      <c r="U4283" t="s">
        <v>11650</v>
      </c>
      <c r="V4283" t="s">
        <v>11650</v>
      </c>
      <c r="W4283" t="s">
        <v>15879</v>
      </c>
      <c r="X4283">
        <v>1</v>
      </c>
      <c r="Y4283" t="s">
        <v>21555</v>
      </c>
      <c r="Z4283" t="s">
        <v>27345</v>
      </c>
      <c r="AA4283">
        <v>0.58802157564425239</v>
      </c>
      <c r="AB4283" t="str">
        <f>HYPERLINK("Melting_Curves/meltCurve_Q8WV41_SNX33.pdf", "Melting_Curves/meltCurve_Q8WV41_SNX33.pdf")</f>
        <v>Melting_Curves/meltCurve_Q8WV41_SNX33.pdf</v>
      </c>
    </row>
    <row r="4284" spans="1:28" x14ac:dyDescent="0.25">
      <c r="A4284" t="s">
        <v>4288</v>
      </c>
      <c r="B4284">
        <v>0.99996721820229495</v>
      </c>
      <c r="C4284">
        <v>1.0837898221987099</v>
      </c>
      <c r="D4284">
        <v>0.96342169030623903</v>
      </c>
      <c r="E4284">
        <v>0.45843653291485198</v>
      </c>
      <c r="F4284">
        <v>0.39565641821687703</v>
      </c>
      <c r="G4284">
        <v>0.397196923021089</v>
      </c>
      <c r="H4284">
        <v>0.246839203729356</v>
      </c>
      <c r="I4284">
        <v>0.13801929225956999</v>
      </c>
      <c r="J4284">
        <v>9.7126555025350406E-2</v>
      </c>
      <c r="K4284">
        <v>8.0489022312727199E-2</v>
      </c>
      <c r="L4284">
        <v>909.74607170967101</v>
      </c>
      <c r="M4284">
        <v>18.0898393024918</v>
      </c>
      <c r="N4284">
        <v>51.292141322171602</v>
      </c>
      <c r="O4284">
        <v>49.687976729248099</v>
      </c>
      <c r="P4284">
        <v>-7.7476845804178393E-2</v>
      </c>
      <c r="Q4284">
        <v>0.14880826163604799</v>
      </c>
      <c r="R4284">
        <v>0.93985531196550198</v>
      </c>
      <c r="S4284" t="s">
        <v>10110</v>
      </c>
      <c r="T4284" t="s">
        <v>11650</v>
      </c>
      <c r="U4284" t="s">
        <v>11650</v>
      </c>
      <c r="V4284" t="s">
        <v>11650</v>
      </c>
      <c r="W4284" t="s">
        <v>15880</v>
      </c>
      <c r="X4284">
        <v>5</v>
      </c>
      <c r="Y4284" t="s">
        <v>21556</v>
      </c>
      <c r="Z4284" t="s">
        <v>27346</v>
      </c>
      <c r="AA4284">
        <v>0.45510810291968079</v>
      </c>
      <c r="AB4284" t="str">
        <f>HYPERLINK("Melting_Curves/meltCurve_Q8WV93_LACE1.pdf", "Melting_Curves/meltCurve_Q8WV93_LACE1.pdf")</f>
        <v>Melting_Curves/meltCurve_Q8WV93_LACE1.pdf</v>
      </c>
    </row>
    <row r="4285" spans="1:28" x14ac:dyDescent="0.25">
      <c r="A4285" t="s">
        <v>4289</v>
      </c>
      <c r="B4285">
        <v>0.99996721820229495</v>
      </c>
      <c r="C4285">
        <v>0.86764839898123403</v>
      </c>
      <c r="D4285">
        <v>0.86121069523645799</v>
      </c>
      <c r="E4285">
        <v>1.0725483197274699</v>
      </c>
      <c r="F4285">
        <v>1.0349494957435399</v>
      </c>
      <c r="G4285">
        <v>1.09583599978251</v>
      </c>
      <c r="H4285">
        <v>0.881535421346899</v>
      </c>
      <c r="I4285">
        <v>1.0571980370449701</v>
      </c>
      <c r="J4285">
        <v>0.85109845736632295</v>
      </c>
      <c r="K4285">
        <v>0.94835842392728298</v>
      </c>
      <c r="L4285">
        <v>15000</v>
      </c>
      <c r="M4285">
        <v>229.04722222727199</v>
      </c>
      <c r="O4285">
        <v>65.483686414466405</v>
      </c>
      <c r="P4285">
        <v>-8.76866970449907E-2</v>
      </c>
      <c r="Q4285">
        <v>0.89972289373479997</v>
      </c>
      <c r="R4285">
        <v>0.10905369320658199</v>
      </c>
      <c r="S4285" t="s">
        <v>10111</v>
      </c>
      <c r="T4285" t="s">
        <v>11650</v>
      </c>
      <c r="U4285" t="s">
        <v>11650</v>
      </c>
      <c r="V4285" t="s">
        <v>11650</v>
      </c>
      <c r="W4285" t="s">
        <v>15881</v>
      </c>
      <c r="X4285">
        <v>8</v>
      </c>
      <c r="Y4285" t="s">
        <v>21557</v>
      </c>
      <c r="Z4285" t="s">
        <v>27347</v>
      </c>
      <c r="AA4285">
        <v>0.98493432281945925</v>
      </c>
      <c r="AB4285" t="str">
        <f>HYPERLINK("Melting_Curves/meltCurve_Q8WVC0_LEO1.pdf", "Melting_Curves/meltCurve_Q8WVC0_LEO1.pdf")</f>
        <v>Melting_Curves/meltCurve_Q8WVC0_LEO1.pdf</v>
      </c>
    </row>
    <row r="4286" spans="1:28" x14ac:dyDescent="0.25">
      <c r="A4286" t="s">
        <v>4290</v>
      </c>
      <c r="B4286">
        <v>0.99996721820229495</v>
      </c>
      <c r="C4286">
        <v>1.0074994942412701</v>
      </c>
      <c r="D4286">
        <v>1.0583617925350099</v>
      </c>
      <c r="E4286">
        <v>1.14425385793713</v>
      </c>
      <c r="F4286">
        <v>1.28084534111361</v>
      </c>
      <c r="G4286">
        <v>1.3143144819110799</v>
      </c>
      <c r="H4286">
        <v>0.87985034468721601</v>
      </c>
      <c r="I4286">
        <v>0.87917730332625399</v>
      </c>
      <c r="J4286">
        <v>0.98233312583413801</v>
      </c>
      <c r="K4286">
        <v>0.62070383785608496</v>
      </c>
      <c r="L4286">
        <v>4827.7006962003197</v>
      </c>
      <c r="M4286">
        <v>68.472261597137404</v>
      </c>
      <c r="Q4286">
        <v>0</v>
      </c>
      <c r="R4286">
        <v>0.38008133070750399</v>
      </c>
      <c r="S4286" t="s">
        <v>10112</v>
      </c>
      <c r="T4286" t="s">
        <v>11650</v>
      </c>
      <c r="U4286" t="s">
        <v>11650</v>
      </c>
      <c r="V4286" t="s">
        <v>11650</v>
      </c>
      <c r="W4286" t="s">
        <v>15882</v>
      </c>
      <c r="X4286">
        <v>6</v>
      </c>
      <c r="Y4286" t="s">
        <v>21558</v>
      </c>
      <c r="Z4286" t="s">
        <v>27348</v>
      </c>
      <c r="AA4286">
        <v>0.98439798361398412</v>
      </c>
      <c r="AB4286" t="str">
        <f>HYPERLINK("Melting_Curves/meltCurve_Q8WVC2_RPS21.pdf", "Melting_Curves/meltCurve_Q8WVC2_RPS21.pdf")</f>
        <v>Melting_Curves/meltCurve_Q8WVC2_RPS21.pdf</v>
      </c>
    </row>
    <row r="4287" spans="1:28" x14ac:dyDescent="0.25">
      <c r="A4287" t="s">
        <v>4291</v>
      </c>
      <c r="B4287">
        <v>0.99996721820229495</v>
      </c>
      <c r="C4287">
        <v>1.1315534927959801</v>
      </c>
      <c r="D4287">
        <v>1.05188428610771</v>
      </c>
      <c r="E4287">
        <v>0.79302633189140503</v>
      </c>
      <c r="F4287">
        <v>0.66040694084694795</v>
      </c>
      <c r="G4287">
        <v>0.51790799666349197</v>
      </c>
      <c r="H4287">
        <v>0.28588265811077901</v>
      </c>
      <c r="I4287">
        <v>0.18716047570827901</v>
      </c>
      <c r="J4287">
        <v>0.15404749126734099</v>
      </c>
      <c r="K4287">
        <v>0.112567486347059</v>
      </c>
      <c r="L4287">
        <v>792.91037317790597</v>
      </c>
      <c r="M4287">
        <v>14.2015166267679</v>
      </c>
      <c r="N4287">
        <v>56.428079458928501</v>
      </c>
      <c r="O4287">
        <v>54.760728834655197</v>
      </c>
      <c r="P4287">
        <v>-6.0331482382725003E-2</v>
      </c>
      <c r="Q4287">
        <v>6.9569194714766594E-2</v>
      </c>
      <c r="R4287">
        <v>0.97303570337123801</v>
      </c>
      <c r="S4287" t="s">
        <v>10113</v>
      </c>
      <c r="T4287" t="s">
        <v>11650</v>
      </c>
      <c r="U4287" t="s">
        <v>11650</v>
      </c>
      <c r="V4287" t="s">
        <v>11650</v>
      </c>
      <c r="W4287" t="s">
        <v>15883</v>
      </c>
      <c r="X4287">
        <v>4</v>
      </c>
      <c r="Y4287" t="s">
        <v>21559</v>
      </c>
      <c r="Z4287" t="s">
        <v>27349</v>
      </c>
      <c r="AA4287">
        <v>0.57816746899982996</v>
      </c>
      <c r="AB4287" t="str">
        <f>HYPERLINK("Melting_Curves/meltCurve_Q8WVD5_RNF141.pdf", "Melting_Curves/meltCurve_Q8WVD5_RNF141.pdf")</f>
        <v>Melting_Curves/meltCurve_Q8WVD5_RNF141.pdf</v>
      </c>
    </row>
    <row r="4288" spans="1:28" x14ac:dyDescent="0.25">
      <c r="A4288" t="s">
        <v>4292</v>
      </c>
      <c r="B4288">
        <v>0.99996721820229495</v>
      </c>
      <c r="C4288">
        <v>1.03823587297369</v>
      </c>
      <c r="D4288">
        <v>0.834420738628875</v>
      </c>
      <c r="E4288">
        <v>0.57781302705528004</v>
      </c>
      <c r="F4288">
        <v>0.37773766107871698</v>
      </c>
      <c r="G4288">
        <v>0.27574507182156799</v>
      </c>
      <c r="H4288">
        <v>0.132934142593819</v>
      </c>
      <c r="I4288">
        <v>6.6346146677499301E-2</v>
      </c>
      <c r="J4288">
        <v>5.7484892831013101E-2</v>
      </c>
      <c r="K4288">
        <v>3.6824044109038903E-2</v>
      </c>
      <c r="L4288">
        <v>751.47851322905694</v>
      </c>
      <c r="M4288">
        <v>14.664575957988101</v>
      </c>
      <c r="N4288">
        <v>51.4979918834307</v>
      </c>
      <c r="O4288">
        <v>50.319832083800698</v>
      </c>
      <c r="P4288">
        <v>-7.0327460744843501E-2</v>
      </c>
      <c r="Q4288">
        <v>3.4823445696627903E-2</v>
      </c>
      <c r="R4288">
        <v>0.98966729372943396</v>
      </c>
      <c r="S4288" t="s">
        <v>10114</v>
      </c>
      <c r="T4288" t="s">
        <v>11650</v>
      </c>
      <c r="U4288" t="s">
        <v>11650</v>
      </c>
      <c r="V4288" t="s">
        <v>11650</v>
      </c>
      <c r="W4288" t="s">
        <v>15884</v>
      </c>
      <c r="X4288">
        <v>2</v>
      </c>
      <c r="Y4288" t="s">
        <v>21560</v>
      </c>
      <c r="Z4288" t="s">
        <v>27350</v>
      </c>
      <c r="AA4288">
        <v>0.41953656687118612</v>
      </c>
      <c r="AB4288" t="str">
        <f>HYPERLINK("Melting_Curves/meltCurve_Q8WVE0_N6AMT2.pdf", "Melting_Curves/meltCurve_Q8WVE0_N6AMT2.pdf")</f>
        <v>Melting_Curves/meltCurve_Q8WVE0_N6AMT2.pdf</v>
      </c>
    </row>
    <row r="4289" spans="1:28" x14ac:dyDescent="0.25">
      <c r="A4289" t="s">
        <v>4293</v>
      </c>
      <c r="B4289">
        <v>0.99996721820229495</v>
      </c>
      <c r="C4289">
        <v>1.13364410554832</v>
      </c>
      <c r="D4289">
        <v>0.97311061644925101</v>
      </c>
      <c r="E4289">
        <v>0.62625206583978399</v>
      </c>
      <c r="F4289">
        <v>0.418954573717571</v>
      </c>
      <c r="G4289">
        <v>0.37223216863387498</v>
      </c>
      <c r="H4289">
        <v>0.20999737384095199</v>
      </c>
      <c r="I4289">
        <v>0.11976987830716899</v>
      </c>
      <c r="J4289">
        <v>0.11233367385476099</v>
      </c>
      <c r="K4289">
        <v>8.0850811817540794E-2</v>
      </c>
      <c r="L4289">
        <v>895.13734628796101</v>
      </c>
      <c r="M4289">
        <v>17.291067137448401</v>
      </c>
      <c r="N4289">
        <v>52.549180154863897</v>
      </c>
      <c r="O4289">
        <v>51.091228619036599</v>
      </c>
      <c r="P4289">
        <v>-7.5032662741363207E-2</v>
      </c>
      <c r="Q4289">
        <v>0.113232441826564</v>
      </c>
      <c r="R4289">
        <v>0.96517223826823395</v>
      </c>
      <c r="S4289" t="s">
        <v>10115</v>
      </c>
      <c r="T4289" t="s">
        <v>11650</v>
      </c>
      <c r="U4289" t="s">
        <v>11650</v>
      </c>
      <c r="V4289" t="s">
        <v>11650</v>
      </c>
      <c r="W4289" t="s">
        <v>15885</v>
      </c>
      <c r="X4289">
        <v>7</v>
      </c>
      <c r="Y4289" t="s">
        <v>21561</v>
      </c>
      <c r="Z4289" t="s">
        <v>27351</v>
      </c>
      <c r="AA4289">
        <v>0.47696081003775459</v>
      </c>
      <c r="AB4289" t="str">
        <f>HYPERLINK("Melting_Curves/meltCurve_Q8WVJ2_NUDCD2.pdf", "Melting_Curves/meltCurve_Q8WVJ2_NUDCD2.pdf")</f>
        <v>Melting_Curves/meltCurve_Q8WVJ2_NUDCD2.pdf</v>
      </c>
    </row>
    <row r="4290" spans="1:28" x14ac:dyDescent="0.25">
      <c r="A4290" t="s">
        <v>4294</v>
      </c>
      <c r="B4290">
        <v>0.99996721820229495</v>
      </c>
      <c r="C4290">
        <v>1.14746057877121</v>
      </c>
      <c r="D4290">
        <v>1.0741813962995099</v>
      </c>
      <c r="E4290">
        <v>0.99072920410875798</v>
      </c>
      <c r="F4290">
        <v>1.0388409095742299</v>
      </c>
      <c r="G4290">
        <v>1.01712001830751</v>
      </c>
      <c r="H4290">
        <v>0.63519236975341298</v>
      </c>
      <c r="I4290">
        <v>0.57570108111092499</v>
      </c>
      <c r="J4290">
        <v>0.57626822811090495</v>
      </c>
      <c r="K4290">
        <v>0.42071215513996202</v>
      </c>
      <c r="L4290">
        <v>4764.7709496938196</v>
      </c>
      <c r="M4290">
        <v>79.2357406508509</v>
      </c>
      <c r="O4290">
        <v>60.095861812876798</v>
      </c>
      <c r="P4290">
        <v>-0.15761151603509699</v>
      </c>
      <c r="Q4290">
        <v>0.52184227803760397</v>
      </c>
      <c r="R4290">
        <v>0.92792266515021204</v>
      </c>
      <c r="S4290" t="s">
        <v>10116</v>
      </c>
      <c r="T4290" t="s">
        <v>11650</v>
      </c>
      <c r="U4290" t="s">
        <v>11650</v>
      </c>
      <c r="V4290" t="s">
        <v>11650</v>
      </c>
      <c r="W4290" t="s">
        <v>15886</v>
      </c>
      <c r="X4290">
        <v>2</v>
      </c>
      <c r="Y4290" t="s">
        <v>21562</v>
      </c>
      <c r="Z4290" t="s">
        <v>27352</v>
      </c>
      <c r="AA4290">
        <v>0.84325476576649505</v>
      </c>
      <c r="AB4290" t="str">
        <f>HYPERLINK("Melting_Curves/meltCurve_Q8WVK2_SNRNP27.pdf", "Melting_Curves/meltCurve_Q8WVK2_SNRNP27.pdf")</f>
        <v>Melting_Curves/meltCurve_Q8WVK2_SNRNP27.pdf</v>
      </c>
    </row>
    <row r="4291" spans="1:28" x14ac:dyDescent="0.25">
      <c r="A4291" t="s">
        <v>4295</v>
      </c>
      <c r="B4291">
        <v>0.99996721820229495</v>
      </c>
      <c r="C4291">
        <v>0.93330978837337197</v>
      </c>
      <c r="D4291">
        <v>0.995898794266321</v>
      </c>
      <c r="E4291">
        <v>1.0434982519683</v>
      </c>
      <c r="F4291">
        <v>0.97597296583503701</v>
      </c>
      <c r="G4291">
        <v>0.85213961422879103</v>
      </c>
      <c r="H4291">
        <v>0.48547416884855699</v>
      </c>
      <c r="I4291">
        <v>0.22819439693581201</v>
      </c>
      <c r="J4291">
        <v>8.2815619496809406E-2</v>
      </c>
      <c r="K4291">
        <v>3.4055590664799802E-2</v>
      </c>
      <c r="L4291">
        <v>1569.3162001641899</v>
      </c>
      <c r="M4291">
        <v>25.773313311452601</v>
      </c>
      <c r="N4291">
        <v>60.889191121799101</v>
      </c>
      <c r="O4291">
        <v>60.526173173968303</v>
      </c>
      <c r="P4291">
        <v>-0.106456510729988</v>
      </c>
      <c r="Q4291">
        <v>0</v>
      </c>
      <c r="R4291">
        <v>0.99558310351120705</v>
      </c>
      <c r="S4291" t="s">
        <v>10117</v>
      </c>
      <c r="T4291" t="s">
        <v>11650</v>
      </c>
      <c r="U4291" t="s">
        <v>11650</v>
      </c>
      <c r="V4291" t="s">
        <v>11650</v>
      </c>
      <c r="W4291" t="s">
        <v>15887</v>
      </c>
      <c r="X4291">
        <v>4</v>
      </c>
      <c r="Y4291" t="s">
        <v>21563</v>
      </c>
      <c r="Z4291" t="s">
        <v>27353</v>
      </c>
      <c r="AA4291">
        <v>0.70263048444663512</v>
      </c>
      <c r="AB4291" t="str">
        <f>HYPERLINK("Melting_Curves/meltCurve_Q8WVL7_ANKRD49.pdf", "Melting_Curves/meltCurve_Q8WVL7_ANKRD49.pdf")</f>
        <v>Melting_Curves/meltCurve_Q8WVL7_ANKRD49.pdf</v>
      </c>
    </row>
    <row r="4292" spans="1:28" x14ac:dyDescent="0.25">
      <c r="A4292" t="s">
        <v>4296</v>
      </c>
      <c r="B4292">
        <v>0.99996721820229495</v>
      </c>
      <c r="C4292">
        <v>0.96534579227946904</v>
      </c>
      <c r="D4292">
        <v>0.96158678447005497</v>
      </c>
      <c r="E4292">
        <v>0.67867037847364198</v>
      </c>
      <c r="F4292">
        <v>0.261533202918175</v>
      </c>
      <c r="G4292">
        <v>0.21884670047270699</v>
      </c>
      <c r="H4292">
        <v>0.123599721772402</v>
      </c>
      <c r="I4292">
        <v>8.7181522593731797E-2</v>
      </c>
      <c r="J4292">
        <v>6.7459112287242107E-2</v>
      </c>
      <c r="K4292">
        <v>4.6565364145547898E-2</v>
      </c>
      <c r="L4292">
        <v>1480.81300420601</v>
      </c>
      <c r="M4292">
        <v>29.111021024587998</v>
      </c>
      <c r="N4292">
        <v>51.228849827702</v>
      </c>
      <c r="O4292">
        <v>50.629555121071199</v>
      </c>
      <c r="P4292">
        <v>-0.13041386304424599</v>
      </c>
      <c r="Q4292">
        <v>9.27494825640372E-2</v>
      </c>
      <c r="R4292">
        <v>0.99031928881166298</v>
      </c>
      <c r="S4292" t="s">
        <v>10118</v>
      </c>
      <c r="T4292" t="s">
        <v>11650</v>
      </c>
      <c r="U4292" t="s">
        <v>11650</v>
      </c>
      <c r="V4292" t="s">
        <v>11650</v>
      </c>
      <c r="W4292" t="s">
        <v>15888</v>
      </c>
      <c r="X4292">
        <v>18</v>
      </c>
      <c r="Y4292" t="s">
        <v>21564</v>
      </c>
      <c r="Z4292" t="s">
        <v>27354</v>
      </c>
      <c r="AA4292">
        <v>0.42745500749452409</v>
      </c>
      <c r="AB4292" t="str">
        <f>HYPERLINK("Melting_Curves/meltCurve_Q8WVM8_SCFD1.pdf", "Melting_Curves/meltCurve_Q8WVM8_SCFD1.pdf")</f>
        <v>Melting_Curves/meltCurve_Q8WVM8_SCFD1.pdf</v>
      </c>
    </row>
    <row r="4293" spans="1:28" x14ac:dyDescent="0.25">
      <c r="A4293" t="s">
        <v>4297</v>
      </c>
      <c r="B4293">
        <v>0.99996721820229495</v>
      </c>
      <c r="C4293">
        <v>1.0639788857319601</v>
      </c>
      <c r="D4293">
        <v>1.0216342588493701</v>
      </c>
      <c r="E4293">
        <v>0.88611726921517797</v>
      </c>
      <c r="F4293">
        <v>0.61929842498847198</v>
      </c>
      <c r="G4293">
        <v>0.476842818736324</v>
      </c>
      <c r="H4293">
        <v>0.31178090481812298</v>
      </c>
      <c r="I4293">
        <v>0.209644789479843</v>
      </c>
      <c r="J4293">
        <v>0.149387873612747</v>
      </c>
      <c r="K4293">
        <v>0.113553502290827</v>
      </c>
      <c r="L4293">
        <v>836.35142211185598</v>
      </c>
      <c r="M4293">
        <v>15.087555935051499</v>
      </c>
      <c r="N4293">
        <v>56.231710636360702</v>
      </c>
      <c r="O4293">
        <v>54.4867185431699</v>
      </c>
      <c r="P4293">
        <v>-6.2556794826648707E-2</v>
      </c>
      <c r="Q4293">
        <v>9.6426769809985199E-2</v>
      </c>
      <c r="R4293">
        <v>0.98579076110028097</v>
      </c>
      <c r="S4293" t="s">
        <v>10119</v>
      </c>
      <c r="T4293" t="s">
        <v>11650</v>
      </c>
      <c r="U4293" t="s">
        <v>11650</v>
      </c>
      <c r="V4293" t="s">
        <v>11650</v>
      </c>
      <c r="W4293" t="s">
        <v>15889</v>
      </c>
      <c r="X4293">
        <v>5</v>
      </c>
      <c r="Y4293" t="s">
        <v>21565</v>
      </c>
      <c r="Z4293" t="s">
        <v>27355</v>
      </c>
      <c r="AA4293">
        <v>0.57802294956950562</v>
      </c>
      <c r="AB4293" t="str">
        <f>HYPERLINK("Melting_Curves/meltCurve_Q8WVN8_3_UBE2Q2.pdf", "Melting_Curves/meltCurve_Q8WVN8_3_UBE2Q2.pdf")</f>
        <v>Melting_Curves/meltCurve_Q8WVN8_3_UBE2Q2.pdf</v>
      </c>
    </row>
    <row r="4294" spans="1:28" x14ac:dyDescent="0.25">
      <c r="A4294" t="s">
        <v>4298</v>
      </c>
      <c r="B4294">
        <v>0.99996721820229495</v>
      </c>
      <c r="C4294">
        <v>0.95083265743368395</v>
      </c>
      <c r="D4294">
        <v>1.07544510917212</v>
      </c>
      <c r="E4294">
        <v>0.93989211774509995</v>
      </c>
      <c r="F4294">
        <v>0.72085108000265297</v>
      </c>
      <c r="G4294">
        <v>0.41645784903782401</v>
      </c>
      <c r="H4294">
        <v>0.191188969820104</v>
      </c>
      <c r="I4294">
        <v>9.0466787116581099E-2</v>
      </c>
      <c r="J4294">
        <v>3.5248643523982999E-2</v>
      </c>
      <c r="K4294">
        <v>4.05164714560197E-2</v>
      </c>
      <c r="L4294">
        <v>1119.5532794404</v>
      </c>
      <c r="M4294">
        <v>20.041481263691701</v>
      </c>
      <c r="N4294">
        <v>55.972700069638002</v>
      </c>
      <c r="O4294">
        <v>55.314555064755702</v>
      </c>
      <c r="P4294">
        <v>-8.8819262094581103E-2</v>
      </c>
      <c r="Q4294">
        <v>1.9465811966106101E-2</v>
      </c>
      <c r="R4294">
        <v>0.99274241741237801</v>
      </c>
      <c r="S4294" t="s">
        <v>10120</v>
      </c>
      <c r="T4294" t="s">
        <v>11650</v>
      </c>
      <c r="U4294" t="s">
        <v>11650</v>
      </c>
      <c r="V4294" t="s">
        <v>11650</v>
      </c>
      <c r="W4294" t="s">
        <v>15890</v>
      </c>
      <c r="X4294">
        <v>5</v>
      </c>
      <c r="Y4294" t="s">
        <v>21566</v>
      </c>
      <c r="Z4294" t="s">
        <v>27356</v>
      </c>
      <c r="AA4294">
        <v>0.55056448898491395</v>
      </c>
      <c r="AB4294" t="str">
        <f>HYPERLINK("Melting_Curves/meltCurve_Q8WVQ1_CANT1.pdf", "Melting_Curves/meltCurve_Q8WVQ1_CANT1.pdf")</f>
        <v>Melting_Curves/meltCurve_Q8WVQ1_CANT1.pdf</v>
      </c>
    </row>
    <row r="4295" spans="1:28" x14ac:dyDescent="0.25">
      <c r="A4295" t="s">
        <v>4299</v>
      </c>
      <c r="B4295">
        <v>0.99996721820229495</v>
      </c>
      <c r="C4295">
        <v>0.83982828184675795</v>
      </c>
      <c r="D4295">
        <v>0.81376542410685104</v>
      </c>
      <c r="E4295">
        <v>0.79139108187405804</v>
      </c>
      <c r="F4295">
        <v>0.86667531860587299</v>
      </c>
      <c r="G4295">
        <v>0.85928791244785196</v>
      </c>
      <c r="H4295">
        <v>0.66138660553248196</v>
      </c>
      <c r="I4295">
        <v>0.59118636248791101</v>
      </c>
      <c r="J4295">
        <v>0.55049544211651602</v>
      </c>
      <c r="K4295">
        <v>0.41665587772249402</v>
      </c>
      <c r="L4295">
        <v>306.51093633140601</v>
      </c>
      <c r="M4295">
        <v>4.3975334203937804</v>
      </c>
      <c r="N4295">
        <v>69.700658608048897</v>
      </c>
      <c r="O4295">
        <v>58.862757383478403</v>
      </c>
      <c r="P4295">
        <v>-1.8853381861751801E-2</v>
      </c>
      <c r="Q4295">
        <v>0</v>
      </c>
      <c r="R4295">
        <v>0.81898320205483799</v>
      </c>
      <c r="S4295" t="s">
        <v>10121</v>
      </c>
      <c r="T4295" t="s">
        <v>11650</v>
      </c>
      <c r="U4295" t="s">
        <v>11650</v>
      </c>
      <c r="V4295" t="s">
        <v>11650</v>
      </c>
      <c r="W4295" t="s">
        <v>15891</v>
      </c>
      <c r="X4295">
        <v>2</v>
      </c>
      <c r="Y4295" t="s">
        <v>21567</v>
      </c>
      <c r="Z4295" t="s">
        <v>27357</v>
      </c>
      <c r="AA4295">
        <v>0.75236049168345398</v>
      </c>
      <c r="AB4295" t="str">
        <f>HYPERLINK("Melting_Curves/meltCurve_Q8WVT3_TRAPPC12.pdf", "Melting_Curves/meltCurve_Q8WVT3_TRAPPC12.pdf")</f>
        <v>Melting_Curves/meltCurve_Q8WVT3_TRAPPC12.pdf</v>
      </c>
    </row>
    <row r="4296" spans="1:28" x14ac:dyDescent="0.25">
      <c r="A4296" t="s">
        <v>4300</v>
      </c>
      <c r="B4296">
        <v>0.99996721820229495</v>
      </c>
      <c r="C4296">
        <v>1.0004195226577599</v>
      </c>
      <c r="D4296">
        <v>0.99557596346408594</v>
      </c>
      <c r="E4296">
        <v>0.64863552261175295</v>
      </c>
      <c r="F4296">
        <v>0.60871279933284805</v>
      </c>
      <c r="G4296">
        <v>0.50587073106438396</v>
      </c>
      <c r="H4296">
        <v>0.33118543280742901</v>
      </c>
      <c r="I4296">
        <v>0.21665300216301001</v>
      </c>
      <c r="J4296">
        <v>0.132792624521957</v>
      </c>
      <c r="K4296">
        <v>0.14274754513824001</v>
      </c>
      <c r="L4296">
        <v>570.18665479219806</v>
      </c>
      <c r="M4296">
        <v>10.268375484931701</v>
      </c>
      <c r="N4296">
        <v>55.828921871543997</v>
      </c>
      <c r="O4296">
        <v>53.546066803084997</v>
      </c>
      <c r="P4296">
        <v>-4.6673364732941702E-2</v>
      </c>
      <c r="Q4296">
        <v>2.6885298523357502E-2</v>
      </c>
      <c r="R4296">
        <v>0.97189039710676906</v>
      </c>
      <c r="S4296" t="s">
        <v>10122</v>
      </c>
      <c r="T4296" t="s">
        <v>11650</v>
      </c>
      <c r="U4296" t="s">
        <v>11650</v>
      </c>
      <c r="V4296" t="s">
        <v>11650</v>
      </c>
      <c r="W4296" t="s">
        <v>15892</v>
      </c>
      <c r="X4296">
        <v>4</v>
      </c>
      <c r="Y4296" t="s">
        <v>21568</v>
      </c>
      <c r="Z4296" t="s">
        <v>27358</v>
      </c>
      <c r="AA4296">
        <v>0.55322982456134084</v>
      </c>
      <c r="AB4296" t="str">
        <f>HYPERLINK("Melting_Curves/meltCurve_Q8WVX9_FAR1.pdf", "Melting_Curves/meltCurve_Q8WVX9_FAR1.pdf")</f>
        <v>Melting_Curves/meltCurve_Q8WVX9_FAR1.pdf</v>
      </c>
    </row>
    <row r="4297" spans="1:28" x14ac:dyDescent="0.25">
      <c r="A4297" t="s">
        <v>4301</v>
      </c>
      <c r="B4297">
        <v>0.99996721820229495</v>
      </c>
      <c r="C4297">
        <v>1.0475631717288301</v>
      </c>
      <c r="D4297">
        <v>0.76501207005514205</v>
      </c>
      <c r="E4297">
        <v>0.29814133630117401</v>
      </c>
      <c r="F4297">
        <v>0.18407740325889399</v>
      </c>
      <c r="G4297">
        <v>0.14483957195144601</v>
      </c>
      <c r="H4297">
        <v>8.8578590532718895E-2</v>
      </c>
      <c r="I4297">
        <v>5.2325914020942499E-2</v>
      </c>
      <c r="J4297">
        <v>3.8853128723181002E-2</v>
      </c>
      <c r="K4297">
        <v>3.2394027546514298E-2</v>
      </c>
      <c r="L4297">
        <v>1266.55683639362</v>
      </c>
      <c r="M4297">
        <v>26.347762327966699</v>
      </c>
      <c r="N4297">
        <v>48.353001421671898</v>
      </c>
      <c r="O4297">
        <v>47.796412647060997</v>
      </c>
      <c r="P4297">
        <v>-0.12799100878330799</v>
      </c>
      <c r="Q4297">
        <v>7.1277024387094795E-2</v>
      </c>
      <c r="R4297">
        <v>0.98929253927004601</v>
      </c>
      <c r="S4297" t="s">
        <v>10123</v>
      </c>
      <c r="T4297" t="s">
        <v>11650</v>
      </c>
      <c r="U4297" t="s">
        <v>11650</v>
      </c>
      <c r="V4297" t="s">
        <v>11650</v>
      </c>
      <c r="W4297" t="s">
        <v>15893</v>
      </c>
      <c r="X4297">
        <v>13</v>
      </c>
      <c r="Y4297" t="s">
        <v>21569</v>
      </c>
      <c r="Z4297" t="s">
        <v>27359</v>
      </c>
      <c r="AA4297">
        <v>0.32847173086261322</v>
      </c>
      <c r="AB4297" t="str">
        <f>HYPERLINK("Melting_Curves/meltCurve_Q8WVY7_UBLCP1.pdf", "Melting_Curves/meltCurve_Q8WVY7_UBLCP1.pdf")</f>
        <v>Melting_Curves/meltCurve_Q8WVY7_UBLCP1.pdf</v>
      </c>
    </row>
    <row r="4298" spans="1:28" x14ac:dyDescent="0.25">
      <c r="A4298" t="s">
        <v>4302</v>
      </c>
      <c r="B4298">
        <v>0.99996721820229495</v>
      </c>
      <c r="C4298">
        <v>1.0362613589851699</v>
      </c>
      <c r="D4298">
        <v>0.98148551874456902</v>
      </c>
      <c r="E4298">
        <v>0.89027994498514396</v>
      </c>
      <c r="F4298">
        <v>0.879594687455168</v>
      </c>
      <c r="G4298">
        <v>0.65058501973771099</v>
      </c>
      <c r="H4298">
        <v>0.34337095204200302</v>
      </c>
      <c r="I4298">
        <v>0.19797289917674901</v>
      </c>
      <c r="J4298">
        <v>0.116397234010712</v>
      </c>
      <c r="K4298">
        <v>9.0304825442910006E-2</v>
      </c>
      <c r="L4298">
        <v>1005.26909955049</v>
      </c>
      <c r="M4298">
        <v>17.1334502328063</v>
      </c>
      <c r="N4298">
        <v>58.798482518196998</v>
      </c>
      <c r="O4298">
        <v>57.891107341675401</v>
      </c>
      <c r="P4298">
        <v>-7.2664974840305305E-2</v>
      </c>
      <c r="Q4298">
        <v>1.79669092805681E-2</v>
      </c>
      <c r="R4298">
        <v>0.99529228017529603</v>
      </c>
      <c r="S4298" t="s">
        <v>10124</v>
      </c>
      <c r="T4298" t="s">
        <v>11650</v>
      </c>
      <c r="U4298" t="s">
        <v>11650</v>
      </c>
      <c r="V4298" t="s">
        <v>11650</v>
      </c>
      <c r="W4298" t="s">
        <v>15894</v>
      </c>
      <c r="X4298">
        <v>2</v>
      </c>
      <c r="Y4298" t="s">
        <v>21570</v>
      </c>
      <c r="Z4298" t="s">
        <v>27360</v>
      </c>
      <c r="AA4298">
        <v>0.64044232555076497</v>
      </c>
      <c r="AB4298" t="str">
        <f>HYPERLINK("Melting_Curves/meltCurve_Q8WW01_TSEN15.pdf", "Melting_Curves/meltCurve_Q8WW01_TSEN15.pdf")</f>
        <v>Melting_Curves/meltCurve_Q8WW01_TSEN15.pdf</v>
      </c>
    </row>
    <row r="4299" spans="1:28" x14ac:dyDescent="0.25">
      <c r="A4299" t="s">
        <v>4303</v>
      </c>
      <c r="B4299">
        <v>0.99996721820229495</v>
      </c>
      <c r="C4299">
        <v>1.0300190739441799</v>
      </c>
      <c r="D4299">
        <v>0.98135082627555104</v>
      </c>
      <c r="E4299">
        <v>0.986798256026023</v>
      </c>
      <c r="F4299">
        <v>1.3717763539140899</v>
      </c>
      <c r="G4299">
        <v>1.6190363447245499</v>
      </c>
      <c r="H4299">
        <v>1.19360665729708</v>
      </c>
      <c r="I4299">
        <v>1.3492823756182899</v>
      </c>
      <c r="J4299">
        <v>1.32350167637252</v>
      </c>
      <c r="K4299">
        <v>0.90046143871445505</v>
      </c>
      <c r="L4299">
        <v>9131.6721888268203</v>
      </c>
      <c r="M4299">
        <v>178.24573756889799</v>
      </c>
      <c r="O4299">
        <v>51.224358012061799</v>
      </c>
      <c r="P4299">
        <v>0.25489020179870697</v>
      </c>
      <c r="Q4299">
        <v>1.2930019206530201</v>
      </c>
      <c r="R4299">
        <v>0.42239659882338199</v>
      </c>
      <c r="S4299" t="s">
        <v>10125</v>
      </c>
      <c r="T4299" t="s">
        <v>11650</v>
      </c>
      <c r="U4299" t="s">
        <v>11650</v>
      </c>
      <c r="V4299" t="s">
        <v>11650</v>
      </c>
      <c r="W4299" t="s">
        <v>15895</v>
      </c>
      <c r="X4299">
        <v>14</v>
      </c>
      <c r="Y4299" t="s">
        <v>21571</v>
      </c>
      <c r="Z4299" t="s">
        <v>27361</v>
      </c>
      <c r="AA4299">
        <v>1.1832618632340881</v>
      </c>
      <c r="AB4299" t="str">
        <f>HYPERLINK("Melting_Curves/meltCurve_Q8WW12_PCNP.pdf", "Melting_Curves/meltCurve_Q8WW12_PCNP.pdf")</f>
        <v>Melting_Curves/meltCurve_Q8WW12_PCNP.pdf</v>
      </c>
    </row>
    <row r="4300" spans="1:28" x14ac:dyDescent="0.25">
      <c r="A4300" t="s">
        <v>4304</v>
      </c>
      <c r="B4300">
        <v>0.99996721820229495</v>
      </c>
      <c r="C4300">
        <v>1.1211061978386101</v>
      </c>
      <c r="D4300">
        <v>0.98606371310782703</v>
      </c>
      <c r="E4300">
        <v>0.91300283604580501</v>
      </c>
      <c r="F4300">
        <v>0.96947412903005303</v>
      </c>
      <c r="G4300">
        <v>0.62786284233650402</v>
      </c>
      <c r="H4300">
        <v>0.27950855948811199</v>
      </c>
      <c r="I4300">
        <v>0.18861796802581501</v>
      </c>
      <c r="J4300">
        <v>0.12766324926959799</v>
      </c>
      <c r="K4300">
        <v>0.106863284002123</v>
      </c>
      <c r="L4300">
        <v>1566.3100253416401</v>
      </c>
      <c r="M4300">
        <v>27.100882839555201</v>
      </c>
      <c r="N4300">
        <v>58.328088648696898</v>
      </c>
      <c r="O4300">
        <v>57.483597485538098</v>
      </c>
      <c r="P4300">
        <v>-0.104946163155328</v>
      </c>
      <c r="Q4300">
        <v>0.109604789154108</v>
      </c>
      <c r="R4300">
        <v>0.98539054413170901</v>
      </c>
      <c r="S4300" t="s">
        <v>10126</v>
      </c>
      <c r="T4300" t="s">
        <v>11650</v>
      </c>
      <c r="U4300" t="s">
        <v>11650</v>
      </c>
      <c r="V4300" t="s">
        <v>11650</v>
      </c>
      <c r="W4300" t="s">
        <v>15896</v>
      </c>
      <c r="X4300">
        <v>8</v>
      </c>
      <c r="Y4300" t="s">
        <v>21572</v>
      </c>
      <c r="Z4300" t="s">
        <v>27362</v>
      </c>
      <c r="AA4300">
        <v>0.64470286939267685</v>
      </c>
      <c r="AB4300" t="str">
        <f>HYPERLINK("Melting_Curves/meltCurve_Q8WW59_SPRYD4.pdf", "Melting_Curves/meltCurve_Q8WW59_SPRYD4.pdf")</f>
        <v>Melting_Curves/meltCurve_Q8WW59_SPRYD4.pdf</v>
      </c>
    </row>
    <row r="4301" spans="1:28" x14ac:dyDescent="0.25">
      <c r="A4301" t="s">
        <v>4305</v>
      </c>
      <c r="B4301">
        <v>0.99996721820229495</v>
      </c>
      <c r="C4301">
        <v>0.96018616217128105</v>
      </c>
      <c r="D4301">
        <v>0.98790626764802403</v>
      </c>
      <c r="E4301">
        <v>1.13368093708977</v>
      </c>
      <c r="F4301">
        <v>1.3985068780301799</v>
      </c>
      <c r="G4301">
        <v>1.46507260937989</v>
      </c>
      <c r="H4301">
        <v>1.0697375665692199</v>
      </c>
      <c r="I4301">
        <v>0.52601367183812398</v>
      </c>
      <c r="J4301">
        <v>0.19532380734076399</v>
      </c>
      <c r="K4301">
        <v>0.28161709110358102</v>
      </c>
      <c r="L4301">
        <v>15000</v>
      </c>
      <c r="M4301">
        <v>234.87477469408</v>
      </c>
      <c r="N4301">
        <v>64.040513505498694</v>
      </c>
      <c r="O4301">
        <v>63.859194600732501</v>
      </c>
      <c r="P4301">
        <v>-0.70023396600354504</v>
      </c>
      <c r="Q4301">
        <v>0.23846444888151799</v>
      </c>
      <c r="R4301">
        <v>0.761560063134054</v>
      </c>
      <c r="S4301" t="s">
        <v>10127</v>
      </c>
      <c r="T4301" t="s">
        <v>11650</v>
      </c>
      <c r="U4301" t="s">
        <v>11650</v>
      </c>
      <c r="V4301" t="s">
        <v>11650</v>
      </c>
      <c r="W4301" t="s">
        <v>15897</v>
      </c>
      <c r="X4301">
        <v>4</v>
      </c>
      <c r="Y4301" t="s">
        <v>21573</v>
      </c>
      <c r="Z4301" t="s">
        <v>27363</v>
      </c>
      <c r="AA4301">
        <v>0.8443326926498107</v>
      </c>
      <c r="AB4301" t="str">
        <f>HYPERLINK("Melting_Curves/meltCurve_Q8WWB7_2_C1orf85.pdf", "Melting_Curves/meltCurve_Q8WWB7_2_C1orf85.pdf")</f>
        <v>Melting_Curves/meltCurve_Q8WWB7_2_C1orf85.pdf</v>
      </c>
    </row>
    <row r="4302" spans="1:28" x14ac:dyDescent="0.25">
      <c r="A4302" t="s">
        <v>4306</v>
      </c>
      <c r="B4302">
        <v>0.99996721820229495</v>
      </c>
      <c r="C4302">
        <v>0.76584028482200595</v>
      </c>
      <c r="D4302">
        <v>0.83881834158233504</v>
      </c>
      <c r="E4302">
        <v>1.0203007650368501</v>
      </c>
      <c r="F4302">
        <v>1.0130945867877601</v>
      </c>
      <c r="G4302">
        <v>0.87210406322304701</v>
      </c>
      <c r="H4302">
        <v>0.59771544082510697</v>
      </c>
      <c r="I4302">
        <v>0.44777121286690602</v>
      </c>
      <c r="J4302">
        <v>0.37089733163934302</v>
      </c>
      <c r="K4302">
        <v>0.30180596975551799</v>
      </c>
      <c r="L4302">
        <v>1522.8772298470899</v>
      </c>
      <c r="M4302">
        <v>25.1933031016227</v>
      </c>
      <c r="N4302">
        <v>62.711586198030197</v>
      </c>
      <c r="O4302">
        <v>60.070708712298803</v>
      </c>
      <c r="P4302">
        <v>-7.3538289323095099E-2</v>
      </c>
      <c r="Q4302">
        <v>0.29863280660591002</v>
      </c>
      <c r="R4302">
        <v>0.87747514686202599</v>
      </c>
      <c r="S4302" t="s">
        <v>10128</v>
      </c>
      <c r="T4302" t="s">
        <v>11650</v>
      </c>
      <c r="U4302" t="s">
        <v>11650</v>
      </c>
      <c r="V4302" t="s">
        <v>11650</v>
      </c>
      <c r="W4302" t="s">
        <v>15898</v>
      </c>
      <c r="X4302">
        <v>3</v>
      </c>
      <c r="Y4302" t="s">
        <v>21574</v>
      </c>
      <c r="Z4302" t="s">
        <v>27364</v>
      </c>
      <c r="AA4302">
        <v>0.78153347800000739</v>
      </c>
      <c r="AB4302" t="str">
        <f>HYPERLINK("Melting_Curves/meltCurve_Q8WWC4_C2orf47.pdf", "Melting_Curves/meltCurve_Q8WWC4_C2orf47.pdf")</f>
        <v>Melting_Curves/meltCurve_Q8WWC4_C2orf47.pdf</v>
      </c>
    </row>
    <row r="4303" spans="1:28" x14ac:dyDescent="0.25">
      <c r="A4303" t="s">
        <v>4307</v>
      </c>
      <c r="B4303">
        <v>0.99996721820229495</v>
      </c>
      <c r="C4303">
        <v>1.19618336079763</v>
      </c>
      <c r="D4303">
        <v>0.97748577110810198</v>
      </c>
      <c r="E4303">
        <v>0.74168036807336502</v>
      </c>
      <c r="F4303">
        <v>0.63475932290312898</v>
      </c>
      <c r="G4303">
        <v>0.42656909624406703</v>
      </c>
      <c r="H4303">
        <v>0.29872205461141499</v>
      </c>
      <c r="I4303">
        <v>0.219052789790563</v>
      </c>
      <c r="J4303">
        <v>0.12526678603432201</v>
      </c>
      <c r="K4303">
        <v>0.131847171743665</v>
      </c>
      <c r="L4303">
        <v>786.86652413151501</v>
      </c>
      <c r="M4303">
        <v>14.4326086370447</v>
      </c>
      <c r="N4303">
        <v>55.423100039772002</v>
      </c>
      <c r="O4303">
        <v>53.505416215098201</v>
      </c>
      <c r="P4303">
        <v>-6.0376705337005801E-2</v>
      </c>
      <c r="Q4303">
        <v>0.104776876577561</v>
      </c>
      <c r="R4303">
        <v>0.96045701631279101</v>
      </c>
      <c r="S4303" t="s">
        <v>10129</v>
      </c>
      <c r="T4303" t="s">
        <v>11650</v>
      </c>
      <c r="U4303" t="s">
        <v>11650</v>
      </c>
      <c r="V4303" t="s">
        <v>11650</v>
      </c>
      <c r="W4303" t="s">
        <v>15899</v>
      </c>
      <c r="X4303">
        <v>5</v>
      </c>
      <c r="Y4303" t="s">
        <v>21575</v>
      </c>
      <c r="Z4303" t="s">
        <v>27365</v>
      </c>
      <c r="AA4303">
        <v>0.55667736361899367</v>
      </c>
      <c r="AB4303" t="str">
        <f>HYPERLINK("Melting_Curves/meltCurve_Q8WWH5_TRUB1.pdf", "Melting_Curves/meltCurve_Q8WWH5_TRUB1.pdf")</f>
        <v>Melting_Curves/meltCurve_Q8WWH5_TRUB1.pdf</v>
      </c>
    </row>
    <row r="4304" spans="1:28" x14ac:dyDescent="0.25">
      <c r="A4304" t="s">
        <v>4308</v>
      </c>
      <c r="B4304">
        <v>0.99996721820229495</v>
      </c>
      <c r="C4304">
        <v>0.920475820776123</v>
      </c>
      <c r="D4304">
        <v>1.0610495255175501</v>
      </c>
      <c r="E4304">
        <v>1.1909162235988999</v>
      </c>
      <c r="F4304">
        <v>1.48027804294278</v>
      </c>
      <c r="G4304">
        <v>1.64691378158649</v>
      </c>
      <c r="H4304">
        <v>1.1772759370181101</v>
      </c>
      <c r="I4304">
        <v>0.60388561052037804</v>
      </c>
      <c r="J4304">
        <v>0.39461390805276197</v>
      </c>
      <c r="K4304">
        <v>0.54968535902798799</v>
      </c>
      <c r="L4304">
        <v>15000</v>
      </c>
      <c r="M4304">
        <v>235.47559316620499</v>
      </c>
      <c r="N4304">
        <v>64.491694885058706</v>
      </c>
      <c r="O4304">
        <v>63.696278418752001</v>
      </c>
      <c r="P4304">
        <v>-0.48785384719231301</v>
      </c>
      <c r="Q4304">
        <v>0.47214108846532099</v>
      </c>
      <c r="R4304">
        <v>0.49138744779049898</v>
      </c>
      <c r="S4304" t="s">
        <v>10130</v>
      </c>
      <c r="T4304" t="s">
        <v>11650</v>
      </c>
      <c r="U4304" t="s">
        <v>11650</v>
      </c>
      <c r="V4304" t="s">
        <v>11650</v>
      </c>
      <c r="W4304" t="s">
        <v>15900</v>
      </c>
      <c r="X4304">
        <v>4</v>
      </c>
      <c r="Y4304" t="s">
        <v>21576</v>
      </c>
      <c r="Z4304" t="s">
        <v>27366</v>
      </c>
      <c r="AA4304">
        <v>0.88923144304390012</v>
      </c>
      <c r="AB4304" t="str">
        <f>HYPERLINK("Melting_Curves/meltCurve_Q8WWI5_SLC44A1.pdf", "Melting_Curves/meltCurve_Q8WWI5_SLC44A1.pdf")</f>
        <v>Melting_Curves/meltCurve_Q8WWI5_SLC44A1.pdf</v>
      </c>
    </row>
    <row r="4305" spans="1:28" x14ac:dyDescent="0.25">
      <c r="A4305" t="s">
        <v>4309</v>
      </c>
      <c r="B4305">
        <v>0.99996721820229495</v>
      </c>
      <c r="C4305">
        <v>1.02426323169247</v>
      </c>
      <c r="D4305">
        <v>0.96907158088077205</v>
      </c>
      <c r="E4305">
        <v>0.92792934923341497</v>
      </c>
      <c r="F4305">
        <v>0.98898575886012996</v>
      </c>
      <c r="G4305">
        <v>0.825629254508775</v>
      </c>
      <c r="H4305">
        <v>0.54709109130933198</v>
      </c>
      <c r="I4305">
        <v>0.57186336766496304</v>
      </c>
      <c r="J4305">
        <v>0.446159512683314</v>
      </c>
      <c r="K4305">
        <v>0.32009045902443101</v>
      </c>
      <c r="L4305">
        <v>903.16858517447497</v>
      </c>
      <c r="M4305">
        <v>14.780594339384599</v>
      </c>
      <c r="N4305">
        <v>64.241921518670296</v>
      </c>
      <c r="O4305">
        <v>60.0192118617056</v>
      </c>
      <c r="P4305">
        <v>-4.5745804183557802E-2</v>
      </c>
      <c r="Q4305">
        <v>0.25704392727976599</v>
      </c>
      <c r="R4305">
        <v>0.96713682271803203</v>
      </c>
      <c r="S4305" t="s">
        <v>10131</v>
      </c>
      <c r="T4305" t="s">
        <v>11650</v>
      </c>
      <c r="U4305" t="s">
        <v>11650</v>
      </c>
      <c r="V4305" t="s">
        <v>11650</v>
      </c>
      <c r="W4305" t="s">
        <v>15901</v>
      </c>
      <c r="X4305">
        <v>32</v>
      </c>
      <c r="Y4305" t="s">
        <v>21577</v>
      </c>
      <c r="Z4305" t="s">
        <v>27367</v>
      </c>
      <c r="AA4305">
        <v>0.78093052780921757</v>
      </c>
      <c r="AB4305" t="str">
        <f>HYPERLINK("Melting_Curves/meltCurve_Q8WWM7_ATXN2L.pdf", "Melting_Curves/meltCurve_Q8WWM7_ATXN2L.pdf")</f>
        <v>Melting_Curves/meltCurve_Q8WWM7_ATXN2L.pdf</v>
      </c>
    </row>
    <row r="4306" spans="1:28" x14ac:dyDescent="0.25">
      <c r="A4306" t="s">
        <v>4310</v>
      </c>
      <c r="B4306">
        <v>0.99996721820229495</v>
      </c>
      <c r="C4306">
        <v>0.97863092736805801</v>
      </c>
      <c r="D4306">
        <v>0.900329071247012</v>
      </c>
      <c r="E4306">
        <v>0.84350079499777997</v>
      </c>
      <c r="F4306">
        <v>1.10292579207224</v>
      </c>
      <c r="G4306">
        <v>0.94645855128164802</v>
      </c>
      <c r="H4306">
        <v>0.73967413865660903</v>
      </c>
      <c r="I4306">
        <v>0.93749885599001104</v>
      </c>
      <c r="J4306">
        <v>0.82381945003400503</v>
      </c>
      <c r="K4306">
        <v>0.39588074167562498</v>
      </c>
      <c r="L4306">
        <v>2517.6621723967601</v>
      </c>
      <c r="M4306">
        <v>36.306236175601803</v>
      </c>
      <c r="N4306">
        <v>69.345174462149203</v>
      </c>
      <c r="O4306">
        <v>69.135796689089503</v>
      </c>
      <c r="P4306">
        <v>-0.13128635449030901</v>
      </c>
      <c r="Q4306">
        <v>0</v>
      </c>
      <c r="R4306">
        <v>0.66043305774274197</v>
      </c>
      <c r="S4306" t="s">
        <v>10132</v>
      </c>
      <c r="T4306" t="s">
        <v>11650</v>
      </c>
      <c r="U4306" t="s">
        <v>11650</v>
      </c>
      <c r="V4306" t="s">
        <v>11650</v>
      </c>
      <c r="W4306" t="s">
        <v>15902</v>
      </c>
      <c r="X4306">
        <v>16</v>
      </c>
      <c r="Y4306" t="s">
        <v>21578</v>
      </c>
      <c r="Z4306" t="s">
        <v>27368</v>
      </c>
      <c r="AA4306">
        <v>0.94668038676469057</v>
      </c>
      <c r="AB4306" t="str">
        <f>HYPERLINK("Melting_Curves/meltCurve_Q8WWM9_CYGB.pdf", "Melting_Curves/meltCurve_Q8WWM9_CYGB.pdf")</f>
        <v>Melting_Curves/meltCurve_Q8WWM9_CYGB.pdf</v>
      </c>
    </row>
    <row r="4307" spans="1:28" x14ac:dyDescent="0.25">
      <c r="A4307" t="s">
        <v>4311</v>
      </c>
      <c r="B4307">
        <v>0.99996721820229495</v>
      </c>
      <c r="C4307">
        <v>1.0771655625498799</v>
      </c>
      <c r="D4307">
        <v>0.92412302463846097</v>
      </c>
      <c r="E4307">
        <v>0.62155007543180696</v>
      </c>
      <c r="F4307">
        <v>0.44777955347461801</v>
      </c>
      <c r="G4307">
        <v>0.41057136422541501</v>
      </c>
      <c r="H4307">
        <v>0.242359733831536</v>
      </c>
      <c r="I4307">
        <v>0.13755934381875201</v>
      </c>
      <c r="J4307">
        <v>8.6272488880210704E-2</v>
      </c>
      <c r="K4307">
        <v>6.9956367051653201E-2</v>
      </c>
      <c r="L4307">
        <v>681.94291471403199</v>
      </c>
      <c r="M4307">
        <v>12.9265555344235</v>
      </c>
      <c r="N4307">
        <v>53.265478383164798</v>
      </c>
      <c r="O4307">
        <v>51.540494009300303</v>
      </c>
      <c r="P4307">
        <v>-5.9060039658407198E-2</v>
      </c>
      <c r="Q4307">
        <v>5.8238179798880498E-2</v>
      </c>
      <c r="R4307">
        <v>0.97108615424779499</v>
      </c>
      <c r="S4307" t="s">
        <v>10133</v>
      </c>
      <c r="T4307" t="s">
        <v>11650</v>
      </c>
      <c r="U4307" t="s">
        <v>11650</v>
      </c>
      <c r="V4307" t="s">
        <v>11650</v>
      </c>
      <c r="W4307" t="s">
        <v>15903</v>
      </c>
      <c r="X4307">
        <v>5</v>
      </c>
      <c r="Y4307" t="s">
        <v>21579</v>
      </c>
      <c r="Z4307" t="s">
        <v>27369</v>
      </c>
      <c r="AA4307">
        <v>0.48362941577292368</v>
      </c>
      <c r="AB4307" t="str">
        <f>HYPERLINK("Melting_Curves/meltCurve_Q8WWV3_RTN4IP1.pdf", "Melting_Curves/meltCurve_Q8WWV3_RTN4IP1.pdf")</f>
        <v>Melting_Curves/meltCurve_Q8WWV3_RTN4IP1.pdf</v>
      </c>
    </row>
    <row r="4308" spans="1:28" x14ac:dyDescent="0.25">
      <c r="A4308" t="s">
        <v>4312</v>
      </c>
      <c r="B4308">
        <v>0.99996721820229495</v>
      </c>
      <c r="C4308">
        <v>1.00977688399147</v>
      </c>
      <c r="D4308">
        <v>0.93907144977029</v>
      </c>
      <c r="E4308">
        <v>0.88182901896889199</v>
      </c>
      <c r="F4308">
        <v>1.04353192366091</v>
      </c>
      <c r="G4308">
        <v>0.95127932364315304</v>
      </c>
      <c r="H4308">
        <v>0.58014792790511605</v>
      </c>
      <c r="I4308">
        <v>0.50956982304217702</v>
      </c>
      <c r="J4308">
        <v>0.52729345997588595</v>
      </c>
      <c r="K4308">
        <v>0.28505673961199901</v>
      </c>
      <c r="L4308">
        <v>1979.9648945219601</v>
      </c>
      <c r="M4308">
        <v>32.933164504735501</v>
      </c>
      <c r="N4308">
        <v>63.161995503722601</v>
      </c>
      <c r="O4308">
        <v>59.9003256004398</v>
      </c>
      <c r="P4308">
        <v>-8.2799601819098095E-2</v>
      </c>
      <c r="Q4308">
        <v>0.39760408772294198</v>
      </c>
      <c r="R4308">
        <v>0.92162789356571895</v>
      </c>
      <c r="S4308" t="s">
        <v>10134</v>
      </c>
      <c r="T4308" t="s">
        <v>11650</v>
      </c>
      <c r="U4308" t="s">
        <v>11650</v>
      </c>
      <c r="V4308" t="s">
        <v>11650</v>
      </c>
      <c r="W4308" t="s">
        <v>15904</v>
      </c>
      <c r="X4308">
        <v>10</v>
      </c>
      <c r="Y4308" t="s">
        <v>21580</v>
      </c>
      <c r="Z4308" t="s">
        <v>27370</v>
      </c>
      <c r="AA4308">
        <v>0.8048232541224839</v>
      </c>
      <c r="AB4308" t="str">
        <f>HYPERLINK("Melting_Curves/meltCurve_Q8WWX9_SELM.pdf", "Melting_Curves/meltCurve_Q8WWX9_SELM.pdf")</f>
        <v>Melting_Curves/meltCurve_Q8WWX9_SELM.pdf</v>
      </c>
    </row>
    <row r="4309" spans="1:28" x14ac:dyDescent="0.25">
      <c r="A4309" t="s">
        <v>4313</v>
      </c>
      <c r="B4309">
        <v>0.99996721820229495</v>
      </c>
      <c r="C4309">
        <v>1.13379142946033</v>
      </c>
      <c r="D4309">
        <v>1.18522407410999</v>
      </c>
      <c r="E4309">
        <v>0.91558736779364003</v>
      </c>
      <c r="F4309">
        <v>0.477931861807388</v>
      </c>
      <c r="G4309">
        <v>0.489435483788912</v>
      </c>
      <c r="H4309">
        <v>0.25456580929359801</v>
      </c>
      <c r="I4309">
        <v>0.14974034982487799</v>
      </c>
      <c r="J4309">
        <v>0.107532800630639</v>
      </c>
      <c r="K4309">
        <v>9.8088521202602794E-2</v>
      </c>
      <c r="L4309">
        <v>1002.38283610524</v>
      </c>
      <c r="M4309">
        <v>18.433781639485002</v>
      </c>
      <c r="N4309">
        <v>55.113162012359702</v>
      </c>
      <c r="O4309">
        <v>53.749671025062497</v>
      </c>
      <c r="P4309">
        <v>-7.6391566726846799E-2</v>
      </c>
      <c r="Q4309">
        <v>0.109062435341827</v>
      </c>
      <c r="R4309">
        <v>0.93119048494762802</v>
      </c>
      <c r="S4309" t="s">
        <v>10135</v>
      </c>
      <c r="T4309" t="s">
        <v>11650</v>
      </c>
      <c r="U4309" t="s">
        <v>11650</v>
      </c>
      <c r="V4309" t="s">
        <v>11650</v>
      </c>
      <c r="W4309" t="s">
        <v>15905</v>
      </c>
      <c r="X4309">
        <v>4</v>
      </c>
      <c r="Y4309" t="s">
        <v>21581</v>
      </c>
      <c r="Z4309" t="s">
        <v>27371</v>
      </c>
      <c r="AA4309">
        <v>0.54966062341851163</v>
      </c>
      <c r="AB4309" t="str">
        <f>HYPERLINK("Melting_Curves/meltCurve_Q8WX92_NELFB.pdf", "Melting_Curves/meltCurve_Q8WX92_NELFB.pdf")</f>
        <v>Melting_Curves/meltCurve_Q8WX92_NELFB.pdf</v>
      </c>
    </row>
    <row r="4310" spans="1:28" x14ac:dyDescent="0.25">
      <c r="A4310" t="s">
        <v>4314</v>
      </c>
      <c r="B4310">
        <v>0.99996721820229495</v>
      </c>
      <c r="C4310">
        <v>1.04642448603924</v>
      </c>
      <c r="D4310">
        <v>0.93954500479201597</v>
      </c>
      <c r="E4310">
        <v>0.68986241034231099</v>
      </c>
      <c r="F4310">
        <v>0.35864211030549997</v>
      </c>
      <c r="G4310">
        <v>0.277038300719952</v>
      </c>
      <c r="H4310">
        <v>0.175189761816682</v>
      </c>
      <c r="I4310">
        <v>0.13675781170667001</v>
      </c>
      <c r="J4310">
        <v>0.120134179837212</v>
      </c>
      <c r="K4310">
        <v>8.0831379133062195E-2</v>
      </c>
      <c r="L4310">
        <v>1122.8232963149301</v>
      </c>
      <c r="M4310">
        <v>21.924772186740299</v>
      </c>
      <c r="N4310">
        <v>51.896385033760403</v>
      </c>
      <c r="O4310">
        <v>50.792198307537497</v>
      </c>
      <c r="P4310">
        <v>-9.4377480443436801E-2</v>
      </c>
      <c r="Q4310">
        <v>0.12545830591245799</v>
      </c>
      <c r="R4310">
        <v>0.99040312510404205</v>
      </c>
      <c r="S4310" t="s">
        <v>10136</v>
      </c>
      <c r="T4310" t="s">
        <v>11650</v>
      </c>
      <c r="U4310" t="s">
        <v>11650</v>
      </c>
      <c r="V4310" t="s">
        <v>11650</v>
      </c>
      <c r="W4310" t="s">
        <v>15906</v>
      </c>
      <c r="X4310">
        <v>38</v>
      </c>
      <c r="Y4310" t="s">
        <v>21582</v>
      </c>
      <c r="Z4310" t="s">
        <v>27372</v>
      </c>
      <c r="AA4310">
        <v>0.4625267351638167</v>
      </c>
      <c r="AB4310" t="str">
        <f>HYPERLINK("Melting_Curves/meltCurve_Q8WX93_3_PALLD.pdf", "Melting_Curves/meltCurve_Q8WX93_3_PALLD.pdf")</f>
        <v>Melting_Curves/meltCurve_Q8WX93_3_PALLD.pdf</v>
      </c>
    </row>
    <row r="4311" spans="1:28" x14ac:dyDescent="0.25">
      <c r="A4311" t="s">
        <v>4315</v>
      </c>
      <c r="B4311">
        <v>0.99996721820229495</v>
      </c>
      <c r="C4311">
        <v>1.0909446535935201</v>
      </c>
      <c r="D4311">
        <v>1.04929960060799</v>
      </c>
      <c r="E4311">
        <v>1.0611241868752901</v>
      </c>
      <c r="F4311">
        <v>0.54919739486911401</v>
      </c>
      <c r="G4311">
        <v>0.40389778425675898</v>
      </c>
      <c r="H4311">
        <v>0.25294093731307399</v>
      </c>
      <c r="I4311">
        <v>0.143073374882697</v>
      </c>
      <c r="J4311">
        <v>8.1580089340236306E-2</v>
      </c>
      <c r="K4311">
        <v>9.3666029300187803E-2</v>
      </c>
      <c r="L4311">
        <v>1234.0253460791901</v>
      </c>
      <c r="M4311">
        <v>22.651815921917699</v>
      </c>
      <c r="N4311">
        <v>55.106163902569598</v>
      </c>
      <c r="O4311">
        <v>54.058732364605397</v>
      </c>
      <c r="P4311">
        <v>-9.2837699809527302E-2</v>
      </c>
      <c r="Q4311">
        <v>0.113786110088376</v>
      </c>
      <c r="R4311">
        <v>0.95897410408475903</v>
      </c>
      <c r="S4311" t="s">
        <v>10137</v>
      </c>
      <c r="T4311" t="s">
        <v>11650</v>
      </c>
      <c r="U4311" t="s">
        <v>11650</v>
      </c>
      <c r="V4311" t="s">
        <v>11650</v>
      </c>
      <c r="W4311" t="s">
        <v>15907</v>
      </c>
      <c r="X4311">
        <v>4</v>
      </c>
      <c r="Y4311" t="s">
        <v>21583</v>
      </c>
      <c r="Z4311" t="s">
        <v>27373</v>
      </c>
      <c r="AA4311">
        <v>0.55122067894760707</v>
      </c>
      <c r="AB4311" t="str">
        <f>HYPERLINK("Melting_Curves/meltCurve_Q8WXA9_2_SREK1.pdf", "Melting_Curves/meltCurve_Q8WXA9_2_SREK1.pdf")</f>
        <v>Melting_Curves/meltCurve_Q8WXA9_2_SREK1.pdf</v>
      </c>
    </row>
    <row r="4312" spans="1:28" x14ac:dyDescent="0.25">
      <c r="A4312" t="s">
        <v>4316</v>
      </c>
      <c r="B4312">
        <v>0.99996721820229495</v>
      </c>
      <c r="C4312">
        <v>0.83573891718705595</v>
      </c>
      <c r="D4312">
        <v>0.79318415095131001</v>
      </c>
      <c r="E4312">
        <v>0.91262009993413096</v>
      </c>
      <c r="F4312">
        <v>1.1230019402253999</v>
      </c>
      <c r="G4312">
        <v>0.93860264523230497</v>
      </c>
      <c r="H4312">
        <v>0.55273013878015398</v>
      </c>
      <c r="I4312">
        <v>0.37160091559994701</v>
      </c>
      <c r="J4312">
        <v>0.29117022427982198</v>
      </c>
      <c r="K4312">
        <v>0.22173537226116499</v>
      </c>
      <c r="L4312">
        <v>2194.71147857188</v>
      </c>
      <c r="M4312">
        <v>36.258316459219003</v>
      </c>
      <c r="N4312">
        <v>61.712227109388401</v>
      </c>
      <c r="O4312">
        <v>60.346661589199101</v>
      </c>
      <c r="P4312">
        <v>-0.112599196132759</v>
      </c>
      <c r="Q4312">
        <v>0.250383047388064</v>
      </c>
      <c r="R4312">
        <v>0.89557175727642702</v>
      </c>
      <c r="S4312" t="s">
        <v>10138</v>
      </c>
      <c r="T4312" t="s">
        <v>11650</v>
      </c>
      <c r="U4312" t="s">
        <v>11650</v>
      </c>
      <c r="V4312" t="s">
        <v>11650</v>
      </c>
      <c r="W4312" t="s">
        <v>15908</v>
      </c>
      <c r="X4312">
        <v>5</v>
      </c>
      <c r="Y4312" t="s">
        <v>21584</v>
      </c>
      <c r="Z4312" t="s">
        <v>27374</v>
      </c>
      <c r="AA4312">
        <v>0.76675258562039361</v>
      </c>
      <c r="AB4312" t="str">
        <f>HYPERLINK("Melting_Curves/meltCurve_Q8WXD5_GEMIN6.pdf", "Melting_Curves/meltCurve_Q8WXD5_GEMIN6.pdf")</f>
        <v>Melting_Curves/meltCurve_Q8WXD5_GEMIN6.pdf</v>
      </c>
    </row>
    <row r="4313" spans="1:28" x14ac:dyDescent="0.25">
      <c r="A4313" t="s">
        <v>4317</v>
      </c>
      <c r="B4313">
        <v>0.99996721820229495</v>
      </c>
      <c r="C4313">
        <v>1.0575400333661</v>
      </c>
      <c r="D4313">
        <v>1.07680810746056</v>
      </c>
      <c r="E4313">
        <v>1.12593830630125</v>
      </c>
      <c r="F4313">
        <v>0.872692655668448</v>
      </c>
      <c r="G4313">
        <v>0.80836442392863905</v>
      </c>
      <c r="H4313">
        <v>0.24668719706638201</v>
      </c>
      <c r="I4313">
        <v>0.16748595867506</v>
      </c>
      <c r="J4313">
        <v>0.116393743205529</v>
      </c>
      <c r="K4313">
        <v>8.93712138731136E-2</v>
      </c>
      <c r="L4313">
        <v>2322.8227160788501</v>
      </c>
      <c r="M4313">
        <v>39.5827325023848</v>
      </c>
      <c r="N4313">
        <v>59.037518465712203</v>
      </c>
      <c r="O4313">
        <v>58.533545978131102</v>
      </c>
      <c r="P4313">
        <v>-0.15116542034163799</v>
      </c>
      <c r="Q4313">
        <v>0.10584960551721</v>
      </c>
      <c r="R4313">
        <v>0.97703831051605505</v>
      </c>
      <c r="S4313" t="s">
        <v>10139</v>
      </c>
      <c r="T4313" t="s">
        <v>11650</v>
      </c>
      <c r="U4313" t="s">
        <v>11650</v>
      </c>
      <c r="V4313" t="s">
        <v>11650</v>
      </c>
      <c r="W4313" t="s">
        <v>15909</v>
      </c>
      <c r="X4313">
        <v>1</v>
      </c>
      <c r="Y4313" t="s">
        <v>21585</v>
      </c>
      <c r="Z4313" t="s">
        <v>27375</v>
      </c>
      <c r="AA4313">
        <v>0.66628277506925426</v>
      </c>
      <c r="AB4313" t="str">
        <f>HYPERLINK("Melting_Curves/meltCurve_Q8WXE1_5_ATRIP.pdf", "Melting_Curves/meltCurve_Q8WXE1_5_ATRIP.pdf")</f>
        <v>Melting_Curves/meltCurve_Q8WXE1_5_ATRIP.pdf</v>
      </c>
    </row>
    <row r="4314" spans="1:28" x14ac:dyDescent="0.25">
      <c r="A4314" t="s">
        <v>4318</v>
      </c>
      <c r="B4314">
        <v>0.99996721820229495</v>
      </c>
      <c r="C4314">
        <v>1.0017923312803201</v>
      </c>
      <c r="D4314">
        <v>1.02716789001814</v>
      </c>
      <c r="E4314">
        <v>1.14157922075524</v>
      </c>
      <c r="F4314">
        <v>1.7406193951607201</v>
      </c>
      <c r="G4314">
        <v>0.92188099540596402</v>
      </c>
      <c r="H4314">
        <v>0.50871066880732896</v>
      </c>
      <c r="I4314">
        <v>0.357496689130398</v>
      </c>
      <c r="J4314">
        <v>0.26303581754672201</v>
      </c>
      <c r="K4314">
        <v>0.23127222973755299</v>
      </c>
      <c r="L4314">
        <v>2743.5979419605001</v>
      </c>
      <c r="M4314">
        <v>45.597019872593101</v>
      </c>
      <c r="N4314">
        <v>61.169378495518998</v>
      </c>
      <c r="O4314">
        <v>60.055161015427899</v>
      </c>
      <c r="P4314">
        <v>-0.139982629727994</v>
      </c>
      <c r="Q4314">
        <v>0.26252470198595501</v>
      </c>
      <c r="R4314">
        <v>0.71732544978451296</v>
      </c>
      <c r="S4314" t="s">
        <v>10140</v>
      </c>
      <c r="T4314" t="s">
        <v>11650</v>
      </c>
      <c r="U4314" t="s">
        <v>11650</v>
      </c>
      <c r="V4314" t="s">
        <v>11650</v>
      </c>
      <c r="W4314" t="s">
        <v>15910</v>
      </c>
      <c r="X4314">
        <v>5</v>
      </c>
      <c r="Y4314" t="s">
        <v>21586</v>
      </c>
      <c r="Z4314" t="s">
        <v>27376</v>
      </c>
      <c r="AA4314">
        <v>0.76064716229143103</v>
      </c>
      <c r="AB4314" t="str">
        <f>HYPERLINK("Melting_Curves/meltCurve_Q8WXF1_PSPC1.pdf", "Melting_Curves/meltCurve_Q8WXF1_PSPC1.pdf")</f>
        <v>Melting_Curves/meltCurve_Q8WXF1_PSPC1.pdf</v>
      </c>
    </row>
    <row r="4315" spans="1:28" x14ac:dyDescent="0.25">
      <c r="A4315" t="s">
        <v>4319</v>
      </c>
      <c r="B4315">
        <v>0.99996721820229495</v>
      </c>
      <c r="C4315">
        <v>1.0354813968911001</v>
      </c>
      <c r="D4315">
        <v>1.0731904542209501</v>
      </c>
      <c r="E4315">
        <v>1.0204115606006401</v>
      </c>
      <c r="F4315">
        <v>3.4086353670515299</v>
      </c>
      <c r="G4315">
        <v>1.72491451622825</v>
      </c>
      <c r="H4315">
        <v>1.1516563011298699</v>
      </c>
      <c r="I4315">
        <v>0.99252473895010596</v>
      </c>
      <c r="J4315">
        <v>0.88491175258882904</v>
      </c>
      <c r="K4315">
        <v>0.56703443016170396</v>
      </c>
      <c r="L4315">
        <v>5606.19711173206</v>
      </c>
      <c r="M4315">
        <v>82.549641263069404</v>
      </c>
      <c r="O4315">
        <v>67.873217766917307</v>
      </c>
      <c r="P4315">
        <v>-0.14287984058341899</v>
      </c>
      <c r="Q4315">
        <v>0.53009060311672795</v>
      </c>
      <c r="R4315">
        <v>-0.107394014571455</v>
      </c>
      <c r="S4315" t="s">
        <v>10141</v>
      </c>
      <c r="T4315" t="s">
        <v>11650</v>
      </c>
      <c r="U4315" t="s">
        <v>11650</v>
      </c>
      <c r="V4315" t="s">
        <v>11650</v>
      </c>
      <c r="W4315" t="s">
        <v>15911</v>
      </c>
      <c r="X4315">
        <v>4</v>
      </c>
      <c r="Y4315" t="s">
        <v>21587</v>
      </c>
      <c r="Z4315" t="s">
        <v>27377</v>
      </c>
      <c r="AA4315">
        <v>0.96667432951591037</v>
      </c>
      <c r="AB4315" t="str">
        <f>HYPERLINK("Melting_Curves/meltCurve_Q8WXH0_SYNE2.pdf", "Melting_Curves/meltCurve_Q8WXH0_SYNE2.pdf")</f>
        <v>Melting_Curves/meltCurve_Q8WXH0_SYNE2.pdf</v>
      </c>
    </row>
    <row r="4316" spans="1:28" x14ac:dyDescent="0.25">
      <c r="A4316" t="s">
        <v>4320</v>
      </c>
      <c r="B4316">
        <v>0.99996721820229495</v>
      </c>
      <c r="C4316">
        <v>1.01615348617765</v>
      </c>
      <c r="D4316">
        <v>0.96635462070151501</v>
      </c>
      <c r="E4316">
        <v>1.1612237710265401</v>
      </c>
      <c r="F4316">
        <v>1.2547656239029901</v>
      </c>
      <c r="G4316">
        <v>1.4556189867790501</v>
      </c>
      <c r="H4316">
        <v>1.07267516701487</v>
      </c>
      <c r="I4316">
        <v>1.24214856076414</v>
      </c>
      <c r="J4316">
        <v>1.1457614933479601</v>
      </c>
      <c r="K4316">
        <v>0.68733000509175302</v>
      </c>
      <c r="L4316">
        <v>15000</v>
      </c>
      <c r="M4316">
        <v>213.497950305655</v>
      </c>
      <c r="Q4316">
        <v>0</v>
      </c>
      <c r="R4316">
        <v>-6.9211386558694103E-3</v>
      </c>
      <c r="S4316" t="s">
        <v>10142</v>
      </c>
      <c r="T4316" t="s">
        <v>11650</v>
      </c>
      <c r="U4316" t="s">
        <v>11650</v>
      </c>
      <c r="V4316" t="s">
        <v>11650</v>
      </c>
      <c r="W4316" t="s">
        <v>15912</v>
      </c>
      <c r="X4316">
        <v>2</v>
      </c>
      <c r="Y4316" t="s">
        <v>21588</v>
      </c>
      <c r="Z4316" t="s">
        <v>27378</v>
      </c>
      <c r="AA4316">
        <v>0.99595886334922024</v>
      </c>
      <c r="AB4316" t="str">
        <f>HYPERLINK("Melting_Curves/meltCurve_Q8WXI9_GATAD2B.pdf", "Melting_Curves/meltCurve_Q8WXI9_GATAD2B.pdf")</f>
        <v>Melting_Curves/meltCurve_Q8WXI9_GATAD2B.pdf</v>
      </c>
    </row>
    <row r="4317" spans="1:28" x14ac:dyDescent="0.25">
      <c r="A4317" t="s">
        <v>4321</v>
      </c>
      <c r="B4317">
        <v>0.99996721820229495</v>
      </c>
      <c r="C4317">
        <v>0.93764311278454604</v>
      </c>
      <c r="D4317">
        <v>0.99401466027329399</v>
      </c>
      <c r="E4317">
        <v>0.95398488960679095</v>
      </c>
      <c r="F4317">
        <v>1.46522550959687</v>
      </c>
      <c r="G4317">
        <v>1.5739139105576301</v>
      </c>
      <c r="H4317">
        <v>1.3403419110338399</v>
      </c>
      <c r="I4317">
        <v>1.0501578400543301</v>
      </c>
      <c r="J4317">
        <v>0.93840628666152404</v>
      </c>
      <c r="K4317">
        <v>0.69342554639733001</v>
      </c>
      <c r="L4317">
        <v>15000</v>
      </c>
      <c r="M4317">
        <v>222.49959376874901</v>
      </c>
      <c r="O4317">
        <v>67.410405455724899</v>
      </c>
      <c r="P4317">
        <v>-0.25304396833119502</v>
      </c>
      <c r="Q4317">
        <v>0.69334241761361004</v>
      </c>
      <c r="R4317">
        <v>1.19200891705606E-2</v>
      </c>
      <c r="S4317" t="s">
        <v>10143</v>
      </c>
      <c r="T4317" t="s">
        <v>11650</v>
      </c>
      <c r="U4317" t="s">
        <v>11650</v>
      </c>
      <c r="V4317" t="s">
        <v>11650</v>
      </c>
      <c r="W4317" t="s">
        <v>15913</v>
      </c>
      <c r="X4317">
        <v>2</v>
      </c>
      <c r="Y4317" t="s">
        <v>21589</v>
      </c>
      <c r="Z4317" t="s">
        <v>27379</v>
      </c>
      <c r="AA4317">
        <v>0.97362995643735128</v>
      </c>
      <c r="AB4317" t="str">
        <f>HYPERLINK("Melting_Curves/meltCurve_Q8WXS3_2_BAALC.pdf", "Melting_Curves/meltCurve_Q8WXS3_2_BAALC.pdf")</f>
        <v>Melting_Curves/meltCurve_Q8WXS3_2_BAALC.pdf</v>
      </c>
    </row>
    <row r="4318" spans="1:28" x14ac:dyDescent="0.25">
      <c r="A4318" t="s">
        <v>4322</v>
      </c>
      <c r="B4318">
        <v>0.99996721820229495</v>
      </c>
      <c r="C4318">
        <v>0.91032852337015502</v>
      </c>
      <c r="D4318">
        <v>0.74383803296499396</v>
      </c>
      <c r="E4318">
        <v>0.919028507087846</v>
      </c>
      <c r="F4318">
        <v>0.54317184849625499</v>
      </c>
      <c r="G4318">
        <v>0.34771595791967602</v>
      </c>
      <c r="H4318">
        <v>0.21797362730129799</v>
      </c>
      <c r="I4318">
        <v>0.330826530417208</v>
      </c>
      <c r="J4318">
        <v>0.14753022532237201</v>
      </c>
      <c r="K4318">
        <v>0.116100152017521</v>
      </c>
      <c r="L4318">
        <v>585.79454726099505</v>
      </c>
      <c r="M4318">
        <v>10.811814404996801</v>
      </c>
      <c r="N4318">
        <v>54.836194127343497</v>
      </c>
      <c r="O4318">
        <v>52.426210382306799</v>
      </c>
      <c r="P4318">
        <v>-4.8450593187498101E-2</v>
      </c>
      <c r="Q4318">
        <v>6.0595983229277603E-2</v>
      </c>
      <c r="R4318">
        <v>0.92339483349347296</v>
      </c>
      <c r="S4318" t="s">
        <v>10144</v>
      </c>
      <c r="T4318" t="s">
        <v>11650</v>
      </c>
      <c r="U4318" t="s">
        <v>11650</v>
      </c>
      <c r="V4318" t="s">
        <v>11650</v>
      </c>
      <c r="W4318" t="s">
        <v>15914</v>
      </c>
      <c r="X4318">
        <v>5</v>
      </c>
      <c r="Y4318" t="s">
        <v>21590</v>
      </c>
      <c r="Z4318" t="s">
        <v>27380</v>
      </c>
      <c r="AA4318">
        <v>0.53088227235696506</v>
      </c>
      <c r="AB4318" t="str">
        <f>HYPERLINK("Melting_Curves/meltCurve_Q8WXX5_DNAJC9.pdf", "Melting_Curves/meltCurve_Q8WXX5_DNAJC9.pdf")</f>
        <v>Melting_Curves/meltCurve_Q8WXX5_DNAJC9.pdf</v>
      </c>
    </row>
    <row r="4319" spans="1:28" x14ac:dyDescent="0.25">
      <c r="A4319" t="s">
        <v>4323</v>
      </c>
      <c r="B4319">
        <v>0.99996721820229495</v>
      </c>
      <c r="C4319">
        <v>1.0548682520722601</v>
      </c>
      <c r="D4319">
        <v>0.77175573542964604</v>
      </c>
      <c r="E4319">
        <v>0.40057776872449302</v>
      </c>
      <c r="F4319">
        <v>0.41340404685735599</v>
      </c>
      <c r="G4319">
        <v>0.36255161264128599</v>
      </c>
      <c r="H4319">
        <v>0.267073767067741</v>
      </c>
      <c r="I4319">
        <v>0.19229984851005999</v>
      </c>
      <c r="J4319">
        <v>0.141318889911805</v>
      </c>
      <c r="K4319">
        <v>0.11071519626879101</v>
      </c>
      <c r="L4319">
        <v>835.03393769477702</v>
      </c>
      <c r="M4319">
        <v>17.124560388269899</v>
      </c>
      <c r="N4319">
        <v>50.145380427840102</v>
      </c>
      <c r="O4319">
        <v>48.111964046415302</v>
      </c>
      <c r="P4319">
        <v>-7.2239143174543094E-2</v>
      </c>
      <c r="Q4319">
        <v>0.18821661801755399</v>
      </c>
      <c r="R4319">
        <v>0.94764290393793904</v>
      </c>
      <c r="S4319" t="s">
        <v>10145</v>
      </c>
      <c r="T4319" t="s">
        <v>11650</v>
      </c>
      <c r="U4319" t="s">
        <v>11650</v>
      </c>
      <c r="V4319" t="s">
        <v>11650</v>
      </c>
      <c r="W4319" t="s">
        <v>15915</v>
      </c>
      <c r="X4319">
        <v>4</v>
      </c>
      <c r="Y4319" t="s">
        <v>21591</v>
      </c>
      <c r="Z4319" t="s">
        <v>27381</v>
      </c>
      <c r="AA4319">
        <v>0.44093362898861233</v>
      </c>
      <c r="AB4319" t="str">
        <f>HYPERLINK("Melting_Curves/meltCurve_Q8WYA6_3_CTNNBL1.pdf", "Melting_Curves/meltCurve_Q8WYA6_3_CTNNBL1.pdf")</f>
        <v>Melting_Curves/meltCurve_Q8WYA6_3_CTNNBL1.pdf</v>
      </c>
    </row>
    <row r="4320" spans="1:28" x14ac:dyDescent="0.25">
      <c r="A4320" t="s">
        <v>4324</v>
      </c>
      <c r="B4320">
        <v>0.99996721820229495</v>
      </c>
      <c r="C4320">
        <v>0.95732692441984502</v>
      </c>
      <c r="D4320">
        <v>0.73580928028188397</v>
      </c>
      <c r="E4320">
        <v>0.38143205233899502</v>
      </c>
      <c r="F4320">
        <v>0.318442838638749</v>
      </c>
      <c r="G4320">
        <v>0.28143219051881802</v>
      </c>
      <c r="H4320">
        <v>0.195939704407844</v>
      </c>
      <c r="I4320">
        <v>0.131339118412548</v>
      </c>
      <c r="J4320">
        <v>0.106431757596006</v>
      </c>
      <c r="K4320">
        <v>8.3570087269575793E-2</v>
      </c>
      <c r="L4320">
        <v>815.46746706081899</v>
      </c>
      <c r="M4320">
        <v>16.884803060537099</v>
      </c>
      <c r="N4320">
        <v>49.199395494879298</v>
      </c>
      <c r="O4320">
        <v>47.633763933727401</v>
      </c>
      <c r="P4320">
        <v>-7.6810163808403303E-2</v>
      </c>
      <c r="Q4320">
        <v>0.13329756469515999</v>
      </c>
      <c r="R4320">
        <v>0.98063974735394099</v>
      </c>
      <c r="S4320" t="s">
        <v>10146</v>
      </c>
      <c r="T4320" t="s">
        <v>11650</v>
      </c>
      <c r="U4320" t="s">
        <v>11650</v>
      </c>
      <c r="V4320" t="s">
        <v>11650</v>
      </c>
      <c r="W4320" t="s">
        <v>15916</v>
      </c>
      <c r="X4320">
        <v>13</v>
      </c>
      <c r="Y4320" t="s">
        <v>21592</v>
      </c>
      <c r="Z4320" t="s">
        <v>27382</v>
      </c>
      <c r="AA4320">
        <v>0.3903494611582819</v>
      </c>
      <c r="AB4320" t="str">
        <f>HYPERLINK("Melting_Curves/meltCurve_Q8WYL5_SSH1.pdf", "Melting_Curves/meltCurve_Q8WYL5_SSH1.pdf")</f>
        <v>Melting_Curves/meltCurve_Q8WYL5_SSH1.pdf</v>
      </c>
    </row>
    <row r="4321" spans="1:28" x14ac:dyDescent="0.25">
      <c r="A4321" t="s">
        <v>4325</v>
      </c>
      <c r="B4321">
        <v>0.99996721820229495</v>
      </c>
      <c r="C4321">
        <v>1.10644202558816</v>
      </c>
      <c r="D4321">
        <v>1.0164925351423799</v>
      </c>
      <c r="E4321">
        <v>0.559304624370352</v>
      </c>
      <c r="F4321">
        <v>0.41338707902873101</v>
      </c>
      <c r="G4321">
        <v>0.350652012500342</v>
      </c>
      <c r="H4321">
        <v>0.22844104889040001</v>
      </c>
      <c r="I4321">
        <v>7.2784359803948803E-2</v>
      </c>
      <c r="J4321">
        <v>2.48564498036262E-2</v>
      </c>
      <c r="K4321">
        <v>1.5364118387287601E-2</v>
      </c>
      <c r="L4321">
        <v>790.52582518984195</v>
      </c>
      <c r="M4321">
        <v>15.133741754255601</v>
      </c>
      <c r="N4321">
        <v>52.519167619683003</v>
      </c>
      <c r="O4321">
        <v>51.349376802925498</v>
      </c>
      <c r="P4321">
        <v>-7.0800311571046798E-2</v>
      </c>
      <c r="Q4321">
        <v>3.9180868630061698E-2</v>
      </c>
      <c r="R4321">
        <v>0.95377687674093004</v>
      </c>
      <c r="S4321" t="s">
        <v>10147</v>
      </c>
      <c r="T4321" t="s">
        <v>11650</v>
      </c>
      <c r="U4321" t="s">
        <v>11650</v>
      </c>
      <c r="V4321" t="s">
        <v>11650</v>
      </c>
      <c r="W4321" t="s">
        <v>15917</v>
      </c>
      <c r="X4321">
        <v>4</v>
      </c>
      <c r="Y4321" t="s">
        <v>21593</v>
      </c>
      <c r="Z4321" t="s">
        <v>27383</v>
      </c>
      <c r="AA4321">
        <v>0.45208536898393442</v>
      </c>
      <c r="AB4321" t="str">
        <f>HYPERLINK("Melting_Curves/meltCurve_Q8WYN0_ATG4A.pdf", "Melting_Curves/meltCurve_Q8WYN0_ATG4A.pdf")</f>
        <v>Melting_Curves/meltCurve_Q8WYN0_ATG4A.pdf</v>
      </c>
    </row>
    <row r="4322" spans="1:28" x14ac:dyDescent="0.25">
      <c r="A4322" t="s">
        <v>4326</v>
      </c>
      <c r="B4322">
        <v>0.99996721820229495</v>
      </c>
      <c r="C4322">
        <v>0.83302842555841194</v>
      </c>
      <c r="D4322">
        <v>0.76132302505382399</v>
      </c>
      <c r="E4322">
        <v>0.89735318377692896</v>
      </c>
      <c r="F4322">
        <v>1.0840369988382501</v>
      </c>
      <c r="G4322">
        <v>1.0034347159719601</v>
      </c>
      <c r="H4322">
        <v>0.59718174744098895</v>
      </c>
      <c r="I4322">
        <v>0.62712169672987905</v>
      </c>
      <c r="J4322">
        <v>0.44171582469118498</v>
      </c>
      <c r="K4322">
        <v>0.41958084142658802</v>
      </c>
      <c r="L4322">
        <v>2960.85766737314</v>
      </c>
      <c r="M4322">
        <v>49.394486126957901</v>
      </c>
      <c r="N4322">
        <v>64.021963897159594</v>
      </c>
      <c r="O4322">
        <v>59.845081413617798</v>
      </c>
      <c r="P4322">
        <v>-0.107606275182449</v>
      </c>
      <c r="Q4322">
        <v>0.47850861787631799</v>
      </c>
      <c r="R4322">
        <v>0.74989164575957901</v>
      </c>
      <c r="S4322" t="s">
        <v>10148</v>
      </c>
      <c r="T4322" t="s">
        <v>11650</v>
      </c>
      <c r="U4322" t="s">
        <v>11650</v>
      </c>
      <c r="V4322" t="s">
        <v>11650</v>
      </c>
      <c r="W4322" t="s">
        <v>15918</v>
      </c>
      <c r="X4322">
        <v>1</v>
      </c>
      <c r="Y4322" t="s">
        <v>21594</v>
      </c>
      <c r="Z4322" t="s">
        <v>27384</v>
      </c>
      <c r="AA4322">
        <v>0.82656817881807221</v>
      </c>
      <c r="AB4322" t="str">
        <f>HYPERLINK("Melting_Curves/meltCurve_Q8WYP5_AHCTF1.pdf", "Melting_Curves/meltCurve_Q8WYP5_AHCTF1.pdf")</f>
        <v>Melting_Curves/meltCurve_Q8WYP5_AHCTF1.pdf</v>
      </c>
    </row>
    <row r="4323" spans="1:28" x14ac:dyDescent="0.25">
      <c r="A4323" t="s">
        <v>4327</v>
      </c>
      <c r="B4323">
        <v>0.99996721820229495</v>
      </c>
      <c r="C4323">
        <v>1.1318082544760899</v>
      </c>
      <c r="D4323">
        <v>0.90769814002806404</v>
      </c>
      <c r="E4323">
        <v>0.38790674987669899</v>
      </c>
      <c r="F4323">
        <v>0.20227272677079899</v>
      </c>
      <c r="G4323">
        <v>0.15066165224818301</v>
      </c>
      <c r="H4323">
        <v>9.4237164203093096E-2</v>
      </c>
      <c r="I4323">
        <v>8.0148996449821805E-2</v>
      </c>
      <c r="J4323">
        <v>6.7043233876215094E-2</v>
      </c>
      <c r="K4323">
        <v>4.2346411374341301E-2</v>
      </c>
      <c r="L4323">
        <v>1593.31520889327</v>
      </c>
      <c r="M4323">
        <v>32.477202561148502</v>
      </c>
      <c r="N4323">
        <v>49.357211831699502</v>
      </c>
      <c r="O4323">
        <v>48.874615882671399</v>
      </c>
      <c r="P4323">
        <v>-0.151348502283284</v>
      </c>
      <c r="Q4323">
        <v>8.8952969167285997E-2</v>
      </c>
      <c r="R4323">
        <v>0.98394764384774103</v>
      </c>
      <c r="S4323" t="s">
        <v>10149</v>
      </c>
      <c r="T4323" t="s">
        <v>11650</v>
      </c>
      <c r="U4323" t="s">
        <v>11650</v>
      </c>
      <c r="V4323" t="s">
        <v>11650</v>
      </c>
      <c r="W4323" t="s">
        <v>15919</v>
      </c>
      <c r="X4323">
        <v>3</v>
      </c>
      <c r="Y4323" t="s">
        <v>21595</v>
      </c>
      <c r="Z4323" t="s">
        <v>27385</v>
      </c>
      <c r="AA4323">
        <v>0.36879593154727858</v>
      </c>
      <c r="AB4323" t="str">
        <f>HYPERLINK("Melting_Curves/meltCurve_Q8WZ82_OVCA2.pdf", "Melting_Curves/meltCurve_Q8WZ82_OVCA2.pdf")</f>
        <v>Melting_Curves/meltCurve_Q8WZ82_OVCA2.pdf</v>
      </c>
    </row>
    <row r="4324" spans="1:28" x14ac:dyDescent="0.25">
      <c r="A4324" t="s">
        <v>4328</v>
      </c>
      <c r="B4324">
        <v>0.99996721820229495</v>
      </c>
      <c r="C4324">
        <v>1.1575867529523201</v>
      </c>
      <c r="D4324">
        <v>1.0721786386330601</v>
      </c>
      <c r="E4324">
        <v>1.0571737504988801</v>
      </c>
      <c r="F4324">
        <v>1.34284076116183</v>
      </c>
      <c r="G4324">
        <v>1.41687488525328</v>
      </c>
      <c r="H4324">
        <v>1.05049624137122</v>
      </c>
      <c r="I4324">
        <v>0.98608531660784304</v>
      </c>
      <c r="J4324">
        <v>0.80423765959763205</v>
      </c>
      <c r="K4324">
        <v>0.48824249911128498</v>
      </c>
      <c r="L4324">
        <v>4739.3568465743101</v>
      </c>
      <c r="M4324">
        <v>70.124469959053698</v>
      </c>
      <c r="N4324">
        <v>69.739889535286096</v>
      </c>
      <c r="O4324">
        <v>67.530020866564897</v>
      </c>
      <c r="P4324">
        <v>-0.14466998108891799</v>
      </c>
      <c r="Q4324">
        <v>0.44273006517316299</v>
      </c>
      <c r="R4324">
        <v>0.46661017345297801</v>
      </c>
      <c r="S4324" t="s">
        <v>10150</v>
      </c>
      <c r="T4324" t="s">
        <v>11650</v>
      </c>
      <c r="U4324" t="s">
        <v>11650</v>
      </c>
      <c r="V4324" t="s">
        <v>11650</v>
      </c>
      <c r="W4324" t="s">
        <v>15920</v>
      </c>
      <c r="X4324">
        <v>9</v>
      </c>
      <c r="Y4324" t="s">
        <v>21596</v>
      </c>
      <c r="Z4324" t="s">
        <v>27386</v>
      </c>
      <c r="AA4324">
        <v>0.95429181562647136</v>
      </c>
      <c r="AB4324" t="str">
        <f>HYPERLINK("Melting_Curves/meltCurve_Q8WZA0_LZIC.pdf", "Melting_Curves/meltCurve_Q8WZA0_LZIC.pdf")</f>
        <v>Melting_Curves/meltCurve_Q8WZA0_LZIC.pdf</v>
      </c>
    </row>
    <row r="4325" spans="1:28" x14ac:dyDescent="0.25">
      <c r="A4325" t="s">
        <v>4329</v>
      </c>
      <c r="B4325">
        <v>0.99996721820229495</v>
      </c>
      <c r="C4325">
        <v>1.03827883193276</v>
      </c>
      <c r="D4325">
        <v>1.000431411916</v>
      </c>
      <c r="E4325">
        <v>0.96513905604086703</v>
      </c>
      <c r="F4325">
        <v>0.415045788416113</v>
      </c>
      <c r="G4325">
        <v>0.28609098537626498</v>
      </c>
      <c r="H4325">
        <v>0.173036680829498</v>
      </c>
      <c r="I4325">
        <v>0.113092343879747</v>
      </c>
      <c r="J4325">
        <v>7.8709552282066206E-2</v>
      </c>
      <c r="K4325">
        <v>8.0222018035772599E-2</v>
      </c>
      <c r="L4325">
        <v>2874.6351688904801</v>
      </c>
      <c r="M4325">
        <v>54.925156158312703</v>
      </c>
      <c r="N4325">
        <v>52.6586946393682</v>
      </c>
      <c r="O4325">
        <v>52.268072377518997</v>
      </c>
      <c r="P4325">
        <v>-0.22529751323701999</v>
      </c>
      <c r="Q4325">
        <v>0.142406819943102</v>
      </c>
      <c r="R4325">
        <v>0.98196364579841</v>
      </c>
      <c r="S4325" t="s">
        <v>10151</v>
      </c>
      <c r="T4325" t="s">
        <v>11650</v>
      </c>
      <c r="U4325" t="s">
        <v>11650</v>
      </c>
      <c r="V4325" t="s">
        <v>11650</v>
      </c>
      <c r="W4325" t="s">
        <v>15921</v>
      </c>
      <c r="X4325">
        <v>18</v>
      </c>
      <c r="Y4325" t="s">
        <v>21597</v>
      </c>
      <c r="Z4325" t="s">
        <v>27387</v>
      </c>
      <c r="AA4325">
        <v>0.49672579059108612</v>
      </c>
      <c r="AB4325" t="str">
        <f>HYPERLINK("Melting_Curves/meltCurve_Q8WZA9_IRGQ.pdf", "Melting_Curves/meltCurve_Q8WZA9_IRGQ.pdf")</f>
        <v>Melting_Curves/meltCurve_Q8WZA9_IRGQ.pdf</v>
      </c>
    </row>
    <row r="4326" spans="1:28" x14ac:dyDescent="0.25">
      <c r="A4326" t="s">
        <v>4330</v>
      </c>
      <c r="B4326">
        <v>0.99996721820229495</v>
      </c>
      <c r="C4326">
        <v>0.85784186778345595</v>
      </c>
      <c r="D4326">
        <v>1.13408495228702</v>
      </c>
      <c r="E4326">
        <v>1.28164183773255</v>
      </c>
      <c r="F4326">
        <v>1.66884969883213</v>
      </c>
      <c r="G4326">
        <v>1.7736784240325001</v>
      </c>
      <c r="H4326">
        <v>1.3669077964219101</v>
      </c>
      <c r="I4326">
        <v>0.94155487413162897</v>
      </c>
      <c r="J4326">
        <v>0.61863361334631795</v>
      </c>
      <c r="K4326">
        <v>0.77031694942955498</v>
      </c>
      <c r="L4326">
        <v>15000</v>
      </c>
      <c r="M4326">
        <v>232.93443993301199</v>
      </c>
      <c r="O4326">
        <v>64.391054974868595</v>
      </c>
      <c r="P4326">
        <v>-0.27631595435867501</v>
      </c>
      <c r="Q4326">
        <v>0.69446723689803602</v>
      </c>
      <c r="R4326">
        <v>-7.4554067499938998E-3</v>
      </c>
      <c r="S4326" t="s">
        <v>10152</v>
      </c>
      <c r="T4326" t="s">
        <v>11650</v>
      </c>
      <c r="U4326" t="s">
        <v>11650</v>
      </c>
      <c r="V4326" t="s">
        <v>11650</v>
      </c>
      <c r="W4326" t="s">
        <v>15922</v>
      </c>
      <c r="X4326">
        <v>2</v>
      </c>
      <c r="Y4326" t="s">
        <v>21598</v>
      </c>
      <c r="Z4326" t="s">
        <v>27388</v>
      </c>
      <c r="AA4326">
        <v>0.94296423563725862</v>
      </c>
      <c r="AB4326" t="str">
        <f>HYPERLINK("Melting_Curves/meltCurve_Q92478_CLEC2B.pdf", "Melting_Curves/meltCurve_Q92478_CLEC2B.pdf")</f>
        <v>Melting_Curves/meltCurve_Q92478_CLEC2B.pdf</v>
      </c>
    </row>
    <row r="4327" spans="1:28" x14ac:dyDescent="0.25">
      <c r="A4327" t="s">
        <v>4331</v>
      </c>
      <c r="B4327">
        <v>0.99996721820229495</v>
      </c>
      <c r="C4327">
        <v>0.91357235302848905</v>
      </c>
      <c r="D4327">
        <v>0.90750957650764796</v>
      </c>
      <c r="E4327">
        <v>1.0177798494157899</v>
      </c>
      <c r="F4327">
        <v>0.40877378774793899</v>
      </c>
      <c r="G4327">
        <v>0.35330980994178102</v>
      </c>
      <c r="H4327">
        <v>0.24398300536380299</v>
      </c>
      <c r="I4327">
        <v>0.17546966067818101</v>
      </c>
      <c r="J4327">
        <v>0.12404796439645099</v>
      </c>
      <c r="K4327">
        <v>0.11328057808761199</v>
      </c>
      <c r="L4327">
        <v>13194.314984955099</v>
      </c>
      <c r="M4327">
        <v>250</v>
      </c>
      <c r="N4327">
        <v>52.886737882964098</v>
      </c>
      <c r="O4327">
        <v>52.773882547963701</v>
      </c>
      <c r="P4327">
        <v>-0.94504820803958201</v>
      </c>
      <c r="Q4327">
        <v>0.20201819084449199</v>
      </c>
      <c r="R4327">
        <v>0.958474701554199</v>
      </c>
      <c r="S4327" t="s">
        <v>10153</v>
      </c>
      <c r="T4327" t="s">
        <v>11650</v>
      </c>
      <c r="U4327" t="s">
        <v>11650</v>
      </c>
      <c r="V4327" t="s">
        <v>11650</v>
      </c>
      <c r="W4327" t="s">
        <v>15923</v>
      </c>
      <c r="X4327">
        <v>13</v>
      </c>
      <c r="Y4327" t="s">
        <v>21599</v>
      </c>
      <c r="Z4327" t="s">
        <v>27389</v>
      </c>
      <c r="AA4327">
        <v>0.54195946928983185</v>
      </c>
      <c r="AB4327" t="str">
        <f>HYPERLINK("Melting_Curves/meltCurve_Q92499_DDX1.pdf", "Melting_Curves/meltCurve_Q92499_DDX1.pdf")</f>
        <v>Melting_Curves/meltCurve_Q92499_DDX1.pdf</v>
      </c>
    </row>
    <row r="4328" spans="1:28" x14ac:dyDescent="0.25">
      <c r="A4328" t="s">
        <v>4332</v>
      </c>
      <c r="B4328">
        <v>0.99996721820229495</v>
      </c>
      <c r="C4328">
        <v>0.95725563642435196</v>
      </c>
      <c r="D4328">
        <v>0.78746266125056896</v>
      </c>
      <c r="E4328">
        <v>0.41801325514485499</v>
      </c>
      <c r="F4328">
        <v>0.39338626700071</v>
      </c>
      <c r="G4328">
        <v>0.32911438049096597</v>
      </c>
      <c r="H4328">
        <v>0.21613496271995999</v>
      </c>
      <c r="I4328">
        <v>0.140092363277184</v>
      </c>
      <c r="J4328">
        <v>0.120414556213705</v>
      </c>
      <c r="K4328">
        <v>8.5337322404270999E-2</v>
      </c>
      <c r="L4328">
        <v>682.54423768179697</v>
      </c>
      <c r="M4328">
        <v>13.8133034962356</v>
      </c>
      <c r="N4328">
        <v>50.409086027044502</v>
      </c>
      <c r="O4328">
        <v>48.411017190366103</v>
      </c>
      <c r="P4328">
        <v>-6.2815739916874905E-2</v>
      </c>
      <c r="Q4328">
        <v>0.119529666722682</v>
      </c>
      <c r="R4328">
        <v>0.973577837334198</v>
      </c>
      <c r="S4328" t="s">
        <v>10154</v>
      </c>
      <c r="T4328" t="s">
        <v>11650</v>
      </c>
      <c r="U4328" t="s">
        <v>11650</v>
      </c>
      <c r="V4328" t="s">
        <v>11650</v>
      </c>
      <c r="W4328" t="s">
        <v>15924</v>
      </c>
      <c r="X4328">
        <v>6</v>
      </c>
      <c r="Y4328" t="s">
        <v>21600</v>
      </c>
      <c r="Z4328" t="s">
        <v>27390</v>
      </c>
      <c r="AA4328">
        <v>0.42060648803685302</v>
      </c>
      <c r="AB4328" t="str">
        <f>HYPERLINK("Melting_Curves/meltCurve_Q92503_3_SEC14L1.pdf", "Melting_Curves/meltCurve_Q92503_3_SEC14L1.pdf")</f>
        <v>Melting_Curves/meltCurve_Q92503_3_SEC14L1.pdf</v>
      </c>
    </row>
    <row r="4329" spans="1:28" x14ac:dyDescent="0.25">
      <c r="A4329" t="s">
        <v>4333</v>
      </c>
      <c r="B4329">
        <v>0.99996721820229495</v>
      </c>
      <c r="C4329">
        <v>0.93041356254892005</v>
      </c>
      <c r="D4329">
        <v>0.95147117295315398</v>
      </c>
      <c r="E4329">
        <v>1.5545392323487499</v>
      </c>
      <c r="F4329">
        <v>2.3552777979547699</v>
      </c>
      <c r="G4329">
        <v>3.4996125449943198</v>
      </c>
      <c r="H4329">
        <v>2.81670130472193</v>
      </c>
      <c r="I4329">
        <v>1.37544439876608</v>
      </c>
      <c r="J4329">
        <v>0.72563237357584898</v>
      </c>
      <c r="K4329">
        <v>0.88852801235336798</v>
      </c>
      <c r="L4329">
        <v>11978.3318448093</v>
      </c>
      <c r="M4329">
        <v>250</v>
      </c>
      <c r="O4329">
        <v>47.910261083719497</v>
      </c>
      <c r="P4329">
        <v>0.65226110701869899</v>
      </c>
      <c r="Q4329">
        <v>1.5</v>
      </c>
      <c r="R4329">
        <v>9.1062618520840494E-2</v>
      </c>
      <c r="S4329" t="s">
        <v>10155</v>
      </c>
      <c r="T4329" t="s">
        <v>11650</v>
      </c>
      <c r="U4329" t="s">
        <v>11650</v>
      </c>
      <c r="V4329" t="s">
        <v>11650</v>
      </c>
      <c r="W4329" t="s">
        <v>15925</v>
      </c>
      <c r="X4329">
        <v>1</v>
      </c>
      <c r="Y4329" t="s">
        <v>21601</v>
      </c>
      <c r="Z4329" t="s">
        <v>27391</v>
      </c>
      <c r="AA4329">
        <v>1.3680691667741169</v>
      </c>
      <c r="AB4329" t="str">
        <f>HYPERLINK("Melting_Curves/meltCurve_Q92504_SLC39A7.pdf", "Melting_Curves/meltCurve_Q92504_SLC39A7.pdf")</f>
        <v>Melting_Curves/meltCurve_Q92504_SLC39A7.pdf</v>
      </c>
    </row>
    <row r="4330" spans="1:28" x14ac:dyDescent="0.25">
      <c r="A4330" t="s">
        <v>4334</v>
      </c>
      <c r="B4330">
        <v>0.99996721820229495</v>
      </c>
      <c r="C4330">
        <v>1.03171085203364</v>
      </c>
      <c r="D4330">
        <v>1.14648121176064</v>
      </c>
      <c r="E4330">
        <v>1.25871776484451</v>
      </c>
      <c r="F4330">
        <v>1.84640148526048</v>
      </c>
      <c r="G4330">
        <v>1.45490954510704</v>
      </c>
      <c r="H4330">
        <v>1.16607418950825</v>
      </c>
      <c r="I4330">
        <v>0.83533593215354196</v>
      </c>
      <c r="J4330">
        <v>0.48587877016509301</v>
      </c>
      <c r="K4330">
        <v>0.407171456432247</v>
      </c>
      <c r="L4330">
        <v>5102.3303985743596</v>
      </c>
      <c r="M4330">
        <v>78.689557609377403</v>
      </c>
      <c r="N4330">
        <v>66.415663784779696</v>
      </c>
      <c r="O4330">
        <v>64.799421779532494</v>
      </c>
      <c r="P4330">
        <v>-0.17529861926138501</v>
      </c>
      <c r="Q4330">
        <v>0.42257915496259701</v>
      </c>
      <c r="R4330">
        <v>0.36550076814601101</v>
      </c>
      <c r="S4330" t="s">
        <v>10156</v>
      </c>
      <c r="T4330" t="s">
        <v>11650</v>
      </c>
      <c r="U4330" t="s">
        <v>11650</v>
      </c>
      <c r="V4330" t="s">
        <v>11650</v>
      </c>
      <c r="W4330" t="s">
        <v>15926</v>
      </c>
      <c r="X4330">
        <v>3</v>
      </c>
      <c r="Y4330" t="s">
        <v>21602</v>
      </c>
      <c r="Z4330" t="s">
        <v>27392</v>
      </c>
      <c r="AA4330">
        <v>0.90131498815815048</v>
      </c>
      <c r="AB4330" t="str">
        <f>HYPERLINK("Melting_Curves/meltCurve_Q92506_HSD17B8.pdf", "Melting_Curves/meltCurve_Q92506_HSD17B8.pdf")</f>
        <v>Melting_Curves/meltCurve_Q92506_HSD17B8.pdf</v>
      </c>
    </row>
    <row r="4331" spans="1:28" x14ac:dyDescent="0.25">
      <c r="A4331" t="s">
        <v>4335</v>
      </c>
      <c r="B4331">
        <v>0.99996721820229495</v>
      </c>
      <c r="C4331">
        <v>0.95628045892020697</v>
      </c>
      <c r="D4331">
        <v>0.97294879329027295</v>
      </c>
      <c r="E4331">
        <v>1.0320020188399599</v>
      </c>
      <c r="F4331">
        <v>1.07570545931265</v>
      </c>
      <c r="G4331">
        <v>0.84360337085396997</v>
      </c>
      <c r="H4331">
        <v>0.58138570040075799</v>
      </c>
      <c r="I4331">
        <v>0.35172715258095499</v>
      </c>
      <c r="J4331">
        <v>0.174332570550637</v>
      </c>
      <c r="K4331">
        <v>0.163396797427552</v>
      </c>
      <c r="L4331">
        <v>1547.7149966714101</v>
      </c>
      <c r="M4331">
        <v>25.285879432024899</v>
      </c>
      <c r="N4331">
        <v>61.839409108538199</v>
      </c>
      <c r="O4331">
        <v>60.829685525515401</v>
      </c>
      <c r="P4331">
        <v>-9.2109290922047102E-2</v>
      </c>
      <c r="Q4331">
        <v>0.11367018823524</v>
      </c>
      <c r="R4331">
        <v>0.987249499539396</v>
      </c>
      <c r="S4331" t="s">
        <v>10157</v>
      </c>
      <c r="T4331" t="s">
        <v>11650</v>
      </c>
      <c r="U4331" t="s">
        <v>11650</v>
      </c>
      <c r="V4331" t="s">
        <v>11650</v>
      </c>
      <c r="W4331" t="s">
        <v>15927</v>
      </c>
      <c r="X4331">
        <v>3</v>
      </c>
      <c r="Y4331" t="s">
        <v>21603</v>
      </c>
      <c r="Z4331" t="s">
        <v>27393</v>
      </c>
      <c r="AA4331">
        <v>0.74554668025801829</v>
      </c>
      <c r="AB4331" t="str">
        <f>HYPERLINK("Melting_Curves/meltCurve_Q92508_PIEZO1.pdf", "Melting_Curves/meltCurve_Q92508_PIEZO1.pdf")</f>
        <v>Melting_Curves/meltCurve_Q92508_PIEZO1.pdf</v>
      </c>
    </row>
    <row r="4332" spans="1:28" x14ac:dyDescent="0.25">
      <c r="A4332" t="s">
        <v>4336</v>
      </c>
      <c r="B4332">
        <v>0.99996721820229495</v>
      </c>
      <c r="C4332">
        <v>0.81500266246883502</v>
      </c>
      <c r="D4332">
        <v>0.932906516381796</v>
      </c>
      <c r="E4332">
        <v>0.99287132889596197</v>
      </c>
      <c r="F4332">
        <v>1.02482399617953</v>
      </c>
      <c r="G4332">
        <v>0.59257078405035302</v>
      </c>
      <c r="H4332">
        <v>0.35212259071899699</v>
      </c>
      <c r="I4332">
        <v>0.22576649506966801</v>
      </c>
      <c r="J4332">
        <v>0.170833716754237</v>
      </c>
      <c r="K4332">
        <v>0.15006445985466599</v>
      </c>
      <c r="L4332">
        <v>1685.48510846875</v>
      </c>
      <c r="M4332">
        <v>29.281512589276101</v>
      </c>
      <c r="N4332">
        <v>58.393207437449199</v>
      </c>
      <c r="O4332">
        <v>57.294940458749899</v>
      </c>
      <c r="P4332">
        <v>-0.105979880491823</v>
      </c>
      <c r="Q4332">
        <v>0.170525443422164</v>
      </c>
      <c r="R4332">
        <v>0.95772135370351497</v>
      </c>
      <c r="S4332" t="s">
        <v>10158</v>
      </c>
      <c r="T4332" t="s">
        <v>11650</v>
      </c>
      <c r="U4332" t="s">
        <v>11650</v>
      </c>
      <c r="V4332" t="s">
        <v>11650</v>
      </c>
      <c r="W4332" t="s">
        <v>15928</v>
      </c>
      <c r="X4332">
        <v>15</v>
      </c>
      <c r="Y4332" t="s">
        <v>21604</v>
      </c>
      <c r="Z4332" t="s">
        <v>27394</v>
      </c>
      <c r="AA4332">
        <v>0.66180946458990186</v>
      </c>
      <c r="AB4332" t="str">
        <f>HYPERLINK("Melting_Curves/meltCurve_Q92520_FAM3C.pdf", "Melting_Curves/meltCurve_Q92520_FAM3C.pdf")</f>
        <v>Melting_Curves/meltCurve_Q92520_FAM3C.pdf</v>
      </c>
    </row>
    <row r="4333" spans="1:28" x14ac:dyDescent="0.25">
      <c r="A4333" t="s">
        <v>4337</v>
      </c>
      <c r="B4333">
        <v>0.99996721820229495</v>
      </c>
      <c r="C4333">
        <v>0.93455531250827695</v>
      </c>
      <c r="D4333">
        <v>0.91549315010764798</v>
      </c>
      <c r="E4333">
        <v>0.72629232763482598</v>
      </c>
      <c r="F4333">
        <v>0.40068640504096897</v>
      </c>
      <c r="G4333">
        <v>0.26219722333219603</v>
      </c>
      <c r="H4333">
        <v>0.224343579593348</v>
      </c>
      <c r="I4333">
        <v>0.132837645452859</v>
      </c>
      <c r="J4333">
        <v>0.136701628050656</v>
      </c>
      <c r="K4333">
        <v>0.26203118079169802</v>
      </c>
      <c r="L4333">
        <v>1184.49627468372</v>
      </c>
      <c r="M4333">
        <v>23.1771263250786</v>
      </c>
      <c r="N4333">
        <v>52.119461421751801</v>
      </c>
      <c r="O4333">
        <v>50.730351234943001</v>
      </c>
      <c r="P4333">
        <v>-9.3503902650557899E-2</v>
      </c>
      <c r="Q4333">
        <v>0.18136512657937301</v>
      </c>
      <c r="R4333">
        <v>0.98383865077207699</v>
      </c>
      <c r="S4333" t="s">
        <v>10159</v>
      </c>
      <c r="T4333" t="s">
        <v>11650</v>
      </c>
      <c r="U4333" t="s">
        <v>11650</v>
      </c>
      <c r="V4333" t="s">
        <v>11650</v>
      </c>
      <c r="W4333" t="s">
        <v>15929</v>
      </c>
      <c r="X4333">
        <v>8</v>
      </c>
      <c r="Y4333" t="s">
        <v>21605</v>
      </c>
      <c r="Z4333" t="s">
        <v>27395</v>
      </c>
      <c r="AA4333">
        <v>0.49301312741913311</v>
      </c>
      <c r="AB4333" t="str">
        <f>HYPERLINK("Melting_Curves/meltCurve_Q92526_CCT6B.pdf", "Melting_Curves/meltCurve_Q92526_CCT6B.pdf")</f>
        <v>Melting_Curves/meltCurve_Q92526_CCT6B.pdf</v>
      </c>
    </row>
    <row r="4334" spans="1:28" x14ac:dyDescent="0.25">
      <c r="A4334" t="s">
        <v>4338</v>
      </c>
      <c r="B4334">
        <v>0.99996721820229495</v>
      </c>
      <c r="C4334">
        <v>1.0017626332617999</v>
      </c>
      <c r="D4334">
        <v>1.22912371263099</v>
      </c>
      <c r="E4334">
        <v>1.1614242806835</v>
      </c>
      <c r="F4334">
        <v>0.40975832397809703</v>
      </c>
      <c r="G4334">
        <v>0.325765557584278</v>
      </c>
      <c r="H4334">
        <v>0.206744927605403</v>
      </c>
      <c r="I4334">
        <v>0.13450845333395101</v>
      </c>
      <c r="J4334">
        <v>0.10129672296499</v>
      </c>
      <c r="K4334">
        <v>8.7243710970022398E-2</v>
      </c>
      <c r="L4334">
        <v>13202.0061339355</v>
      </c>
      <c r="M4334">
        <v>250</v>
      </c>
      <c r="N4334">
        <v>52.896656772661501</v>
      </c>
      <c r="O4334">
        <v>52.804643486886697</v>
      </c>
      <c r="P4334">
        <v>-0.98107869474310905</v>
      </c>
      <c r="Q4334">
        <v>0.171111803163812</v>
      </c>
      <c r="R4334">
        <v>0.94193867224626104</v>
      </c>
      <c r="S4334" t="s">
        <v>10160</v>
      </c>
      <c r="T4334" t="s">
        <v>11650</v>
      </c>
      <c r="U4334" t="s">
        <v>11650</v>
      </c>
      <c r="V4334" t="s">
        <v>11650</v>
      </c>
      <c r="W4334" t="s">
        <v>15930</v>
      </c>
      <c r="X4334">
        <v>26</v>
      </c>
      <c r="Y4334" t="s">
        <v>21606</v>
      </c>
      <c r="Z4334" t="s">
        <v>27396</v>
      </c>
      <c r="AA4334">
        <v>0.52506930100055205</v>
      </c>
      <c r="AB4334" t="str">
        <f>HYPERLINK("Melting_Curves/meltCurve_Q92538_GBF1.pdf", "Melting_Curves/meltCurve_Q92538_GBF1.pdf")</f>
        <v>Melting_Curves/meltCurve_Q92538_GBF1.pdf</v>
      </c>
    </row>
    <row r="4335" spans="1:28" x14ac:dyDescent="0.25">
      <c r="A4335" t="s">
        <v>4339</v>
      </c>
      <c r="B4335">
        <v>0.99996721820229495</v>
      </c>
      <c r="C4335">
        <v>1.08678750020971</v>
      </c>
      <c r="D4335">
        <v>0.96372410324958502</v>
      </c>
      <c r="E4335">
        <v>0.76608162045796002</v>
      </c>
      <c r="F4335">
        <v>0.50599880330362301</v>
      </c>
      <c r="G4335">
        <v>0.43423924342458098</v>
      </c>
      <c r="H4335">
        <v>0.28904910699421799</v>
      </c>
      <c r="I4335">
        <v>0.22206409862530799</v>
      </c>
      <c r="J4335">
        <v>0.17743520400823001</v>
      </c>
      <c r="K4335">
        <v>0.13181443673746801</v>
      </c>
      <c r="L4335">
        <v>811.87096929546794</v>
      </c>
      <c r="M4335">
        <v>15.2738719155009</v>
      </c>
      <c r="N4335">
        <v>54.447437391076001</v>
      </c>
      <c r="O4335">
        <v>52.268082176563603</v>
      </c>
      <c r="P4335">
        <v>-6.1947487134726302E-2</v>
      </c>
      <c r="Q4335">
        <v>0.15212830708206901</v>
      </c>
      <c r="R4335">
        <v>0.97870798292517402</v>
      </c>
      <c r="S4335" t="s">
        <v>10161</v>
      </c>
      <c r="T4335" t="s">
        <v>11650</v>
      </c>
      <c r="U4335" t="s">
        <v>11650</v>
      </c>
      <c r="V4335" t="s">
        <v>11650</v>
      </c>
      <c r="W4335" t="s">
        <v>15931</v>
      </c>
      <c r="X4335">
        <v>14</v>
      </c>
      <c r="Y4335" t="s">
        <v>21607</v>
      </c>
      <c r="Z4335" t="s">
        <v>27397</v>
      </c>
      <c r="AA4335">
        <v>0.54157595358127608</v>
      </c>
      <c r="AB4335" t="str">
        <f>HYPERLINK("Melting_Curves/meltCurve_Q92541_RTF1.pdf", "Melting_Curves/meltCurve_Q92541_RTF1.pdf")</f>
        <v>Melting_Curves/meltCurve_Q92541_RTF1.pdf</v>
      </c>
    </row>
    <row r="4336" spans="1:28" x14ac:dyDescent="0.25">
      <c r="A4336" t="s">
        <v>4340</v>
      </c>
      <c r="B4336">
        <v>0.99996721820229495</v>
      </c>
      <c r="C4336">
        <v>0.68053564623475304</v>
      </c>
      <c r="D4336">
        <v>1.05513376483562</v>
      </c>
      <c r="E4336">
        <v>1.13714490456627</v>
      </c>
      <c r="F4336">
        <v>0.401093624272301</v>
      </c>
      <c r="G4336">
        <v>0.36087880125344401</v>
      </c>
      <c r="H4336">
        <v>0.18562712566589201</v>
      </c>
      <c r="I4336">
        <v>0.102941936959643</v>
      </c>
      <c r="J4336">
        <v>7.2457870679343395E-2</v>
      </c>
      <c r="K4336">
        <v>5.97444547389617E-2</v>
      </c>
      <c r="L4336">
        <v>13202.5751242203</v>
      </c>
      <c r="M4336">
        <v>250</v>
      </c>
      <c r="N4336">
        <v>52.889639896046702</v>
      </c>
      <c r="O4336">
        <v>52.806917479940303</v>
      </c>
      <c r="P4336">
        <v>-0.99853154797507404</v>
      </c>
      <c r="Q4336">
        <v>0.15632997600433701</v>
      </c>
      <c r="R4336">
        <v>0.88796810180976804</v>
      </c>
      <c r="S4336" t="s">
        <v>10162</v>
      </c>
      <c r="T4336" t="s">
        <v>11650</v>
      </c>
      <c r="U4336" t="s">
        <v>11650</v>
      </c>
      <c r="V4336" t="s">
        <v>11650</v>
      </c>
      <c r="W4336" t="s">
        <v>15932</v>
      </c>
      <c r="X4336">
        <v>12</v>
      </c>
      <c r="Y4336" t="s">
        <v>21608</v>
      </c>
      <c r="Z4336" t="s">
        <v>27398</v>
      </c>
      <c r="AA4336">
        <v>0.51666371932120403</v>
      </c>
      <c r="AB4336" t="str">
        <f>HYPERLINK("Melting_Curves/meltCurve_Q92544_TM9SF4.pdf", "Melting_Curves/meltCurve_Q92544_TM9SF4.pdf")</f>
        <v>Melting_Curves/meltCurve_Q92544_TM9SF4.pdf</v>
      </c>
    </row>
    <row r="4337" spans="1:28" x14ac:dyDescent="0.25">
      <c r="A4337" t="s">
        <v>4341</v>
      </c>
      <c r="B4337">
        <v>0.99996721820229495</v>
      </c>
      <c r="C4337">
        <v>0.81850853927038503</v>
      </c>
      <c r="D4337">
        <v>0.91389279021269199</v>
      </c>
      <c r="E4337">
        <v>1.65019729525018</v>
      </c>
      <c r="F4337">
        <v>0.80396301761966504</v>
      </c>
      <c r="G4337">
        <v>0.38257465550806302</v>
      </c>
      <c r="H4337">
        <v>0.21425302829904599</v>
      </c>
      <c r="I4337">
        <v>0.15854132488629499</v>
      </c>
      <c r="J4337">
        <v>0.114438408310609</v>
      </c>
      <c r="K4337">
        <v>9.7040519913985199E-2</v>
      </c>
      <c r="L4337">
        <v>2321.25140784818</v>
      </c>
      <c r="M4337">
        <v>41.740666184768401</v>
      </c>
      <c r="N4337">
        <v>56.054627522002001</v>
      </c>
      <c r="O4337">
        <v>55.484084176737802</v>
      </c>
      <c r="P4337">
        <v>-0.16163260121252301</v>
      </c>
      <c r="Q4337">
        <v>0.14059631086937399</v>
      </c>
      <c r="R4337">
        <v>0.79000293112328301</v>
      </c>
      <c r="S4337" t="s">
        <v>10163</v>
      </c>
      <c r="T4337" t="s">
        <v>11650</v>
      </c>
      <c r="U4337" t="s">
        <v>11650</v>
      </c>
      <c r="V4337" t="s">
        <v>11650</v>
      </c>
      <c r="W4337" t="s">
        <v>15933</v>
      </c>
      <c r="X4337">
        <v>3</v>
      </c>
      <c r="Y4337" t="s">
        <v>21609</v>
      </c>
      <c r="Z4337" t="s">
        <v>27399</v>
      </c>
      <c r="AA4337">
        <v>0.59082937452329742</v>
      </c>
      <c r="AB4337" t="str">
        <f>HYPERLINK("Melting_Curves/meltCurve_Q92546_RGP1.pdf", "Melting_Curves/meltCurve_Q92546_RGP1.pdf")</f>
        <v>Melting_Curves/meltCurve_Q92546_RGP1.pdf</v>
      </c>
    </row>
    <row r="4338" spans="1:28" x14ac:dyDescent="0.25">
      <c r="A4338" t="s">
        <v>4342</v>
      </c>
      <c r="B4338">
        <v>0.99996721820229495</v>
      </c>
      <c r="C4338">
        <v>0.89042291516885497</v>
      </c>
      <c r="D4338">
        <v>0.86700834323726494</v>
      </c>
      <c r="E4338">
        <v>0.79537036678428197</v>
      </c>
      <c r="F4338">
        <v>0.88767816862677895</v>
      </c>
      <c r="G4338">
        <v>0.399702970537819</v>
      </c>
      <c r="H4338">
        <v>0.33885885414351902</v>
      </c>
      <c r="I4338">
        <v>0.46942513116599499</v>
      </c>
      <c r="J4338">
        <v>0.42649692923193799</v>
      </c>
      <c r="K4338">
        <v>0.409273000735633</v>
      </c>
      <c r="L4338">
        <v>3713.4066807725299</v>
      </c>
      <c r="M4338">
        <v>68.700190686292601</v>
      </c>
      <c r="N4338">
        <v>55.397642079584998</v>
      </c>
      <c r="O4338">
        <v>54.006603846060003</v>
      </c>
      <c r="P4338">
        <v>-0.18899147854485601</v>
      </c>
      <c r="Q4338">
        <v>0.40572010934668301</v>
      </c>
      <c r="R4338">
        <v>0.86736916296927402</v>
      </c>
      <c r="S4338" t="s">
        <v>10164</v>
      </c>
      <c r="T4338" t="s">
        <v>11650</v>
      </c>
      <c r="U4338" t="s">
        <v>11650</v>
      </c>
      <c r="V4338" t="s">
        <v>11650</v>
      </c>
      <c r="W4338" t="s">
        <v>15934</v>
      </c>
      <c r="X4338">
        <v>1</v>
      </c>
      <c r="Y4338" t="s">
        <v>21610</v>
      </c>
      <c r="Z4338" t="s">
        <v>27400</v>
      </c>
      <c r="AA4338">
        <v>0.68483627577393291</v>
      </c>
      <c r="AB4338" t="str">
        <f>HYPERLINK("Melting_Curves/meltCurve_Q92558_WASF1.pdf", "Melting_Curves/meltCurve_Q92558_WASF1.pdf")</f>
        <v>Melting_Curves/meltCurve_Q92558_WASF1.pdf</v>
      </c>
    </row>
    <row r="4339" spans="1:28" x14ac:dyDescent="0.25">
      <c r="A4339" t="s">
        <v>4343</v>
      </c>
      <c r="B4339">
        <v>0.99996721820229495</v>
      </c>
      <c r="C4339">
        <v>0.94956585681412797</v>
      </c>
      <c r="D4339">
        <v>0.81747015617261898</v>
      </c>
      <c r="E4339">
        <v>0.62254974177227995</v>
      </c>
      <c r="F4339">
        <v>0.54294823491946897</v>
      </c>
      <c r="G4339">
        <v>0.42123324336823498</v>
      </c>
      <c r="H4339">
        <v>0.37275146327470998</v>
      </c>
      <c r="I4339">
        <v>0.74388101691702602</v>
      </c>
      <c r="J4339">
        <v>1.3082974225436901</v>
      </c>
      <c r="K4339">
        <v>0.76149730381905201</v>
      </c>
      <c r="L4339">
        <v>2045.04321479087</v>
      </c>
      <c r="M4339">
        <v>44.931541762943503</v>
      </c>
      <c r="O4339">
        <v>45.424763590772798</v>
      </c>
      <c r="P4339">
        <v>-7.8608775670806E-2</v>
      </c>
      <c r="Q4339">
        <v>0.68211370358111101</v>
      </c>
      <c r="R4339">
        <v>0.188393397887341</v>
      </c>
      <c r="S4339" t="s">
        <v>10165</v>
      </c>
      <c r="T4339" t="s">
        <v>11650</v>
      </c>
      <c r="U4339" t="s">
        <v>11650</v>
      </c>
      <c r="V4339" t="s">
        <v>11650</v>
      </c>
      <c r="W4339" t="s">
        <v>15935</v>
      </c>
      <c r="X4339">
        <v>1</v>
      </c>
      <c r="Y4339" t="s">
        <v>21611</v>
      </c>
      <c r="Z4339" t="s">
        <v>27401</v>
      </c>
      <c r="AA4339">
        <v>0.74135570254887428</v>
      </c>
      <c r="AB4339" t="str">
        <f>HYPERLINK("Melting_Curves/meltCurve_Q92567_2_FAM168A.pdf", "Melting_Curves/meltCurve_Q92567_2_FAM168A.pdf")</f>
        <v>Melting_Curves/meltCurve_Q92567_2_FAM168A.pdf</v>
      </c>
    </row>
    <row r="4340" spans="1:28" x14ac:dyDescent="0.25">
      <c r="A4340" t="s">
        <v>4344</v>
      </c>
      <c r="B4340">
        <v>0.99996721820229495</v>
      </c>
      <c r="C4340">
        <v>0.99155075751150701</v>
      </c>
      <c r="D4340">
        <v>1.00074411940389</v>
      </c>
      <c r="E4340">
        <v>1.02228520924739</v>
      </c>
      <c r="F4340">
        <v>0.64347853044616699</v>
      </c>
      <c r="G4340">
        <v>0.63119709284932202</v>
      </c>
      <c r="H4340">
        <v>0.38391457971340698</v>
      </c>
      <c r="I4340">
        <v>0.24243685862345801</v>
      </c>
      <c r="J4340">
        <v>0.18326074926253799</v>
      </c>
      <c r="K4340">
        <v>0.148194329632934</v>
      </c>
      <c r="L4340">
        <v>795.04101076022403</v>
      </c>
      <c r="M4340">
        <v>13.763038925863199</v>
      </c>
      <c r="N4340">
        <v>58.3730615723005</v>
      </c>
      <c r="O4340">
        <v>56.587799217280804</v>
      </c>
      <c r="P4340">
        <v>-5.6760016902256898E-2</v>
      </c>
      <c r="Q4340">
        <v>6.6639224409530906E-2</v>
      </c>
      <c r="R4340">
        <v>0.96636305691512803</v>
      </c>
      <c r="S4340" t="s">
        <v>10166</v>
      </c>
      <c r="T4340" t="s">
        <v>11650</v>
      </c>
      <c r="U4340" t="s">
        <v>11650</v>
      </c>
      <c r="V4340" t="s">
        <v>11650</v>
      </c>
      <c r="W4340" t="s">
        <v>15936</v>
      </c>
      <c r="X4340">
        <v>3</v>
      </c>
      <c r="Y4340" t="s">
        <v>21612</v>
      </c>
      <c r="Z4340" t="s">
        <v>27402</v>
      </c>
      <c r="AA4340">
        <v>0.63265432151071388</v>
      </c>
      <c r="AB4340" t="str">
        <f>HYPERLINK("Melting_Curves/meltCurve_Q92572_AP3S1.pdf", "Melting_Curves/meltCurve_Q92572_AP3S1.pdf")</f>
        <v>Melting_Curves/meltCurve_Q92572_AP3S1.pdf</v>
      </c>
    </row>
    <row r="4341" spans="1:28" x14ac:dyDescent="0.25">
      <c r="A4341" t="s">
        <v>4345</v>
      </c>
      <c r="B4341">
        <v>0.99996721820229495</v>
      </c>
      <c r="C4341">
        <v>1.14237088871405</v>
      </c>
      <c r="D4341">
        <v>0.95547709741613196</v>
      </c>
      <c r="E4341">
        <v>0.88695472312620705</v>
      </c>
      <c r="F4341">
        <v>0.90405000531212998</v>
      </c>
      <c r="G4341">
        <v>0.74979082336735203</v>
      </c>
      <c r="H4341">
        <v>0.457295209123811</v>
      </c>
      <c r="I4341">
        <v>0.37497118015368402</v>
      </c>
      <c r="J4341">
        <v>0.27467878309226101</v>
      </c>
      <c r="K4341">
        <v>0.18873959403402499</v>
      </c>
      <c r="L4341">
        <v>854.92613586579603</v>
      </c>
      <c r="M4341">
        <v>14.207030863287001</v>
      </c>
      <c r="N4341">
        <v>61.002101438966498</v>
      </c>
      <c r="O4341">
        <v>59.021663772398703</v>
      </c>
      <c r="P4341">
        <v>-5.49195610051827E-2</v>
      </c>
      <c r="Q4341">
        <v>8.7483105697906696E-2</v>
      </c>
      <c r="R4341">
        <v>0.97073425460460805</v>
      </c>
      <c r="S4341" t="s">
        <v>10167</v>
      </c>
      <c r="T4341" t="s">
        <v>11650</v>
      </c>
      <c r="U4341" t="s">
        <v>11650</v>
      </c>
      <c r="V4341" t="s">
        <v>11650</v>
      </c>
      <c r="W4341" t="s">
        <v>15937</v>
      </c>
      <c r="X4341">
        <v>4</v>
      </c>
      <c r="Y4341" t="s">
        <v>21613</v>
      </c>
      <c r="Z4341" t="s">
        <v>27403</v>
      </c>
      <c r="AA4341">
        <v>0.70601838922311988</v>
      </c>
      <c r="AB4341" t="str">
        <f>HYPERLINK("Melting_Curves/meltCurve_Q92574_TSC1.pdf", "Melting_Curves/meltCurve_Q92574_TSC1.pdf")</f>
        <v>Melting_Curves/meltCurve_Q92574_TSC1.pdf</v>
      </c>
    </row>
    <row r="4342" spans="1:28" x14ac:dyDescent="0.25">
      <c r="A4342" t="s">
        <v>4346</v>
      </c>
      <c r="B4342">
        <v>0.99996721820229495</v>
      </c>
      <c r="C4342">
        <v>0.87203876667103997</v>
      </c>
      <c r="D4342">
        <v>0.85165598499950401</v>
      </c>
      <c r="E4342">
        <v>0.89844276338754903</v>
      </c>
      <c r="F4342">
        <v>0.65777547309944095</v>
      </c>
      <c r="G4342">
        <v>0.39258707620525601</v>
      </c>
      <c r="H4342">
        <v>0.23849484898922199</v>
      </c>
      <c r="I4342">
        <v>0.17067760327336301</v>
      </c>
      <c r="J4342">
        <v>0.13973134542142701</v>
      </c>
      <c r="K4342">
        <v>0.10301566027375</v>
      </c>
      <c r="L4342">
        <v>760.35119843417397</v>
      </c>
      <c r="M4342">
        <v>13.795251566732601</v>
      </c>
      <c r="N4342">
        <v>55.5494366927214</v>
      </c>
      <c r="O4342">
        <v>53.997418500133399</v>
      </c>
      <c r="P4342">
        <v>-6.0625756625451201E-2</v>
      </c>
      <c r="Q4342">
        <v>5.0926892837260103E-2</v>
      </c>
      <c r="R4342">
        <v>0.97553569075519797</v>
      </c>
      <c r="S4342" t="s">
        <v>10168</v>
      </c>
      <c r="T4342" t="s">
        <v>11650</v>
      </c>
      <c r="U4342" t="s">
        <v>11650</v>
      </c>
      <c r="V4342" t="s">
        <v>11650</v>
      </c>
      <c r="W4342" t="s">
        <v>15938</v>
      </c>
      <c r="X4342">
        <v>16</v>
      </c>
      <c r="Y4342" t="s">
        <v>21614</v>
      </c>
      <c r="Z4342" t="s">
        <v>27404</v>
      </c>
      <c r="AA4342">
        <v>0.54884155817532287</v>
      </c>
      <c r="AB4342" t="str">
        <f>HYPERLINK("Melting_Curves/meltCurve_Q92575_UBXN4.pdf", "Melting_Curves/meltCurve_Q92575_UBXN4.pdf")</f>
        <v>Melting_Curves/meltCurve_Q92575_UBXN4.pdf</v>
      </c>
    </row>
    <row r="4343" spans="1:28" x14ac:dyDescent="0.25">
      <c r="A4343" t="s">
        <v>4347</v>
      </c>
      <c r="B4343">
        <v>0.99996721820229495</v>
      </c>
      <c r="C4343">
        <v>1.06685483353318</v>
      </c>
      <c r="D4343">
        <v>1.0507276453647201</v>
      </c>
      <c r="E4343">
        <v>1.05058817319824</v>
      </c>
      <c r="F4343">
        <v>0.61384518797782694</v>
      </c>
      <c r="G4343">
        <v>0.34867171010589898</v>
      </c>
      <c r="H4343">
        <v>0.202488720084435</v>
      </c>
      <c r="I4343">
        <v>0.131394416569939</v>
      </c>
      <c r="J4343">
        <v>9.4941356372591601E-2</v>
      </c>
      <c r="K4343">
        <v>8.1419723550808995E-2</v>
      </c>
      <c r="L4343">
        <v>1459.4181238466799</v>
      </c>
      <c r="M4343">
        <v>26.8584903260885</v>
      </c>
      <c r="N4343">
        <v>54.862097679998698</v>
      </c>
      <c r="O4343">
        <v>54.038770464438898</v>
      </c>
      <c r="P4343">
        <v>-0.110180618181528</v>
      </c>
      <c r="Q4343">
        <v>0.113283789859285</v>
      </c>
      <c r="R4343">
        <v>0.97844243333818504</v>
      </c>
      <c r="S4343" t="s">
        <v>10169</v>
      </c>
      <c r="T4343" t="s">
        <v>11650</v>
      </c>
      <c r="U4343" t="s">
        <v>11650</v>
      </c>
      <c r="V4343" t="s">
        <v>11650</v>
      </c>
      <c r="W4343" t="s">
        <v>15939</v>
      </c>
      <c r="X4343">
        <v>9</v>
      </c>
      <c r="Y4343" t="s">
        <v>21615</v>
      </c>
      <c r="Z4343" t="s">
        <v>27405</v>
      </c>
      <c r="AA4343">
        <v>0.54425715315192669</v>
      </c>
      <c r="AB4343" t="str">
        <f>HYPERLINK("Melting_Curves/meltCurve_Q92597_NDRG1.pdf", "Melting_Curves/meltCurve_Q92597_NDRG1.pdf")</f>
        <v>Melting_Curves/meltCurve_Q92597_NDRG1.pdf</v>
      </c>
    </row>
    <row r="4344" spans="1:28" x14ac:dyDescent="0.25">
      <c r="A4344" t="s">
        <v>4348</v>
      </c>
      <c r="B4344">
        <v>0.99996721820229495</v>
      </c>
      <c r="C4344">
        <v>0.99782091660644201</v>
      </c>
      <c r="D4344">
        <v>1.10453012315965</v>
      </c>
      <c r="E4344">
        <v>0.82664633540253796</v>
      </c>
      <c r="F4344">
        <v>0.44376573405590303</v>
      </c>
      <c r="G4344">
        <v>0.35292916022477799</v>
      </c>
      <c r="H4344">
        <v>0.18547773106634699</v>
      </c>
      <c r="I4344">
        <v>0.12833794436050999</v>
      </c>
      <c r="J4344">
        <v>9.5639076532265402E-2</v>
      </c>
      <c r="K4344">
        <v>6.7372141122868198E-2</v>
      </c>
      <c r="L4344">
        <v>1164.9209874918699</v>
      </c>
      <c r="M4344">
        <v>22.057078816221299</v>
      </c>
      <c r="N4344">
        <v>53.419942153207202</v>
      </c>
      <c r="O4344">
        <v>52.385562130990898</v>
      </c>
      <c r="P4344">
        <v>-9.3614084399666203E-2</v>
      </c>
      <c r="Q4344">
        <v>0.110685821495425</v>
      </c>
      <c r="R4344">
        <v>0.97387716597892804</v>
      </c>
      <c r="S4344" t="s">
        <v>10170</v>
      </c>
      <c r="T4344" t="s">
        <v>11650</v>
      </c>
      <c r="U4344" t="s">
        <v>11650</v>
      </c>
      <c r="V4344" t="s">
        <v>11650</v>
      </c>
      <c r="W4344" t="s">
        <v>15940</v>
      </c>
      <c r="X4344">
        <v>42</v>
      </c>
      <c r="Y4344" t="s">
        <v>21616</v>
      </c>
      <c r="Z4344" t="s">
        <v>27406</v>
      </c>
      <c r="AA4344">
        <v>0.50084533307083523</v>
      </c>
      <c r="AB4344" t="str">
        <f>HYPERLINK("Melting_Curves/meltCurve_Q92598_2_HSPH1.pdf", "Melting_Curves/meltCurve_Q92598_2_HSPH1.pdf")</f>
        <v>Melting_Curves/meltCurve_Q92598_2_HSPH1.pdf</v>
      </c>
    </row>
    <row r="4345" spans="1:28" x14ac:dyDescent="0.25">
      <c r="A4345" t="s">
        <v>4349</v>
      </c>
      <c r="B4345">
        <v>0.99996721820229495</v>
      </c>
      <c r="C4345">
        <v>1.01286814137781</v>
      </c>
      <c r="D4345">
        <v>0.99263034188987498</v>
      </c>
      <c r="E4345">
        <v>0.79869997455618003</v>
      </c>
      <c r="F4345">
        <v>0.51313380739104797</v>
      </c>
      <c r="G4345">
        <v>0.45574539775947598</v>
      </c>
      <c r="H4345">
        <v>0.28814667105687403</v>
      </c>
      <c r="I4345">
        <v>0.239828138358093</v>
      </c>
      <c r="J4345">
        <v>0.21288389112234901</v>
      </c>
      <c r="K4345">
        <v>0.16874486533901101</v>
      </c>
      <c r="L4345">
        <v>862.06188652328603</v>
      </c>
      <c r="M4345">
        <v>16.241311066117198</v>
      </c>
      <c r="N4345">
        <v>54.656898261991302</v>
      </c>
      <c r="O4345">
        <v>52.2932345059208</v>
      </c>
      <c r="P4345">
        <v>-6.31142377593885E-2</v>
      </c>
      <c r="Q4345">
        <v>0.18720775881703799</v>
      </c>
      <c r="R4345">
        <v>0.98421241847894303</v>
      </c>
      <c r="S4345" t="s">
        <v>10171</v>
      </c>
      <c r="T4345" t="s">
        <v>11650</v>
      </c>
      <c r="U4345" t="s">
        <v>11650</v>
      </c>
      <c r="V4345" t="s">
        <v>11650</v>
      </c>
      <c r="W4345" t="s">
        <v>15941</v>
      </c>
      <c r="X4345">
        <v>12</v>
      </c>
      <c r="Y4345" t="s">
        <v>21617</v>
      </c>
      <c r="Z4345" t="s">
        <v>27407</v>
      </c>
      <c r="AA4345">
        <v>0.55710055164490702</v>
      </c>
      <c r="AB4345" t="str">
        <f>HYPERLINK("Melting_Curves/meltCurve_Q92609_TBC1D5.pdf", "Melting_Curves/meltCurve_Q92609_TBC1D5.pdf")</f>
        <v>Melting_Curves/meltCurve_Q92609_TBC1D5.pdf</v>
      </c>
    </row>
    <row r="4346" spans="1:28" x14ac:dyDescent="0.25">
      <c r="A4346" t="s">
        <v>4350</v>
      </c>
      <c r="B4346">
        <v>0.99996721820229495</v>
      </c>
      <c r="C4346">
        <v>0.70743349830028601</v>
      </c>
      <c r="D4346">
        <v>0.61215318204967595</v>
      </c>
      <c r="E4346">
        <v>0.78297321119137198</v>
      </c>
      <c r="F4346">
        <v>0.88600339117306204</v>
      </c>
      <c r="G4346">
        <v>0.69797038654633103</v>
      </c>
      <c r="H4346">
        <v>0.67420900169058795</v>
      </c>
      <c r="I4346">
        <v>0.66836258248480096</v>
      </c>
      <c r="J4346">
        <v>0.57208910480147002</v>
      </c>
      <c r="K4346">
        <v>0.50905390315936205</v>
      </c>
      <c r="L4346">
        <v>141.131807059652</v>
      </c>
      <c r="M4346">
        <v>1.6939144391849601</v>
      </c>
      <c r="O4346">
        <v>44.438418120023698</v>
      </c>
      <c r="P4346">
        <v>-1.0781264372952E-2</v>
      </c>
      <c r="Q4346">
        <v>0</v>
      </c>
      <c r="R4346">
        <v>0.45938006945218202</v>
      </c>
      <c r="S4346" t="s">
        <v>10172</v>
      </c>
      <c r="T4346" t="s">
        <v>11650</v>
      </c>
      <c r="U4346" t="s">
        <v>11650</v>
      </c>
      <c r="V4346" t="s">
        <v>11650</v>
      </c>
      <c r="W4346" t="s">
        <v>15942</v>
      </c>
      <c r="X4346">
        <v>6</v>
      </c>
      <c r="Y4346" t="s">
        <v>21618</v>
      </c>
      <c r="Z4346" t="s">
        <v>27408</v>
      </c>
      <c r="AA4346">
        <v>0.71087206865488384</v>
      </c>
      <c r="AB4346" t="str">
        <f>HYPERLINK("Melting_Curves/meltCurve_Q92615_LARP4B.pdf", "Melting_Curves/meltCurve_Q92615_LARP4B.pdf")</f>
        <v>Melting_Curves/meltCurve_Q92615_LARP4B.pdf</v>
      </c>
    </row>
    <row r="4347" spans="1:28" x14ac:dyDescent="0.25">
      <c r="A4347" t="s">
        <v>4351</v>
      </c>
      <c r="B4347">
        <v>0.99996721820229495</v>
      </c>
      <c r="C4347">
        <v>0.79633599401934796</v>
      </c>
      <c r="D4347">
        <v>0.28298647859163001</v>
      </c>
      <c r="E4347">
        <v>0.25221545810212798</v>
      </c>
      <c r="F4347">
        <v>0.26521471761756499</v>
      </c>
      <c r="G4347">
        <v>0.20572611064103999</v>
      </c>
      <c r="H4347">
        <v>0.13337340127331199</v>
      </c>
      <c r="I4347">
        <v>8.3147240937431005E-2</v>
      </c>
      <c r="J4347">
        <v>6.21061070260936E-2</v>
      </c>
      <c r="K4347">
        <v>4.6546195360089998E-2</v>
      </c>
      <c r="L4347">
        <v>1673.50836353465</v>
      </c>
      <c r="M4347">
        <v>37.884921707010498</v>
      </c>
      <c r="N4347">
        <v>44.579695010065898</v>
      </c>
      <c r="O4347">
        <v>44.050927698156002</v>
      </c>
      <c r="P4347">
        <v>-0.18362270640601799</v>
      </c>
      <c r="Q4347">
        <v>0.145968432161758</v>
      </c>
      <c r="R4347">
        <v>0.94880626329263396</v>
      </c>
      <c r="S4347" t="s">
        <v>10173</v>
      </c>
      <c r="T4347" t="s">
        <v>11650</v>
      </c>
      <c r="U4347" t="s">
        <v>11650</v>
      </c>
      <c r="V4347" t="s">
        <v>11650</v>
      </c>
      <c r="W4347" t="s">
        <v>15943</v>
      </c>
      <c r="X4347">
        <v>16</v>
      </c>
      <c r="Y4347" t="s">
        <v>21619</v>
      </c>
      <c r="Z4347" t="s">
        <v>27409</v>
      </c>
      <c r="AA4347">
        <v>0.26818269288400998</v>
      </c>
      <c r="AB4347" t="str">
        <f>HYPERLINK("Melting_Curves/meltCurve_Q92616_GCN1L1.pdf", "Melting_Curves/meltCurve_Q92616_GCN1L1.pdf")</f>
        <v>Melting_Curves/meltCurve_Q92616_GCN1L1.pdf</v>
      </c>
    </row>
    <row r="4348" spans="1:28" x14ac:dyDescent="0.25">
      <c r="A4348" t="s">
        <v>4352</v>
      </c>
      <c r="B4348">
        <v>0.99996721820229495</v>
      </c>
      <c r="C4348">
        <v>1.02049129991136</v>
      </c>
      <c r="D4348">
        <v>0.974305395032802</v>
      </c>
      <c r="E4348">
        <v>0.94352486397272906</v>
      </c>
      <c r="F4348">
        <v>0.91591387032457205</v>
      </c>
      <c r="G4348">
        <v>0.99107219786845901</v>
      </c>
      <c r="H4348">
        <v>0.73417323897027797</v>
      </c>
      <c r="I4348">
        <v>0.50236245589955997</v>
      </c>
      <c r="J4348">
        <v>0.46204161777406499</v>
      </c>
      <c r="K4348">
        <v>0.30455081536174999</v>
      </c>
      <c r="L4348">
        <v>1632.6534628859799</v>
      </c>
      <c r="M4348">
        <v>26.2393007214508</v>
      </c>
      <c r="N4348">
        <v>64.551420183888197</v>
      </c>
      <c r="O4348">
        <v>61.863669383945499</v>
      </c>
      <c r="P4348">
        <v>-7.3585078525248301E-2</v>
      </c>
      <c r="Q4348">
        <v>0.30604989849014402</v>
      </c>
      <c r="R4348">
        <v>0.97068368692574303</v>
      </c>
      <c r="S4348" t="s">
        <v>10174</v>
      </c>
      <c r="T4348" t="s">
        <v>11650</v>
      </c>
      <c r="U4348" t="s">
        <v>11650</v>
      </c>
      <c r="V4348" t="s">
        <v>11650</v>
      </c>
      <c r="W4348" t="s">
        <v>15944</v>
      </c>
      <c r="X4348">
        <v>4</v>
      </c>
      <c r="Y4348" t="s">
        <v>21620</v>
      </c>
      <c r="Z4348" t="s">
        <v>27410</v>
      </c>
      <c r="AA4348">
        <v>0.82306603860244865</v>
      </c>
      <c r="AB4348" t="str">
        <f>HYPERLINK("Melting_Curves/meltCurve_Q92620_DHX38.pdf", "Melting_Curves/meltCurve_Q92620_DHX38.pdf")</f>
        <v>Melting_Curves/meltCurve_Q92620_DHX38.pdf</v>
      </c>
    </row>
    <row r="4349" spans="1:28" x14ac:dyDescent="0.25">
      <c r="A4349" t="s">
        <v>4353</v>
      </c>
      <c r="B4349">
        <v>0.99996721820229495</v>
      </c>
      <c r="C4349">
        <v>1.15923367517873</v>
      </c>
      <c r="D4349">
        <v>1.22399563696081</v>
      </c>
      <c r="E4349">
        <v>1.5400068329521399</v>
      </c>
      <c r="F4349">
        <v>0.58954684895746901</v>
      </c>
      <c r="G4349">
        <v>0.401773270011476</v>
      </c>
      <c r="H4349">
        <v>0.241555341303162</v>
      </c>
      <c r="I4349">
        <v>0.180182002554198</v>
      </c>
      <c r="J4349">
        <v>9.5765343608180606E-2</v>
      </c>
      <c r="K4349">
        <v>5.5490926226771299E-2</v>
      </c>
      <c r="L4349">
        <v>13247.9116990572</v>
      </c>
      <c r="M4349">
        <v>250</v>
      </c>
      <c r="N4349">
        <v>53.096599092759597</v>
      </c>
      <c r="O4349">
        <v>52.988257056863098</v>
      </c>
      <c r="P4349">
        <v>-0.94955790395332296</v>
      </c>
      <c r="Q4349">
        <v>0.194953328937748</v>
      </c>
      <c r="R4349">
        <v>0.83124877745255998</v>
      </c>
      <c r="S4349" t="s">
        <v>10175</v>
      </c>
      <c r="T4349" t="s">
        <v>11650</v>
      </c>
      <c r="U4349" t="s">
        <v>11650</v>
      </c>
      <c r="V4349" t="s">
        <v>11650</v>
      </c>
      <c r="W4349" t="s">
        <v>15945</v>
      </c>
      <c r="X4349">
        <v>3</v>
      </c>
      <c r="Y4349" t="s">
        <v>21621</v>
      </c>
      <c r="Z4349" t="s">
        <v>27411</v>
      </c>
      <c r="AA4349">
        <v>0.54365759805204628</v>
      </c>
      <c r="AB4349" t="str">
        <f>HYPERLINK("Melting_Curves/meltCurve_Q92621_NUP205.pdf", "Melting_Curves/meltCurve_Q92621_NUP205.pdf")</f>
        <v>Melting_Curves/meltCurve_Q92621_NUP205.pdf</v>
      </c>
    </row>
    <row r="4350" spans="1:28" x14ac:dyDescent="0.25">
      <c r="A4350" t="s">
        <v>4354</v>
      </c>
      <c r="B4350">
        <v>0.99996721820229495</v>
      </c>
      <c r="C4350">
        <v>1.0709593794996799</v>
      </c>
      <c r="D4350">
        <v>1.0467179801300099</v>
      </c>
      <c r="E4350">
        <v>0.96634122959385904</v>
      </c>
      <c r="F4350">
        <v>0.65144003043973697</v>
      </c>
      <c r="G4350">
        <v>0.60310355050921005</v>
      </c>
      <c r="H4350">
        <v>0.36907512991024799</v>
      </c>
      <c r="I4350">
        <v>0.24875280564850299</v>
      </c>
      <c r="J4350">
        <v>0.18789608536936001</v>
      </c>
      <c r="K4350">
        <v>0.13225054794924501</v>
      </c>
      <c r="L4350">
        <v>802.38702433748904</v>
      </c>
      <c r="M4350">
        <v>13.9902713176925</v>
      </c>
      <c r="N4350">
        <v>58.042013674402597</v>
      </c>
      <c r="O4350">
        <v>56.2195459833233</v>
      </c>
      <c r="P4350">
        <v>-5.7461737001311401E-2</v>
      </c>
      <c r="Q4350">
        <v>7.6488728173423601E-2</v>
      </c>
      <c r="R4350">
        <v>0.972361892109604</v>
      </c>
      <c r="S4350" t="s">
        <v>10176</v>
      </c>
      <c r="T4350" t="s">
        <v>11650</v>
      </c>
      <c r="U4350" t="s">
        <v>11650</v>
      </c>
      <c r="V4350" t="s">
        <v>11650</v>
      </c>
      <c r="W4350" t="s">
        <v>15946</v>
      </c>
      <c r="X4350">
        <v>1</v>
      </c>
      <c r="Y4350" t="s">
        <v>21622</v>
      </c>
      <c r="Z4350" t="s">
        <v>27412</v>
      </c>
      <c r="AA4350">
        <v>0.62491429783344898</v>
      </c>
      <c r="AB4350" t="str">
        <f>HYPERLINK("Melting_Curves/meltCurve_Q92624_APPBP2.pdf", "Melting_Curves/meltCurve_Q92624_APPBP2.pdf")</f>
        <v>Melting_Curves/meltCurve_Q92624_APPBP2.pdf</v>
      </c>
    </row>
    <row r="4351" spans="1:28" x14ac:dyDescent="0.25">
      <c r="A4351" t="s">
        <v>4355</v>
      </c>
      <c r="B4351">
        <v>0.99996721820229495</v>
      </c>
      <c r="C4351">
        <v>0.87042225809333995</v>
      </c>
      <c r="D4351">
        <v>0.31185809492880201</v>
      </c>
      <c r="E4351">
        <v>0.17111107145691201</v>
      </c>
      <c r="F4351">
        <v>0.149725605654839</v>
      </c>
      <c r="G4351">
        <v>0.12272973053103001</v>
      </c>
      <c r="H4351">
        <v>7.9088471599865998E-2</v>
      </c>
      <c r="I4351">
        <v>7.1651492782658394E-2</v>
      </c>
      <c r="J4351">
        <v>5.9319099637312703E-2</v>
      </c>
      <c r="K4351">
        <v>3.76960118401755E-2</v>
      </c>
      <c r="L4351">
        <v>1784.75649165089</v>
      </c>
      <c r="M4351">
        <v>39.886978848356499</v>
      </c>
      <c r="N4351">
        <v>44.9840044407634</v>
      </c>
      <c r="O4351">
        <v>44.6333105686831</v>
      </c>
      <c r="P4351">
        <v>-0.20210954709947301</v>
      </c>
      <c r="Q4351">
        <v>9.5363956817066706E-2</v>
      </c>
      <c r="R4351">
        <v>0.98822551771003098</v>
      </c>
      <c r="S4351" t="s">
        <v>10177</v>
      </c>
      <c r="T4351" t="s">
        <v>11650</v>
      </c>
      <c r="U4351" t="s">
        <v>11650</v>
      </c>
      <c r="V4351" t="s">
        <v>11650</v>
      </c>
      <c r="W4351" t="s">
        <v>15947</v>
      </c>
      <c r="X4351">
        <v>5</v>
      </c>
      <c r="Y4351" t="s">
        <v>21623</v>
      </c>
      <c r="Z4351" t="s">
        <v>27413</v>
      </c>
      <c r="AA4351">
        <v>0.24149938747003191</v>
      </c>
      <c r="AB4351" t="str">
        <f>HYPERLINK("Melting_Curves/meltCurve_Q92625_ANKS1A.pdf", "Melting_Curves/meltCurve_Q92625_ANKS1A.pdf")</f>
        <v>Melting_Curves/meltCurve_Q92625_ANKS1A.pdf</v>
      </c>
    </row>
    <row r="4352" spans="1:28" x14ac:dyDescent="0.25">
      <c r="A4352" t="s">
        <v>4356</v>
      </c>
      <c r="B4352">
        <v>0.99996721820229495</v>
      </c>
      <c r="C4352">
        <v>0.90385032493755502</v>
      </c>
      <c r="D4352">
        <v>0.94127273336014305</v>
      </c>
      <c r="E4352">
        <v>0.93981004386996003</v>
      </c>
      <c r="F4352">
        <v>0.78592712049614899</v>
      </c>
      <c r="G4352">
        <v>0.75249654801146204</v>
      </c>
      <c r="H4352">
        <v>0.492688742527153</v>
      </c>
      <c r="I4352">
        <v>0.24514901254395099</v>
      </c>
      <c r="J4352">
        <v>0.186103833129691</v>
      </c>
      <c r="K4352">
        <v>0.172246856364657</v>
      </c>
      <c r="L4352">
        <v>790.83987519428194</v>
      </c>
      <c r="M4352">
        <v>13.130239610715099</v>
      </c>
      <c r="N4352">
        <v>60.230422301573398</v>
      </c>
      <c r="O4352">
        <v>58.884733146969602</v>
      </c>
      <c r="P4352">
        <v>-5.57549937809994E-2</v>
      </c>
      <c r="Q4352">
        <v>0</v>
      </c>
      <c r="R4352">
        <v>0.97187182051613097</v>
      </c>
      <c r="S4352" t="s">
        <v>10178</v>
      </c>
      <c r="T4352" t="s">
        <v>11650</v>
      </c>
      <c r="U4352" t="s">
        <v>11650</v>
      </c>
      <c r="V4352" t="s">
        <v>11650</v>
      </c>
      <c r="W4352" t="s">
        <v>15948</v>
      </c>
      <c r="X4352">
        <v>13</v>
      </c>
      <c r="Y4352" t="s">
        <v>21624</v>
      </c>
      <c r="Z4352" t="s">
        <v>27414</v>
      </c>
      <c r="AA4352">
        <v>0.67774529908982251</v>
      </c>
      <c r="AB4352" t="str">
        <f>HYPERLINK("Melting_Curves/meltCurve_Q92626_PXDN.pdf", "Melting_Curves/meltCurve_Q92626_PXDN.pdf")</f>
        <v>Melting_Curves/meltCurve_Q92626_PXDN.pdf</v>
      </c>
    </row>
    <row r="4353" spans="1:28" x14ac:dyDescent="0.25">
      <c r="A4353" t="s">
        <v>4357</v>
      </c>
      <c r="B4353">
        <v>0.99996721820229495</v>
      </c>
      <c r="C4353">
        <v>0.94869613947930598</v>
      </c>
      <c r="D4353">
        <v>1.0755360121721</v>
      </c>
      <c r="E4353">
        <v>1.3483173002344799</v>
      </c>
      <c r="F4353">
        <v>1.6191578491807099</v>
      </c>
      <c r="G4353">
        <v>1.50927035163771</v>
      </c>
      <c r="H4353">
        <v>0.62567890191758002</v>
      </c>
      <c r="I4353">
        <v>0.27890204232466498</v>
      </c>
      <c r="J4353">
        <v>0.177002254560647</v>
      </c>
      <c r="K4353">
        <v>0.18857691933427101</v>
      </c>
      <c r="L4353">
        <v>6136.1092114534404</v>
      </c>
      <c r="M4353">
        <v>100.47059348854501</v>
      </c>
      <c r="N4353">
        <v>61.409789468022097</v>
      </c>
      <c r="O4353">
        <v>61.049494616081503</v>
      </c>
      <c r="P4353">
        <v>-0.32441939143995902</v>
      </c>
      <c r="Q4353">
        <v>0.211485099702095</v>
      </c>
      <c r="R4353">
        <v>0.70263239660261201</v>
      </c>
      <c r="S4353" t="s">
        <v>10179</v>
      </c>
      <c r="T4353" t="s">
        <v>11650</v>
      </c>
      <c r="U4353" t="s">
        <v>11650</v>
      </c>
      <c r="V4353" t="s">
        <v>11650</v>
      </c>
      <c r="W4353" t="s">
        <v>15949</v>
      </c>
      <c r="X4353">
        <v>19</v>
      </c>
      <c r="Y4353" t="s">
        <v>21625</v>
      </c>
      <c r="Z4353" t="s">
        <v>27415</v>
      </c>
      <c r="AA4353">
        <v>0.76590604055929823</v>
      </c>
      <c r="AB4353" t="str">
        <f>HYPERLINK("Melting_Curves/meltCurve_Q92629_2_SGCD.pdf", "Melting_Curves/meltCurve_Q92629_2_SGCD.pdf")</f>
        <v>Melting_Curves/meltCurve_Q92629_2_SGCD.pdf</v>
      </c>
    </row>
    <row r="4354" spans="1:28" x14ac:dyDescent="0.25">
      <c r="A4354" t="s">
        <v>4358</v>
      </c>
      <c r="B4354">
        <v>0.99996721820229495</v>
      </c>
      <c r="C4354">
        <v>0.92827724908509801</v>
      </c>
      <c r="D4354">
        <v>0.92466954920619204</v>
      </c>
      <c r="E4354">
        <v>0.93088181933998704</v>
      </c>
      <c r="F4354">
        <v>0.70550724791898001</v>
      </c>
      <c r="G4354">
        <v>0.40096671989580202</v>
      </c>
      <c r="H4354">
        <v>0.28667762791707002</v>
      </c>
      <c r="I4354">
        <v>0.203967017526693</v>
      </c>
      <c r="J4354">
        <v>0.16456403428527699</v>
      </c>
      <c r="K4354">
        <v>0.114507768283372</v>
      </c>
      <c r="L4354">
        <v>990.38451355489201</v>
      </c>
      <c r="M4354">
        <v>17.974084760344098</v>
      </c>
      <c r="N4354">
        <v>55.986648223900602</v>
      </c>
      <c r="O4354">
        <v>54.4322254216532</v>
      </c>
      <c r="P4354">
        <v>-7.2338117703845906E-2</v>
      </c>
      <c r="Q4354">
        <v>0.12377639248382601</v>
      </c>
      <c r="R4354">
        <v>0.98929208714852701</v>
      </c>
      <c r="S4354" t="s">
        <v>10180</v>
      </c>
      <c r="T4354" t="s">
        <v>11650</v>
      </c>
      <c r="U4354" t="s">
        <v>11650</v>
      </c>
      <c r="V4354" t="s">
        <v>11650</v>
      </c>
      <c r="W4354" t="s">
        <v>15950</v>
      </c>
      <c r="X4354">
        <v>3</v>
      </c>
      <c r="Y4354" t="s">
        <v>21626</v>
      </c>
      <c r="Z4354" t="s">
        <v>27416</v>
      </c>
      <c r="AA4354">
        <v>0.57835428736942618</v>
      </c>
      <c r="AB4354" t="str">
        <f>HYPERLINK("Melting_Curves/meltCurve_Q92636_NSMAF.pdf", "Melting_Curves/meltCurve_Q92636_NSMAF.pdf")</f>
        <v>Melting_Curves/meltCurve_Q92636_NSMAF.pdf</v>
      </c>
    </row>
    <row r="4355" spans="1:28" x14ac:dyDescent="0.25">
      <c r="A4355" t="s">
        <v>4359</v>
      </c>
      <c r="B4355">
        <v>0.99996721820229495</v>
      </c>
      <c r="C4355">
        <v>0.82116746672449603</v>
      </c>
      <c r="D4355">
        <v>0.755948563157951</v>
      </c>
      <c r="E4355">
        <v>0.89024708725094204</v>
      </c>
      <c r="F4355">
        <v>1.34527224664887</v>
      </c>
      <c r="G4355">
        <v>1.3861501333195501</v>
      </c>
      <c r="H4355">
        <v>1.18968997507038</v>
      </c>
      <c r="I4355">
        <v>1.2964526047564999</v>
      </c>
      <c r="J4355">
        <v>1.1862334433219199</v>
      </c>
      <c r="K4355">
        <v>0.84786759703646497</v>
      </c>
      <c r="L4355">
        <v>5066.1171358253996</v>
      </c>
      <c r="M4355">
        <v>98.560172305245601</v>
      </c>
      <c r="O4355">
        <v>51.380109901530403</v>
      </c>
      <c r="P4355">
        <v>9.9696788335253403E-2</v>
      </c>
      <c r="Q4355">
        <v>1.20789053132928</v>
      </c>
      <c r="R4355">
        <v>0.40577346297477801</v>
      </c>
      <c r="S4355" t="s">
        <v>10181</v>
      </c>
      <c r="T4355" t="s">
        <v>11650</v>
      </c>
      <c r="U4355" t="s">
        <v>11650</v>
      </c>
      <c r="V4355" t="s">
        <v>11650</v>
      </c>
      <c r="W4355" t="s">
        <v>15951</v>
      </c>
      <c r="X4355">
        <v>2</v>
      </c>
      <c r="Y4355" t="s">
        <v>21627</v>
      </c>
      <c r="Z4355" t="s">
        <v>27417</v>
      </c>
      <c r="AA4355">
        <v>1.1287625872253411</v>
      </c>
      <c r="AB4355" t="str">
        <f>HYPERLINK("Melting_Curves/meltCurve_Q92686_NRGN.pdf", "Melting_Curves/meltCurve_Q92686_NRGN.pdf")</f>
        <v>Melting_Curves/meltCurve_Q92686_NRGN.pdf</v>
      </c>
    </row>
    <row r="4356" spans="1:28" x14ac:dyDescent="0.25">
      <c r="A4356" t="s">
        <v>4360</v>
      </c>
      <c r="B4356">
        <v>0.99996721820229495</v>
      </c>
      <c r="C4356">
        <v>0.88609849099962501</v>
      </c>
      <c r="D4356">
        <v>0.841948196348695</v>
      </c>
      <c r="E4356">
        <v>0.93589795237920204</v>
      </c>
      <c r="F4356">
        <v>1.04536150693045</v>
      </c>
      <c r="G4356">
        <v>0.59211133983016595</v>
      </c>
      <c r="H4356">
        <v>0.27552260043745402</v>
      </c>
      <c r="I4356">
        <v>0.215868279680731</v>
      </c>
      <c r="J4356">
        <v>0.130263309948178</v>
      </c>
      <c r="K4356">
        <v>0.113078579542601</v>
      </c>
      <c r="L4356">
        <v>1985.96119112151</v>
      </c>
      <c r="M4356">
        <v>34.598180107870398</v>
      </c>
      <c r="N4356">
        <v>57.988023300939901</v>
      </c>
      <c r="O4356">
        <v>57.209992337941898</v>
      </c>
      <c r="P4356">
        <v>-0.12884466716932</v>
      </c>
      <c r="Q4356">
        <v>0.14779618260129301</v>
      </c>
      <c r="R4356">
        <v>0.95799316947554702</v>
      </c>
      <c r="S4356" t="s">
        <v>10182</v>
      </c>
      <c r="T4356" t="s">
        <v>11650</v>
      </c>
      <c r="U4356" t="s">
        <v>11650</v>
      </c>
      <c r="V4356" t="s">
        <v>11650</v>
      </c>
      <c r="W4356" t="s">
        <v>15952</v>
      </c>
      <c r="X4356">
        <v>11</v>
      </c>
      <c r="Y4356" t="s">
        <v>21628</v>
      </c>
      <c r="Z4356" t="s">
        <v>27418</v>
      </c>
      <c r="AA4356">
        <v>0.64648075772451397</v>
      </c>
      <c r="AB4356" t="str">
        <f>HYPERLINK("Melting_Curves/meltCurve_Q92688_ANP32B.pdf", "Melting_Curves/meltCurve_Q92688_ANP32B.pdf")</f>
        <v>Melting_Curves/meltCurve_Q92688_ANP32B.pdf</v>
      </c>
    </row>
    <row r="4357" spans="1:28" x14ac:dyDescent="0.25">
      <c r="A4357" t="s">
        <v>4361</v>
      </c>
      <c r="B4357">
        <v>0.99996721820229495</v>
      </c>
      <c r="C4357">
        <v>0.96076086077853495</v>
      </c>
      <c r="D4357">
        <v>1.0169733687592499</v>
      </c>
      <c r="E4357">
        <v>1.0497150052533299</v>
      </c>
      <c r="F4357">
        <v>1.1895823398908201</v>
      </c>
      <c r="G4357">
        <v>1.4225260587151101</v>
      </c>
      <c r="H4357">
        <v>0.73429078543943105</v>
      </c>
      <c r="I4357">
        <v>0.38184040958173499</v>
      </c>
      <c r="J4357">
        <v>0.234000852583614</v>
      </c>
      <c r="K4357">
        <v>0.18001697088121599</v>
      </c>
      <c r="L4357">
        <v>3306.2265971533502</v>
      </c>
      <c r="M4357">
        <v>53.249241079619999</v>
      </c>
      <c r="N4357">
        <v>62.729708210140501</v>
      </c>
      <c r="O4357">
        <v>62.002274714648799</v>
      </c>
      <c r="P4357">
        <v>-0.16970575430589999</v>
      </c>
      <c r="Q4357">
        <v>0.20959370230614099</v>
      </c>
      <c r="R4357">
        <v>0.85638531354768199</v>
      </c>
      <c r="S4357" t="s">
        <v>10183</v>
      </c>
      <c r="T4357" t="s">
        <v>11650</v>
      </c>
      <c r="U4357" t="s">
        <v>11650</v>
      </c>
      <c r="V4357" t="s">
        <v>11650</v>
      </c>
      <c r="W4357" t="s">
        <v>15953</v>
      </c>
      <c r="X4357">
        <v>14</v>
      </c>
      <c r="Y4357" t="s">
        <v>21629</v>
      </c>
      <c r="Z4357" t="s">
        <v>27419</v>
      </c>
      <c r="AA4357">
        <v>0.79339497708461448</v>
      </c>
      <c r="AB4357" t="str">
        <f>HYPERLINK("Melting_Curves/meltCurve_Q92692_PVRL2.pdf", "Melting_Curves/meltCurve_Q92692_PVRL2.pdf")</f>
        <v>Melting_Curves/meltCurve_Q92692_PVRL2.pdf</v>
      </c>
    </row>
    <row r="4358" spans="1:28" x14ac:dyDescent="0.25">
      <c r="A4358" t="s">
        <v>4362</v>
      </c>
      <c r="B4358">
        <v>0.99996721820229495</v>
      </c>
      <c r="C4358">
        <v>1.02796341815124</v>
      </c>
      <c r="D4358">
        <v>1.19588000524313</v>
      </c>
      <c r="E4358">
        <v>1.46552698819912</v>
      </c>
      <c r="F4358">
        <v>1.41381397476337</v>
      </c>
      <c r="G4358">
        <v>2.00775758744886</v>
      </c>
      <c r="H4358">
        <v>1.4196941730178401</v>
      </c>
      <c r="I4358">
        <v>0.65635509684190696</v>
      </c>
      <c r="J4358">
        <v>0.42532690036371401</v>
      </c>
      <c r="K4358">
        <v>0.42923399428053399</v>
      </c>
      <c r="L4358">
        <v>15000</v>
      </c>
      <c r="M4358">
        <v>234.78033067947499</v>
      </c>
      <c r="N4358">
        <v>64.418483078851196</v>
      </c>
      <c r="O4358">
        <v>63.884862173439402</v>
      </c>
      <c r="P4358">
        <v>-0.52620284130710604</v>
      </c>
      <c r="Q4358">
        <v>0.427270562197896</v>
      </c>
      <c r="R4358">
        <v>0.291369600362759</v>
      </c>
      <c r="S4358" t="s">
        <v>10184</v>
      </c>
      <c r="T4358" t="s">
        <v>11650</v>
      </c>
      <c r="U4358" t="s">
        <v>11650</v>
      </c>
      <c r="V4358" t="s">
        <v>11650</v>
      </c>
      <c r="W4358" t="s">
        <v>15954</v>
      </c>
      <c r="X4358">
        <v>13</v>
      </c>
      <c r="Y4358" t="s">
        <v>21629</v>
      </c>
      <c r="Z4358" t="s">
        <v>27420</v>
      </c>
      <c r="AA4358">
        <v>0.88341754191404809</v>
      </c>
      <c r="AB4358" t="str">
        <f>HYPERLINK("Melting_Curves/meltCurve_Q92692_2_PVRL2.pdf", "Melting_Curves/meltCurve_Q92692_2_PVRL2.pdf")</f>
        <v>Melting_Curves/meltCurve_Q92692_2_PVRL2.pdf</v>
      </c>
    </row>
    <row r="4359" spans="1:28" x14ac:dyDescent="0.25">
      <c r="A4359" t="s">
        <v>4363</v>
      </c>
      <c r="B4359">
        <v>0.99996721820229495</v>
      </c>
      <c r="C4359">
        <v>1.00173208744855</v>
      </c>
      <c r="D4359">
        <v>1.0302622210983601</v>
      </c>
      <c r="E4359">
        <v>0.98124884750917696</v>
      </c>
      <c r="F4359">
        <v>0.69514356400326105</v>
      </c>
      <c r="G4359">
        <v>0.39974628362076198</v>
      </c>
      <c r="H4359">
        <v>0.22592998582334101</v>
      </c>
      <c r="I4359">
        <v>0.149833630879008</v>
      </c>
      <c r="J4359">
        <v>0.103362872372826</v>
      </c>
      <c r="K4359">
        <v>8.3562845450440099E-2</v>
      </c>
      <c r="L4359">
        <v>1210.59021635778</v>
      </c>
      <c r="M4359">
        <v>21.928743746072001</v>
      </c>
      <c r="N4359">
        <v>55.747751351913699</v>
      </c>
      <c r="O4359">
        <v>54.752691143621099</v>
      </c>
      <c r="P4359">
        <v>-9.0514196947924605E-2</v>
      </c>
      <c r="Q4359">
        <v>9.6020560134332106E-2</v>
      </c>
      <c r="R4359">
        <v>0.99376684122050096</v>
      </c>
      <c r="S4359" t="s">
        <v>10185</v>
      </c>
      <c r="T4359" t="s">
        <v>11650</v>
      </c>
      <c r="U4359" t="s">
        <v>11650</v>
      </c>
      <c r="V4359" t="s">
        <v>11650</v>
      </c>
      <c r="W4359" t="s">
        <v>15955</v>
      </c>
      <c r="X4359">
        <v>24</v>
      </c>
      <c r="Y4359" t="s">
        <v>21630</v>
      </c>
      <c r="Z4359" t="s">
        <v>27421</v>
      </c>
      <c r="AA4359">
        <v>0.56460075247450558</v>
      </c>
      <c r="AB4359" t="str">
        <f>HYPERLINK("Melting_Curves/meltCurve_Q92696_RABGGTA.pdf", "Melting_Curves/meltCurve_Q92696_RABGGTA.pdf")</f>
        <v>Melting_Curves/meltCurve_Q92696_RABGGTA.pdf</v>
      </c>
    </row>
    <row r="4360" spans="1:28" x14ac:dyDescent="0.25">
      <c r="A4360" t="s">
        <v>4364</v>
      </c>
      <c r="B4360">
        <v>0.99996721820229495</v>
      </c>
      <c r="C4360">
        <v>1.0627818995323699</v>
      </c>
      <c r="D4360">
        <v>1.10964014915348</v>
      </c>
      <c r="E4360">
        <v>1.4636308745026601</v>
      </c>
      <c r="F4360">
        <v>1.7373060849900801</v>
      </c>
      <c r="G4360">
        <v>2.4503101147219102</v>
      </c>
      <c r="H4360">
        <v>1.6764180831256299</v>
      </c>
      <c r="I4360">
        <v>1.1405401863053799</v>
      </c>
      <c r="J4360">
        <v>0.71467558795272301</v>
      </c>
      <c r="K4360">
        <v>0.71276857680477901</v>
      </c>
      <c r="L4360">
        <v>15000</v>
      </c>
      <c r="M4360">
        <v>227.290819313399</v>
      </c>
      <c r="O4360">
        <v>65.989637357730402</v>
      </c>
      <c r="P4360">
        <v>-0.250410427652208</v>
      </c>
      <c r="Q4360">
        <v>0.70919206818567904</v>
      </c>
      <c r="R4360">
        <v>-0.30159582538190899</v>
      </c>
      <c r="S4360" t="s">
        <v>10186</v>
      </c>
      <c r="T4360" t="s">
        <v>11650</v>
      </c>
      <c r="U4360" t="s">
        <v>11650</v>
      </c>
      <c r="V4360" t="s">
        <v>11650</v>
      </c>
      <c r="W4360" t="s">
        <v>15956</v>
      </c>
      <c r="X4360">
        <v>11</v>
      </c>
      <c r="Y4360" t="s">
        <v>21631</v>
      </c>
      <c r="Z4360" t="s">
        <v>27422</v>
      </c>
      <c r="AA4360">
        <v>0.96121542626685408</v>
      </c>
      <c r="AB4360" t="str">
        <f>HYPERLINK("Melting_Curves/meltCurve_Q92734_2_TFG.pdf", "Melting_Curves/meltCurve_Q92734_2_TFG.pdf")</f>
        <v>Melting_Curves/meltCurve_Q92734_2_TFG.pdf</v>
      </c>
    </row>
    <row r="4361" spans="1:28" x14ac:dyDescent="0.25">
      <c r="A4361" t="s">
        <v>4365</v>
      </c>
      <c r="B4361">
        <v>0.99996721820229495</v>
      </c>
      <c r="C4361">
        <v>0.90815573782513903</v>
      </c>
      <c r="D4361">
        <v>0.79918451450196404</v>
      </c>
      <c r="E4361">
        <v>0.81999204262366199</v>
      </c>
      <c r="F4361">
        <v>0.49051316742340301</v>
      </c>
      <c r="G4361">
        <v>0.36490360862386401</v>
      </c>
      <c r="H4361">
        <v>0.239510222689198</v>
      </c>
      <c r="I4361">
        <v>0.21469721609530101</v>
      </c>
      <c r="J4361">
        <v>0.160165668436345</v>
      </c>
      <c r="K4361">
        <v>0.13021898221998901</v>
      </c>
      <c r="L4361">
        <v>599.43317371977105</v>
      </c>
      <c r="M4361">
        <v>11.2514905695755</v>
      </c>
      <c r="N4361">
        <v>54.034480261802301</v>
      </c>
      <c r="O4361">
        <v>51.676149927727302</v>
      </c>
      <c r="P4361">
        <v>-5.0471494066598101E-2</v>
      </c>
      <c r="Q4361">
        <v>7.3059270160280201E-2</v>
      </c>
      <c r="R4361">
        <v>0.97590010962353102</v>
      </c>
      <c r="S4361" t="s">
        <v>10187</v>
      </c>
      <c r="T4361" t="s">
        <v>11650</v>
      </c>
      <c r="U4361" t="s">
        <v>11650</v>
      </c>
      <c r="V4361" t="s">
        <v>11650</v>
      </c>
      <c r="W4361" t="s">
        <v>15957</v>
      </c>
      <c r="X4361">
        <v>2</v>
      </c>
      <c r="Y4361" t="s">
        <v>21632</v>
      </c>
      <c r="Z4361" t="s">
        <v>27423</v>
      </c>
      <c r="AA4361">
        <v>0.51083444944104861</v>
      </c>
      <c r="AB4361" t="str">
        <f>HYPERLINK("Melting_Curves/meltCurve_Q92738_USP6NL.pdf", "Melting_Curves/meltCurve_Q92738_USP6NL.pdf")</f>
        <v>Melting_Curves/meltCurve_Q92738_USP6NL.pdf</v>
      </c>
    </row>
    <row r="4362" spans="1:28" x14ac:dyDescent="0.25">
      <c r="A4362" t="s">
        <v>4366</v>
      </c>
      <c r="B4362">
        <v>0.99996721820229495</v>
      </c>
      <c r="C4362">
        <v>1.04211351331375</v>
      </c>
      <c r="D4362">
        <v>1.1822439480559801</v>
      </c>
      <c r="E4362">
        <v>1.6666048820505199</v>
      </c>
      <c r="F4362">
        <v>2.05030858617241</v>
      </c>
      <c r="G4362">
        <v>2.7313647246556498</v>
      </c>
      <c r="H4362">
        <v>1.80928116818984</v>
      </c>
      <c r="I4362">
        <v>0.74013696224863401</v>
      </c>
      <c r="J4362">
        <v>0.19526763555120999</v>
      </c>
      <c r="K4362">
        <v>0.13809269852550601</v>
      </c>
      <c r="L4362">
        <v>15000</v>
      </c>
      <c r="M4362">
        <v>233.583282807572</v>
      </c>
      <c r="N4362">
        <v>64.328575593843496</v>
      </c>
      <c r="O4362">
        <v>64.212212357375293</v>
      </c>
      <c r="P4362">
        <v>-0.75786287823184795</v>
      </c>
      <c r="Q4362">
        <v>0.166651740668118</v>
      </c>
      <c r="R4362">
        <v>0.13300718271207199</v>
      </c>
      <c r="S4362" t="s">
        <v>10188</v>
      </c>
      <c r="T4362" t="s">
        <v>11650</v>
      </c>
      <c r="U4362" t="s">
        <v>11650</v>
      </c>
      <c r="V4362" t="s">
        <v>11650</v>
      </c>
      <c r="W4362" t="s">
        <v>15958</v>
      </c>
      <c r="X4362">
        <v>16</v>
      </c>
      <c r="Y4362" t="s">
        <v>21633</v>
      </c>
      <c r="Z4362" t="s">
        <v>27424</v>
      </c>
      <c r="AA4362">
        <v>0.83946371923305307</v>
      </c>
      <c r="AB4362" t="str">
        <f>HYPERLINK("Melting_Curves/meltCurve_Q92747_ARPC1A.pdf", "Melting_Curves/meltCurve_Q92747_ARPC1A.pdf")</f>
        <v>Melting_Curves/meltCurve_Q92747_ARPC1A.pdf</v>
      </c>
    </row>
    <row r="4363" spans="1:28" x14ac:dyDescent="0.25">
      <c r="A4363" t="s">
        <v>4367</v>
      </c>
      <c r="B4363">
        <v>0.99996721820229495</v>
      </c>
      <c r="C4363">
        <v>0.66707924990661005</v>
      </c>
      <c r="D4363">
        <v>0.66114851516361595</v>
      </c>
      <c r="E4363">
        <v>0.59091563142708203</v>
      </c>
      <c r="F4363">
        <v>0.45403949736272797</v>
      </c>
      <c r="G4363">
        <v>0.22926219381556201</v>
      </c>
      <c r="H4363">
        <v>0.208267313588546</v>
      </c>
      <c r="I4363">
        <v>0.13911186784340901</v>
      </c>
      <c r="J4363">
        <v>0</v>
      </c>
      <c r="K4363">
        <v>0</v>
      </c>
      <c r="L4363">
        <v>446.056177925339</v>
      </c>
      <c r="M4363">
        <v>8.8744319171067794</v>
      </c>
      <c r="N4363">
        <v>50.263076963519303</v>
      </c>
      <c r="O4363">
        <v>47.907213197755503</v>
      </c>
      <c r="P4363">
        <v>-4.6345988497278202E-2</v>
      </c>
      <c r="Q4363">
        <v>0</v>
      </c>
      <c r="R4363">
        <v>0.93773974271239902</v>
      </c>
      <c r="S4363" t="s">
        <v>10189</v>
      </c>
      <c r="T4363" t="s">
        <v>11650</v>
      </c>
      <c r="U4363" t="s">
        <v>11650</v>
      </c>
      <c r="V4363" t="s">
        <v>11650</v>
      </c>
      <c r="W4363" t="s">
        <v>15959</v>
      </c>
      <c r="X4363">
        <v>4</v>
      </c>
      <c r="Y4363" t="s">
        <v>21634</v>
      </c>
      <c r="Z4363" t="s">
        <v>27425</v>
      </c>
      <c r="AA4363">
        <v>0.39358325025321078</v>
      </c>
      <c r="AB4363" t="str">
        <f>HYPERLINK("Melting_Curves/meltCurve_Q92781_RDH5.pdf", "Melting_Curves/meltCurve_Q92781_RDH5.pdf")</f>
        <v>Melting_Curves/meltCurve_Q92781_RDH5.pdf</v>
      </c>
    </row>
    <row r="4364" spans="1:28" x14ac:dyDescent="0.25">
      <c r="A4364" t="s">
        <v>4368</v>
      </c>
      <c r="B4364">
        <v>0.99996721820229495</v>
      </c>
      <c r="C4364">
        <v>1.0752830503098201</v>
      </c>
      <c r="D4364">
        <v>1.0617434849751799</v>
      </c>
      <c r="E4364">
        <v>1.0749251551438199</v>
      </c>
      <c r="F4364">
        <v>0.63745400556796905</v>
      </c>
      <c r="G4364">
        <v>0.42747915037457501</v>
      </c>
      <c r="H4364">
        <v>0.24395382166353799</v>
      </c>
      <c r="I4364">
        <v>0.188636123831916</v>
      </c>
      <c r="J4364">
        <v>0.14992895916644799</v>
      </c>
      <c r="K4364">
        <v>0.121932205046112</v>
      </c>
      <c r="L4364">
        <v>1356.6424480559699</v>
      </c>
      <c r="M4364">
        <v>24.767477401263701</v>
      </c>
      <c r="N4364">
        <v>55.599052119449198</v>
      </c>
      <c r="O4364">
        <v>54.4218276723402</v>
      </c>
      <c r="P4364">
        <v>-9.6300790529065899E-2</v>
      </c>
      <c r="Q4364">
        <v>0.153601203440595</v>
      </c>
      <c r="R4364">
        <v>0.97000078258467803</v>
      </c>
      <c r="S4364" t="s">
        <v>10190</v>
      </c>
      <c r="T4364" t="s">
        <v>11650</v>
      </c>
      <c r="U4364" t="s">
        <v>11650</v>
      </c>
      <c r="V4364" t="s">
        <v>11650</v>
      </c>
      <c r="W4364" t="s">
        <v>15960</v>
      </c>
      <c r="X4364">
        <v>15</v>
      </c>
      <c r="Y4364" t="s">
        <v>21635</v>
      </c>
      <c r="Z4364" t="s">
        <v>27426</v>
      </c>
      <c r="AA4364">
        <v>0.57842273549238743</v>
      </c>
      <c r="AB4364" t="str">
        <f>HYPERLINK("Melting_Curves/meltCurve_Q92783_2_STAM.pdf", "Melting_Curves/meltCurve_Q92783_2_STAM.pdf")</f>
        <v>Melting_Curves/meltCurve_Q92783_2_STAM.pdf</v>
      </c>
    </row>
    <row r="4365" spans="1:28" x14ac:dyDescent="0.25">
      <c r="A4365" t="s">
        <v>4369</v>
      </c>
      <c r="B4365">
        <v>0.99996721820229495</v>
      </c>
      <c r="C4365">
        <v>0.82036239613027095</v>
      </c>
      <c r="D4365">
        <v>0.95055174415819998</v>
      </c>
      <c r="E4365">
        <v>0.59525150000335003</v>
      </c>
      <c r="F4365">
        <v>0.43355620638685899</v>
      </c>
      <c r="G4365">
        <v>0.329188818272031</v>
      </c>
      <c r="H4365">
        <v>0.18742982704067901</v>
      </c>
      <c r="I4365">
        <v>9.6580880409666295E-2</v>
      </c>
      <c r="J4365">
        <v>6.0260312997498303E-2</v>
      </c>
      <c r="K4365">
        <v>7.7754519623498899E-2</v>
      </c>
      <c r="L4365">
        <v>610.30732279490906</v>
      </c>
      <c r="M4365">
        <v>11.669794399941701</v>
      </c>
      <c r="N4365">
        <v>52.414714157851797</v>
      </c>
      <c r="O4365">
        <v>50.833134514786899</v>
      </c>
      <c r="P4365">
        <v>-5.6671881845732998E-2</v>
      </c>
      <c r="Q4365">
        <v>1.28237657032748E-2</v>
      </c>
      <c r="R4365">
        <v>0.97323914874541995</v>
      </c>
      <c r="S4365" t="s">
        <v>10191</v>
      </c>
      <c r="T4365" t="s">
        <v>11650</v>
      </c>
      <c r="U4365" t="s">
        <v>11650</v>
      </c>
      <c r="V4365" t="s">
        <v>11650</v>
      </c>
      <c r="W4365" t="s">
        <v>15961</v>
      </c>
      <c r="X4365">
        <v>2</v>
      </c>
      <c r="Y4365" t="s">
        <v>21636</v>
      </c>
      <c r="Z4365" t="s">
        <v>27427</v>
      </c>
      <c r="AA4365">
        <v>0.44812727900122201</v>
      </c>
      <c r="AB4365" t="str">
        <f>HYPERLINK("Melting_Curves/meltCurve_Q92791_LEPREL4.pdf", "Melting_Curves/meltCurve_Q92791_LEPREL4.pdf")</f>
        <v>Melting_Curves/meltCurve_Q92791_LEPREL4.pdf</v>
      </c>
    </row>
    <row r="4366" spans="1:28" x14ac:dyDescent="0.25">
      <c r="A4366" t="s">
        <v>4370</v>
      </c>
      <c r="B4366">
        <v>0.99996721820229495</v>
      </c>
      <c r="C4366">
        <v>1.1729154824266701</v>
      </c>
      <c r="D4366">
        <v>0.89745925223928102</v>
      </c>
      <c r="E4366">
        <v>0.43174530557010299</v>
      </c>
      <c r="F4366">
        <v>0.43193665889146399</v>
      </c>
      <c r="G4366">
        <v>0.41835778203151702</v>
      </c>
      <c r="H4366">
        <v>0.20770266756535399</v>
      </c>
      <c r="I4366">
        <v>0.16272964097103801</v>
      </c>
      <c r="J4366">
        <v>0.122195655823344</v>
      </c>
      <c r="K4366">
        <v>0.10922358328807701</v>
      </c>
      <c r="L4366">
        <v>915.03717122357898</v>
      </c>
      <c r="M4366">
        <v>18.309738267241102</v>
      </c>
      <c r="N4366">
        <v>51.127626311619103</v>
      </c>
      <c r="O4366">
        <v>49.390744008761502</v>
      </c>
      <c r="P4366">
        <v>-7.7015204901324893E-2</v>
      </c>
      <c r="Q4366">
        <v>0.169040442066869</v>
      </c>
      <c r="R4366">
        <v>0.92119319650488396</v>
      </c>
      <c r="S4366" t="s">
        <v>10192</v>
      </c>
      <c r="T4366" t="s">
        <v>11650</v>
      </c>
      <c r="U4366" t="s">
        <v>11650</v>
      </c>
      <c r="V4366" t="s">
        <v>11650</v>
      </c>
      <c r="W4366" t="s">
        <v>15962</v>
      </c>
      <c r="X4366">
        <v>6</v>
      </c>
      <c r="Y4366" t="s">
        <v>21637</v>
      </c>
      <c r="Z4366" t="s">
        <v>27428</v>
      </c>
      <c r="AA4366">
        <v>0.45906843912498041</v>
      </c>
      <c r="AB4366" t="str">
        <f>HYPERLINK("Melting_Curves/meltCurve_Q92797_SYMPK.pdf", "Melting_Curves/meltCurve_Q92797_SYMPK.pdf")</f>
        <v>Melting_Curves/meltCurve_Q92797_SYMPK.pdf</v>
      </c>
    </row>
    <row r="4367" spans="1:28" x14ac:dyDescent="0.25">
      <c r="A4367" t="s">
        <v>4371</v>
      </c>
      <c r="B4367">
        <v>0.99996721820229495</v>
      </c>
      <c r="C4367">
        <v>1.0373833677545501</v>
      </c>
      <c r="D4367">
        <v>0.96751464952070698</v>
      </c>
      <c r="E4367">
        <v>0.90687945197675202</v>
      </c>
      <c r="F4367">
        <v>1.03606872652077</v>
      </c>
      <c r="G4367">
        <v>1.01111199238641</v>
      </c>
      <c r="H4367">
        <v>0.68974662669862297</v>
      </c>
      <c r="I4367">
        <v>0.62133328538835497</v>
      </c>
      <c r="J4367">
        <v>0.43664665909045203</v>
      </c>
      <c r="K4367">
        <v>0.325173069574134</v>
      </c>
      <c r="L4367">
        <v>1383.11332300035</v>
      </c>
      <c r="M4367">
        <v>21.899562706387599</v>
      </c>
      <c r="N4367">
        <v>65.392445389440098</v>
      </c>
      <c r="O4367">
        <v>62.6375893931829</v>
      </c>
      <c r="P4367">
        <v>-6.4377156046847794E-2</v>
      </c>
      <c r="Q4367">
        <v>0.26348540128020997</v>
      </c>
      <c r="R4367">
        <v>0.95824329197815905</v>
      </c>
      <c r="S4367" t="s">
        <v>10193</v>
      </c>
      <c r="T4367" t="s">
        <v>11650</v>
      </c>
      <c r="U4367" t="s">
        <v>11650</v>
      </c>
      <c r="V4367" t="s">
        <v>11650</v>
      </c>
      <c r="W4367" t="s">
        <v>15963</v>
      </c>
      <c r="X4367">
        <v>9</v>
      </c>
      <c r="Y4367" t="s">
        <v>21638</v>
      </c>
      <c r="Z4367" t="s">
        <v>27429</v>
      </c>
      <c r="AA4367">
        <v>0.83209794713342544</v>
      </c>
      <c r="AB4367" t="str">
        <f>HYPERLINK("Melting_Curves/meltCurve_Q92804_2_TAF15.pdf", "Melting_Curves/meltCurve_Q92804_2_TAF15.pdf")</f>
        <v>Melting_Curves/meltCurve_Q92804_2_TAF15.pdf</v>
      </c>
    </row>
    <row r="4368" spans="1:28" x14ac:dyDescent="0.25">
      <c r="A4368" t="s">
        <v>4372</v>
      </c>
      <c r="B4368">
        <v>0.99996721820229495</v>
      </c>
      <c r="C4368">
        <v>0.99416130122443502</v>
      </c>
      <c r="D4368">
        <v>0.82959627562567295</v>
      </c>
      <c r="E4368">
        <v>0.46969904096861698</v>
      </c>
      <c r="F4368">
        <v>0.43561951073521599</v>
      </c>
      <c r="G4368">
        <v>0.357183830399807</v>
      </c>
      <c r="H4368">
        <v>0.240230659087566</v>
      </c>
      <c r="I4368">
        <v>0.191591408317587</v>
      </c>
      <c r="J4368">
        <v>0.157020378263758</v>
      </c>
      <c r="K4368">
        <v>0.14457587687245299</v>
      </c>
      <c r="L4368">
        <v>738.094226185298</v>
      </c>
      <c r="M4368">
        <v>14.8422529183064</v>
      </c>
      <c r="N4368">
        <v>51.148898099087901</v>
      </c>
      <c r="O4368">
        <v>48.852698344672703</v>
      </c>
      <c r="P4368">
        <v>-6.3138197250854705E-2</v>
      </c>
      <c r="Q4368">
        <v>0.168819843943632</v>
      </c>
      <c r="R4368">
        <v>0.97608865089252705</v>
      </c>
      <c r="S4368" t="s">
        <v>10194</v>
      </c>
      <c r="T4368" t="s">
        <v>11650</v>
      </c>
      <c r="U4368" t="s">
        <v>11650</v>
      </c>
      <c r="V4368" t="s">
        <v>11650</v>
      </c>
      <c r="W4368" t="s">
        <v>15964</v>
      </c>
      <c r="X4368">
        <v>26</v>
      </c>
      <c r="Y4368" t="s">
        <v>21639</v>
      </c>
      <c r="Z4368" t="s">
        <v>27430</v>
      </c>
      <c r="AA4368">
        <v>0.45875912484486148</v>
      </c>
      <c r="AB4368" t="str">
        <f>HYPERLINK("Melting_Curves/meltCurve_Q92805_GOLGA1.pdf", "Melting_Curves/meltCurve_Q92805_GOLGA1.pdf")</f>
        <v>Melting_Curves/meltCurve_Q92805_GOLGA1.pdf</v>
      </c>
    </row>
    <row r="4369" spans="1:28" x14ac:dyDescent="0.25">
      <c r="A4369" t="s">
        <v>4373</v>
      </c>
      <c r="B4369">
        <v>0.99996721820229495</v>
      </c>
      <c r="C4369">
        <v>1.01027647318202</v>
      </c>
      <c r="D4369">
        <v>1.06646767129897</v>
      </c>
      <c r="E4369">
        <v>1.11791282939979</v>
      </c>
      <c r="F4369">
        <v>1.49233881997589</v>
      </c>
      <c r="G4369">
        <v>1.50193268358976</v>
      </c>
      <c r="H4369">
        <v>1.1646132816408299</v>
      </c>
      <c r="I4369">
        <v>0.82734315949302695</v>
      </c>
      <c r="J4369">
        <v>0.36912506502907799</v>
      </c>
      <c r="K4369">
        <v>0.26476902383003798</v>
      </c>
      <c r="L4369">
        <v>4764.4535618703803</v>
      </c>
      <c r="M4369">
        <v>73.154194038278206</v>
      </c>
      <c r="N4369">
        <v>65.831793996000698</v>
      </c>
      <c r="O4369">
        <v>65.080303575925001</v>
      </c>
      <c r="P4369">
        <v>-0.204849179260785</v>
      </c>
      <c r="Q4369">
        <v>0.271038742688884</v>
      </c>
      <c r="R4369">
        <v>0.63972027797249598</v>
      </c>
      <c r="S4369" t="s">
        <v>10195</v>
      </c>
      <c r="T4369" t="s">
        <v>11650</v>
      </c>
      <c r="U4369" t="s">
        <v>11650</v>
      </c>
      <c r="V4369" t="s">
        <v>11650</v>
      </c>
      <c r="W4369" t="s">
        <v>15965</v>
      </c>
      <c r="X4369">
        <v>6</v>
      </c>
      <c r="Y4369" t="s">
        <v>21640</v>
      </c>
      <c r="Z4369" t="s">
        <v>27431</v>
      </c>
      <c r="AA4369">
        <v>0.88245636513910219</v>
      </c>
      <c r="AB4369" t="str">
        <f>HYPERLINK("Melting_Curves/meltCurve_Q92820_GGH.pdf", "Melting_Curves/meltCurve_Q92820_GGH.pdf")</f>
        <v>Melting_Curves/meltCurve_Q92820_GGH.pdf</v>
      </c>
    </row>
    <row r="4370" spans="1:28" x14ac:dyDescent="0.25">
      <c r="A4370" t="s">
        <v>4374</v>
      </c>
      <c r="B4370">
        <v>0.99996721820229495</v>
      </c>
      <c r="C4370">
        <v>1.0898835217831799</v>
      </c>
      <c r="D4370">
        <v>1.04974455193961</v>
      </c>
      <c r="E4370">
        <v>1.21915415075592</v>
      </c>
      <c r="F4370">
        <v>1.40802756827066</v>
      </c>
      <c r="G4370">
        <v>1.0204266525787</v>
      </c>
      <c r="H4370">
        <v>0.50724260703610902</v>
      </c>
      <c r="I4370">
        <v>0.72217657225207799</v>
      </c>
      <c r="J4370">
        <v>0.390870394201281</v>
      </c>
      <c r="K4370">
        <v>0.39646682790346599</v>
      </c>
      <c r="L4370">
        <v>14957.701852467</v>
      </c>
      <c r="M4370">
        <v>250</v>
      </c>
      <c r="O4370">
        <v>59.826976619158401</v>
      </c>
      <c r="P4370">
        <v>-0.51903113344417895</v>
      </c>
      <c r="Q4370">
        <v>0.503166968069651</v>
      </c>
      <c r="R4370">
        <v>0.73855943910350197</v>
      </c>
      <c r="S4370" t="s">
        <v>10196</v>
      </c>
      <c r="T4370" t="s">
        <v>11650</v>
      </c>
      <c r="U4370" t="s">
        <v>11650</v>
      </c>
      <c r="V4370" t="s">
        <v>11650</v>
      </c>
      <c r="W4370" t="s">
        <v>15966</v>
      </c>
      <c r="X4370">
        <v>1</v>
      </c>
      <c r="Y4370" t="s">
        <v>21641</v>
      </c>
      <c r="Z4370" t="s">
        <v>27432</v>
      </c>
      <c r="AA4370">
        <v>0.83163914230154012</v>
      </c>
      <c r="AB4370" t="str">
        <f>HYPERLINK("Melting_Curves/meltCurve_Q92834_4_RPGR.pdf", "Melting_Curves/meltCurve_Q92834_4_RPGR.pdf")</f>
        <v>Melting_Curves/meltCurve_Q92834_4_RPGR.pdf</v>
      </c>
    </row>
    <row r="4371" spans="1:28" x14ac:dyDescent="0.25">
      <c r="A4371" t="s">
        <v>4375</v>
      </c>
      <c r="B4371">
        <v>0.99996721820229495</v>
      </c>
      <c r="C4371">
        <v>1.1066086744177901</v>
      </c>
      <c r="D4371">
        <v>1.13224808806649</v>
      </c>
      <c r="E4371">
        <v>0.96507023884753795</v>
      </c>
      <c r="F4371">
        <v>0.50466710987963104</v>
      </c>
      <c r="G4371">
        <v>0.36659161221374598</v>
      </c>
      <c r="H4371">
        <v>0.16798332204694399</v>
      </c>
      <c r="I4371">
        <v>0.24819276478091001</v>
      </c>
      <c r="J4371">
        <v>8.6943024871822497E-2</v>
      </c>
      <c r="K4371">
        <v>7.9382254732451196E-2</v>
      </c>
      <c r="L4371">
        <v>1507.88309208951</v>
      </c>
      <c r="M4371">
        <v>28.3356842035349</v>
      </c>
      <c r="N4371">
        <v>53.902889967436899</v>
      </c>
      <c r="O4371">
        <v>52.952059321966701</v>
      </c>
      <c r="P4371">
        <v>-0.113483034364112</v>
      </c>
      <c r="Q4371">
        <v>0.15172528709788499</v>
      </c>
      <c r="R4371">
        <v>0.95590709055735701</v>
      </c>
      <c r="S4371" t="s">
        <v>10197</v>
      </c>
      <c r="T4371" t="s">
        <v>11650</v>
      </c>
      <c r="U4371" t="s">
        <v>11650</v>
      </c>
      <c r="V4371" t="s">
        <v>11650</v>
      </c>
      <c r="W4371" t="s">
        <v>15967</v>
      </c>
      <c r="X4371">
        <v>8</v>
      </c>
      <c r="Y4371" t="s">
        <v>21642</v>
      </c>
      <c r="Z4371" t="s">
        <v>27433</v>
      </c>
      <c r="AA4371">
        <v>0.53155429581546121</v>
      </c>
      <c r="AB4371" t="str">
        <f>HYPERLINK("Melting_Curves/meltCurve_Q92843_2_BCL2L2.pdf", "Melting_Curves/meltCurve_Q92843_2_BCL2L2.pdf")</f>
        <v>Melting_Curves/meltCurve_Q92843_2_BCL2L2.pdf</v>
      </c>
    </row>
    <row r="4372" spans="1:28" x14ac:dyDescent="0.25">
      <c r="A4372" t="s">
        <v>4376</v>
      </c>
      <c r="B4372">
        <v>0.99996721820229495</v>
      </c>
      <c r="C4372">
        <v>0.94546542481719098</v>
      </c>
      <c r="D4372">
        <v>0.98059141828982799</v>
      </c>
      <c r="E4372">
        <v>0.88673255288247799</v>
      </c>
      <c r="F4372">
        <v>1.2635617239368</v>
      </c>
      <c r="G4372">
        <v>1.37452676625421</v>
      </c>
      <c r="H4372">
        <v>1.0083282814511201</v>
      </c>
      <c r="I4372">
        <v>0.87415749459047198</v>
      </c>
      <c r="J4372">
        <v>0.90781926654948597</v>
      </c>
      <c r="K4372">
        <v>0.79618661890743703</v>
      </c>
      <c r="L4372">
        <v>15000</v>
      </c>
      <c r="M4372">
        <v>236.111556868907</v>
      </c>
      <c r="O4372">
        <v>63.524734111425097</v>
      </c>
      <c r="P4372">
        <v>-0.137523049211564</v>
      </c>
      <c r="Q4372">
        <v>0.85200021149899996</v>
      </c>
      <c r="R4372">
        <v>0.203974293893015</v>
      </c>
      <c r="S4372" t="s">
        <v>10198</v>
      </c>
      <c r="T4372" t="s">
        <v>11650</v>
      </c>
      <c r="U4372" t="s">
        <v>11650</v>
      </c>
      <c r="V4372" t="s">
        <v>11650</v>
      </c>
      <c r="W4372" t="s">
        <v>15968</v>
      </c>
      <c r="X4372">
        <v>9</v>
      </c>
      <c r="Y4372" t="s">
        <v>21643</v>
      </c>
      <c r="Z4372" t="s">
        <v>27434</v>
      </c>
      <c r="AA4372">
        <v>0.96809638503303752</v>
      </c>
      <c r="AB4372" t="str">
        <f>HYPERLINK("Melting_Curves/meltCurve_Q92844_TANK.pdf", "Melting_Curves/meltCurve_Q92844_TANK.pdf")</f>
        <v>Melting_Curves/meltCurve_Q92844_TANK.pdf</v>
      </c>
    </row>
    <row r="4373" spans="1:28" x14ac:dyDescent="0.25">
      <c r="A4373" t="s">
        <v>4377</v>
      </c>
      <c r="B4373">
        <v>0.99996721820229495</v>
      </c>
      <c r="C4373">
        <v>1.06318395830673</v>
      </c>
      <c r="D4373">
        <v>1.1932716733081301</v>
      </c>
      <c r="E4373">
        <v>1.3366214921559201</v>
      </c>
      <c r="F4373">
        <v>1.83473820449563</v>
      </c>
      <c r="G4373">
        <v>1.78010814688133</v>
      </c>
      <c r="H4373">
        <v>1.2525190710192899</v>
      </c>
      <c r="I4373">
        <v>0.92181118455398303</v>
      </c>
      <c r="J4373">
        <v>0.60052768357614905</v>
      </c>
      <c r="K4373">
        <v>0.77376301546253301</v>
      </c>
      <c r="L4373">
        <v>15000</v>
      </c>
      <c r="M4373">
        <v>233.276522530823</v>
      </c>
      <c r="O4373">
        <v>64.296642411333707</v>
      </c>
      <c r="P4373">
        <v>-0.28377355943232302</v>
      </c>
      <c r="Q4373">
        <v>0.68714061168260898</v>
      </c>
      <c r="R4373">
        <v>-7.4482917573995402E-2</v>
      </c>
      <c r="S4373" t="s">
        <v>10199</v>
      </c>
      <c r="T4373" t="s">
        <v>11650</v>
      </c>
      <c r="U4373" t="s">
        <v>11650</v>
      </c>
      <c r="V4373" t="s">
        <v>11650</v>
      </c>
      <c r="W4373" t="s">
        <v>15969</v>
      </c>
      <c r="X4373">
        <v>6</v>
      </c>
      <c r="Y4373" t="s">
        <v>21644</v>
      </c>
      <c r="Z4373" t="s">
        <v>27435</v>
      </c>
      <c r="AA4373">
        <v>0.94061155437985966</v>
      </c>
      <c r="AB4373" t="str">
        <f>HYPERLINK("Melting_Curves/meltCurve_Q92859_3_NEO1.pdf", "Melting_Curves/meltCurve_Q92859_3_NEO1.pdf")</f>
        <v>Melting_Curves/meltCurve_Q92859_3_NEO1.pdf</v>
      </c>
    </row>
    <row r="4374" spans="1:28" x14ac:dyDescent="0.25">
      <c r="A4374" t="s">
        <v>4378</v>
      </c>
      <c r="B4374">
        <v>0.99996721820229495</v>
      </c>
      <c r="C4374">
        <v>1.0239032625775799</v>
      </c>
      <c r="D4374">
        <v>0.81470791073266302</v>
      </c>
      <c r="E4374">
        <v>0.569335150902465</v>
      </c>
      <c r="F4374">
        <v>0.31279284016007403</v>
      </c>
      <c r="G4374">
        <v>0.23443427753542501</v>
      </c>
      <c r="H4374">
        <v>0.13852559536709799</v>
      </c>
      <c r="I4374">
        <v>9.2369896599230394E-2</v>
      </c>
      <c r="J4374">
        <v>7.81171362528746E-2</v>
      </c>
      <c r="K4374">
        <v>7.0686213958885094E-2</v>
      </c>
      <c r="L4374">
        <v>865.19720328119399</v>
      </c>
      <c r="M4374">
        <v>17.218929576319201</v>
      </c>
      <c r="N4374">
        <v>50.757977172425598</v>
      </c>
      <c r="O4374">
        <v>49.583837191263299</v>
      </c>
      <c r="P4374">
        <v>-7.9911787922946495E-2</v>
      </c>
      <c r="Q4374">
        <v>7.9594323103921893E-2</v>
      </c>
      <c r="R4374">
        <v>0.99236208909673396</v>
      </c>
      <c r="S4374" t="s">
        <v>10200</v>
      </c>
      <c r="T4374" t="s">
        <v>11650</v>
      </c>
      <c r="U4374" t="s">
        <v>11650</v>
      </c>
      <c r="V4374" t="s">
        <v>11650</v>
      </c>
      <c r="W4374" t="s">
        <v>15970</v>
      </c>
      <c r="X4374">
        <v>10</v>
      </c>
      <c r="Y4374" t="s">
        <v>21645</v>
      </c>
      <c r="Z4374" t="s">
        <v>27436</v>
      </c>
      <c r="AA4374">
        <v>0.41096415103337408</v>
      </c>
      <c r="AB4374" t="str">
        <f>HYPERLINK("Melting_Curves/meltCurve_Q92871_PMM1.pdf", "Melting_Curves/meltCurve_Q92871_PMM1.pdf")</f>
        <v>Melting_Curves/meltCurve_Q92871_PMM1.pdf</v>
      </c>
    </row>
    <row r="4375" spans="1:28" x14ac:dyDescent="0.25">
      <c r="A4375" t="s">
        <v>4379</v>
      </c>
      <c r="B4375">
        <v>0.99996721820229495</v>
      </c>
      <c r="C4375">
        <v>1.06525377731687</v>
      </c>
      <c r="D4375">
        <v>0.949546862285365</v>
      </c>
      <c r="E4375">
        <v>0.99931478740352997</v>
      </c>
      <c r="F4375">
        <v>0.793017592177649</v>
      </c>
      <c r="G4375">
        <v>0.83299968105969102</v>
      </c>
      <c r="H4375">
        <v>0.51575605818119197</v>
      </c>
      <c r="I4375">
        <v>0.36485767617952503</v>
      </c>
      <c r="J4375">
        <v>0.13913413385298001</v>
      </c>
      <c r="K4375">
        <v>0.21347687896835901</v>
      </c>
      <c r="L4375">
        <v>939.98097928060804</v>
      </c>
      <c r="M4375">
        <v>15.404450998725199</v>
      </c>
      <c r="N4375">
        <v>61.301263949639598</v>
      </c>
      <c r="O4375">
        <v>60.019506886419599</v>
      </c>
      <c r="P4375">
        <v>-6.1981418435055703E-2</v>
      </c>
      <c r="Q4375">
        <v>3.41090388547284E-2</v>
      </c>
      <c r="R4375">
        <v>0.96349334303439604</v>
      </c>
      <c r="S4375" t="s">
        <v>10201</v>
      </c>
      <c r="T4375" t="s">
        <v>11650</v>
      </c>
      <c r="U4375" t="s">
        <v>11650</v>
      </c>
      <c r="V4375" t="s">
        <v>11650</v>
      </c>
      <c r="W4375" t="s">
        <v>15971</v>
      </c>
      <c r="X4375">
        <v>1</v>
      </c>
      <c r="Y4375" t="s">
        <v>21646</v>
      </c>
      <c r="Z4375" t="s">
        <v>27437</v>
      </c>
      <c r="AA4375">
        <v>0.71370703509118483</v>
      </c>
      <c r="AB4375" t="str">
        <f>HYPERLINK("Melting_Curves/meltCurve_Q92878_3_RAD50.pdf", "Melting_Curves/meltCurve_Q92878_3_RAD50.pdf")</f>
        <v>Melting_Curves/meltCurve_Q92878_3_RAD50.pdf</v>
      </c>
    </row>
    <row r="4376" spans="1:28" x14ac:dyDescent="0.25">
      <c r="A4376" t="s">
        <v>4380</v>
      </c>
      <c r="B4376">
        <v>0.99996721820229495</v>
      </c>
      <c r="C4376">
        <v>1.1026785066423701</v>
      </c>
      <c r="D4376">
        <v>1.04967604820335</v>
      </c>
      <c r="E4376">
        <v>0.76837336506898202</v>
      </c>
      <c r="F4376">
        <v>0.55967004428608003</v>
      </c>
      <c r="G4376">
        <v>0.45657929617805498</v>
      </c>
      <c r="H4376">
        <v>0.27719649439268301</v>
      </c>
      <c r="I4376">
        <v>0.208684264506349</v>
      </c>
      <c r="J4376">
        <v>0.17659102259815901</v>
      </c>
      <c r="K4376">
        <v>0.12555461199517201</v>
      </c>
      <c r="L4376">
        <v>848.44015513788497</v>
      </c>
      <c r="M4376">
        <v>15.743601392629399</v>
      </c>
      <c r="N4376">
        <v>55.029003308568598</v>
      </c>
      <c r="O4376">
        <v>53.0441184584148</v>
      </c>
      <c r="P4376">
        <v>-6.3896898077098904E-2</v>
      </c>
      <c r="Q4376">
        <v>0.138933907274846</v>
      </c>
      <c r="R4376">
        <v>0.97285749917721898</v>
      </c>
      <c r="S4376" t="s">
        <v>10202</v>
      </c>
      <c r="T4376" t="s">
        <v>11650</v>
      </c>
      <c r="U4376" t="s">
        <v>11650</v>
      </c>
      <c r="V4376" t="s">
        <v>11650</v>
      </c>
      <c r="W4376" t="s">
        <v>15972</v>
      </c>
      <c r="X4376">
        <v>6</v>
      </c>
      <c r="Y4376" t="s">
        <v>21647</v>
      </c>
      <c r="Z4376" t="s">
        <v>27438</v>
      </c>
      <c r="AA4376">
        <v>0.55433341999769292</v>
      </c>
      <c r="AB4376" t="str">
        <f>HYPERLINK("Melting_Curves/meltCurve_Q92882_OSTF1.pdf", "Melting_Curves/meltCurve_Q92882_OSTF1.pdf")</f>
        <v>Melting_Curves/meltCurve_Q92882_OSTF1.pdf</v>
      </c>
    </row>
    <row r="4377" spans="1:28" x14ac:dyDescent="0.25">
      <c r="A4377" t="s">
        <v>4381</v>
      </c>
      <c r="B4377">
        <v>0.99996721820229495</v>
      </c>
      <c r="C4377">
        <v>0.96478259972242497</v>
      </c>
      <c r="D4377">
        <v>0.75530265320624601</v>
      </c>
      <c r="E4377">
        <v>0.37284432409645901</v>
      </c>
      <c r="F4377">
        <v>0.34742269498357897</v>
      </c>
      <c r="G4377">
        <v>0.25888967695010801</v>
      </c>
      <c r="H4377">
        <v>0.15949640849376401</v>
      </c>
      <c r="I4377">
        <v>0.10556786361437399</v>
      </c>
      <c r="J4377">
        <v>7.7595780586737204E-2</v>
      </c>
      <c r="K4377">
        <v>6.8673398172417494E-2</v>
      </c>
      <c r="L4377">
        <v>771.83900693529904</v>
      </c>
      <c r="M4377">
        <v>15.8231057804058</v>
      </c>
      <c r="N4377">
        <v>49.470832070091603</v>
      </c>
      <c r="O4377">
        <v>48.020058690751803</v>
      </c>
      <c r="P4377">
        <v>-7.4209843689045402E-2</v>
      </c>
      <c r="Q4377">
        <v>9.9223856224156096E-2</v>
      </c>
      <c r="R4377">
        <v>0.97987529061951495</v>
      </c>
      <c r="S4377" t="s">
        <v>10203</v>
      </c>
      <c r="T4377" t="s">
        <v>11650</v>
      </c>
      <c r="U4377" t="s">
        <v>11650</v>
      </c>
      <c r="V4377" t="s">
        <v>11650</v>
      </c>
      <c r="W4377" t="s">
        <v>15973</v>
      </c>
      <c r="X4377">
        <v>26</v>
      </c>
      <c r="Y4377" t="s">
        <v>21648</v>
      </c>
      <c r="Z4377" t="s">
        <v>27439</v>
      </c>
      <c r="AA4377">
        <v>0.38305815032045348</v>
      </c>
      <c r="AB4377" t="str">
        <f>HYPERLINK("Melting_Curves/meltCurve_Q92888_3_ARHGEF1.pdf", "Melting_Curves/meltCurve_Q92888_3_ARHGEF1.pdf")</f>
        <v>Melting_Curves/meltCurve_Q92888_3_ARHGEF1.pdf</v>
      </c>
    </row>
    <row r="4378" spans="1:28" x14ac:dyDescent="0.25">
      <c r="A4378" t="s">
        <v>4382</v>
      </c>
      <c r="B4378">
        <v>0.99996721820229495</v>
      </c>
      <c r="C4378">
        <v>0.40130850768938198</v>
      </c>
      <c r="D4378">
        <v>0.380149686099858</v>
      </c>
      <c r="E4378">
        <v>1.2343751054808101</v>
      </c>
      <c r="F4378">
        <v>1.0671558221316799</v>
      </c>
      <c r="G4378">
        <v>0.35947497500463799</v>
      </c>
      <c r="H4378">
        <v>1.2794389775424599</v>
      </c>
      <c r="I4378">
        <v>0.22442905683730599</v>
      </c>
      <c r="J4378">
        <v>0.20442404542290701</v>
      </c>
      <c r="K4378">
        <v>0.69774018059878595</v>
      </c>
      <c r="L4378">
        <v>126.27080146274</v>
      </c>
      <c r="M4378">
        <v>1.5387478303401501</v>
      </c>
      <c r="O4378">
        <v>40.942383517762799</v>
      </c>
      <c r="P4378">
        <v>-1.09125167378842E-2</v>
      </c>
      <c r="Q4378">
        <v>0</v>
      </c>
      <c r="R4378">
        <v>4.2025727291260202E-2</v>
      </c>
      <c r="S4378" t="s">
        <v>10204</v>
      </c>
      <c r="T4378" t="s">
        <v>11650</v>
      </c>
      <c r="U4378" t="s">
        <v>11650</v>
      </c>
      <c r="V4378" t="s">
        <v>11650</v>
      </c>
      <c r="W4378" t="s">
        <v>15974</v>
      </c>
      <c r="X4378">
        <v>1</v>
      </c>
      <c r="Y4378" t="s">
        <v>21649</v>
      </c>
      <c r="Z4378" t="s">
        <v>27440</v>
      </c>
      <c r="AA4378">
        <v>0.68752141564020774</v>
      </c>
      <c r="AB4378" t="str">
        <f>HYPERLINK("Melting_Curves/meltCurve_Q92889_ERCC4.pdf", "Melting_Curves/meltCurve_Q92889_ERCC4.pdf")</f>
        <v>Melting_Curves/meltCurve_Q92889_ERCC4.pdf</v>
      </c>
    </row>
    <row r="4379" spans="1:28" x14ac:dyDescent="0.25">
      <c r="A4379" t="s">
        <v>4383</v>
      </c>
      <c r="B4379">
        <v>0.99996721820229495</v>
      </c>
      <c r="C4379">
        <v>1.00203371110657</v>
      </c>
      <c r="D4379">
        <v>1.00412849894235</v>
      </c>
      <c r="E4379">
        <v>1.06090444123414</v>
      </c>
      <c r="F4379">
        <v>1.2565397127853699</v>
      </c>
      <c r="G4379">
        <v>1.2604599260903799</v>
      </c>
      <c r="H4379">
        <v>0.600470599754929</v>
      </c>
      <c r="I4379">
        <v>0.25170086269272401</v>
      </c>
      <c r="J4379">
        <v>0.119656470983818</v>
      </c>
      <c r="K4379">
        <v>6.8750436302701307E-2</v>
      </c>
      <c r="L4379">
        <v>3562.31801131251</v>
      </c>
      <c r="M4379">
        <v>58.051789142031701</v>
      </c>
      <c r="N4379">
        <v>61.640004651601799</v>
      </c>
      <c r="O4379">
        <v>61.291790865353299</v>
      </c>
      <c r="P4379">
        <v>-0.20972612603429</v>
      </c>
      <c r="Q4379">
        <v>0.114274756906851</v>
      </c>
      <c r="R4379">
        <v>0.92243709460461298</v>
      </c>
      <c r="S4379" t="s">
        <v>10205</v>
      </c>
      <c r="T4379" t="s">
        <v>11650</v>
      </c>
      <c r="U4379" t="s">
        <v>11650</v>
      </c>
      <c r="V4379" t="s">
        <v>11650</v>
      </c>
      <c r="W4379" t="s">
        <v>15975</v>
      </c>
      <c r="X4379">
        <v>18</v>
      </c>
      <c r="Y4379" t="s">
        <v>17681</v>
      </c>
      <c r="Z4379" t="s">
        <v>27441</v>
      </c>
      <c r="AA4379">
        <v>0.74678663564915659</v>
      </c>
      <c r="AB4379" t="str">
        <f>HYPERLINK("Melting_Curves/meltCurve_Q92890_UFD1L.pdf", "Melting_Curves/meltCurve_Q92890_UFD1L.pdf")</f>
        <v>Melting_Curves/meltCurve_Q92890_UFD1L.pdf</v>
      </c>
    </row>
    <row r="4380" spans="1:28" x14ac:dyDescent="0.25">
      <c r="A4380" t="s">
        <v>4384</v>
      </c>
      <c r="B4380">
        <v>0.99996721820229495</v>
      </c>
      <c r="C4380">
        <v>0.89900411281585402</v>
      </c>
      <c r="D4380">
        <v>1.07462639178287</v>
      </c>
      <c r="E4380">
        <v>1.5710718077658501</v>
      </c>
      <c r="F4380">
        <v>2.2226424648759</v>
      </c>
      <c r="G4380">
        <v>2.3245536009791099</v>
      </c>
      <c r="H4380">
        <v>1.5737180930967101</v>
      </c>
      <c r="I4380">
        <v>0.82805583698907903</v>
      </c>
      <c r="J4380">
        <v>0.41413345463378598</v>
      </c>
      <c r="K4380">
        <v>0.68328313735538604</v>
      </c>
      <c r="L4380">
        <v>15000</v>
      </c>
      <c r="M4380">
        <v>233.889803681166</v>
      </c>
      <c r="O4380">
        <v>64.128083391571707</v>
      </c>
      <c r="P4380">
        <v>-0.41149409745859</v>
      </c>
      <c r="Q4380">
        <v>0.548704993692816</v>
      </c>
      <c r="R4380">
        <v>-6.2994732207931198E-2</v>
      </c>
      <c r="S4380" t="s">
        <v>10206</v>
      </c>
      <c r="T4380" t="s">
        <v>11650</v>
      </c>
      <c r="U4380" t="s">
        <v>11650</v>
      </c>
      <c r="V4380" t="s">
        <v>11650</v>
      </c>
      <c r="W4380" t="s">
        <v>15976</v>
      </c>
      <c r="X4380">
        <v>59</v>
      </c>
      <c r="Y4380" t="s">
        <v>21650</v>
      </c>
      <c r="Z4380" t="s">
        <v>27442</v>
      </c>
      <c r="AA4380">
        <v>0.91179625096793371</v>
      </c>
      <c r="AB4380" t="str">
        <f>HYPERLINK("Melting_Curves/meltCurve_Q92896_GLG1.pdf", "Melting_Curves/meltCurve_Q92896_GLG1.pdf")</f>
        <v>Melting_Curves/meltCurve_Q92896_GLG1.pdf</v>
      </c>
    </row>
    <row r="4381" spans="1:28" x14ac:dyDescent="0.25">
      <c r="A4381" t="s">
        <v>4385</v>
      </c>
      <c r="B4381">
        <v>0.99996721820229495</v>
      </c>
      <c r="C4381">
        <v>0.96840248118486405</v>
      </c>
      <c r="D4381">
        <v>0.93652085400537599</v>
      </c>
      <c r="E4381">
        <v>0.99182639156204699</v>
      </c>
      <c r="F4381">
        <v>0.90387426955830896</v>
      </c>
      <c r="G4381">
        <v>0.79621511068527695</v>
      </c>
      <c r="H4381">
        <v>0.59873738927401898</v>
      </c>
      <c r="I4381">
        <v>0.32938048512262302</v>
      </c>
      <c r="J4381">
        <v>0.19793983104897001</v>
      </c>
      <c r="K4381">
        <v>0.143670051212033</v>
      </c>
      <c r="L4381">
        <v>1020.94931041703</v>
      </c>
      <c r="M4381">
        <v>16.522887525009299</v>
      </c>
      <c r="N4381">
        <v>61.790005772445198</v>
      </c>
      <c r="O4381">
        <v>60.906180587505098</v>
      </c>
      <c r="P4381">
        <v>-6.7825750457193898E-2</v>
      </c>
      <c r="Q4381">
        <v>0</v>
      </c>
      <c r="R4381">
        <v>0.99084474733202499</v>
      </c>
      <c r="S4381" t="s">
        <v>10207</v>
      </c>
      <c r="T4381" t="s">
        <v>11650</v>
      </c>
      <c r="U4381" t="s">
        <v>11650</v>
      </c>
      <c r="V4381" t="s">
        <v>11650</v>
      </c>
      <c r="W4381" t="s">
        <v>15977</v>
      </c>
      <c r="X4381">
        <v>31</v>
      </c>
      <c r="Y4381" t="s">
        <v>21651</v>
      </c>
      <c r="Z4381" t="s">
        <v>27443</v>
      </c>
      <c r="AA4381">
        <v>0.72709994534496947</v>
      </c>
      <c r="AB4381" t="str">
        <f>HYPERLINK("Melting_Curves/meltCurve_Q92900_2_UPF1.pdf", "Melting_Curves/meltCurve_Q92900_2_UPF1.pdf")</f>
        <v>Melting_Curves/meltCurve_Q92900_2_UPF1.pdf</v>
      </c>
    </row>
    <row r="4382" spans="1:28" x14ac:dyDescent="0.25">
      <c r="A4382" t="s">
        <v>4386</v>
      </c>
      <c r="B4382">
        <v>0.99996721820229495</v>
      </c>
      <c r="C4382">
        <v>1.05426779181844</v>
      </c>
      <c r="D4382">
        <v>1.17027502731276</v>
      </c>
      <c r="E4382">
        <v>1.38497912176645</v>
      </c>
      <c r="F4382">
        <v>1.5567558432734101</v>
      </c>
      <c r="G4382">
        <v>1.6605908330514201</v>
      </c>
      <c r="H4382">
        <v>0.53319754711893597</v>
      </c>
      <c r="I4382">
        <v>0.23267058685848599</v>
      </c>
      <c r="J4382">
        <v>0.169214953209195</v>
      </c>
      <c r="K4382">
        <v>0.104464796393823</v>
      </c>
      <c r="L4382">
        <v>8479.9954638854306</v>
      </c>
      <c r="M4382">
        <v>139.260354117981</v>
      </c>
      <c r="N4382">
        <v>61.073162528337903</v>
      </c>
      <c r="O4382">
        <v>60.880550584367199</v>
      </c>
      <c r="P4382">
        <v>-0.47558026873459902</v>
      </c>
      <c r="Q4382">
        <v>0.16836092109850401</v>
      </c>
      <c r="R4382">
        <v>0.69818592299787996</v>
      </c>
      <c r="S4382" t="s">
        <v>10208</v>
      </c>
      <c r="T4382" t="s">
        <v>11650</v>
      </c>
      <c r="U4382" t="s">
        <v>11650</v>
      </c>
      <c r="V4382" t="s">
        <v>11650</v>
      </c>
      <c r="W4382" t="s">
        <v>15978</v>
      </c>
      <c r="X4382">
        <v>3</v>
      </c>
      <c r="Y4382" t="s">
        <v>21652</v>
      </c>
      <c r="Z4382" t="s">
        <v>27444</v>
      </c>
      <c r="AA4382">
        <v>0.74783158669442551</v>
      </c>
      <c r="AB4382" t="str">
        <f>HYPERLINK("Melting_Curves/meltCurve_Q92905_COPS5.pdf", "Melting_Curves/meltCurve_Q92905_COPS5.pdf")</f>
        <v>Melting_Curves/meltCurve_Q92905_COPS5.pdf</v>
      </c>
    </row>
    <row r="4383" spans="1:28" x14ac:dyDescent="0.25">
      <c r="A4383" t="s">
        <v>4387</v>
      </c>
      <c r="B4383">
        <v>0.99996721820229495</v>
      </c>
      <c r="C4383">
        <v>1.09465559173866</v>
      </c>
      <c r="D4383">
        <v>0.98387895646490797</v>
      </c>
      <c r="E4383">
        <v>0.60706809841960097</v>
      </c>
      <c r="F4383">
        <v>0.52473448167834602</v>
      </c>
      <c r="G4383">
        <v>0.50646632039453299</v>
      </c>
      <c r="H4383">
        <v>0.388846473443688</v>
      </c>
      <c r="I4383">
        <v>0.30977789476520001</v>
      </c>
      <c r="J4383">
        <v>0.24089565689006001</v>
      </c>
      <c r="K4383">
        <v>0.17023564628808299</v>
      </c>
      <c r="L4383">
        <v>699.16671393419097</v>
      </c>
      <c r="M4383">
        <v>13.374229463794601</v>
      </c>
      <c r="N4383">
        <v>54.701128505563403</v>
      </c>
      <c r="O4383">
        <v>51.149887896001502</v>
      </c>
      <c r="P4383">
        <v>-5.0761548561544599E-2</v>
      </c>
      <c r="Q4383">
        <v>0.223570408915366</v>
      </c>
      <c r="R4383">
        <v>0.93717171963651302</v>
      </c>
      <c r="S4383" t="s">
        <v>10209</v>
      </c>
      <c r="T4383" t="s">
        <v>11650</v>
      </c>
      <c r="U4383" t="s">
        <v>11650</v>
      </c>
      <c r="V4383" t="s">
        <v>11650</v>
      </c>
      <c r="W4383" t="s">
        <v>15979</v>
      </c>
      <c r="X4383">
        <v>5</v>
      </c>
      <c r="Y4383" t="s">
        <v>21653</v>
      </c>
      <c r="Z4383" t="s">
        <v>27445</v>
      </c>
      <c r="AA4383">
        <v>0.56156219027738385</v>
      </c>
      <c r="AB4383" t="str">
        <f>HYPERLINK("Melting_Curves/meltCurve_Q92917_GPKOW.pdf", "Melting_Curves/meltCurve_Q92917_GPKOW.pdf")</f>
        <v>Melting_Curves/meltCurve_Q92917_GPKOW.pdf</v>
      </c>
    </row>
    <row r="4384" spans="1:28" x14ac:dyDescent="0.25">
      <c r="A4384" t="s">
        <v>4388</v>
      </c>
      <c r="B4384">
        <v>0.99996721820229495</v>
      </c>
      <c r="C4384">
        <v>0.79845530649790797</v>
      </c>
      <c r="D4384">
        <v>0.79727103992103998</v>
      </c>
      <c r="E4384">
        <v>1.06854603407652</v>
      </c>
      <c r="F4384">
        <v>1.2645235573056499</v>
      </c>
      <c r="G4384">
        <v>0.94667903650129104</v>
      </c>
      <c r="H4384">
        <v>0.67906375103413696</v>
      </c>
      <c r="I4384">
        <v>0.39998422780117798</v>
      </c>
      <c r="J4384">
        <v>0.13103138903230799</v>
      </c>
      <c r="K4384">
        <v>9.6687862739845906E-2</v>
      </c>
      <c r="L4384">
        <v>1932.5644238376301</v>
      </c>
      <c r="M4384">
        <v>30.889758588499301</v>
      </c>
      <c r="N4384">
        <v>62.782326009281803</v>
      </c>
      <c r="O4384">
        <v>62.302822283453402</v>
      </c>
      <c r="P4384">
        <v>-0.117618652986415</v>
      </c>
      <c r="Q4384">
        <v>5.1085969925163503E-2</v>
      </c>
      <c r="R4384">
        <v>0.88489104640313099</v>
      </c>
      <c r="S4384" t="s">
        <v>10210</v>
      </c>
      <c r="T4384" t="s">
        <v>11650</v>
      </c>
      <c r="U4384" t="s">
        <v>11650</v>
      </c>
      <c r="V4384" t="s">
        <v>11650</v>
      </c>
      <c r="W4384" t="s">
        <v>15980</v>
      </c>
      <c r="X4384">
        <v>15</v>
      </c>
      <c r="Y4384" t="s">
        <v>21654</v>
      </c>
      <c r="Z4384" t="s">
        <v>27446</v>
      </c>
      <c r="AA4384">
        <v>0.76849662121244455</v>
      </c>
      <c r="AB4384" t="str">
        <f>HYPERLINK("Melting_Curves/meltCurve_Q92930_RAB8B.pdf", "Melting_Curves/meltCurve_Q92930_RAB8B.pdf")</f>
        <v>Melting_Curves/meltCurve_Q92930_RAB8B.pdf</v>
      </c>
    </row>
    <row r="4385" spans="1:28" x14ac:dyDescent="0.25">
      <c r="A4385" t="s">
        <v>4389</v>
      </c>
      <c r="B4385">
        <v>0.99996721820229495</v>
      </c>
      <c r="C4385">
        <v>0.99933906208645495</v>
      </c>
      <c r="D4385">
        <v>1.11051216703359</v>
      </c>
      <c r="E4385">
        <v>1.1476020014419901</v>
      </c>
      <c r="F4385">
        <v>1.5594548096265199</v>
      </c>
      <c r="G4385">
        <v>1.60804259302297</v>
      </c>
      <c r="H4385">
        <v>1.2434411407849799</v>
      </c>
      <c r="I4385">
        <v>0.91107172586678398</v>
      </c>
      <c r="J4385">
        <v>0.80428596880973602</v>
      </c>
      <c r="K4385">
        <v>0.61255748136466304</v>
      </c>
      <c r="L4385">
        <v>3334.9489352874698</v>
      </c>
      <c r="M4385">
        <v>49.663361997386403</v>
      </c>
      <c r="O4385">
        <v>67.042496832244098</v>
      </c>
      <c r="P4385">
        <v>-8.0743625150696594E-2</v>
      </c>
      <c r="Q4385">
        <v>0.56400468941249904</v>
      </c>
      <c r="R4385">
        <v>0.10599032146276199</v>
      </c>
      <c r="S4385" t="s">
        <v>10211</v>
      </c>
      <c r="T4385" t="s">
        <v>11650</v>
      </c>
      <c r="U4385" t="s">
        <v>11650</v>
      </c>
      <c r="V4385" t="s">
        <v>11650</v>
      </c>
      <c r="W4385" t="s">
        <v>15981</v>
      </c>
      <c r="X4385">
        <v>6</v>
      </c>
      <c r="Y4385" t="s">
        <v>21655</v>
      </c>
      <c r="Z4385" t="s">
        <v>27447</v>
      </c>
      <c r="AA4385">
        <v>0.95712550689795539</v>
      </c>
      <c r="AB4385" t="str">
        <f>HYPERLINK("Melting_Curves/meltCurve_Q92934_BAD.pdf", "Melting_Curves/meltCurve_Q92934_BAD.pdf")</f>
        <v>Melting_Curves/meltCurve_Q92934_BAD.pdf</v>
      </c>
    </row>
    <row r="4386" spans="1:28" x14ac:dyDescent="0.25">
      <c r="A4386" t="s">
        <v>4390</v>
      </c>
      <c r="B4386">
        <v>0.99996721820229495</v>
      </c>
      <c r="C4386">
        <v>1.01519494626262</v>
      </c>
      <c r="D4386">
        <v>0.99158809623061295</v>
      </c>
      <c r="E4386">
        <v>1.0334808200266601</v>
      </c>
      <c r="F4386">
        <v>1.3771189677267901</v>
      </c>
      <c r="G4386">
        <v>1.4918296218036999</v>
      </c>
      <c r="H4386">
        <v>1.09304720784552</v>
      </c>
      <c r="I4386">
        <v>0.75619419288344902</v>
      </c>
      <c r="J4386">
        <v>0.60772713438772097</v>
      </c>
      <c r="K4386">
        <v>0.55199938184185404</v>
      </c>
      <c r="L4386">
        <v>15000</v>
      </c>
      <c r="M4386">
        <v>234.69890200165599</v>
      </c>
      <c r="O4386">
        <v>63.907036088260497</v>
      </c>
      <c r="P4386">
        <v>-0.38574410312333701</v>
      </c>
      <c r="Q4386">
        <v>0.57985722922181204</v>
      </c>
      <c r="R4386">
        <v>0.50993845108330305</v>
      </c>
      <c r="S4386" t="s">
        <v>10212</v>
      </c>
      <c r="T4386" t="s">
        <v>11650</v>
      </c>
      <c r="U4386" t="s">
        <v>11650</v>
      </c>
      <c r="V4386" t="s">
        <v>11650</v>
      </c>
      <c r="W4386" t="s">
        <v>15982</v>
      </c>
      <c r="X4386">
        <v>42</v>
      </c>
      <c r="Y4386" t="s">
        <v>21656</v>
      </c>
      <c r="Z4386" t="s">
        <v>27448</v>
      </c>
      <c r="AA4386">
        <v>0.91478794998162816</v>
      </c>
      <c r="AB4386" t="str">
        <f>HYPERLINK("Melting_Curves/meltCurve_Q92945_KHSRP.pdf", "Melting_Curves/meltCurve_Q92945_KHSRP.pdf")</f>
        <v>Melting_Curves/meltCurve_Q92945_KHSRP.pdf</v>
      </c>
    </row>
    <row r="4387" spans="1:28" x14ac:dyDescent="0.25">
      <c r="A4387" t="s">
        <v>4391</v>
      </c>
      <c r="B4387">
        <v>0.99996721820229495</v>
      </c>
      <c r="C4387">
        <v>1.02033907632529</v>
      </c>
      <c r="D4387">
        <v>1.0060472002194001</v>
      </c>
      <c r="E4387">
        <v>0.98541668310268105</v>
      </c>
      <c r="F4387">
        <v>0.96220567138736501</v>
      </c>
      <c r="G4387">
        <v>0.71046131673238999</v>
      </c>
      <c r="H4387">
        <v>0.36597096578656002</v>
      </c>
      <c r="I4387">
        <v>0.21063361089093699</v>
      </c>
      <c r="J4387">
        <v>0.13815865410648401</v>
      </c>
      <c r="K4387">
        <v>9.8969736256271104E-2</v>
      </c>
      <c r="L4387">
        <v>1426.8178900205701</v>
      </c>
      <c r="M4387">
        <v>24.218137702275101</v>
      </c>
      <c r="N4387">
        <v>59.389235896442599</v>
      </c>
      <c r="O4387">
        <v>58.517971799808201</v>
      </c>
      <c r="P4387">
        <v>-9.4374047338104602E-2</v>
      </c>
      <c r="Q4387">
        <v>8.7874769944745398E-2</v>
      </c>
      <c r="R4387">
        <v>0.99925826617317803</v>
      </c>
      <c r="S4387" t="s">
        <v>10213</v>
      </c>
      <c r="T4387" t="s">
        <v>11650</v>
      </c>
      <c r="U4387" t="s">
        <v>11650</v>
      </c>
      <c r="V4387" t="s">
        <v>11650</v>
      </c>
      <c r="W4387" t="s">
        <v>15983</v>
      </c>
      <c r="X4387">
        <v>9</v>
      </c>
      <c r="Y4387" t="s">
        <v>21657</v>
      </c>
      <c r="Z4387" t="s">
        <v>27449</v>
      </c>
      <c r="AA4387">
        <v>0.67078354122056705</v>
      </c>
      <c r="AB4387" t="str">
        <f>HYPERLINK("Melting_Curves/meltCurve_Q92947_GCDH.pdf", "Melting_Curves/meltCurve_Q92947_GCDH.pdf")</f>
        <v>Melting_Curves/meltCurve_Q92947_GCDH.pdf</v>
      </c>
    </row>
    <row r="4388" spans="1:28" x14ac:dyDescent="0.25">
      <c r="A4388" t="s">
        <v>4392</v>
      </c>
      <c r="B4388">
        <v>0.99996721820229495</v>
      </c>
      <c r="C4388">
        <v>0.99750125472836404</v>
      </c>
      <c r="D4388">
        <v>0.85238872552071099</v>
      </c>
      <c r="E4388">
        <v>0.65549270163635098</v>
      </c>
      <c r="F4388">
        <v>0.39445734968684598</v>
      </c>
      <c r="G4388">
        <v>0.31235087111079402</v>
      </c>
      <c r="H4388">
        <v>0.218055454670182</v>
      </c>
      <c r="I4388">
        <v>0.123543665324349</v>
      </c>
      <c r="J4388">
        <v>9.3224540282914201E-2</v>
      </c>
      <c r="K4388">
        <v>6.3064545548242798E-2</v>
      </c>
      <c r="L4388">
        <v>712.94712086528705</v>
      </c>
      <c r="M4388">
        <v>13.7821357162432</v>
      </c>
      <c r="N4388">
        <v>52.2780645527084</v>
      </c>
      <c r="O4388">
        <v>50.677199675904198</v>
      </c>
      <c r="P4388">
        <v>-6.3423731258699101E-2</v>
      </c>
      <c r="Q4388">
        <v>6.7289690386446901E-2</v>
      </c>
      <c r="R4388">
        <v>0.990554782998046</v>
      </c>
      <c r="S4388" t="s">
        <v>10214</v>
      </c>
      <c r="T4388" t="s">
        <v>11650</v>
      </c>
      <c r="U4388" t="s">
        <v>11650</v>
      </c>
      <c r="V4388" t="s">
        <v>11650</v>
      </c>
      <c r="W4388" t="s">
        <v>15984</v>
      </c>
      <c r="X4388">
        <v>2</v>
      </c>
      <c r="Y4388" t="s">
        <v>21658</v>
      </c>
      <c r="Z4388" t="s">
        <v>27450</v>
      </c>
      <c r="AA4388">
        <v>0.45590876451000012</v>
      </c>
      <c r="AB4388" t="str">
        <f>HYPERLINK("Melting_Curves/meltCurve_Q92963_RIT1.pdf", "Melting_Curves/meltCurve_Q92963_RIT1.pdf")</f>
        <v>Melting_Curves/meltCurve_Q92963_RIT1.pdf</v>
      </c>
    </row>
    <row r="4389" spans="1:28" x14ac:dyDescent="0.25">
      <c r="A4389" t="s">
        <v>4393</v>
      </c>
      <c r="B4389">
        <v>0.99996721820229495</v>
      </c>
      <c r="C4389">
        <v>0.98263617930023095</v>
      </c>
      <c r="D4389">
        <v>0.80826794924342105</v>
      </c>
      <c r="E4389">
        <v>1.02268955638676</v>
      </c>
      <c r="F4389">
        <v>1.2300233909018099</v>
      </c>
      <c r="G4389">
        <v>0.88350144189398705</v>
      </c>
      <c r="H4389">
        <v>0.44492729604957099</v>
      </c>
      <c r="I4389">
        <v>0.30703114870468901</v>
      </c>
      <c r="J4389">
        <v>0.29569234432726499</v>
      </c>
      <c r="K4389">
        <v>0.30672552472225101</v>
      </c>
      <c r="L4389">
        <v>2805.86673152919</v>
      </c>
      <c r="M4389">
        <v>47.412119040820201</v>
      </c>
      <c r="N4389">
        <v>60.332747579993701</v>
      </c>
      <c r="O4389">
        <v>59.075373459797397</v>
      </c>
      <c r="P4389">
        <v>-0.140881639598886</v>
      </c>
      <c r="Q4389">
        <v>0.29784815351410698</v>
      </c>
      <c r="R4389">
        <v>0.918234248913117</v>
      </c>
      <c r="S4389" t="s">
        <v>10215</v>
      </c>
      <c r="T4389" t="s">
        <v>11650</v>
      </c>
      <c r="U4389" t="s">
        <v>11650</v>
      </c>
      <c r="V4389" t="s">
        <v>11650</v>
      </c>
      <c r="W4389" t="s">
        <v>15985</v>
      </c>
      <c r="X4389">
        <v>3</v>
      </c>
      <c r="Y4389" t="s">
        <v>21659</v>
      </c>
      <c r="Z4389" t="s">
        <v>27451</v>
      </c>
      <c r="AA4389">
        <v>0.74877739779808727</v>
      </c>
      <c r="AB4389" t="str">
        <f>HYPERLINK("Melting_Curves/meltCurve_Q92968_PEX13.pdf", "Melting_Curves/meltCurve_Q92968_PEX13.pdf")</f>
        <v>Melting_Curves/meltCurve_Q92968_PEX13.pdf</v>
      </c>
    </row>
    <row r="4390" spans="1:28" x14ac:dyDescent="0.25">
      <c r="A4390" t="s">
        <v>4394</v>
      </c>
      <c r="B4390">
        <v>0.99996721820229495</v>
      </c>
      <c r="C4390">
        <v>1.01670865500584</v>
      </c>
      <c r="D4390">
        <v>1.06640609012618</v>
      </c>
      <c r="E4390">
        <v>0.97830358526790595</v>
      </c>
      <c r="F4390">
        <v>0.56231095350609805</v>
      </c>
      <c r="G4390">
        <v>0.55959515672197202</v>
      </c>
      <c r="H4390">
        <v>0.28137360334070399</v>
      </c>
      <c r="I4390">
        <v>0.117724523134736</v>
      </c>
      <c r="J4390">
        <v>9.0286454982458297E-2</v>
      </c>
      <c r="K4390">
        <v>7.2286317462533806E-2</v>
      </c>
      <c r="L4390">
        <v>845.06996409668204</v>
      </c>
      <c r="M4390">
        <v>14.937235647779</v>
      </c>
      <c r="N4390">
        <v>56.639387652321297</v>
      </c>
      <c r="O4390">
        <v>55.589781426481501</v>
      </c>
      <c r="P4390">
        <v>-6.6614896475954199E-2</v>
      </c>
      <c r="Q4390">
        <v>8.4572160565276697E-3</v>
      </c>
      <c r="R4390">
        <v>0.96224028734126199</v>
      </c>
      <c r="S4390" t="s">
        <v>10216</v>
      </c>
      <c r="T4390" t="s">
        <v>11650</v>
      </c>
      <c r="U4390" t="s">
        <v>11650</v>
      </c>
      <c r="V4390" t="s">
        <v>11650</v>
      </c>
      <c r="W4390" t="s">
        <v>15986</v>
      </c>
      <c r="X4390">
        <v>25</v>
      </c>
      <c r="Y4390" t="s">
        <v>21660</v>
      </c>
      <c r="Z4390" t="s">
        <v>27452</v>
      </c>
      <c r="AA4390">
        <v>0.57287168263894117</v>
      </c>
      <c r="AB4390" t="str">
        <f>HYPERLINK("Melting_Curves/meltCurve_Q92973_2_TNPO1.pdf", "Melting_Curves/meltCurve_Q92973_2_TNPO1.pdf")</f>
        <v>Melting_Curves/meltCurve_Q92973_2_TNPO1.pdf</v>
      </c>
    </row>
    <row r="4391" spans="1:28" x14ac:dyDescent="0.25">
      <c r="A4391" t="s">
        <v>4395</v>
      </c>
      <c r="B4391">
        <v>0.99996721820229495</v>
      </c>
      <c r="C4391">
        <v>0.98653678012095403</v>
      </c>
      <c r="D4391">
        <v>0.93271508252715896</v>
      </c>
      <c r="E4391">
        <v>0.90784465376261902</v>
      </c>
      <c r="F4391">
        <v>0.95359190516529502</v>
      </c>
      <c r="G4391">
        <v>0.84541695705292497</v>
      </c>
      <c r="H4391">
        <v>0.56588679499890104</v>
      </c>
      <c r="I4391">
        <v>0.41164654627687902</v>
      </c>
      <c r="J4391">
        <v>0.38274374588689802</v>
      </c>
      <c r="K4391">
        <v>0.20662047889722401</v>
      </c>
      <c r="L4391">
        <v>908.69701794034597</v>
      </c>
      <c r="M4391">
        <v>14.6708956290397</v>
      </c>
      <c r="N4391">
        <v>62.831733747244897</v>
      </c>
      <c r="O4391">
        <v>60.822114212058501</v>
      </c>
      <c r="P4391">
        <v>-5.4633939318561503E-2</v>
      </c>
      <c r="Q4391">
        <v>9.4101810695104607E-2</v>
      </c>
      <c r="R4391">
        <v>0.97789035951317704</v>
      </c>
      <c r="S4391" t="s">
        <v>10217</v>
      </c>
      <c r="T4391" t="s">
        <v>11650</v>
      </c>
      <c r="U4391" t="s">
        <v>11650</v>
      </c>
      <c r="V4391" t="s">
        <v>11650</v>
      </c>
      <c r="W4391" t="s">
        <v>15987</v>
      </c>
      <c r="X4391">
        <v>4</v>
      </c>
      <c r="Y4391" t="s">
        <v>21661</v>
      </c>
      <c r="Z4391" t="s">
        <v>27453</v>
      </c>
      <c r="AA4391">
        <v>0.75374079193998889</v>
      </c>
      <c r="AB4391" t="str">
        <f>HYPERLINK("Melting_Curves/meltCurve_Q92974_2_ARHGEF2.pdf", "Melting_Curves/meltCurve_Q92974_2_ARHGEF2.pdf")</f>
        <v>Melting_Curves/meltCurve_Q92974_2_ARHGEF2.pdf</v>
      </c>
    </row>
    <row r="4392" spans="1:28" x14ac:dyDescent="0.25">
      <c r="A4392" t="s">
        <v>4396</v>
      </c>
      <c r="B4392">
        <v>0.99996721820229495</v>
      </c>
      <c r="C4392">
        <v>0.94391644498500604</v>
      </c>
      <c r="D4392">
        <v>1.0118417614130699</v>
      </c>
      <c r="E4392">
        <v>0.96200416597094995</v>
      </c>
      <c r="F4392">
        <v>0.36625419343106203</v>
      </c>
      <c r="G4392">
        <v>0.27258417857768202</v>
      </c>
      <c r="H4392">
        <v>0.169473510508313</v>
      </c>
      <c r="I4392">
        <v>9.9668830221713495E-2</v>
      </c>
      <c r="J4392">
        <v>7.4705271176749202E-2</v>
      </c>
      <c r="K4392">
        <v>6.9994387627808102E-2</v>
      </c>
      <c r="L4392">
        <v>3297.09788337693</v>
      </c>
      <c r="M4392">
        <v>63.178867170686999</v>
      </c>
      <c r="N4392">
        <v>52.449029683705497</v>
      </c>
      <c r="O4392">
        <v>52.134528653554199</v>
      </c>
      <c r="P4392">
        <v>-0.26192210599225102</v>
      </c>
      <c r="Q4392">
        <v>0.13545925070477299</v>
      </c>
      <c r="R4392">
        <v>0.98057653012285795</v>
      </c>
      <c r="S4392" t="s">
        <v>10218</v>
      </c>
      <c r="T4392" t="s">
        <v>11650</v>
      </c>
      <c r="U4392" t="s">
        <v>11650</v>
      </c>
      <c r="V4392" t="s">
        <v>11650</v>
      </c>
      <c r="W4392" t="s">
        <v>15988</v>
      </c>
      <c r="X4392">
        <v>11</v>
      </c>
      <c r="Y4392" t="s">
        <v>21662</v>
      </c>
      <c r="Z4392" t="s">
        <v>27454</v>
      </c>
      <c r="AA4392">
        <v>0.48790032283345319</v>
      </c>
      <c r="AB4392" t="str">
        <f>HYPERLINK("Melting_Curves/meltCurve_Q92990_GLMN.pdf", "Melting_Curves/meltCurve_Q92990_GLMN.pdf")</f>
        <v>Melting_Curves/meltCurve_Q92990_GLMN.pdf</v>
      </c>
    </row>
    <row r="4393" spans="1:28" x14ac:dyDescent="0.25">
      <c r="A4393" t="s">
        <v>4397</v>
      </c>
      <c r="B4393">
        <v>0.99996721820229495</v>
      </c>
      <c r="C4393">
        <v>1.00921400151656</v>
      </c>
      <c r="D4393">
        <v>0.96392097887528505</v>
      </c>
      <c r="E4393">
        <v>0.68436458184317295</v>
      </c>
      <c r="F4393">
        <v>0.43850148532315197</v>
      </c>
      <c r="G4393">
        <v>0.42572878588422702</v>
      </c>
      <c r="H4393">
        <v>0.26650747980494499</v>
      </c>
      <c r="I4393">
        <v>0.14647200618907999</v>
      </c>
      <c r="J4393">
        <v>7.10529137473105E-2</v>
      </c>
      <c r="K4393">
        <v>6.7179182746467697E-2</v>
      </c>
      <c r="L4393">
        <v>654.76943452763999</v>
      </c>
      <c r="M4393">
        <v>12.2292682616626</v>
      </c>
      <c r="N4393">
        <v>53.841787881027301</v>
      </c>
      <c r="O4393">
        <v>52.169892056412003</v>
      </c>
      <c r="P4393">
        <v>-5.6681877338017703E-2</v>
      </c>
      <c r="Q4393">
        <v>3.3000153765593399E-2</v>
      </c>
      <c r="R4393">
        <v>0.97469973953489797</v>
      </c>
      <c r="S4393" t="s">
        <v>10219</v>
      </c>
      <c r="T4393" t="s">
        <v>11650</v>
      </c>
      <c r="U4393" t="s">
        <v>11650</v>
      </c>
      <c r="V4393" t="s">
        <v>11650</v>
      </c>
      <c r="W4393" t="s">
        <v>15989</v>
      </c>
      <c r="X4393">
        <v>6</v>
      </c>
      <c r="Y4393" t="s">
        <v>21663</v>
      </c>
      <c r="Z4393" t="s">
        <v>27455</v>
      </c>
      <c r="AA4393">
        <v>0.49530193540050749</v>
      </c>
      <c r="AB4393" t="str">
        <f>HYPERLINK("Melting_Curves/meltCurve_Q92995_USP13.pdf", "Melting_Curves/meltCurve_Q92995_USP13.pdf")</f>
        <v>Melting_Curves/meltCurve_Q92995_USP13.pdf</v>
      </c>
    </row>
    <row r="4394" spans="1:28" x14ac:dyDescent="0.25">
      <c r="A4394" t="s">
        <v>4398</v>
      </c>
      <c r="B4394">
        <v>0.99996721820229495</v>
      </c>
      <c r="C4394">
        <v>1.0821281698148399</v>
      </c>
      <c r="D4394">
        <v>1.2472382386132499</v>
      </c>
      <c r="E4394">
        <v>1.6648631776387499</v>
      </c>
      <c r="F4394">
        <v>0.72855376155981599</v>
      </c>
      <c r="G4394">
        <v>0.67933480050797501</v>
      </c>
      <c r="H4394">
        <v>0.48130493211354403</v>
      </c>
      <c r="I4394">
        <v>0.29523322453114298</v>
      </c>
      <c r="J4394">
        <v>0.209023482070674</v>
      </c>
      <c r="K4394">
        <v>0.179048695834439</v>
      </c>
      <c r="L4394">
        <v>1334.0710737206</v>
      </c>
      <c r="M4394">
        <v>22.718362571458499</v>
      </c>
      <c r="N4394">
        <v>59.867049230391203</v>
      </c>
      <c r="O4394">
        <v>58.272843111857597</v>
      </c>
      <c r="P4394">
        <v>-8.0294022487317401E-2</v>
      </c>
      <c r="Q4394">
        <v>0.17619612372034399</v>
      </c>
      <c r="R4394">
        <v>0.73149866573757305</v>
      </c>
      <c r="S4394" t="s">
        <v>10220</v>
      </c>
      <c r="T4394" t="s">
        <v>11650</v>
      </c>
      <c r="U4394" t="s">
        <v>11650</v>
      </c>
      <c r="V4394" t="s">
        <v>11650</v>
      </c>
      <c r="W4394" t="s">
        <v>15990</v>
      </c>
      <c r="X4394">
        <v>12</v>
      </c>
      <c r="Y4394" t="s">
        <v>21664</v>
      </c>
      <c r="Z4394" t="s">
        <v>27456</v>
      </c>
      <c r="AA4394">
        <v>0.69799414046671304</v>
      </c>
      <c r="AB4394" t="str">
        <f>HYPERLINK("Melting_Curves/meltCurve_Q93008_1_USP9X.pdf", "Melting_Curves/meltCurve_Q93008_1_USP9X.pdf")</f>
        <v>Melting_Curves/meltCurve_Q93008_1_USP9X.pdf</v>
      </c>
    </row>
    <row r="4395" spans="1:28" x14ac:dyDescent="0.25">
      <c r="A4395" t="s">
        <v>4399</v>
      </c>
      <c r="B4395">
        <v>0.99996721820229495</v>
      </c>
      <c r="C4395">
        <v>0.90795564294938302</v>
      </c>
      <c r="D4395">
        <v>0.57368260057856901</v>
      </c>
      <c r="E4395">
        <v>0.32336741776251898</v>
      </c>
      <c r="F4395">
        <v>0.28613387840008098</v>
      </c>
      <c r="G4395">
        <v>0.25776902436839999</v>
      </c>
      <c r="H4395">
        <v>0.15595974819224401</v>
      </c>
      <c r="I4395">
        <v>0.103617387905586</v>
      </c>
      <c r="J4395">
        <v>6.6219383828842293E-2</v>
      </c>
      <c r="K4395">
        <v>4.9760322473312503E-2</v>
      </c>
      <c r="L4395">
        <v>737.21074836320497</v>
      </c>
      <c r="M4395">
        <v>15.6373906121802</v>
      </c>
      <c r="N4395">
        <v>47.854278860464802</v>
      </c>
      <c r="O4395">
        <v>46.393319765934201</v>
      </c>
      <c r="P4395">
        <v>-7.55459420978183E-2</v>
      </c>
      <c r="Q4395">
        <v>0.103552465199249</v>
      </c>
      <c r="R4395">
        <v>0.97068052670043403</v>
      </c>
      <c r="S4395" t="s">
        <v>10221</v>
      </c>
      <c r="T4395" t="s">
        <v>11650</v>
      </c>
      <c r="U4395" t="s">
        <v>11650</v>
      </c>
      <c r="V4395" t="s">
        <v>11650</v>
      </c>
      <c r="W4395" t="s">
        <v>15991</v>
      </c>
      <c r="X4395">
        <v>3</v>
      </c>
      <c r="Y4395" t="s">
        <v>21665</v>
      </c>
      <c r="Z4395" t="s">
        <v>27457</v>
      </c>
      <c r="AA4395">
        <v>0.33918435254769841</v>
      </c>
      <c r="AB4395" t="str">
        <f>HYPERLINK("Melting_Curves/meltCurve_Q93015_2_NAT6.pdf", "Melting_Curves/meltCurve_Q93015_2_NAT6.pdf")</f>
        <v>Melting_Curves/meltCurve_Q93015_2_NAT6.pdf</v>
      </c>
    </row>
    <row r="4396" spans="1:28" x14ac:dyDescent="0.25">
      <c r="A4396" t="s">
        <v>4400</v>
      </c>
      <c r="B4396">
        <v>0.99996721820229495</v>
      </c>
      <c r="C4396">
        <v>1.0723879292474401</v>
      </c>
      <c r="D4396">
        <v>1.2897840261882101</v>
      </c>
      <c r="E4396">
        <v>1.8851677971875</v>
      </c>
      <c r="F4396">
        <v>2.8877806358567</v>
      </c>
      <c r="G4396">
        <v>3.6286786320795601</v>
      </c>
      <c r="H4396">
        <v>0.41908544139189502</v>
      </c>
      <c r="I4396">
        <v>0.27975335953751101</v>
      </c>
      <c r="J4396">
        <v>0.18370629581155701</v>
      </c>
      <c r="K4396">
        <v>0.155822316998383</v>
      </c>
      <c r="L4396">
        <v>15000</v>
      </c>
      <c r="M4396">
        <v>246.906533523804</v>
      </c>
      <c r="N4396">
        <v>60.883034279723702</v>
      </c>
      <c r="O4396">
        <v>60.747734208706603</v>
      </c>
      <c r="P4396">
        <v>-0.806361877031749</v>
      </c>
      <c r="Q4396">
        <v>0.20642572800772299</v>
      </c>
      <c r="R4396">
        <v>0.112651964706785</v>
      </c>
      <c r="S4396" t="s">
        <v>10222</v>
      </c>
      <c r="T4396" t="s">
        <v>11650</v>
      </c>
      <c r="U4396" t="s">
        <v>11650</v>
      </c>
      <c r="V4396" t="s">
        <v>11650</v>
      </c>
      <c r="W4396" t="s">
        <v>15992</v>
      </c>
      <c r="X4396">
        <v>20</v>
      </c>
      <c r="Y4396" t="s">
        <v>21666</v>
      </c>
      <c r="Z4396" t="s">
        <v>27458</v>
      </c>
      <c r="AA4396">
        <v>0.75544720644505914</v>
      </c>
      <c r="AB4396" t="str">
        <f>HYPERLINK("Melting_Curves/meltCurve_Q93034_CUL5.pdf", "Melting_Curves/meltCurve_Q93034_CUL5.pdf")</f>
        <v>Melting_Curves/meltCurve_Q93034_CUL5.pdf</v>
      </c>
    </row>
    <row r="4397" spans="1:28" x14ac:dyDescent="0.25">
      <c r="A4397" t="s">
        <v>4401</v>
      </c>
      <c r="B4397">
        <v>0.99996721820229495</v>
      </c>
      <c r="C4397">
        <v>1.0077720206062999</v>
      </c>
      <c r="D4397">
        <v>0.97006786717890903</v>
      </c>
      <c r="E4397">
        <v>0.901689894136121</v>
      </c>
      <c r="F4397">
        <v>0.79193220073486104</v>
      </c>
      <c r="G4397">
        <v>0.74374950674598805</v>
      </c>
      <c r="H4397">
        <v>0.29370249293688999</v>
      </c>
      <c r="I4397">
        <v>0.153719057260127</v>
      </c>
      <c r="J4397">
        <v>0.111561631485564</v>
      </c>
      <c r="K4397">
        <v>8.5145251984119305E-2</v>
      </c>
      <c r="L4397">
        <v>1025.63298572044</v>
      </c>
      <c r="M4397">
        <v>17.4593303774597</v>
      </c>
      <c r="N4397">
        <v>58.744120022903303</v>
      </c>
      <c r="O4397">
        <v>57.989720803153403</v>
      </c>
      <c r="P4397">
        <v>-7.5273269168284404E-2</v>
      </c>
      <c r="Q4397">
        <v>0</v>
      </c>
      <c r="R4397">
        <v>0.98077905968255497</v>
      </c>
      <c r="S4397" t="s">
        <v>10223</v>
      </c>
      <c r="T4397" t="s">
        <v>11650</v>
      </c>
      <c r="U4397" t="s">
        <v>11650</v>
      </c>
      <c r="V4397" t="s">
        <v>11650</v>
      </c>
      <c r="W4397" t="s">
        <v>15993</v>
      </c>
      <c r="X4397">
        <v>28</v>
      </c>
      <c r="Y4397" t="s">
        <v>17733</v>
      </c>
      <c r="Z4397" t="s">
        <v>27459</v>
      </c>
      <c r="AA4397">
        <v>0.63602117703237593</v>
      </c>
      <c r="AB4397" t="str">
        <f>HYPERLINK("Melting_Curves/meltCurve_Q93052_LPP.pdf", "Melting_Curves/meltCurve_Q93052_LPP.pdf")</f>
        <v>Melting_Curves/meltCurve_Q93052_LPP.pdf</v>
      </c>
    </row>
    <row r="4398" spans="1:28" x14ac:dyDescent="0.25">
      <c r="A4398" t="s">
        <v>4402</v>
      </c>
      <c r="B4398">
        <v>0.99996721820229495</v>
      </c>
      <c r="C4398">
        <v>0.67220512193515403</v>
      </c>
      <c r="D4398">
        <v>0.60643310615181001</v>
      </c>
      <c r="E4398">
        <v>0.76810711022492395</v>
      </c>
      <c r="F4398">
        <v>0.62836776212895795</v>
      </c>
      <c r="G4398">
        <v>0.53699684842136697</v>
      </c>
      <c r="H4398">
        <v>0.43481510544260199</v>
      </c>
      <c r="I4398">
        <v>0.247891246978901</v>
      </c>
      <c r="J4398">
        <v>0.179156200514934</v>
      </c>
      <c r="K4398">
        <v>0.18310865449750599</v>
      </c>
      <c r="L4398">
        <v>314.43327042441098</v>
      </c>
      <c r="M4398">
        <v>5.6945915484699903</v>
      </c>
      <c r="N4398">
        <v>55.216123524007401</v>
      </c>
      <c r="O4398">
        <v>49.540408685263301</v>
      </c>
      <c r="P4398">
        <v>-2.88491243395495E-2</v>
      </c>
      <c r="Q4398">
        <v>0</v>
      </c>
      <c r="R4398">
        <v>0.83504197206627795</v>
      </c>
      <c r="S4398" t="s">
        <v>10224</v>
      </c>
      <c r="T4398" t="s">
        <v>11650</v>
      </c>
      <c r="U4398" t="s">
        <v>11650</v>
      </c>
      <c r="V4398" t="s">
        <v>11650</v>
      </c>
      <c r="W4398" t="s">
        <v>15994</v>
      </c>
      <c r="X4398">
        <v>2</v>
      </c>
      <c r="Y4398" t="s">
        <v>21667</v>
      </c>
      <c r="Z4398" t="s">
        <v>27460</v>
      </c>
      <c r="AA4398">
        <v>0.5303531865530916</v>
      </c>
      <c r="AB4398" t="str">
        <f>HYPERLINK("Melting_Curves/meltCurve_Q93063_EXT2.pdf", "Melting_Curves/meltCurve_Q93063_EXT2.pdf")</f>
        <v>Melting_Curves/meltCurve_Q93063_EXT2.pdf</v>
      </c>
    </row>
    <row r="4399" spans="1:28" x14ac:dyDescent="0.25">
      <c r="A4399" t="s">
        <v>4403</v>
      </c>
      <c r="B4399">
        <v>0.99996721820229495</v>
      </c>
      <c r="C4399">
        <v>1.0181804446558</v>
      </c>
      <c r="D4399">
        <v>1.23560010873624</v>
      </c>
      <c r="E4399">
        <v>1.2838773195842901</v>
      </c>
      <c r="F4399">
        <v>1.0707885603445599</v>
      </c>
      <c r="G4399">
        <v>0.99978850942415398</v>
      </c>
      <c r="H4399">
        <v>0.78483918920144202</v>
      </c>
      <c r="I4399">
        <v>0.86064860731833703</v>
      </c>
      <c r="J4399">
        <v>0.17937999448521799</v>
      </c>
      <c r="K4399">
        <v>0.32918075666590302</v>
      </c>
      <c r="L4399">
        <v>15000</v>
      </c>
      <c r="M4399">
        <v>232.90500614883501</v>
      </c>
      <c r="N4399">
        <v>64.600949045796597</v>
      </c>
      <c r="O4399">
        <v>64.399191332995997</v>
      </c>
      <c r="P4399">
        <v>-0.67427063987911395</v>
      </c>
      <c r="Q4399">
        <v>0.254245590640583</v>
      </c>
      <c r="R4399">
        <v>0.83100997023851697</v>
      </c>
      <c r="S4399" t="s">
        <v>10225</v>
      </c>
      <c r="T4399" t="s">
        <v>11650</v>
      </c>
      <c r="U4399" t="s">
        <v>11650</v>
      </c>
      <c r="V4399" t="s">
        <v>11650</v>
      </c>
      <c r="W4399" t="s">
        <v>15995</v>
      </c>
      <c r="X4399">
        <v>4</v>
      </c>
      <c r="Y4399" t="s">
        <v>21668</v>
      </c>
      <c r="Z4399" t="s">
        <v>27461</v>
      </c>
      <c r="AA4399">
        <v>0.86098757035039075</v>
      </c>
      <c r="AB4399" t="str">
        <f>HYPERLINK("Melting_Curves/meltCurve_Q93077_HIST1H2AC.pdf", "Melting_Curves/meltCurve_Q93077_HIST1H2AC.pdf")</f>
        <v>Melting_Curves/meltCurve_Q93077_HIST1H2AC.pdf</v>
      </c>
    </row>
    <row r="4400" spans="1:28" x14ac:dyDescent="0.25">
      <c r="A4400" t="s">
        <v>4404</v>
      </c>
      <c r="B4400">
        <v>0.99996721820229495</v>
      </c>
      <c r="C4400">
        <v>0.90997572598818099</v>
      </c>
      <c r="D4400">
        <v>0.92506596856922296</v>
      </c>
      <c r="E4400">
        <v>0.83708333971833704</v>
      </c>
      <c r="F4400">
        <v>0.54016111136532297</v>
      </c>
      <c r="G4400">
        <v>0.36987657186438699</v>
      </c>
      <c r="H4400">
        <v>0.33507237666394701</v>
      </c>
      <c r="I4400">
        <v>0.238994461114131</v>
      </c>
      <c r="J4400">
        <v>0.12630934476647299</v>
      </c>
      <c r="K4400">
        <v>0.30630149371552701</v>
      </c>
      <c r="L4400">
        <v>959.87050874194301</v>
      </c>
      <c r="M4400">
        <v>18.255008357064799</v>
      </c>
      <c r="N4400">
        <v>54.3113817985341</v>
      </c>
      <c r="O4400">
        <v>51.9623992265293</v>
      </c>
      <c r="P4400">
        <v>-6.8466701521157594E-2</v>
      </c>
      <c r="Q4400">
        <v>0.22048151274139999</v>
      </c>
      <c r="R4400">
        <v>0.96633271471854099</v>
      </c>
      <c r="S4400" t="s">
        <v>10226</v>
      </c>
      <c r="T4400" t="s">
        <v>11650</v>
      </c>
      <c r="U4400" t="s">
        <v>11650</v>
      </c>
      <c r="V4400" t="s">
        <v>11650</v>
      </c>
      <c r="W4400" t="s">
        <v>15996</v>
      </c>
      <c r="X4400">
        <v>2</v>
      </c>
      <c r="Y4400" t="s">
        <v>21669</v>
      </c>
      <c r="Z4400" t="s">
        <v>27462</v>
      </c>
      <c r="AA4400">
        <v>0.55995453381800686</v>
      </c>
      <c r="AB4400" t="str">
        <f>HYPERLINK("Melting_Curves/meltCurve_Q93096_PTP4A1.pdf", "Melting_Curves/meltCurve_Q93096_PTP4A1.pdf")</f>
        <v>Melting_Curves/meltCurve_Q93096_PTP4A1.pdf</v>
      </c>
    </row>
    <row r="4401" spans="1:28" x14ac:dyDescent="0.25">
      <c r="A4401" t="s">
        <v>4405</v>
      </c>
      <c r="B4401">
        <v>0.99996721820229495</v>
      </c>
      <c r="C4401">
        <v>0.88717850380280106</v>
      </c>
      <c r="D4401">
        <v>0.98456076900108302</v>
      </c>
      <c r="E4401">
        <v>0.92039575873882096</v>
      </c>
      <c r="F4401">
        <v>1.17502306139377</v>
      </c>
      <c r="G4401">
        <v>0.99414700708585302</v>
      </c>
      <c r="H4401">
        <v>0.80674543208553096</v>
      </c>
      <c r="I4401">
        <v>0.68055035047808399</v>
      </c>
      <c r="J4401">
        <v>0.56125164780068004</v>
      </c>
      <c r="K4401">
        <v>0.38468171303908599</v>
      </c>
      <c r="L4401">
        <v>1372.86579472672</v>
      </c>
      <c r="M4401">
        <v>21.188888008288199</v>
      </c>
      <c r="N4401">
        <v>67.4512161021986</v>
      </c>
      <c r="O4401">
        <v>64.222943086141797</v>
      </c>
      <c r="P4401">
        <v>-5.9128168738902198E-2</v>
      </c>
      <c r="Q4401">
        <v>0.28315490687793798</v>
      </c>
      <c r="R4401">
        <v>0.88692583083390697</v>
      </c>
      <c r="S4401" t="s">
        <v>10227</v>
      </c>
      <c r="T4401" t="s">
        <v>11650</v>
      </c>
      <c r="U4401" t="s">
        <v>11650</v>
      </c>
      <c r="V4401" t="s">
        <v>11650</v>
      </c>
      <c r="W4401" t="s">
        <v>15997</v>
      </c>
      <c r="X4401">
        <v>2</v>
      </c>
      <c r="Y4401" t="s">
        <v>21670</v>
      </c>
      <c r="Z4401" t="s">
        <v>27463</v>
      </c>
      <c r="AA4401">
        <v>0.86919131879802569</v>
      </c>
      <c r="AB4401" t="str">
        <f>HYPERLINK("Melting_Curves/meltCurve_Q969E2_2_SCAMP4.pdf", "Melting_Curves/meltCurve_Q969E2_2_SCAMP4.pdf")</f>
        <v>Melting_Curves/meltCurve_Q969E2_2_SCAMP4.pdf</v>
      </c>
    </row>
    <row r="4402" spans="1:28" x14ac:dyDescent="0.25">
      <c r="A4402" t="s">
        <v>4406</v>
      </c>
      <c r="B4402">
        <v>0.99996721820229495</v>
      </c>
      <c r="C4402">
        <v>0.940375207387245</v>
      </c>
      <c r="D4402">
        <v>0.84066635978200599</v>
      </c>
      <c r="E4402">
        <v>0.82140878071488599</v>
      </c>
      <c r="F4402">
        <v>1.0397955362370901</v>
      </c>
      <c r="G4402">
        <v>1.26036914319382</v>
      </c>
      <c r="H4402">
        <v>1.0431340130420801</v>
      </c>
      <c r="I4402">
        <v>1.0623887667215399</v>
      </c>
      <c r="J4402">
        <v>1.07750488488906</v>
      </c>
      <c r="K4402">
        <v>0.69910105330832895</v>
      </c>
      <c r="L4402">
        <v>15000</v>
      </c>
      <c r="M4402">
        <v>213.44264213248599</v>
      </c>
      <c r="Q4402">
        <v>0</v>
      </c>
      <c r="R4402">
        <v>0.37695902741792697</v>
      </c>
      <c r="S4402" t="s">
        <v>10228</v>
      </c>
      <c r="T4402" t="s">
        <v>11650</v>
      </c>
      <c r="U4402" t="s">
        <v>11650</v>
      </c>
      <c r="V4402" t="s">
        <v>11650</v>
      </c>
      <c r="W4402" t="s">
        <v>15998</v>
      </c>
      <c r="X4402">
        <v>13</v>
      </c>
      <c r="Y4402" t="s">
        <v>21671</v>
      </c>
      <c r="Z4402" t="s">
        <v>27464</v>
      </c>
      <c r="AA4402">
        <v>0.99614157204202758</v>
      </c>
      <c r="AB4402" t="str">
        <f>HYPERLINK("Melting_Curves/meltCurve_Q969E4_TCEAL3.pdf", "Melting_Curves/meltCurve_Q969E4_TCEAL3.pdf")</f>
        <v>Melting_Curves/meltCurve_Q969E4_TCEAL3.pdf</v>
      </c>
    </row>
    <row r="4403" spans="1:28" x14ac:dyDescent="0.25">
      <c r="A4403" t="s">
        <v>4407</v>
      </c>
      <c r="B4403">
        <v>0.99996721820229495</v>
      </c>
      <c r="C4403">
        <v>0.82861281349918703</v>
      </c>
      <c r="D4403">
        <v>0.769760175288564</v>
      </c>
      <c r="E4403">
        <v>0.93826414511509304</v>
      </c>
      <c r="F4403">
        <v>0.97259751228923996</v>
      </c>
      <c r="G4403">
        <v>0.690623425921707</v>
      </c>
      <c r="H4403">
        <v>0.50990936798182396</v>
      </c>
      <c r="I4403">
        <v>0.56789361322990695</v>
      </c>
      <c r="J4403">
        <v>0.50719334229065005</v>
      </c>
      <c r="K4403">
        <v>0.387018271970482</v>
      </c>
      <c r="L4403">
        <v>383.36106461031301</v>
      </c>
      <c r="M4403">
        <v>5.8257347815780296</v>
      </c>
      <c r="N4403">
        <v>65.804757506561302</v>
      </c>
      <c r="O4403">
        <v>59.2945430186751</v>
      </c>
      <c r="P4403">
        <v>-2.4651021554661302E-2</v>
      </c>
      <c r="Q4403">
        <v>0</v>
      </c>
      <c r="R4403">
        <v>0.79245519703704803</v>
      </c>
      <c r="S4403" t="s">
        <v>10229</v>
      </c>
      <c r="T4403" t="s">
        <v>11650</v>
      </c>
      <c r="U4403" t="s">
        <v>11650</v>
      </c>
      <c r="V4403" t="s">
        <v>11650</v>
      </c>
      <c r="W4403" t="s">
        <v>15999</v>
      </c>
      <c r="X4403">
        <v>1</v>
      </c>
      <c r="Y4403" t="s">
        <v>21672</v>
      </c>
      <c r="Z4403" t="s">
        <v>27465</v>
      </c>
      <c r="AA4403">
        <v>0.73577879402636082</v>
      </c>
      <c r="AB4403" t="str">
        <f>HYPERLINK("Melting_Curves/meltCurve_Q969E8_TSR2.pdf", "Melting_Curves/meltCurve_Q969E8_TSR2.pdf")</f>
        <v>Melting_Curves/meltCurve_Q969E8_TSR2.pdf</v>
      </c>
    </row>
    <row r="4404" spans="1:28" x14ac:dyDescent="0.25">
      <c r="A4404" t="s">
        <v>4408</v>
      </c>
      <c r="B4404">
        <v>0.99996721820229495</v>
      </c>
      <c r="C4404">
        <v>1.0025070902316799</v>
      </c>
      <c r="D4404">
        <v>0.90079089685084801</v>
      </c>
      <c r="E4404">
        <v>0.67311785943570701</v>
      </c>
      <c r="F4404">
        <v>0.47458319798302701</v>
      </c>
      <c r="G4404">
        <v>0.26834706781718398</v>
      </c>
      <c r="H4404">
        <v>0.121931846136924</v>
      </c>
      <c r="I4404">
        <v>7.3346834346738402E-2</v>
      </c>
      <c r="J4404">
        <v>4.8470780666307903E-2</v>
      </c>
      <c r="K4404">
        <v>4.9357843127485097E-2</v>
      </c>
      <c r="L4404">
        <v>796.75916222540195</v>
      </c>
      <c r="M4404">
        <v>15.1691330758596</v>
      </c>
      <c r="N4404">
        <v>52.667559923268101</v>
      </c>
      <c r="O4404">
        <v>51.637559537103002</v>
      </c>
      <c r="P4404">
        <v>-7.1970309148693498E-2</v>
      </c>
      <c r="Q4404">
        <v>2.0112272255360299E-2</v>
      </c>
      <c r="R4404">
        <v>0.998584959001104</v>
      </c>
      <c r="S4404" t="s">
        <v>10230</v>
      </c>
      <c r="T4404" t="s">
        <v>11650</v>
      </c>
      <c r="U4404" t="s">
        <v>11650</v>
      </c>
      <c r="V4404" t="s">
        <v>11650</v>
      </c>
      <c r="W4404" t="s">
        <v>16000</v>
      </c>
      <c r="X4404">
        <v>4</v>
      </c>
      <c r="Y4404" t="s">
        <v>21673</v>
      </c>
      <c r="Z4404" t="s">
        <v>27466</v>
      </c>
      <c r="AA4404">
        <v>0.45035788825974699</v>
      </c>
      <c r="AB4404" t="str">
        <f>HYPERLINK("Melting_Curves/meltCurve_Q969G6_RFK.pdf", "Melting_Curves/meltCurve_Q969G6_RFK.pdf")</f>
        <v>Melting_Curves/meltCurve_Q969G6_RFK.pdf</v>
      </c>
    </row>
    <row r="4405" spans="1:28" x14ac:dyDescent="0.25">
      <c r="A4405" t="s">
        <v>4409</v>
      </c>
      <c r="B4405">
        <v>0.99996721820229495</v>
      </c>
      <c r="C4405">
        <v>1.0782902283173099</v>
      </c>
      <c r="D4405">
        <v>1.0135236121548199</v>
      </c>
      <c r="E4405">
        <v>0.98248787429548901</v>
      </c>
      <c r="F4405">
        <v>1.21738815351052</v>
      </c>
      <c r="G4405">
        <v>1.4346883404209101</v>
      </c>
      <c r="H4405">
        <v>0.89101141241496895</v>
      </c>
      <c r="I4405">
        <v>0.38770696557353701</v>
      </c>
      <c r="J4405">
        <v>0.13235989324934599</v>
      </c>
      <c r="K4405">
        <v>9.0267714519723902E-2</v>
      </c>
      <c r="L4405">
        <v>3792.05435771458</v>
      </c>
      <c r="M4405">
        <v>60.005256612521599</v>
      </c>
      <c r="N4405">
        <v>63.420224167921297</v>
      </c>
      <c r="O4405">
        <v>63.125294369891598</v>
      </c>
      <c r="P4405">
        <v>-0.214872631371607</v>
      </c>
      <c r="Q4405">
        <v>9.5819713079912106E-2</v>
      </c>
      <c r="R4405">
        <v>0.87111207361820697</v>
      </c>
      <c r="S4405" t="s">
        <v>10231</v>
      </c>
      <c r="T4405" t="s">
        <v>11650</v>
      </c>
      <c r="U4405" t="s">
        <v>11650</v>
      </c>
      <c r="V4405" t="s">
        <v>11650</v>
      </c>
      <c r="W4405" t="s">
        <v>16001</v>
      </c>
      <c r="X4405">
        <v>10</v>
      </c>
      <c r="Y4405" t="s">
        <v>21674</v>
      </c>
      <c r="Z4405" t="s">
        <v>27467</v>
      </c>
      <c r="AA4405">
        <v>0.7965415518633816</v>
      </c>
      <c r="AB4405" t="str">
        <f>HYPERLINK("Melting_Curves/meltCurve_Q969H8_C19orf10.pdf", "Melting_Curves/meltCurve_Q969H8_C19orf10.pdf")</f>
        <v>Melting_Curves/meltCurve_Q969H8_C19orf10.pdf</v>
      </c>
    </row>
    <row r="4406" spans="1:28" x14ac:dyDescent="0.25">
      <c r="A4406" t="s">
        <v>4410</v>
      </c>
      <c r="B4406">
        <v>0.99996721820229495</v>
      </c>
      <c r="C4406">
        <v>0.83100003857959204</v>
      </c>
      <c r="D4406">
        <v>0.76128926060420299</v>
      </c>
      <c r="E4406">
        <v>0.71982456996427602</v>
      </c>
      <c r="F4406">
        <v>0.40157671965712699</v>
      </c>
      <c r="G4406">
        <v>0.24608143194524601</v>
      </c>
      <c r="H4406">
        <v>0.15180675411146399</v>
      </c>
      <c r="I4406">
        <v>0.157666014135869</v>
      </c>
      <c r="J4406">
        <v>0.158125567455104</v>
      </c>
      <c r="K4406">
        <v>0.10931781587190301</v>
      </c>
      <c r="L4406">
        <v>595.34123637072196</v>
      </c>
      <c r="M4406">
        <v>11.6288402146251</v>
      </c>
      <c r="N4406">
        <v>51.815680548886696</v>
      </c>
      <c r="O4406">
        <v>49.751579274028302</v>
      </c>
      <c r="P4406">
        <v>-5.4651616708441597E-2</v>
      </c>
      <c r="Q4406">
        <v>6.4992192163007806E-2</v>
      </c>
      <c r="R4406">
        <v>0.97087806391519305</v>
      </c>
      <c r="S4406" t="s">
        <v>10232</v>
      </c>
      <c r="T4406" t="s">
        <v>11650</v>
      </c>
      <c r="U4406" t="s">
        <v>11650</v>
      </c>
      <c r="V4406" t="s">
        <v>11650</v>
      </c>
      <c r="W4406" t="s">
        <v>16002</v>
      </c>
      <c r="X4406">
        <v>4</v>
      </c>
      <c r="Y4406" t="s">
        <v>21675</v>
      </c>
      <c r="Z4406" t="s">
        <v>27468</v>
      </c>
      <c r="AA4406">
        <v>0.44538709750985139</v>
      </c>
      <c r="AB4406" t="str">
        <f>HYPERLINK("Melting_Curves/meltCurve_Q969K3_RNF34.pdf", "Melting_Curves/meltCurve_Q969K3_RNF34.pdf")</f>
        <v>Melting_Curves/meltCurve_Q969K3_RNF34.pdf</v>
      </c>
    </row>
    <row r="4407" spans="1:28" x14ac:dyDescent="0.25">
      <c r="A4407" t="s">
        <v>4411</v>
      </c>
      <c r="B4407">
        <v>0.99996721820229495</v>
      </c>
      <c r="C4407">
        <v>0.86936270127044302</v>
      </c>
      <c r="D4407">
        <v>0.94521570061875104</v>
      </c>
      <c r="E4407">
        <v>1.0961975596198399</v>
      </c>
      <c r="F4407">
        <v>1.4822514789930299</v>
      </c>
      <c r="G4407">
        <v>1.49234069075822</v>
      </c>
      <c r="H4407">
        <v>1.0901707381515799</v>
      </c>
      <c r="I4407">
        <v>0.77060038825660204</v>
      </c>
      <c r="J4407">
        <v>0.723080710389435</v>
      </c>
      <c r="K4407">
        <v>0.58310312784584495</v>
      </c>
      <c r="L4407">
        <v>15000</v>
      </c>
      <c r="M4407">
        <v>235.04374628011701</v>
      </c>
      <c r="O4407">
        <v>63.8132871606146</v>
      </c>
      <c r="P4407">
        <v>-0.31944762816429201</v>
      </c>
      <c r="Q4407">
        <v>0.65308580197411503</v>
      </c>
      <c r="R4407">
        <v>0.35944617801901202</v>
      </c>
      <c r="S4407" t="s">
        <v>10233</v>
      </c>
      <c r="T4407" t="s">
        <v>11650</v>
      </c>
      <c r="U4407" t="s">
        <v>11650</v>
      </c>
      <c r="V4407" t="s">
        <v>11650</v>
      </c>
      <c r="W4407" t="s">
        <v>16003</v>
      </c>
      <c r="X4407">
        <v>1</v>
      </c>
      <c r="Y4407" t="s">
        <v>21676</v>
      </c>
      <c r="Z4407" t="s">
        <v>27469</v>
      </c>
      <c r="AA4407">
        <v>0.92855543257209172</v>
      </c>
      <c r="AB4407" t="str">
        <f>HYPERLINK("Melting_Curves/meltCurve_Q969K7_3_TMEM54.pdf", "Melting_Curves/meltCurve_Q969K7_3_TMEM54.pdf")</f>
        <v>Melting_Curves/meltCurve_Q969K7_3_TMEM54.pdf</v>
      </c>
    </row>
    <row r="4408" spans="1:28" x14ac:dyDescent="0.25">
      <c r="A4408" t="s">
        <v>4412</v>
      </c>
      <c r="B4408">
        <v>0.99996721820229495</v>
      </c>
      <c r="C4408">
        <v>0.92036860719157898</v>
      </c>
      <c r="D4408">
        <v>1.1376550471628299</v>
      </c>
      <c r="E4408">
        <v>1.1315873713529201</v>
      </c>
      <c r="F4408">
        <v>1.4111006441654399</v>
      </c>
      <c r="G4408">
        <v>1.27398013419013</v>
      </c>
      <c r="H4408">
        <v>0.69693439483563602</v>
      </c>
      <c r="I4408">
        <v>0.39177906564821802</v>
      </c>
      <c r="J4408">
        <v>0.20771997886501101</v>
      </c>
      <c r="K4408">
        <v>0.191755712106394</v>
      </c>
      <c r="L4408">
        <v>3023.6389313783302</v>
      </c>
      <c r="M4408">
        <v>48.803441842530901</v>
      </c>
      <c r="N4408">
        <v>62.625620771841497</v>
      </c>
      <c r="O4408">
        <v>61.8516608373276</v>
      </c>
      <c r="P4408">
        <v>-0.15713525206099099</v>
      </c>
      <c r="Q4408">
        <v>0.20341101005628601</v>
      </c>
      <c r="R4408">
        <v>0.83047540657891605</v>
      </c>
      <c r="S4408" t="s">
        <v>10234</v>
      </c>
      <c r="T4408" t="s">
        <v>11650</v>
      </c>
      <c r="U4408" t="s">
        <v>11650</v>
      </c>
      <c r="V4408" t="s">
        <v>11650</v>
      </c>
      <c r="W4408" t="s">
        <v>16004</v>
      </c>
      <c r="X4408">
        <v>2</v>
      </c>
      <c r="Y4408" t="s">
        <v>21677</v>
      </c>
      <c r="Z4408" t="s">
        <v>27470</v>
      </c>
      <c r="AA4408">
        <v>0.78851354167732524</v>
      </c>
      <c r="AB4408" t="str">
        <f>HYPERLINK("Melting_Curves/meltCurve_Q969M3_YIPF5.pdf", "Melting_Curves/meltCurve_Q969M3_YIPF5.pdf")</f>
        <v>Melting_Curves/meltCurve_Q969M3_YIPF5.pdf</v>
      </c>
    </row>
    <row r="4409" spans="1:28" x14ac:dyDescent="0.25">
      <c r="A4409" t="s">
        <v>4413</v>
      </c>
      <c r="B4409">
        <v>0.99996721820229495</v>
      </c>
      <c r="C4409">
        <v>0.84254220186887796</v>
      </c>
      <c r="D4409">
        <v>0.96661945065176302</v>
      </c>
      <c r="E4409">
        <v>1.20901593532339</v>
      </c>
      <c r="F4409">
        <v>1.3346327472922199</v>
      </c>
      <c r="G4409">
        <v>1.33847344930687</v>
      </c>
      <c r="H4409">
        <v>0.73125143206624299</v>
      </c>
      <c r="I4409">
        <v>0.41009919725143901</v>
      </c>
      <c r="J4409">
        <v>0.30129064333537497</v>
      </c>
      <c r="K4409">
        <v>0.227513779932667</v>
      </c>
      <c r="L4409">
        <v>3379.60673108113</v>
      </c>
      <c r="M4409">
        <v>54.637248237863297</v>
      </c>
      <c r="N4409">
        <v>62.7504592207423</v>
      </c>
      <c r="O4409">
        <v>61.772664894191799</v>
      </c>
      <c r="P4409">
        <v>-0.16127484302186099</v>
      </c>
      <c r="Q4409">
        <v>0.27065355058410301</v>
      </c>
      <c r="R4409">
        <v>0.80026412087962995</v>
      </c>
      <c r="S4409" t="s">
        <v>10235</v>
      </c>
      <c r="T4409" t="s">
        <v>11650</v>
      </c>
      <c r="U4409" t="s">
        <v>11650</v>
      </c>
      <c r="V4409" t="s">
        <v>11650</v>
      </c>
      <c r="W4409" t="s">
        <v>16005</v>
      </c>
      <c r="X4409">
        <v>2</v>
      </c>
      <c r="Y4409" t="s">
        <v>21678</v>
      </c>
      <c r="Z4409" t="s">
        <v>27471</v>
      </c>
      <c r="AA4409">
        <v>0.80359245446400041</v>
      </c>
      <c r="AB4409" t="str">
        <f>HYPERLINK("Melting_Curves/meltCurve_Q969P0_3_IGSF8.pdf", "Melting_Curves/meltCurve_Q969P0_3_IGSF8.pdf")</f>
        <v>Melting_Curves/meltCurve_Q969P0_3_IGSF8.pdf</v>
      </c>
    </row>
    <row r="4410" spans="1:28" x14ac:dyDescent="0.25">
      <c r="A4410" t="s">
        <v>4414</v>
      </c>
      <c r="B4410">
        <v>0.99996721820229495</v>
      </c>
      <c r="C4410">
        <v>0.88880616804199197</v>
      </c>
      <c r="D4410">
        <v>0.91187002167480202</v>
      </c>
      <c r="E4410">
        <v>0.89392347112534598</v>
      </c>
      <c r="F4410">
        <v>1.13745791204181</v>
      </c>
      <c r="G4410">
        <v>0.91192340876726496</v>
      </c>
      <c r="H4410">
        <v>0.65774595587345996</v>
      </c>
      <c r="I4410">
        <v>0.35148183170328701</v>
      </c>
      <c r="J4410">
        <v>0.177161516372904</v>
      </c>
      <c r="K4410">
        <v>9.6275044007741201E-2</v>
      </c>
      <c r="L4410">
        <v>1770.4155773980699</v>
      </c>
      <c r="M4410">
        <v>28.475973845557402</v>
      </c>
      <c r="N4410">
        <v>62.4742641098007</v>
      </c>
      <c r="O4410">
        <v>61.8680654075918</v>
      </c>
      <c r="P4410">
        <v>-0.107669286708752</v>
      </c>
      <c r="Q4410">
        <v>6.4300717749943698E-2</v>
      </c>
      <c r="R4410">
        <v>0.95641249512247595</v>
      </c>
      <c r="S4410" t="s">
        <v>10236</v>
      </c>
      <c r="T4410" t="s">
        <v>11650</v>
      </c>
      <c r="U4410" t="s">
        <v>11650</v>
      </c>
      <c r="V4410" t="s">
        <v>11650</v>
      </c>
      <c r="W4410" t="s">
        <v>16006</v>
      </c>
      <c r="X4410">
        <v>13</v>
      </c>
      <c r="Y4410" t="s">
        <v>21679</v>
      </c>
      <c r="Z4410" t="s">
        <v>27472</v>
      </c>
      <c r="AA4410">
        <v>0.76003776880445695</v>
      </c>
      <c r="AB4410" t="str">
        <f>HYPERLINK("Melting_Curves/meltCurve_Q969Q5_RAB24.pdf", "Melting_Curves/meltCurve_Q969Q5_RAB24.pdf")</f>
        <v>Melting_Curves/meltCurve_Q969Q5_RAB24.pdf</v>
      </c>
    </row>
    <row r="4411" spans="1:28" x14ac:dyDescent="0.25">
      <c r="A4411" t="s">
        <v>4415</v>
      </c>
      <c r="B4411">
        <v>0.99996721820229495</v>
      </c>
      <c r="C4411">
        <v>0.67537913049793397</v>
      </c>
      <c r="D4411">
        <v>0.69760297523605497</v>
      </c>
      <c r="E4411">
        <v>0.70038212872326799</v>
      </c>
      <c r="F4411">
        <v>0.88461044507356801</v>
      </c>
      <c r="G4411">
        <v>1.1225590178567899</v>
      </c>
      <c r="H4411">
        <v>0.88164753777810201</v>
      </c>
      <c r="I4411">
        <v>1.1960123847450801</v>
      </c>
      <c r="J4411">
        <v>1.41008856491992</v>
      </c>
      <c r="K4411">
        <v>0.92609840732648396</v>
      </c>
      <c r="L4411">
        <v>15000</v>
      </c>
      <c r="M4411">
        <v>239.23460059886699</v>
      </c>
      <c r="O4411">
        <v>62.695586893284101</v>
      </c>
      <c r="P4411">
        <v>0.1695700608664</v>
      </c>
      <c r="Q4411">
        <v>1.1777551088357101</v>
      </c>
      <c r="R4411">
        <v>0.133362202079608</v>
      </c>
      <c r="S4411" t="s">
        <v>10237</v>
      </c>
      <c r="T4411" t="s">
        <v>11650</v>
      </c>
      <c r="U4411" t="s">
        <v>11650</v>
      </c>
      <c r="V4411" t="s">
        <v>11650</v>
      </c>
      <c r="W4411" t="s">
        <v>16007</v>
      </c>
      <c r="X4411">
        <v>8</v>
      </c>
      <c r="Y4411" t="s">
        <v>21680</v>
      </c>
      <c r="Z4411" t="s">
        <v>27473</v>
      </c>
      <c r="AA4411">
        <v>1.0432326172760811</v>
      </c>
      <c r="AB4411" t="str">
        <f>HYPERLINK("Melting_Curves/meltCurve_Q969S3_ZNF622.pdf", "Melting_Curves/meltCurve_Q969S3_ZNF622.pdf")</f>
        <v>Melting_Curves/meltCurve_Q969S3_ZNF622.pdf</v>
      </c>
    </row>
    <row r="4412" spans="1:28" x14ac:dyDescent="0.25">
      <c r="A4412" t="s">
        <v>4416</v>
      </c>
      <c r="B4412">
        <v>0.99996721820229495</v>
      </c>
      <c r="C4412">
        <v>0.79740695576498599</v>
      </c>
      <c r="D4412">
        <v>0.39446323461938698</v>
      </c>
      <c r="E4412">
        <v>0.215726599843971</v>
      </c>
      <c r="F4412">
        <v>0.28784413522241498</v>
      </c>
      <c r="G4412">
        <v>0.19690061753368299</v>
      </c>
      <c r="H4412">
        <v>0.13667616370921501</v>
      </c>
      <c r="I4412">
        <v>0.11452351572787201</v>
      </c>
      <c r="J4412">
        <v>9.6241067669637206E-2</v>
      </c>
      <c r="K4412">
        <v>8.7024194352280398E-2</v>
      </c>
      <c r="L4412">
        <v>1182.79508712237</v>
      </c>
      <c r="M4412">
        <v>26.465445627158999</v>
      </c>
      <c r="N4412">
        <v>45.303464872347099</v>
      </c>
      <c r="O4412">
        <v>44.439225376158497</v>
      </c>
      <c r="P4412">
        <v>-0.12652805197224201</v>
      </c>
      <c r="Q4412">
        <v>0.15017515176895599</v>
      </c>
      <c r="R4412">
        <v>0.96859056834643398</v>
      </c>
      <c r="S4412" t="s">
        <v>10238</v>
      </c>
      <c r="T4412" t="s">
        <v>11650</v>
      </c>
      <c r="U4412" t="s">
        <v>11650</v>
      </c>
      <c r="V4412" t="s">
        <v>11650</v>
      </c>
      <c r="W4412" t="s">
        <v>16008</v>
      </c>
      <c r="X4412">
        <v>6</v>
      </c>
      <c r="Y4412" t="s">
        <v>21681</v>
      </c>
      <c r="Z4412" t="s">
        <v>27474</v>
      </c>
      <c r="AA4412">
        <v>0.29072592684415732</v>
      </c>
      <c r="AB4412" t="str">
        <f>HYPERLINK("Melting_Curves/meltCurve_Q969S9_3_GFM2.pdf", "Melting_Curves/meltCurve_Q969S9_3_GFM2.pdf")</f>
        <v>Melting_Curves/meltCurve_Q969S9_3_GFM2.pdf</v>
      </c>
    </row>
    <row r="4413" spans="1:28" x14ac:dyDescent="0.25">
      <c r="A4413" t="s">
        <v>4417</v>
      </c>
      <c r="B4413">
        <v>0.99996721820229495</v>
      </c>
      <c r="C4413">
        <v>1.00105384382012</v>
      </c>
      <c r="D4413">
        <v>0.97010058869341798</v>
      </c>
      <c r="E4413">
        <v>0.69477853545613699</v>
      </c>
      <c r="F4413">
        <v>0.42740412799704097</v>
      </c>
      <c r="G4413">
        <v>0.31137113655319498</v>
      </c>
      <c r="H4413">
        <v>0.168853892378275</v>
      </c>
      <c r="I4413">
        <v>8.7450255018075601E-2</v>
      </c>
      <c r="J4413">
        <v>4.7777005503736002E-2</v>
      </c>
      <c r="K4413">
        <v>3.5692744249627803E-2</v>
      </c>
      <c r="L4413">
        <v>834.77926118391804</v>
      </c>
      <c r="M4413">
        <v>15.8780388063178</v>
      </c>
      <c r="N4413">
        <v>52.839581832419498</v>
      </c>
      <c r="O4413">
        <v>51.761719468313899</v>
      </c>
      <c r="P4413">
        <v>-7.3757615021783296E-2</v>
      </c>
      <c r="Q4413">
        <v>3.8291201218677802E-2</v>
      </c>
      <c r="R4413">
        <v>0.99100587081372804</v>
      </c>
      <c r="S4413" t="s">
        <v>10239</v>
      </c>
      <c r="T4413" t="s">
        <v>11650</v>
      </c>
      <c r="U4413" t="s">
        <v>11650</v>
      </c>
      <c r="V4413" t="s">
        <v>11650</v>
      </c>
      <c r="W4413" t="s">
        <v>16009</v>
      </c>
      <c r="X4413">
        <v>10</v>
      </c>
      <c r="Y4413" t="s">
        <v>21682</v>
      </c>
      <c r="Z4413" t="s">
        <v>27475</v>
      </c>
      <c r="AA4413">
        <v>0.46073914941214489</v>
      </c>
      <c r="AB4413" t="str">
        <f>HYPERLINK("Melting_Curves/meltCurve_Q969T7_2_NT5C3B.pdf", "Melting_Curves/meltCurve_Q969T7_2_NT5C3B.pdf")</f>
        <v>Melting_Curves/meltCurve_Q969T7_2_NT5C3B.pdf</v>
      </c>
    </row>
    <row r="4414" spans="1:28" x14ac:dyDescent="0.25">
      <c r="A4414" t="s">
        <v>4418</v>
      </c>
      <c r="B4414">
        <v>0.99996721820229495</v>
      </c>
      <c r="C4414">
        <v>0.91831704035077899</v>
      </c>
      <c r="D4414">
        <v>1.06773313546019</v>
      </c>
      <c r="E4414">
        <v>1.1526213537513701</v>
      </c>
      <c r="F4414">
        <v>0.47218396775485599</v>
      </c>
      <c r="G4414">
        <v>0.35953461927400998</v>
      </c>
      <c r="H4414">
        <v>0.221850861112565</v>
      </c>
      <c r="I4414">
        <v>0.152791603235201</v>
      </c>
      <c r="J4414">
        <v>9.7283886255468105E-2</v>
      </c>
      <c r="K4414">
        <v>9.1531371254093996E-2</v>
      </c>
      <c r="L4414">
        <v>13217.8170653736</v>
      </c>
      <c r="M4414">
        <v>250</v>
      </c>
      <c r="N4414">
        <v>52.9688926945174</v>
      </c>
      <c r="O4414">
        <v>52.867899033542997</v>
      </c>
      <c r="P4414">
        <v>-0.96396136254126197</v>
      </c>
      <c r="Q4414">
        <v>0.184598426989562</v>
      </c>
      <c r="R4414">
        <v>0.95045308832930497</v>
      </c>
      <c r="S4414" t="s">
        <v>10240</v>
      </c>
      <c r="T4414" t="s">
        <v>11650</v>
      </c>
      <c r="U4414" t="s">
        <v>11650</v>
      </c>
      <c r="V4414" t="s">
        <v>11650</v>
      </c>
      <c r="W4414" t="s">
        <v>16010</v>
      </c>
      <c r="X4414">
        <v>14</v>
      </c>
      <c r="Y4414" t="s">
        <v>21683</v>
      </c>
      <c r="Z4414" t="s">
        <v>27476</v>
      </c>
      <c r="AA4414">
        <v>0.53451583291236027</v>
      </c>
      <c r="AB4414" t="str">
        <f>HYPERLINK("Melting_Curves/meltCurve_Q969V3_2_NCLN.pdf", "Melting_Curves/meltCurve_Q969V3_2_NCLN.pdf")</f>
        <v>Melting_Curves/meltCurve_Q969V3_2_NCLN.pdf</v>
      </c>
    </row>
    <row r="4415" spans="1:28" x14ac:dyDescent="0.25">
      <c r="A4415" t="s">
        <v>4419</v>
      </c>
      <c r="B4415">
        <v>0.99996721820229495</v>
      </c>
      <c r="C4415">
        <v>0.88550001827189195</v>
      </c>
      <c r="D4415">
        <v>1.1005649837097899</v>
      </c>
      <c r="E4415">
        <v>1.1501604962767999</v>
      </c>
      <c r="F4415">
        <v>1.2201744148039899</v>
      </c>
      <c r="G4415">
        <v>0.96456409885738403</v>
      </c>
      <c r="H4415">
        <v>0.27438495890672998</v>
      </c>
      <c r="I4415">
        <v>0.134404264179872</v>
      </c>
      <c r="J4415">
        <v>9.3827738988214796E-2</v>
      </c>
      <c r="K4415">
        <v>7.0482072285226197E-2</v>
      </c>
      <c r="L4415">
        <v>3909.4618158793201</v>
      </c>
      <c r="M4415">
        <v>65.463279608967895</v>
      </c>
      <c r="N4415">
        <v>59.912007235375</v>
      </c>
      <c r="O4415">
        <v>59.6642644266297</v>
      </c>
      <c r="P4415">
        <v>-0.24833309513330501</v>
      </c>
      <c r="Q4415">
        <v>9.46614819267943E-2</v>
      </c>
      <c r="R4415">
        <v>0.95421515760131503</v>
      </c>
      <c r="S4415" t="s">
        <v>10241</v>
      </c>
      <c r="T4415" t="s">
        <v>11650</v>
      </c>
      <c r="U4415" t="s">
        <v>11650</v>
      </c>
      <c r="V4415" t="s">
        <v>11650</v>
      </c>
      <c r="W4415" t="s">
        <v>16011</v>
      </c>
      <c r="X4415">
        <v>11</v>
      </c>
      <c r="Y4415" t="s">
        <v>21684</v>
      </c>
      <c r="Z4415" t="s">
        <v>27477</v>
      </c>
      <c r="AA4415">
        <v>0.6911536634148171</v>
      </c>
      <c r="AB4415" t="str">
        <f>HYPERLINK("Melting_Curves/meltCurve_Q969X5_2_ERGIC1.pdf", "Melting_Curves/meltCurve_Q969X5_2_ERGIC1.pdf")</f>
        <v>Melting_Curves/meltCurve_Q969X5_2_ERGIC1.pdf</v>
      </c>
    </row>
    <row r="4416" spans="1:28" x14ac:dyDescent="0.25">
      <c r="A4416" t="s">
        <v>4420</v>
      </c>
      <c r="B4416">
        <v>0.99996721820229495</v>
      </c>
      <c r="C4416">
        <v>0.97143606793461301</v>
      </c>
      <c r="D4416">
        <v>0.96042717931131505</v>
      </c>
      <c r="E4416">
        <v>0.86807697592842803</v>
      </c>
      <c r="F4416">
        <v>0.67506044410326604</v>
      </c>
      <c r="G4416">
        <v>0.56390551007522105</v>
      </c>
      <c r="H4416">
        <v>0.29922268394420698</v>
      </c>
      <c r="I4416">
        <v>0.184486652549402</v>
      </c>
      <c r="J4416">
        <v>6.3468622929437002E-2</v>
      </c>
      <c r="K4416">
        <v>4.9870824104377903E-2</v>
      </c>
      <c r="L4416">
        <v>773.17024596154795</v>
      </c>
      <c r="M4416">
        <v>13.573939679168101</v>
      </c>
      <c r="N4416">
        <v>56.959879400842198</v>
      </c>
      <c r="O4416">
        <v>55.766309988642497</v>
      </c>
      <c r="P4416">
        <v>-6.0860988822420199E-2</v>
      </c>
      <c r="Q4416">
        <v>0</v>
      </c>
      <c r="R4416">
        <v>0.99142315142723103</v>
      </c>
      <c r="S4416" t="s">
        <v>10242</v>
      </c>
      <c r="T4416" t="s">
        <v>11650</v>
      </c>
      <c r="U4416" t="s">
        <v>11650</v>
      </c>
      <c r="V4416" t="s">
        <v>11650</v>
      </c>
      <c r="W4416" t="s">
        <v>16012</v>
      </c>
      <c r="X4416">
        <v>1</v>
      </c>
      <c r="Y4416" t="s">
        <v>21685</v>
      </c>
      <c r="Z4416" t="s">
        <v>27478</v>
      </c>
      <c r="AA4416">
        <v>0.58198096035428037</v>
      </c>
      <c r="AB4416" t="str">
        <f>HYPERLINK("Melting_Curves/meltCurve_Q969Y2_3_GTPBP3.pdf", "Melting_Curves/meltCurve_Q969Y2_3_GTPBP3.pdf")</f>
        <v>Melting_Curves/meltCurve_Q969Y2_3_GTPBP3.pdf</v>
      </c>
    </row>
    <row r="4417" spans="1:28" x14ac:dyDescent="0.25">
      <c r="A4417" t="s">
        <v>4421</v>
      </c>
      <c r="B4417">
        <v>0.99996721820229495</v>
      </c>
      <c r="C4417">
        <v>0.90656812809377396</v>
      </c>
      <c r="D4417">
        <v>0.42409840164055301</v>
      </c>
      <c r="E4417">
        <v>0.19875292671008499</v>
      </c>
      <c r="F4417">
        <v>0.229832632604972</v>
      </c>
      <c r="G4417">
        <v>0.17278190898853901</v>
      </c>
      <c r="H4417">
        <v>0.119813649110034</v>
      </c>
      <c r="I4417">
        <v>7.4313516169281002E-2</v>
      </c>
      <c r="J4417">
        <v>5.2296348852717098E-2</v>
      </c>
      <c r="K4417">
        <v>4.75293657533414E-2</v>
      </c>
      <c r="L4417">
        <v>1492.4790258727501</v>
      </c>
      <c r="M4417">
        <v>32.954106349969798</v>
      </c>
      <c r="N4417">
        <v>45.666893844156299</v>
      </c>
      <c r="O4417">
        <v>45.123826397374003</v>
      </c>
      <c r="P4417">
        <v>-0.16081974466246199</v>
      </c>
      <c r="Q4417">
        <v>0.11916664001223801</v>
      </c>
      <c r="R4417">
        <v>0.97437473929327001</v>
      </c>
      <c r="S4417" t="s">
        <v>10243</v>
      </c>
      <c r="T4417" t="s">
        <v>11650</v>
      </c>
      <c r="U4417" t="s">
        <v>11650</v>
      </c>
      <c r="V4417" t="s">
        <v>11650</v>
      </c>
      <c r="W4417" t="s">
        <v>16013</v>
      </c>
      <c r="X4417">
        <v>8</v>
      </c>
      <c r="Y4417" t="s">
        <v>21686</v>
      </c>
      <c r="Z4417" t="s">
        <v>27479</v>
      </c>
      <c r="AA4417">
        <v>0.27893662354701237</v>
      </c>
      <c r="AB4417" t="str">
        <f>HYPERLINK("Melting_Curves/meltCurve_Q969Z0_TBRG4.pdf", "Melting_Curves/meltCurve_Q969Z0_TBRG4.pdf")</f>
        <v>Melting_Curves/meltCurve_Q969Z0_TBRG4.pdf</v>
      </c>
    </row>
    <row r="4418" spans="1:28" x14ac:dyDescent="0.25">
      <c r="A4418" t="s">
        <v>4422</v>
      </c>
      <c r="B4418">
        <v>0.99996721820229495</v>
      </c>
      <c r="C4418">
        <v>0.75547075050860002</v>
      </c>
      <c r="D4418">
        <v>0.90769336426658198</v>
      </c>
      <c r="E4418">
        <v>0.96959675742450602</v>
      </c>
      <c r="F4418">
        <v>0.93398865450373902</v>
      </c>
      <c r="G4418">
        <v>0.60501592637165202</v>
      </c>
      <c r="H4418">
        <v>0.27540235373000199</v>
      </c>
      <c r="I4418">
        <v>0.10618957262718901</v>
      </c>
      <c r="J4418">
        <v>7.3840151914676105E-2</v>
      </c>
      <c r="K4418">
        <v>5.70211437479849E-2</v>
      </c>
      <c r="L4418">
        <v>1417.59747693143</v>
      </c>
      <c r="M4418">
        <v>24.452122762240801</v>
      </c>
      <c r="N4418">
        <v>58.159476157551502</v>
      </c>
      <c r="O4418">
        <v>57.590834043602896</v>
      </c>
      <c r="P4418">
        <v>-0.10217445216148301</v>
      </c>
      <c r="Q4418">
        <v>3.7429093244491597E-2</v>
      </c>
      <c r="R4418">
        <v>0.95174009842844198</v>
      </c>
      <c r="S4418" t="s">
        <v>10244</v>
      </c>
      <c r="T4418" t="s">
        <v>11650</v>
      </c>
      <c r="U4418" t="s">
        <v>11650</v>
      </c>
      <c r="V4418" t="s">
        <v>11650</v>
      </c>
      <c r="W4418" t="s">
        <v>16014</v>
      </c>
      <c r="X4418">
        <v>3</v>
      </c>
      <c r="Y4418" t="s">
        <v>21687</v>
      </c>
      <c r="Z4418" t="s">
        <v>27480</v>
      </c>
      <c r="AA4418">
        <v>0.62279278276070893</v>
      </c>
      <c r="AB4418" t="str">
        <f>HYPERLINK("Melting_Curves/meltCurve_Q969Z3_MARC2.pdf", "Melting_Curves/meltCurve_Q969Z3_MARC2.pdf")</f>
        <v>Melting_Curves/meltCurve_Q969Z3_MARC2.pdf</v>
      </c>
    </row>
    <row r="4419" spans="1:28" x14ac:dyDescent="0.25">
      <c r="A4419" t="s">
        <v>4423</v>
      </c>
      <c r="B4419">
        <v>0.99996721820229495</v>
      </c>
      <c r="C4419">
        <v>1.00476923860949</v>
      </c>
      <c r="D4419">
        <v>0.92156484862005505</v>
      </c>
      <c r="E4419">
        <v>0.91661373789691802</v>
      </c>
      <c r="F4419">
        <v>1.1382802863052099</v>
      </c>
      <c r="G4419">
        <v>0.994636440805306</v>
      </c>
      <c r="H4419">
        <v>0.47460012143390101</v>
      </c>
      <c r="I4419">
        <v>0.28676081390397201</v>
      </c>
      <c r="J4419">
        <v>0.22214621910252599</v>
      </c>
      <c r="K4419">
        <v>0.18776346783100301</v>
      </c>
      <c r="L4419">
        <v>3457.6579878152502</v>
      </c>
      <c r="M4419">
        <v>57.3527328810912</v>
      </c>
      <c r="N4419">
        <v>60.9033996813532</v>
      </c>
      <c r="O4419">
        <v>60.214424683153801</v>
      </c>
      <c r="P4419">
        <v>-0.185726442320613</v>
      </c>
      <c r="Q4419">
        <v>0.22002633366421101</v>
      </c>
      <c r="R4419">
        <v>0.971965244399977</v>
      </c>
      <c r="S4419" t="s">
        <v>10245</v>
      </c>
      <c r="T4419" t="s">
        <v>11650</v>
      </c>
      <c r="U4419" t="s">
        <v>11650</v>
      </c>
      <c r="V4419" t="s">
        <v>11650</v>
      </c>
      <c r="W4419" t="s">
        <v>16015</v>
      </c>
      <c r="X4419">
        <v>6</v>
      </c>
      <c r="Y4419" t="s">
        <v>21688</v>
      </c>
      <c r="Z4419" t="s">
        <v>27481</v>
      </c>
      <c r="AA4419">
        <v>0.7490467168473085</v>
      </c>
      <c r="AB4419" t="str">
        <f>HYPERLINK("Melting_Curves/meltCurve_Q96A00_PPP1R14A.pdf", "Melting_Curves/meltCurve_Q96A00_PPP1R14A.pdf")</f>
        <v>Melting_Curves/meltCurve_Q96A00_PPP1R14A.pdf</v>
      </c>
    </row>
    <row r="4420" spans="1:28" x14ac:dyDescent="0.25">
      <c r="A4420" t="s">
        <v>4424</v>
      </c>
      <c r="B4420">
        <v>0.99996721820229495</v>
      </c>
      <c r="C4420">
        <v>1.0201335177381301</v>
      </c>
      <c r="D4420">
        <v>1.0725848996064899</v>
      </c>
      <c r="E4420">
        <v>1.70348642432623</v>
      </c>
      <c r="F4420">
        <v>1.5390612335206899</v>
      </c>
      <c r="G4420">
        <v>1.15622510480678</v>
      </c>
      <c r="H4420">
        <v>0.77017251858340996</v>
      </c>
      <c r="I4420">
        <v>0.50852137802909603</v>
      </c>
      <c r="J4420">
        <v>0.46944751150082897</v>
      </c>
      <c r="K4420">
        <v>0.366602794086411</v>
      </c>
      <c r="L4420">
        <v>3413.6612112708099</v>
      </c>
      <c r="M4420">
        <v>55.402992015142203</v>
      </c>
      <c r="N4420">
        <v>63.742799970225597</v>
      </c>
      <c r="O4420">
        <v>61.5350065664122</v>
      </c>
      <c r="P4420">
        <v>-0.130252153530518</v>
      </c>
      <c r="Q4420">
        <v>0.42132656401053897</v>
      </c>
      <c r="R4420">
        <v>0.53668989193257999</v>
      </c>
      <c r="S4420" t="s">
        <v>10246</v>
      </c>
      <c r="T4420" t="s">
        <v>11650</v>
      </c>
      <c r="U4420" t="s">
        <v>11650</v>
      </c>
      <c r="V4420" t="s">
        <v>11650</v>
      </c>
      <c r="W4420" t="s">
        <v>16016</v>
      </c>
      <c r="X4420">
        <v>7</v>
      </c>
      <c r="Y4420" t="s">
        <v>21689</v>
      </c>
      <c r="Z4420" t="s">
        <v>27482</v>
      </c>
      <c r="AA4420">
        <v>0.83950455379565436</v>
      </c>
      <c r="AB4420" t="str">
        <f>HYPERLINK("Melting_Curves/meltCurve_Q96A19_CCDC102A.pdf", "Melting_Curves/meltCurve_Q96A19_CCDC102A.pdf")</f>
        <v>Melting_Curves/meltCurve_Q96A19_CCDC102A.pdf</v>
      </c>
    </row>
    <row r="4421" spans="1:28" x14ac:dyDescent="0.25">
      <c r="A4421" t="s">
        <v>4425</v>
      </c>
      <c r="B4421">
        <v>0.99996721820229495</v>
      </c>
      <c r="C4421">
        <v>0.728021599336656</v>
      </c>
      <c r="D4421">
        <v>0.77890194038763505</v>
      </c>
      <c r="E4421">
        <v>1.1106992471569099</v>
      </c>
      <c r="F4421">
        <v>1.4179323746653201</v>
      </c>
      <c r="G4421">
        <v>1.33274672004984</v>
      </c>
      <c r="H4421">
        <v>1.0669831645005301</v>
      </c>
      <c r="I4421">
        <v>0.71274150318526097</v>
      </c>
      <c r="J4421">
        <v>0.20867637512638901</v>
      </c>
      <c r="K4421">
        <v>0.22498257665385499</v>
      </c>
      <c r="L4421">
        <v>15000</v>
      </c>
      <c r="M4421">
        <v>233.82894719406701</v>
      </c>
      <c r="N4421">
        <v>64.305797019879293</v>
      </c>
      <c r="O4421">
        <v>64.144764589523902</v>
      </c>
      <c r="P4421">
        <v>-0.71374579294329399</v>
      </c>
      <c r="Q4421">
        <v>0.21681115541353699</v>
      </c>
      <c r="R4421">
        <v>0.72271979302126299</v>
      </c>
      <c r="S4421" t="s">
        <v>10247</v>
      </c>
      <c r="T4421" t="s">
        <v>11650</v>
      </c>
      <c r="U4421" t="s">
        <v>11650</v>
      </c>
      <c r="V4421" t="s">
        <v>11650</v>
      </c>
      <c r="W4421" t="s">
        <v>16017</v>
      </c>
      <c r="X4421">
        <v>2</v>
      </c>
      <c r="Y4421" t="s">
        <v>21690</v>
      </c>
      <c r="Z4421" t="s">
        <v>27483</v>
      </c>
      <c r="AA4421">
        <v>0.84736479320453351</v>
      </c>
      <c r="AB4421" t="str">
        <f>HYPERLINK("Melting_Curves/meltCurve_Q96A29_2_SLC35C1.pdf", "Melting_Curves/meltCurve_Q96A29_2_SLC35C1.pdf")</f>
        <v>Melting_Curves/meltCurve_Q96A29_2_SLC35C1.pdf</v>
      </c>
    </row>
    <row r="4422" spans="1:28" x14ac:dyDescent="0.25">
      <c r="A4422" t="s">
        <v>4426</v>
      </c>
      <c r="B4422">
        <v>0.99996721820229495</v>
      </c>
      <c r="C4422">
        <v>0.80984824617944895</v>
      </c>
      <c r="D4422">
        <v>1.0326158245163399</v>
      </c>
      <c r="E4422">
        <v>1.1243266530358</v>
      </c>
      <c r="F4422">
        <v>0.70971615154865697</v>
      </c>
      <c r="G4422">
        <v>0.40525734835592597</v>
      </c>
      <c r="H4422">
        <v>0.23774545213920201</v>
      </c>
      <c r="I4422">
        <v>0.15374179491913301</v>
      </c>
      <c r="J4422">
        <v>0.105469828138158</v>
      </c>
      <c r="K4422">
        <v>0.103266524944993</v>
      </c>
      <c r="L4422">
        <v>1476.7642280057401</v>
      </c>
      <c r="M4422">
        <v>26.708800342637002</v>
      </c>
      <c r="N4422">
        <v>55.884711484706799</v>
      </c>
      <c r="O4422">
        <v>54.984131069779501</v>
      </c>
      <c r="P4422">
        <v>-0.106445934548412</v>
      </c>
      <c r="Q4422">
        <v>0.123468427054663</v>
      </c>
      <c r="R4422">
        <v>0.94926432418509199</v>
      </c>
      <c r="S4422" t="s">
        <v>10248</v>
      </c>
      <c r="T4422" t="s">
        <v>11650</v>
      </c>
      <c r="U4422" t="s">
        <v>11650</v>
      </c>
      <c r="V4422" t="s">
        <v>11650</v>
      </c>
      <c r="W4422" t="s">
        <v>16018</v>
      </c>
      <c r="X4422">
        <v>14</v>
      </c>
      <c r="Y4422" t="s">
        <v>21691</v>
      </c>
      <c r="Z4422" t="s">
        <v>27484</v>
      </c>
      <c r="AA4422">
        <v>0.57745481501147411</v>
      </c>
      <c r="AB4422" t="str">
        <f>HYPERLINK("Melting_Curves/meltCurve_Q96A33_CCDC47.pdf", "Melting_Curves/meltCurve_Q96A33_CCDC47.pdf")</f>
        <v>Melting_Curves/meltCurve_Q96A33_CCDC47.pdf</v>
      </c>
    </row>
    <row r="4423" spans="1:28" x14ac:dyDescent="0.25">
      <c r="A4423" t="s">
        <v>4427</v>
      </c>
      <c r="B4423">
        <v>0.99996721820229495</v>
      </c>
      <c r="C4423">
        <v>1.12144718518872</v>
      </c>
      <c r="D4423">
        <v>1.0284269743022501</v>
      </c>
      <c r="E4423">
        <v>1.0441521335115</v>
      </c>
      <c r="F4423">
        <v>0.97883347200178294</v>
      </c>
      <c r="G4423">
        <v>0.72942286276521895</v>
      </c>
      <c r="H4423">
        <v>0.36737510663912298</v>
      </c>
      <c r="I4423">
        <v>0.21754300291019399</v>
      </c>
      <c r="J4423">
        <v>0.18307184387075101</v>
      </c>
      <c r="K4423">
        <v>0.13264635913106099</v>
      </c>
      <c r="L4423">
        <v>1661.8582500454199</v>
      </c>
      <c r="M4423">
        <v>28.312545056784501</v>
      </c>
      <c r="N4423">
        <v>59.3981364343501</v>
      </c>
      <c r="O4423">
        <v>58.406396823729501</v>
      </c>
      <c r="P4423">
        <v>-0.103972051279952</v>
      </c>
      <c r="Q4423">
        <v>0.142064621523524</v>
      </c>
      <c r="R4423">
        <v>0.98719845120476202</v>
      </c>
      <c r="S4423" t="s">
        <v>10249</v>
      </c>
      <c r="T4423" t="s">
        <v>11650</v>
      </c>
      <c r="U4423" t="s">
        <v>11650</v>
      </c>
      <c r="V4423" t="s">
        <v>11650</v>
      </c>
      <c r="W4423" t="s">
        <v>16019</v>
      </c>
      <c r="X4423">
        <v>17</v>
      </c>
      <c r="Y4423" t="s">
        <v>21692</v>
      </c>
      <c r="Z4423" t="s">
        <v>27485</v>
      </c>
      <c r="AA4423">
        <v>0.68281633998756008</v>
      </c>
      <c r="AB4423" t="str">
        <f>HYPERLINK("Melting_Curves/meltCurve_Q96A49_SYAP1.pdf", "Melting_Curves/meltCurve_Q96A49_SYAP1.pdf")</f>
        <v>Melting_Curves/meltCurve_Q96A49_SYAP1.pdf</v>
      </c>
    </row>
    <row r="4424" spans="1:28" x14ac:dyDescent="0.25">
      <c r="A4424" t="s">
        <v>4428</v>
      </c>
      <c r="B4424">
        <v>0.99996721820229495</v>
      </c>
      <c r="C4424">
        <v>0.99042646390745703</v>
      </c>
      <c r="D4424">
        <v>0.92700608717306399</v>
      </c>
      <c r="E4424">
        <v>0.76705804567832603</v>
      </c>
      <c r="F4424">
        <v>0.47268343960370302</v>
      </c>
      <c r="G4424">
        <v>0.340844262760927</v>
      </c>
      <c r="H4424">
        <v>0.24946345141724499</v>
      </c>
      <c r="I4424">
        <v>0.14670430957469199</v>
      </c>
      <c r="J4424">
        <v>0.125822519628464</v>
      </c>
      <c r="K4424">
        <v>0.10451354674057101</v>
      </c>
      <c r="L4424">
        <v>827.11386267136902</v>
      </c>
      <c r="M4424">
        <v>15.6837382075246</v>
      </c>
      <c r="N4424">
        <v>53.5461113546137</v>
      </c>
      <c r="O4424">
        <v>51.901992826235301</v>
      </c>
      <c r="P4424">
        <v>-6.7581001085662701E-2</v>
      </c>
      <c r="Q4424">
        <v>0.105496140034936</v>
      </c>
      <c r="R4424">
        <v>0.99289305816245299</v>
      </c>
      <c r="S4424" t="s">
        <v>10250</v>
      </c>
      <c r="T4424" t="s">
        <v>11650</v>
      </c>
      <c r="U4424" t="s">
        <v>11650</v>
      </c>
      <c r="V4424" t="s">
        <v>11650</v>
      </c>
      <c r="W4424" t="s">
        <v>16020</v>
      </c>
      <c r="X4424">
        <v>14</v>
      </c>
      <c r="Y4424" t="s">
        <v>21693</v>
      </c>
      <c r="Z4424" t="s">
        <v>27486</v>
      </c>
      <c r="AA4424">
        <v>0.50350930151979545</v>
      </c>
      <c r="AB4424" t="str">
        <f>HYPERLINK("Melting_Curves/meltCurve_Q96A65_EXOC4.pdf", "Melting_Curves/meltCurve_Q96A65_EXOC4.pdf")</f>
        <v>Melting_Curves/meltCurve_Q96A65_EXOC4.pdf</v>
      </c>
    </row>
    <row r="4425" spans="1:28" x14ac:dyDescent="0.25">
      <c r="A4425" t="s">
        <v>4429</v>
      </c>
      <c r="B4425">
        <v>0.99996721820229495</v>
      </c>
      <c r="C4425">
        <v>1.06490511170098</v>
      </c>
      <c r="D4425">
        <v>0.93406521285274302</v>
      </c>
      <c r="E4425">
        <v>0.83438432713885302</v>
      </c>
      <c r="F4425">
        <v>0.939978015792859</v>
      </c>
      <c r="G4425">
        <v>0.95836534399625495</v>
      </c>
      <c r="H4425">
        <v>0.623157874467833</v>
      </c>
      <c r="I4425">
        <v>0.39912281312936099</v>
      </c>
      <c r="J4425">
        <v>0.36176028194597698</v>
      </c>
      <c r="K4425">
        <v>0.22554170836906501</v>
      </c>
      <c r="L4425">
        <v>1748.25911842805</v>
      </c>
      <c r="M4425">
        <v>28.575677941220601</v>
      </c>
      <c r="N4425">
        <v>62.662589010450802</v>
      </c>
      <c r="O4425">
        <v>60.882701227365303</v>
      </c>
      <c r="P4425">
        <v>-8.8509104457393697E-2</v>
      </c>
      <c r="Q4425">
        <v>0.245703877867709</v>
      </c>
      <c r="R4425">
        <v>0.94644797050881402</v>
      </c>
      <c r="S4425" t="s">
        <v>10251</v>
      </c>
      <c r="T4425" t="s">
        <v>11650</v>
      </c>
      <c r="U4425" t="s">
        <v>11650</v>
      </c>
      <c r="V4425" t="s">
        <v>11650</v>
      </c>
      <c r="W4425" t="s">
        <v>16021</v>
      </c>
      <c r="X4425">
        <v>10</v>
      </c>
      <c r="Y4425" t="s">
        <v>21694</v>
      </c>
      <c r="Z4425" t="s">
        <v>27487</v>
      </c>
      <c r="AA4425">
        <v>0.78246892123397749</v>
      </c>
      <c r="AB4425" t="str">
        <f>HYPERLINK("Melting_Curves/meltCurve_Q96A73_KIAA1191.pdf", "Melting_Curves/meltCurve_Q96A73_KIAA1191.pdf")</f>
        <v>Melting_Curves/meltCurve_Q96A73_KIAA1191.pdf</v>
      </c>
    </row>
    <row r="4426" spans="1:28" x14ac:dyDescent="0.25">
      <c r="A4426" t="s">
        <v>4430</v>
      </c>
      <c r="B4426">
        <v>0.99996721820229495</v>
      </c>
      <c r="C4426">
        <v>0.77010536226228399</v>
      </c>
      <c r="D4426">
        <v>0.93986487222338599</v>
      </c>
      <c r="E4426">
        <v>0.96857750000865095</v>
      </c>
      <c r="F4426">
        <v>1.07085104288809</v>
      </c>
      <c r="G4426">
        <v>0.92605927950790901</v>
      </c>
      <c r="H4426">
        <v>0.71363174530229101</v>
      </c>
      <c r="I4426">
        <v>0.59697876511669801</v>
      </c>
      <c r="J4426">
        <v>0.40092415097732798</v>
      </c>
      <c r="K4426">
        <v>0.381442713790482</v>
      </c>
      <c r="L4426">
        <v>1467.93774825678</v>
      </c>
      <c r="M4426">
        <v>23.593411587629401</v>
      </c>
      <c r="N4426">
        <v>65.136095209734805</v>
      </c>
      <c r="O4426">
        <v>61.776312981596803</v>
      </c>
      <c r="P4426">
        <v>-6.4331117614241706E-2</v>
      </c>
      <c r="Q4426">
        <v>0.32624038095761698</v>
      </c>
      <c r="R4426">
        <v>0.87864644228411704</v>
      </c>
      <c r="S4426" t="s">
        <v>10252</v>
      </c>
      <c r="T4426" t="s">
        <v>11650</v>
      </c>
      <c r="U4426" t="s">
        <v>11650</v>
      </c>
      <c r="V4426" t="s">
        <v>11650</v>
      </c>
      <c r="W4426" t="s">
        <v>16022</v>
      </c>
      <c r="X4426">
        <v>10</v>
      </c>
      <c r="Y4426" t="s">
        <v>21694</v>
      </c>
      <c r="Z4426" t="s">
        <v>27488</v>
      </c>
      <c r="AA4426">
        <v>0.82784968175643381</v>
      </c>
      <c r="AB4426" t="str">
        <f>HYPERLINK("Melting_Curves/meltCurve_Q96A73_2_KIAA1191.pdf", "Melting_Curves/meltCurve_Q96A73_2_KIAA1191.pdf")</f>
        <v>Melting_Curves/meltCurve_Q96A73_2_KIAA1191.pdf</v>
      </c>
    </row>
    <row r="4427" spans="1:28" x14ac:dyDescent="0.25">
      <c r="A4427" t="s">
        <v>4431</v>
      </c>
      <c r="B4427">
        <v>0.99996721820229495</v>
      </c>
      <c r="C4427">
        <v>1.0539188693441</v>
      </c>
      <c r="D4427">
        <v>1.0549240640761901</v>
      </c>
      <c r="E4427">
        <v>1.0705066937025201</v>
      </c>
      <c r="F4427">
        <v>1.40311379141288</v>
      </c>
      <c r="G4427">
        <v>1.2349714522161499</v>
      </c>
      <c r="H4427">
        <v>0.73814727765542298</v>
      </c>
      <c r="I4427">
        <v>0.44655234906804803</v>
      </c>
      <c r="J4427">
        <v>0.31571788185883198</v>
      </c>
      <c r="K4427">
        <v>0.18195341848654201</v>
      </c>
      <c r="L4427">
        <v>2653.7755136687001</v>
      </c>
      <c r="M4427">
        <v>42.5207499063931</v>
      </c>
      <c r="N4427">
        <v>63.311319744540803</v>
      </c>
      <c r="O4427">
        <v>62.273720703712002</v>
      </c>
      <c r="P4427">
        <v>-0.131983513636176</v>
      </c>
      <c r="Q4427">
        <v>0.226815792763327</v>
      </c>
      <c r="R4427">
        <v>0.83927740530911898</v>
      </c>
      <c r="S4427" t="s">
        <v>10253</v>
      </c>
      <c r="T4427" t="s">
        <v>11650</v>
      </c>
      <c r="U4427" t="s">
        <v>11650</v>
      </c>
      <c r="V4427" t="s">
        <v>11650</v>
      </c>
      <c r="W4427" t="s">
        <v>16023</v>
      </c>
      <c r="X4427">
        <v>5</v>
      </c>
      <c r="Y4427" t="s">
        <v>21695</v>
      </c>
      <c r="Z4427" t="s">
        <v>27489</v>
      </c>
      <c r="AA4427">
        <v>0.80686912462365934</v>
      </c>
      <c r="AB4427" t="str">
        <f>HYPERLINK("Melting_Curves/meltCurve_Q96AB3_ISOC2.pdf", "Melting_Curves/meltCurve_Q96AB3_ISOC2.pdf")</f>
        <v>Melting_Curves/meltCurve_Q96AB3_ISOC2.pdf</v>
      </c>
    </row>
    <row r="4428" spans="1:28" x14ac:dyDescent="0.25">
      <c r="A4428" t="s">
        <v>4432</v>
      </c>
      <c r="B4428">
        <v>0.99996721820229495</v>
      </c>
      <c r="C4428">
        <v>0.93576288051267198</v>
      </c>
      <c r="D4428">
        <v>0.82452144778492698</v>
      </c>
      <c r="E4428">
        <v>0.64390508163082205</v>
      </c>
      <c r="F4428">
        <v>0.313899419527845</v>
      </c>
      <c r="G4428">
        <v>0.234768720183751</v>
      </c>
      <c r="H4428">
        <v>0.14418054577866801</v>
      </c>
      <c r="I4428">
        <v>8.4626023907301798E-2</v>
      </c>
      <c r="J4428">
        <v>6.6842160936019898E-2</v>
      </c>
      <c r="K4428">
        <v>4.7420209957795001E-2</v>
      </c>
      <c r="L4428">
        <v>768.87469088581804</v>
      </c>
      <c r="M4428">
        <v>15.103822322898401</v>
      </c>
      <c r="N4428">
        <v>51.240101579389403</v>
      </c>
      <c r="O4428">
        <v>50.038608889567399</v>
      </c>
      <c r="P4428">
        <v>-7.1928939805710301E-2</v>
      </c>
      <c r="Q4428">
        <v>4.6898165077781502E-2</v>
      </c>
      <c r="R4428">
        <v>0.99193818665566502</v>
      </c>
      <c r="S4428" t="s">
        <v>10254</v>
      </c>
      <c r="T4428" t="s">
        <v>11650</v>
      </c>
      <c r="U4428" t="s">
        <v>11650</v>
      </c>
      <c r="V4428" t="s">
        <v>11650</v>
      </c>
      <c r="W4428" t="s">
        <v>16024</v>
      </c>
      <c r="X4428">
        <v>9</v>
      </c>
      <c r="Y4428" t="s">
        <v>21696</v>
      </c>
      <c r="Z4428" t="s">
        <v>27490</v>
      </c>
      <c r="AA4428">
        <v>0.41521539821344378</v>
      </c>
      <c r="AB4428" t="str">
        <f>HYPERLINK("Melting_Curves/meltCurve_Q96AB6_NTAN1.pdf", "Melting_Curves/meltCurve_Q96AB6_NTAN1.pdf")</f>
        <v>Melting_Curves/meltCurve_Q96AB6_NTAN1.pdf</v>
      </c>
    </row>
    <row r="4429" spans="1:28" x14ac:dyDescent="0.25">
      <c r="A4429" t="s">
        <v>4433</v>
      </c>
      <c r="B4429">
        <v>0.99996721820229495</v>
      </c>
      <c r="C4429">
        <v>1.0464264676716599</v>
      </c>
      <c r="D4429">
        <v>0.90321461504613598</v>
      </c>
      <c r="E4429">
        <v>0.99444978068424705</v>
      </c>
      <c r="F4429">
        <v>1.1038594896562199</v>
      </c>
      <c r="G4429">
        <v>1.1465947693560501</v>
      </c>
      <c r="H4429">
        <v>0.94911939486645702</v>
      </c>
      <c r="I4429">
        <v>0.40763576758333198</v>
      </c>
      <c r="J4429">
        <v>0.35188591650457801</v>
      </c>
      <c r="K4429">
        <v>0.42567709936392401</v>
      </c>
      <c r="L4429">
        <v>7656.4960308891496</v>
      </c>
      <c r="M4429">
        <v>123.11482108058</v>
      </c>
      <c r="N4429">
        <v>62.959356407163803</v>
      </c>
      <c r="O4429">
        <v>62.173452658054799</v>
      </c>
      <c r="P4429">
        <v>-0.30249478008792502</v>
      </c>
      <c r="Q4429">
        <v>0.38895572929583999</v>
      </c>
      <c r="R4429">
        <v>0.94635267642409204</v>
      </c>
      <c r="S4429" t="s">
        <v>10255</v>
      </c>
      <c r="T4429" t="s">
        <v>11650</v>
      </c>
      <c r="U4429" t="s">
        <v>11650</v>
      </c>
      <c r="V4429" t="s">
        <v>11650</v>
      </c>
      <c r="W4429" t="s">
        <v>16025</v>
      </c>
      <c r="X4429">
        <v>43</v>
      </c>
      <c r="Y4429" t="s">
        <v>21697</v>
      </c>
      <c r="Z4429" t="s">
        <v>27491</v>
      </c>
      <c r="AA4429">
        <v>0.84119754862410612</v>
      </c>
      <c r="AB4429" t="str">
        <f>HYPERLINK("Melting_Curves/meltCurve_Q96AE4_FUBP1.pdf", "Melting_Curves/meltCurve_Q96AE4_FUBP1.pdf")</f>
        <v>Melting_Curves/meltCurve_Q96AE4_FUBP1.pdf</v>
      </c>
    </row>
    <row r="4430" spans="1:28" x14ac:dyDescent="0.25">
      <c r="A4430" t="s">
        <v>4434</v>
      </c>
      <c r="B4430">
        <v>0.99996721820229495</v>
      </c>
      <c r="C4430">
        <v>0.95133678994569404</v>
      </c>
      <c r="D4430">
        <v>0.94322945345110898</v>
      </c>
      <c r="E4430">
        <v>0.94784594731164395</v>
      </c>
      <c r="F4430">
        <v>1.3087399264694399</v>
      </c>
      <c r="G4430">
        <v>1.26598013907395</v>
      </c>
      <c r="H4430">
        <v>0.91946657897405204</v>
      </c>
      <c r="I4430">
        <v>0.58759383330022996</v>
      </c>
      <c r="J4430">
        <v>0.43630567206128201</v>
      </c>
      <c r="K4430">
        <v>0.365215336332462</v>
      </c>
      <c r="L4430">
        <v>3512.0980528957498</v>
      </c>
      <c r="M4430">
        <v>55.563044134066899</v>
      </c>
      <c r="N4430">
        <v>64.925803002776206</v>
      </c>
      <c r="O4430">
        <v>63.127524021579603</v>
      </c>
      <c r="P4430">
        <v>-0.135343085096083</v>
      </c>
      <c r="Q4430">
        <v>0.38492433444047303</v>
      </c>
      <c r="R4430">
        <v>0.80598443672199105</v>
      </c>
      <c r="S4430" t="s">
        <v>10256</v>
      </c>
      <c r="T4430" t="s">
        <v>11650</v>
      </c>
      <c r="U4430" t="s">
        <v>11650</v>
      </c>
      <c r="V4430" t="s">
        <v>11650</v>
      </c>
      <c r="W4430" t="s">
        <v>16026</v>
      </c>
      <c r="X4430">
        <v>43</v>
      </c>
      <c r="Y4430" t="s">
        <v>21697</v>
      </c>
      <c r="Z4430" t="s">
        <v>27492</v>
      </c>
      <c r="AA4430">
        <v>0.86202393324111459</v>
      </c>
      <c r="AB4430" t="str">
        <f>HYPERLINK("Melting_Curves/meltCurve_Q96AE4_2_FUBP1.pdf", "Melting_Curves/meltCurve_Q96AE4_2_FUBP1.pdf")</f>
        <v>Melting_Curves/meltCurve_Q96AE4_2_FUBP1.pdf</v>
      </c>
    </row>
    <row r="4431" spans="1:28" x14ac:dyDescent="0.25">
      <c r="A4431" t="s">
        <v>4435</v>
      </c>
      <c r="B4431">
        <v>0.99996721820229495</v>
      </c>
      <c r="C4431">
        <v>0.73092949132587803</v>
      </c>
      <c r="D4431">
        <v>0.81265984761132803</v>
      </c>
      <c r="E4431">
        <v>1.1898499866391401</v>
      </c>
      <c r="F4431">
        <v>1.3630649661602099</v>
      </c>
      <c r="G4431">
        <v>0.69373959262143403</v>
      </c>
      <c r="H4431">
        <v>0.19277051279691601</v>
      </c>
      <c r="I4431">
        <v>0.124856605117001</v>
      </c>
      <c r="J4431">
        <v>8.6301077110148297E-2</v>
      </c>
      <c r="K4431">
        <v>8.1950950352540797E-2</v>
      </c>
      <c r="L4431">
        <v>3825.73025157244</v>
      </c>
      <c r="M4431">
        <v>66.425032259823894</v>
      </c>
      <c r="N4431">
        <v>57.821930565758997</v>
      </c>
      <c r="O4431">
        <v>57.542572129381902</v>
      </c>
      <c r="P4431">
        <v>-0.25543755986852201</v>
      </c>
      <c r="Q4431">
        <v>0.114880052248568</v>
      </c>
      <c r="R4431">
        <v>0.86391560402541101</v>
      </c>
      <c r="S4431" t="s">
        <v>10257</v>
      </c>
      <c r="T4431" t="s">
        <v>11650</v>
      </c>
      <c r="U4431" t="s">
        <v>11650</v>
      </c>
      <c r="V4431" t="s">
        <v>11650</v>
      </c>
      <c r="W4431" t="s">
        <v>16027</v>
      </c>
      <c r="X4431">
        <v>5</v>
      </c>
      <c r="Y4431" t="s">
        <v>21698</v>
      </c>
      <c r="Z4431" t="s">
        <v>27493</v>
      </c>
      <c r="AA4431">
        <v>0.63526494686518709</v>
      </c>
      <c r="AB4431" t="str">
        <f>HYPERLINK("Melting_Curves/meltCurve_Q96AG3_SLC25A46.pdf", "Melting_Curves/meltCurve_Q96AG3_SLC25A46.pdf")</f>
        <v>Melting_Curves/meltCurve_Q96AG3_SLC25A46.pdf</v>
      </c>
    </row>
    <row r="4432" spans="1:28" x14ac:dyDescent="0.25">
      <c r="A4432" t="s">
        <v>4436</v>
      </c>
      <c r="B4432">
        <v>0.99996721820229495</v>
      </c>
      <c r="C4432">
        <v>0.96156991971651695</v>
      </c>
      <c r="D4432">
        <v>0.87027929577822205</v>
      </c>
      <c r="E4432">
        <v>1.01040816697981</v>
      </c>
      <c r="F4432">
        <v>1.15279921832476</v>
      </c>
      <c r="G4432">
        <v>0.67396171939085603</v>
      </c>
      <c r="H4432">
        <v>0.34661789595259601</v>
      </c>
      <c r="I4432">
        <v>0.23194741076679901</v>
      </c>
      <c r="J4432">
        <v>0.203147360835263</v>
      </c>
      <c r="K4432">
        <v>0.162949558908519</v>
      </c>
      <c r="L4432">
        <v>2242.3144690143199</v>
      </c>
      <c r="M4432">
        <v>38.736096547333403</v>
      </c>
      <c r="N4432">
        <v>58.668885005095198</v>
      </c>
      <c r="O4432">
        <v>57.733322663191998</v>
      </c>
      <c r="P4432">
        <v>-0.13391607108161299</v>
      </c>
      <c r="Q4432">
        <v>0.20163347346803501</v>
      </c>
      <c r="R4432">
        <v>0.95949474901118503</v>
      </c>
      <c r="S4432" t="s">
        <v>10258</v>
      </c>
      <c r="T4432" t="s">
        <v>11650</v>
      </c>
      <c r="U4432" t="s">
        <v>11650</v>
      </c>
      <c r="V4432" t="s">
        <v>11650</v>
      </c>
      <c r="W4432" t="s">
        <v>16028</v>
      </c>
      <c r="X4432">
        <v>16</v>
      </c>
      <c r="Y4432" t="s">
        <v>21699</v>
      </c>
      <c r="Z4432" t="s">
        <v>27494</v>
      </c>
      <c r="AA4432">
        <v>0.68097799112807389</v>
      </c>
      <c r="AB4432" t="str">
        <f>HYPERLINK("Melting_Curves/meltCurve_Q96AG4_LRRC59.pdf", "Melting_Curves/meltCurve_Q96AG4_LRRC59.pdf")</f>
        <v>Melting_Curves/meltCurve_Q96AG4_LRRC59.pdf</v>
      </c>
    </row>
    <row r="4433" spans="1:28" x14ac:dyDescent="0.25">
      <c r="A4433" t="s">
        <v>4437</v>
      </c>
      <c r="B4433">
        <v>0.99996721820229495</v>
      </c>
      <c r="C4433">
        <v>1.01336666560829</v>
      </c>
      <c r="D4433">
        <v>0.81718848354967499</v>
      </c>
      <c r="E4433">
        <v>0.81864219084533796</v>
      </c>
      <c r="F4433">
        <v>0.70673918698579696</v>
      </c>
      <c r="G4433">
        <v>0.48812107720710501</v>
      </c>
      <c r="H4433">
        <v>0.30558194296543201</v>
      </c>
      <c r="I4433">
        <v>8.6676178213813099E-2</v>
      </c>
      <c r="J4433">
        <v>0.11319688389768499</v>
      </c>
      <c r="K4433">
        <v>7.7240949381384205E-2</v>
      </c>
      <c r="L4433">
        <v>703.55689924011006</v>
      </c>
      <c r="M4433">
        <v>12.5224876610203</v>
      </c>
      <c r="N4433">
        <v>56.1834788402507</v>
      </c>
      <c r="O4433">
        <v>54.808433163175998</v>
      </c>
      <c r="P4433">
        <v>-5.7131018549174302E-2</v>
      </c>
      <c r="Q4433">
        <v>0</v>
      </c>
      <c r="R4433">
        <v>0.97812332725351903</v>
      </c>
      <c r="S4433" t="s">
        <v>10259</v>
      </c>
      <c r="T4433" t="s">
        <v>11650</v>
      </c>
      <c r="U4433" t="s">
        <v>11650</v>
      </c>
      <c r="V4433" t="s">
        <v>11650</v>
      </c>
      <c r="W4433" t="s">
        <v>16029</v>
      </c>
      <c r="X4433">
        <v>2</v>
      </c>
      <c r="Y4433" t="s">
        <v>21700</v>
      </c>
      <c r="Z4433" t="s">
        <v>27495</v>
      </c>
      <c r="AA4433">
        <v>0.55891063116174722</v>
      </c>
      <c r="AB4433" t="str">
        <f>HYPERLINK("Melting_Curves/meltCurve_Q96AH8_RAB7B.pdf", "Melting_Curves/meltCurve_Q96AH8_RAB7B.pdf")</f>
        <v>Melting_Curves/meltCurve_Q96AH8_RAB7B.pdf</v>
      </c>
    </row>
    <row r="4434" spans="1:28" x14ac:dyDescent="0.25">
      <c r="A4434" t="s">
        <v>4438</v>
      </c>
      <c r="B4434">
        <v>0.99996721820229495</v>
      </c>
      <c r="C4434">
        <v>0.72803845570276005</v>
      </c>
      <c r="D4434">
        <v>0.732344786146222</v>
      </c>
      <c r="E4434">
        <v>0.87318139893310898</v>
      </c>
      <c r="F4434">
        <v>0.96333811621466803</v>
      </c>
      <c r="G4434">
        <v>0.84266238270532801</v>
      </c>
      <c r="H4434">
        <v>0.74340530279330297</v>
      </c>
      <c r="I4434">
        <v>0.67991216187792403</v>
      </c>
      <c r="J4434">
        <v>0.53542589798121498</v>
      </c>
      <c r="K4434">
        <v>0.60568371476691196</v>
      </c>
      <c r="L4434">
        <v>195.09905339490399</v>
      </c>
      <c r="M4434">
        <v>2.2994871671522401</v>
      </c>
      <c r="O4434">
        <v>54.693667294927003</v>
      </c>
      <c r="P4434">
        <v>-1.11794134903006E-2</v>
      </c>
      <c r="Q4434">
        <v>0</v>
      </c>
      <c r="R4434">
        <v>0.46693249713023299</v>
      </c>
      <c r="S4434" t="s">
        <v>10260</v>
      </c>
      <c r="T4434" t="s">
        <v>11650</v>
      </c>
      <c r="U4434" t="s">
        <v>11650</v>
      </c>
      <c r="V4434" t="s">
        <v>11650</v>
      </c>
      <c r="W4434" t="s">
        <v>16030</v>
      </c>
      <c r="X4434">
        <v>12</v>
      </c>
      <c r="Y4434" t="s">
        <v>21701</v>
      </c>
      <c r="Z4434" t="s">
        <v>27496</v>
      </c>
      <c r="AA4434">
        <v>0.77651081599437211</v>
      </c>
      <c r="AB4434" t="str">
        <f>HYPERLINK("Melting_Curves/meltCurve_Q96AJ9_1_VTI1A.pdf", "Melting_Curves/meltCurve_Q96AJ9_1_VTI1A.pdf")</f>
        <v>Melting_Curves/meltCurve_Q96AJ9_1_VTI1A.pdf</v>
      </c>
    </row>
    <row r="4435" spans="1:28" x14ac:dyDescent="0.25">
      <c r="A4435" t="s">
        <v>4439</v>
      </c>
      <c r="B4435">
        <v>0.99996721820229495</v>
      </c>
      <c r="C4435">
        <v>0.85959241734298697</v>
      </c>
      <c r="D4435">
        <v>1.02499116507706</v>
      </c>
      <c r="E4435">
        <v>1.2456330939151601</v>
      </c>
      <c r="F4435">
        <v>1.61225040694935</v>
      </c>
      <c r="G4435">
        <v>1.7239833782244101</v>
      </c>
      <c r="H4435">
        <v>1.2961731384760999</v>
      </c>
      <c r="I4435">
        <v>0.92101846514926899</v>
      </c>
      <c r="J4435">
        <v>0.63022889404224303</v>
      </c>
      <c r="K4435">
        <v>0.70967301017264295</v>
      </c>
      <c r="L4435">
        <v>15000</v>
      </c>
      <c r="M4435">
        <v>233.21868553268399</v>
      </c>
      <c r="O4435">
        <v>64.3125866785293</v>
      </c>
      <c r="P4435">
        <v>-0.29922634723088498</v>
      </c>
      <c r="Q4435">
        <v>0.66994033227384397</v>
      </c>
      <c r="R4435">
        <v>0.10029645641997501</v>
      </c>
      <c r="S4435" t="s">
        <v>10261</v>
      </c>
      <c r="T4435" t="s">
        <v>11650</v>
      </c>
      <c r="U4435" t="s">
        <v>11650</v>
      </c>
      <c r="V4435" t="s">
        <v>11650</v>
      </c>
      <c r="W4435" t="s">
        <v>16031</v>
      </c>
      <c r="X4435">
        <v>2</v>
      </c>
      <c r="Y4435" t="s">
        <v>21702</v>
      </c>
      <c r="Z4435" t="s">
        <v>27497</v>
      </c>
      <c r="AA4435">
        <v>0.93752199011132409</v>
      </c>
      <c r="AB4435" t="str">
        <f>HYPERLINK("Melting_Curves/meltCurve_Q96AM1_MRGPRF.pdf", "Melting_Curves/meltCurve_Q96AM1_MRGPRF.pdf")</f>
        <v>Melting_Curves/meltCurve_Q96AM1_MRGPRF.pdf</v>
      </c>
    </row>
    <row r="4436" spans="1:28" x14ac:dyDescent="0.25">
      <c r="A4436" t="s">
        <v>4440</v>
      </c>
      <c r="B4436">
        <v>0.99996721820229495</v>
      </c>
      <c r="C4436">
        <v>0.91944678172331196</v>
      </c>
      <c r="D4436">
        <v>0.902908994724542</v>
      </c>
      <c r="E4436">
        <v>1.00400702626028</v>
      </c>
      <c r="F4436">
        <v>1.3089938808305299</v>
      </c>
      <c r="G4436">
        <v>1.16394878440649</v>
      </c>
      <c r="H4436">
        <v>0.85373811213689299</v>
      </c>
      <c r="I4436">
        <v>0.65837123869411296</v>
      </c>
      <c r="J4436">
        <v>0.52575178893350205</v>
      </c>
      <c r="K4436">
        <v>0.47388325595047298</v>
      </c>
      <c r="L4436">
        <v>2666.2093108774202</v>
      </c>
      <c r="M4436">
        <v>42.4326937266055</v>
      </c>
      <c r="N4436">
        <v>68.088216466338906</v>
      </c>
      <c r="O4436">
        <v>62.694763762695601</v>
      </c>
      <c r="P4436">
        <v>-8.7802752056807404E-2</v>
      </c>
      <c r="Q4436">
        <v>0.48108273145007602</v>
      </c>
      <c r="R4436">
        <v>0.77667394180678295</v>
      </c>
      <c r="S4436" t="s">
        <v>10262</v>
      </c>
      <c r="T4436" t="s">
        <v>11650</v>
      </c>
      <c r="U4436" t="s">
        <v>11650</v>
      </c>
      <c r="V4436" t="s">
        <v>11650</v>
      </c>
      <c r="W4436" t="s">
        <v>16032</v>
      </c>
      <c r="X4436">
        <v>12</v>
      </c>
      <c r="Y4436" t="s">
        <v>21703</v>
      </c>
      <c r="Z4436" t="s">
        <v>27498</v>
      </c>
      <c r="AA4436">
        <v>0.87761302478794767</v>
      </c>
      <c r="AB4436" t="str">
        <f>HYPERLINK("Melting_Curves/meltCurve_Q96AQ6_2_PBXIP1.pdf", "Melting_Curves/meltCurve_Q96AQ6_2_PBXIP1.pdf")</f>
        <v>Melting_Curves/meltCurve_Q96AQ6_2_PBXIP1.pdf</v>
      </c>
    </row>
    <row r="4437" spans="1:28" x14ac:dyDescent="0.25">
      <c r="A4437" t="s">
        <v>4441</v>
      </c>
      <c r="B4437">
        <v>0.99996721820229495</v>
      </c>
      <c r="C4437">
        <v>0.88359076751565102</v>
      </c>
      <c r="D4437">
        <v>1.0835974267673401</v>
      </c>
      <c r="E4437">
        <v>1.4303697043130501</v>
      </c>
      <c r="F4437">
        <v>1.9463300269917201</v>
      </c>
      <c r="G4437">
        <v>2.1729648365387799</v>
      </c>
      <c r="H4437">
        <v>0.49041604600055999</v>
      </c>
      <c r="I4437">
        <v>0.23313301267161901</v>
      </c>
      <c r="J4437">
        <v>0.14989639087192599</v>
      </c>
      <c r="K4437">
        <v>0.12118018188190501</v>
      </c>
      <c r="L4437">
        <v>11026.5808863203</v>
      </c>
      <c r="M4437">
        <v>181.22112856060301</v>
      </c>
      <c r="N4437">
        <v>60.983816186370703</v>
      </c>
      <c r="O4437">
        <v>60.838591139072598</v>
      </c>
      <c r="P4437">
        <v>-0.61955896405951105</v>
      </c>
      <c r="Q4437">
        <v>0.168019875359501</v>
      </c>
      <c r="R4437">
        <v>0.48209283711516498</v>
      </c>
      <c r="S4437" t="s">
        <v>10263</v>
      </c>
      <c r="T4437" t="s">
        <v>11650</v>
      </c>
      <c r="U4437" t="s">
        <v>11650</v>
      </c>
      <c r="V4437" t="s">
        <v>11650</v>
      </c>
      <c r="W4437" t="s">
        <v>16033</v>
      </c>
      <c r="X4437">
        <v>4</v>
      </c>
      <c r="Y4437" t="s">
        <v>21704</v>
      </c>
      <c r="Z4437" t="s">
        <v>27499</v>
      </c>
      <c r="AA4437">
        <v>0.74630425555874436</v>
      </c>
      <c r="AB4437" t="str">
        <f>HYPERLINK("Melting_Curves/meltCurve_Q96AQ8_MCUR1.pdf", "Melting_Curves/meltCurve_Q96AQ8_MCUR1.pdf")</f>
        <v>Melting_Curves/meltCurve_Q96AQ8_MCUR1.pdf</v>
      </c>
    </row>
    <row r="4438" spans="1:28" x14ac:dyDescent="0.25">
      <c r="A4438" t="s">
        <v>4442</v>
      </c>
      <c r="B4438">
        <v>0.99996721820229495</v>
      </c>
      <c r="C4438">
        <v>0.98114145664885499</v>
      </c>
      <c r="D4438">
        <v>0.92596296972397796</v>
      </c>
      <c r="E4438">
        <v>0.90704879242445402</v>
      </c>
      <c r="F4438">
        <v>1.27103687867299</v>
      </c>
      <c r="G4438">
        <v>1.35640499718065</v>
      </c>
      <c r="H4438">
        <v>1.0261484941542001</v>
      </c>
      <c r="I4438">
        <v>1.0806426130736899</v>
      </c>
      <c r="J4438">
        <v>0.96602149314896102</v>
      </c>
      <c r="K4438">
        <v>0.69449599891070801</v>
      </c>
      <c r="L4438">
        <v>15000</v>
      </c>
      <c r="M4438">
        <v>221.80156310179299</v>
      </c>
      <c r="O4438">
        <v>67.622530941055899</v>
      </c>
      <c r="P4438">
        <v>-0.250649345757953</v>
      </c>
      <c r="Q4438">
        <v>0.69432965156187998</v>
      </c>
      <c r="R4438">
        <v>0.28860659944761602</v>
      </c>
      <c r="S4438" t="s">
        <v>10264</v>
      </c>
      <c r="T4438" t="s">
        <v>11650</v>
      </c>
      <c r="U4438" t="s">
        <v>11650</v>
      </c>
      <c r="V4438" t="s">
        <v>11650</v>
      </c>
      <c r="W4438" t="s">
        <v>16034</v>
      </c>
      <c r="X4438">
        <v>7</v>
      </c>
      <c r="Y4438" t="s">
        <v>21705</v>
      </c>
      <c r="Z4438" t="s">
        <v>27500</v>
      </c>
      <c r="AA4438">
        <v>0.97587610704518157</v>
      </c>
      <c r="AB4438" t="str">
        <f>HYPERLINK("Melting_Curves/meltCurve_Q96AT1_KIAA1143.pdf", "Melting_Curves/meltCurve_Q96AT1_KIAA1143.pdf")</f>
        <v>Melting_Curves/meltCurve_Q96AT1_KIAA1143.pdf</v>
      </c>
    </row>
    <row r="4439" spans="1:28" x14ac:dyDescent="0.25">
      <c r="A4439" t="s">
        <v>4443</v>
      </c>
      <c r="B4439">
        <v>0.99996721820229495</v>
      </c>
      <c r="C4439">
        <v>0.97957088521902902</v>
      </c>
      <c r="D4439">
        <v>0.97255369468327302</v>
      </c>
      <c r="E4439">
        <v>0.93613745850044305</v>
      </c>
      <c r="F4439">
        <v>1.2228560354248299</v>
      </c>
      <c r="G4439">
        <v>0.96565149718330001</v>
      </c>
      <c r="H4439">
        <v>0.25010310039796702</v>
      </c>
      <c r="I4439">
        <v>7.6674710339834598E-2</v>
      </c>
      <c r="J4439">
        <v>5.89743326067717E-2</v>
      </c>
      <c r="K4439">
        <v>5.3997302725840003E-2</v>
      </c>
      <c r="L4439">
        <v>4057.2899942302402</v>
      </c>
      <c r="M4439">
        <v>67.878589287476998</v>
      </c>
      <c r="N4439">
        <v>59.884218024262701</v>
      </c>
      <c r="O4439">
        <v>59.720934731848502</v>
      </c>
      <c r="P4439">
        <v>-0.26728882381645103</v>
      </c>
      <c r="Q4439">
        <v>5.9336125572140901E-2</v>
      </c>
      <c r="R4439">
        <v>0.972980861725529</v>
      </c>
      <c r="S4439" t="s">
        <v>10265</v>
      </c>
      <c r="T4439" t="s">
        <v>11650</v>
      </c>
      <c r="U4439" t="s">
        <v>11650</v>
      </c>
      <c r="V4439" t="s">
        <v>11650</v>
      </c>
      <c r="W4439" t="s">
        <v>16035</v>
      </c>
      <c r="X4439">
        <v>9</v>
      </c>
      <c r="Y4439" t="s">
        <v>17680</v>
      </c>
      <c r="Z4439" t="s">
        <v>27501</v>
      </c>
      <c r="AA4439">
        <v>0.68066019869547167</v>
      </c>
      <c r="AB4439" t="str">
        <f>HYPERLINK("Melting_Curves/meltCurve_Q96AT9_RPE.pdf", "Melting_Curves/meltCurve_Q96AT9_RPE.pdf")</f>
        <v>Melting_Curves/meltCurve_Q96AT9_RPE.pdf</v>
      </c>
    </row>
    <row r="4440" spans="1:28" x14ac:dyDescent="0.25">
      <c r="A4440" t="s">
        <v>4444</v>
      </c>
      <c r="B4440">
        <v>0.99996721820229495</v>
      </c>
      <c r="C4440">
        <v>1.0694095432003401</v>
      </c>
      <c r="D4440">
        <v>0.90948697815523605</v>
      </c>
      <c r="E4440">
        <v>0.72292391458300198</v>
      </c>
      <c r="F4440">
        <v>0.69872740688066803</v>
      </c>
      <c r="G4440">
        <v>0.73178740820458199</v>
      </c>
      <c r="H4440">
        <v>0.51200636311574599</v>
      </c>
      <c r="I4440">
        <v>0.34379247467938301</v>
      </c>
      <c r="J4440">
        <v>0.21531987562692301</v>
      </c>
      <c r="K4440">
        <v>0.27261363075157902</v>
      </c>
      <c r="L4440">
        <v>487.490365135731</v>
      </c>
      <c r="M4440">
        <v>8.1202056356433694</v>
      </c>
      <c r="N4440">
        <v>60.034238704470198</v>
      </c>
      <c r="O4440">
        <v>56.722421776704202</v>
      </c>
      <c r="P4440">
        <v>-3.5827505274426699E-2</v>
      </c>
      <c r="Q4440">
        <v>0</v>
      </c>
      <c r="R4440">
        <v>0.93437547344014205</v>
      </c>
      <c r="S4440" t="s">
        <v>10266</v>
      </c>
      <c r="T4440" t="s">
        <v>11650</v>
      </c>
      <c r="U4440" t="s">
        <v>11650</v>
      </c>
      <c r="V4440" t="s">
        <v>11650</v>
      </c>
      <c r="W4440" t="s">
        <v>16036</v>
      </c>
      <c r="X4440">
        <v>35</v>
      </c>
      <c r="Y4440" t="s">
        <v>21706</v>
      </c>
      <c r="Z4440" t="s">
        <v>27502</v>
      </c>
      <c r="AA4440">
        <v>0.65320129764296198</v>
      </c>
      <c r="AB4440" t="str">
        <f>HYPERLINK("Melting_Curves/meltCurve_Q96AY3_FKBP10.pdf", "Melting_Curves/meltCurve_Q96AY3_FKBP10.pdf")</f>
        <v>Melting_Curves/meltCurve_Q96AY3_FKBP10.pdf</v>
      </c>
    </row>
    <row r="4441" spans="1:28" x14ac:dyDescent="0.25">
      <c r="A4441" t="s">
        <v>4445</v>
      </c>
      <c r="B4441">
        <v>0.99996721820229495</v>
      </c>
      <c r="C4441">
        <v>1.15290135381826</v>
      </c>
      <c r="D4441">
        <v>1.2278359996563299</v>
      </c>
      <c r="E4441">
        <v>1.3961509087291999</v>
      </c>
      <c r="F4441">
        <v>1.5391995266059</v>
      </c>
      <c r="G4441">
        <v>1.54823967921437</v>
      </c>
      <c r="H4441">
        <v>1.0640930132269599</v>
      </c>
      <c r="I4441">
        <v>0.84436282115881001</v>
      </c>
      <c r="J4441">
        <v>0.800146731333784</v>
      </c>
      <c r="K4441">
        <v>0.494333049831573</v>
      </c>
      <c r="L4441">
        <v>2148.1760152605798</v>
      </c>
      <c r="M4441">
        <v>31.065867968496001</v>
      </c>
      <c r="N4441">
        <v>69.985145005268606</v>
      </c>
      <c r="O4441">
        <v>68.864436436397497</v>
      </c>
      <c r="P4441">
        <v>-9.5296454957492796E-2</v>
      </c>
      <c r="Q4441">
        <v>0.15502126428337901</v>
      </c>
      <c r="R4441">
        <v>0.187335067572548</v>
      </c>
      <c r="S4441" t="s">
        <v>10267</v>
      </c>
      <c r="T4441" t="s">
        <v>11650</v>
      </c>
      <c r="U4441" t="s">
        <v>11650</v>
      </c>
      <c r="V4441" t="s">
        <v>11650</v>
      </c>
      <c r="W4441" t="s">
        <v>16037</v>
      </c>
      <c r="X4441">
        <v>7</v>
      </c>
      <c r="Y4441" t="s">
        <v>21707</v>
      </c>
      <c r="Z4441" t="s">
        <v>27503</v>
      </c>
      <c r="AA4441">
        <v>0.94644003951602584</v>
      </c>
      <c r="AB4441" t="str">
        <f>HYPERLINK("Melting_Curves/meltCurve_Q96B23_2_C18orf25.pdf", "Melting_Curves/meltCurve_Q96B23_2_C18orf25.pdf")</f>
        <v>Melting_Curves/meltCurve_Q96B23_2_C18orf25.pdf</v>
      </c>
    </row>
    <row r="4442" spans="1:28" x14ac:dyDescent="0.25">
      <c r="A4442" t="s">
        <v>4446</v>
      </c>
      <c r="B4442">
        <v>0.99996721820229495</v>
      </c>
      <c r="C4442">
        <v>0.96373047309631499</v>
      </c>
      <c r="D4442">
        <v>1.1401975916350799</v>
      </c>
      <c r="E4442">
        <v>1.635226680735</v>
      </c>
      <c r="F4442">
        <v>2.25934693958785</v>
      </c>
      <c r="G4442">
        <v>1.90365170406011</v>
      </c>
      <c r="H4442">
        <v>0.48268829563044902</v>
      </c>
      <c r="I4442">
        <v>0.28583727366925599</v>
      </c>
      <c r="J4442">
        <v>0.160078445966119</v>
      </c>
      <c r="K4442">
        <v>9.3130569647584704E-2</v>
      </c>
      <c r="L4442">
        <v>9464.4222866629007</v>
      </c>
      <c r="M4442">
        <v>155.68723945965499</v>
      </c>
      <c r="N4442">
        <v>60.965407275729802</v>
      </c>
      <c r="O4442">
        <v>60.781223101116801</v>
      </c>
      <c r="P4442">
        <v>-0.52541200669527399</v>
      </c>
      <c r="Q4442">
        <v>0.17950413362367801</v>
      </c>
      <c r="R4442">
        <v>0.44540822581360101</v>
      </c>
      <c r="S4442" t="s">
        <v>10268</v>
      </c>
      <c r="T4442" t="s">
        <v>11650</v>
      </c>
      <c r="U4442" t="s">
        <v>11650</v>
      </c>
      <c r="V4442" t="s">
        <v>11650</v>
      </c>
      <c r="W4442" t="s">
        <v>16038</v>
      </c>
      <c r="X4442">
        <v>3</v>
      </c>
      <c r="Y4442" t="s">
        <v>21708</v>
      </c>
      <c r="Z4442" t="s">
        <v>27504</v>
      </c>
      <c r="AA4442">
        <v>0.74836782113458244</v>
      </c>
      <c r="AB4442" t="str">
        <f>HYPERLINK("Melting_Curves/meltCurve_Q96B26_EXOSC8.pdf", "Melting_Curves/meltCurve_Q96B26_EXOSC8.pdf")</f>
        <v>Melting_Curves/meltCurve_Q96B26_EXOSC8.pdf</v>
      </c>
    </row>
    <row r="4443" spans="1:28" x14ac:dyDescent="0.25">
      <c r="A4443" t="s">
        <v>4447</v>
      </c>
      <c r="B4443">
        <v>0.99996721820229495</v>
      </c>
      <c r="C4443">
        <v>0.96125168072066303</v>
      </c>
      <c r="D4443">
        <v>0.88628218287812299</v>
      </c>
      <c r="E4443">
        <v>0.89134432944907305</v>
      </c>
      <c r="F4443">
        <v>1.11277767997161</v>
      </c>
      <c r="G4443">
        <v>0.97506020630254597</v>
      </c>
      <c r="H4443">
        <v>0.65447498678899896</v>
      </c>
      <c r="I4443">
        <v>0.67428989280776797</v>
      </c>
      <c r="J4443">
        <v>0.67657598903680605</v>
      </c>
      <c r="K4443">
        <v>0.48279155071871899</v>
      </c>
      <c r="L4443">
        <v>3782.10754963411</v>
      </c>
      <c r="M4443">
        <v>63.826045979351299</v>
      </c>
      <c r="O4443">
        <v>59.1984074405988</v>
      </c>
      <c r="P4443">
        <v>-0.105742913099827</v>
      </c>
      <c r="Q4443">
        <v>0.60769560577755399</v>
      </c>
      <c r="R4443">
        <v>0.82052093976136797</v>
      </c>
      <c r="S4443" t="s">
        <v>10269</v>
      </c>
      <c r="T4443" t="s">
        <v>11650</v>
      </c>
      <c r="U4443" t="s">
        <v>11650</v>
      </c>
      <c r="V4443" t="s">
        <v>11650</v>
      </c>
      <c r="W4443" t="s">
        <v>16039</v>
      </c>
      <c r="X4443">
        <v>14</v>
      </c>
      <c r="Y4443" t="s">
        <v>21709</v>
      </c>
      <c r="Z4443" t="s">
        <v>27505</v>
      </c>
      <c r="AA4443">
        <v>0.86013608357290061</v>
      </c>
      <c r="AB4443" t="str">
        <f>HYPERLINK("Melting_Curves/meltCurve_Q96B36_AKT1S1.pdf", "Melting_Curves/meltCurve_Q96B36_AKT1S1.pdf")</f>
        <v>Melting_Curves/meltCurve_Q96B36_AKT1S1.pdf</v>
      </c>
    </row>
    <row r="4444" spans="1:28" x14ac:dyDescent="0.25">
      <c r="A4444" t="s">
        <v>4448</v>
      </c>
      <c r="B4444">
        <v>0.99996721820229495</v>
      </c>
      <c r="C4444">
        <v>1.0982454187919899</v>
      </c>
      <c r="D4444">
        <v>1.1702263215692299</v>
      </c>
      <c r="E4444">
        <v>1.2549054971498199</v>
      </c>
      <c r="F4444">
        <v>1.54781886875427</v>
      </c>
      <c r="G4444">
        <v>1.57322374818585</v>
      </c>
      <c r="H4444">
        <v>0.94096206070419797</v>
      </c>
      <c r="I4444">
        <v>0.79546261650948002</v>
      </c>
      <c r="J4444">
        <v>0.75111825757580297</v>
      </c>
      <c r="K4444">
        <v>0.47605112822093798</v>
      </c>
      <c r="L4444">
        <v>1910.70051763933</v>
      </c>
      <c r="M4444">
        <v>28.2107214730569</v>
      </c>
      <c r="N4444">
        <v>69.832088093639101</v>
      </c>
      <c r="O4444">
        <v>67.391995462674103</v>
      </c>
      <c r="P4444">
        <v>-7.4705338766029902E-2</v>
      </c>
      <c r="Q4444">
        <v>0.28615792881783197</v>
      </c>
      <c r="R4444">
        <v>0.30511912645650402</v>
      </c>
      <c r="S4444" t="s">
        <v>10270</v>
      </c>
      <c r="T4444" t="s">
        <v>11650</v>
      </c>
      <c r="U4444" t="s">
        <v>11650</v>
      </c>
      <c r="V4444" t="s">
        <v>11650</v>
      </c>
      <c r="W4444" t="s">
        <v>16040</v>
      </c>
      <c r="X4444">
        <v>5</v>
      </c>
      <c r="Y4444" t="s">
        <v>21710</v>
      </c>
      <c r="Z4444" t="s">
        <v>27506</v>
      </c>
      <c r="AA4444">
        <v>0.93034355823294135</v>
      </c>
      <c r="AB4444" t="str">
        <f>HYPERLINK("Melting_Curves/meltCurve_Q96B45_C10orf32.pdf", "Melting_Curves/meltCurve_Q96B45_C10orf32.pdf")</f>
        <v>Melting_Curves/meltCurve_Q96B45_C10orf32.pdf</v>
      </c>
    </row>
    <row r="4445" spans="1:28" x14ac:dyDescent="0.25">
      <c r="A4445" t="s">
        <v>4449</v>
      </c>
      <c r="B4445">
        <v>0.99996721820229495</v>
      </c>
      <c r="C4445">
        <v>0.79743940666782398</v>
      </c>
      <c r="D4445">
        <v>0.74553549086923498</v>
      </c>
      <c r="E4445">
        <v>0.77817985180234905</v>
      </c>
      <c r="F4445">
        <v>1.0118545416660401</v>
      </c>
      <c r="G4445">
        <v>1.05727900162689</v>
      </c>
      <c r="H4445">
        <v>0.99578237317432206</v>
      </c>
      <c r="I4445">
        <v>1.1170228255922701</v>
      </c>
      <c r="J4445">
        <v>1.1761567908553401</v>
      </c>
      <c r="K4445">
        <v>0.63592844517345604</v>
      </c>
      <c r="L4445">
        <v>10222.740716411699</v>
      </c>
      <c r="M4445">
        <v>250</v>
      </c>
      <c r="O4445">
        <v>40.888346126819201</v>
      </c>
      <c r="P4445">
        <v>-0.116309268742206</v>
      </c>
      <c r="Q4445">
        <v>0.92390890190130703</v>
      </c>
      <c r="R4445">
        <v>1.80270865557473E-2</v>
      </c>
      <c r="S4445" t="s">
        <v>10271</v>
      </c>
      <c r="T4445" t="s">
        <v>11650</v>
      </c>
      <c r="U4445" t="s">
        <v>11650</v>
      </c>
      <c r="V4445" t="s">
        <v>11650</v>
      </c>
      <c r="W4445" t="s">
        <v>16041</v>
      </c>
      <c r="X4445">
        <v>3</v>
      </c>
      <c r="Y4445" t="s">
        <v>21711</v>
      </c>
      <c r="Z4445" t="s">
        <v>27507</v>
      </c>
      <c r="AA4445">
        <v>0.92617567418015523</v>
      </c>
      <c r="AB4445" t="str">
        <f>HYPERLINK("Melting_Curves/meltCurve_Q96B49_TOMM6.pdf", "Melting_Curves/meltCurve_Q96B49_TOMM6.pdf")</f>
        <v>Melting_Curves/meltCurve_Q96B49_TOMM6.pdf</v>
      </c>
    </row>
    <row r="4446" spans="1:28" x14ac:dyDescent="0.25">
      <c r="A4446" t="s">
        <v>4450</v>
      </c>
      <c r="B4446">
        <v>0.99996721820229495</v>
      </c>
      <c r="C4446">
        <v>0.80695556159415704</v>
      </c>
      <c r="D4446">
        <v>0.84753525609894098</v>
      </c>
      <c r="E4446">
        <v>0.72620995828997503</v>
      </c>
      <c r="F4446">
        <v>0.50908843055601805</v>
      </c>
      <c r="G4446">
        <v>0.41381774085477302</v>
      </c>
      <c r="H4446">
        <v>0.29705414618790299</v>
      </c>
      <c r="I4446">
        <v>0.28552636074909199</v>
      </c>
      <c r="J4446">
        <v>0.282023427710408</v>
      </c>
      <c r="K4446">
        <v>0.18838220687102</v>
      </c>
      <c r="L4446">
        <v>488.31166540454001</v>
      </c>
      <c r="M4446">
        <v>9.3003086817928793</v>
      </c>
      <c r="N4446">
        <v>54.386318726328703</v>
      </c>
      <c r="O4446">
        <v>50.248763724164</v>
      </c>
      <c r="P4446">
        <v>-3.9932107212365599E-2</v>
      </c>
      <c r="Q4446">
        <v>0.13755418724819499</v>
      </c>
      <c r="R4446">
        <v>0.97193994463621503</v>
      </c>
      <c r="S4446" t="s">
        <v>10272</v>
      </c>
      <c r="T4446" t="s">
        <v>11650</v>
      </c>
      <c r="U4446" t="s">
        <v>11650</v>
      </c>
      <c r="V4446" t="s">
        <v>11650</v>
      </c>
      <c r="W4446" t="s">
        <v>16042</v>
      </c>
      <c r="X4446">
        <v>23</v>
      </c>
      <c r="Y4446" t="s">
        <v>21712</v>
      </c>
      <c r="Z4446" t="s">
        <v>27508</v>
      </c>
      <c r="AA4446">
        <v>0.53041008991000171</v>
      </c>
      <c r="AB4446" t="str">
        <f>HYPERLINK("Melting_Curves/meltCurve_Q96B97_SH3KBP1.pdf", "Melting_Curves/meltCurve_Q96B97_SH3KBP1.pdf")</f>
        <v>Melting_Curves/meltCurve_Q96B97_SH3KBP1.pdf</v>
      </c>
    </row>
    <row r="4447" spans="1:28" x14ac:dyDescent="0.25">
      <c r="A4447" t="s">
        <v>4451</v>
      </c>
      <c r="B4447">
        <v>0.99996721820229495</v>
      </c>
      <c r="C4447">
        <v>1.09152432137935</v>
      </c>
      <c r="D4447">
        <v>1.03805743190471</v>
      </c>
      <c r="E4447">
        <v>0.96489416436170505</v>
      </c>
      <c r="F4447">
        <v>1.19053753398129</v>
      </c>
      <c r="G4447">
        <v>1.2611473629748799</v>
      </c>
      <c r="H4447">
        <v>0.91745243131772503</v>
      </c>
      <c r="I4447">
        <v>0.81523586777677304</v>
      </c>
      <c r="J4447">
        <v>0.773635839885215</v>
      </c>
      <c r="K4447">
        <v>0.61979758120425499</v>
      </c>
      <c r="L4447">
        <v>1979.3638913984801</v>
      </c>
      <c r="M4447">
        <v>30.419385342520801</v>
      </c>
      <c r="O4447">
        <v>64.789879618115805</v>
      </c>
      <c r="P4447">
        <v>-4.6442499307754098E-2</v>
      </c>
      <c r="Q4447">
        <v>0.604333088855872</v>
      </c>
      <c r="R4447">
        <v>0.63515244819566996</v>
      </c>
      <c r="S4447" t="s">
        <v>10273</v>
      </c>
      <c r="T4447" t="s">
        <v>11650</v>
      </c>
      <c r="U4447" t="s">
        <v>11650</v>
      </c>
      <c r="V4447" t="s">
        <v>11650</v>
      </c>
      <c r="W4447" t="s">
        <v>16043</v>
      </c>
      <c r="X4447">
        <v>8</v>
      </c>
      <c r="Y4447" t="s">
        <v>21713</v>
      </c>
      <c r="Z4447" t="s">
        <v>27509</v>
      </c>
      <c r="AA4447">
        <v>0.93414708011606984</v>
      </c>
      <c r="AB4447" t="str">
        <f>HYPERLINK("Melting_Curves/meltCurve_Q96BA8_CREB3L1.pdf", "Melting_Curves/meltCurve_Q96BA8_CREB3L1.pdf")</f>
        <v>Melting_Curves/meltCurve_Q96BA8_CREB3L1.pdf</v>
      </c>
    </row>
    <row r="4448" spans="1:28" x14ac:dyDescent="0.25">
      <c r="A4448" t="s">
        <v>4452</v>
      </c>
      <c r="B4448">
        <v>0.99996721820229495</v>
      </c>
      <c r="C4448">
        <v>1.0305406852527601</v>
      </c>
      <c r="D4448">
        <v>0.96345220236885198</v>
      </c>
      <c r="E4448">
        <v>0.94087952524778395</v>
      </c>
      <c r="F4448">
        <v>0.71530728132885502</v>
      </c>
      <c r="G4448">
        <v>0.56407740459099698</v>
      </c>
      <c r="H4448">
        <v>0.36557374796518799</v>
      </c>
      <c r="I4448">
        <v>0.25981913952159402</v>
      </c>
      <c r="J4448">
        <v>0.224265406323961</v>
      </c>
      <c r="K4448">
        <v>0.18929626051526099</v>
      </c>
      <c r="L4448">
        <v>850.13136536640502</v>
      </c>
      <c r="M4448">
        <v>15.054716185936201</v>
      </c>
      <c r="N4448">
        <v>57.810574407734201</v>
      </c>
      <c r="O4448">
        <v>55.501181688491897</v>
      </c>
      <c r="P4448">
        <v>-5.7823315844932402E-2</v>
      </c>
      <c r="Q4448">
        <v>0.14739209162802999</v>
      </c>
      <c r="R4448">
        <v>0.99335958677873903</v>
      </c>
      <c r="S4448" t="s">
        <v>10274</v>
      </c>
      <c r="T4448" t="s">
        <v>11650</v>
      </c>
      <c r="U4448" t="s">
        <v>11650</v>
      </c>
      <c r="V4448" t="s">
        <v>11650</v>
      </c>
      <c r="W4448" t="s">
        <v>16044</v>
      </c>
      <c r="X4448">
        <v>14</v>
      </c>
      <c r="Y4448" t="s">
        <v>21714</v>
      </c>
      <c r="Z4448" t="s">
        <v>27510</v>
      </c>
      <c r="AA4448">
        <v>0.62982198144724699</v>
      </c>
      <c r="AB4448" t="str">
        <f>HYPERLINK("Melting_Curves/meltCurve_Q96BH1_RNF25.pdf", "Melting_Curves/meltCurve_Q96BH1_RNF25.pdf")</f>
        <v>Melting_Curves/meltCurve_Q96BH1_RNF25.pdf</v>
      </c>
    </row>
    <row r="4449" spans="1:28" x14ac:dyDescent="0.25">
      <c r="A4449" t="s">
        <v>4453</v>
      </c>
      <c r="B4449">
        <v>0.99996721820229495</v>
      </c>
      <c r="C4449">
        <v>1.0278994056589601</v>
      </c>
      <c r="D4449">
        <v>0.93858975491320995</v>
      </c>
      <c r="E4449">
        <v>0.70262501221128904</v>
      </c>
      <c r="F4449">
        <v>0.45686410332477501</v>
      </c>
      <c r="G4449">
        <v>0.308379085999756</v>
      </c>
      <c r="H4449">
        <v>0.15348331263450199</v>
      </c>
      <c r="I4449">
        <v>9.9204188499464899E-2</v>
      </c>
      <c r="J4449">
        <v>6.9566198967192794E-2</v>
      </c>
      <c r="K4449">
        <v>5.44913413551169E-2</v>
      </c>
      <c r="L4449">
        <v>843.73918898592399</v>
      </c>
      <c r="M4449">
        <v>16.043866181953401</v>
      </c>
      <c r="N4449">
        <v>52.937872643338999</v>
      </c>
      <c r="O4449">
        <v>51.7928479587355</v>
      </c>
      <c r="P4449">
        <v>-7.3568564013196502E-2</v>
      </c>
      <c r="Q4449">
        <v>5.0096841339789901E-2</v>
      </c>
      <c r="R4449">
        <v>0.99491225466251998</v>
      </c>
      <c r="S4449" t="s">
        <v>10275</v>
      </c>
      <c r="T4449" t="s">
        <v>11650</v>
      </c>
      <c r="U4449" t="s">
        <v>11650</v>
      </c>
      <c r="V4449" t="s">
        <v>11650</v>
      </c>
      <c r="W4449" t="s">
        <v>16045</v>
      </c>
      <c r="X4449">
        <v>14</v>
      </c>
      <c r="Y4449" t="s">
        <v>21715</v>
      </c>
      <c r="Z4449" t="s">
        <v>27511</v>
      </c>
      <c r="AA4449">
        <v>0.46752778603615047</v>
      </c>
      <c r="AB4449" t="str">
        <f>HYPERLINK("Melting_Curves/meltCurve_Q96BJ3_AIDA.pdf", "Melting_Curves/meltCurve_Q96BJ3_AIDA.pdf")</f>
        <v>Melting_Curves/meltCurve_Q96BJ3_AIDA.pdf</v>
      </c>
    </row>
    <row r="4450" spans="1:28" x14ac:dyDescent="0.25">
      <c r="A4450" t="s">
        <v>4454</v>
      </c>
      <c r="B4450">
        <v>0.99996721820229495</v>
      </c>
      <c r="C4450">
        <v>1.1295629454380101</v>
      </c>
      <c r="D4450">
        <v>1.0826644735737201</v>
      </c>
      <c r="E4450">
        <v>0.98241774675590898</v>
      </c>
      <c r="F4450">
        <v>1.12783052286149</v>
      </c>
      <c r="G4450">
        <v>1.0040867899211701</v>
      </c>
      <c r="H4450">
        <v>0.83383253360964804</v>
      </c>
      <c r="I4450">
        <v>0.70685109313648797</v>
      </c>
      <c r="J4450">
        <v>0.49964283799148002</v>
      </c>
      <c r="K4450">
        <v>0.20744063272555099</v>
      </c>
      <c r="L4450">
        <v>1500.95994037116</v>
      </c>
      <c r="M4450">
        <v>22.575689364340001</v>
      </c>
      <c r="N4450">
        <v>66.485674724356002</v>
      </c>
      <c r="O4450">
        <v>65.970596643824194</v>
      </c>
      <c r="P4450">
        <v>-8.5553812831060894E-2</v>
      </c>
      <c r="Q4450">
        <v>0</v>
      </c>
      <c r="R4450">
        <v>0.94275828678301499</v>
      </c>
      <c r="S4450" t="s">
        <v>10276</v>
      </c>
      <c r="T4450" t="s">
        <v>11650</v>
      </c>
      <c r="U4450" t="s">
        <v>11650</v>
      </c>
      <c r="V4450" t="s">
        <v>11650</v>
      </c>
      <c r="W4450" t="s">
        <v>16046</v>
      </c>
      <c r="X4450">
        <v>5</v>
      </c>
      <c r="Y4450" t="s">
        <v>21716</v>
      </c>
      <c r="Z4450" t="s">
        <v>27512</v>
      </c>
      <c r="AA4450">
        <v>0.86361621877546513</v>
      </c>
      <c r="AB4450" t="str">
        <f>HYPERLINK("Melting_Curves/meltCurve_Q96BM9_ARL8A.pdf", "Melting_Curves/meltCurve_Q96BM9_ARL8A.pdf")</f>
        <v>Melting_Curves/meltCurve_Q96BM9_ARL8A.pdf</v>
      </c>
    </row>
    <row r="4451" spans="1:28" x14ac:dyDescent="0.25">
      <c r="A4451" t="s">
        <v>4455</v>
      </c>
      <c r="B4451">
        <v>0.99996721820229495</v>
      </c>
      <c r="C4451">
        <v>1.04767897150156</v>
      </c>
      <c r="D4451">
        <v>0.98598397212460798</v>
      </c>
      <c r="E4451">
        <v>0.716863282108961</v>
      </c>
      <c r="F4451">
        <v>0.33236462142851197</v>
      </c>
      <c r="G4451">
        <v>0.24097334672300899</v>
      </c>
      <c r="H4451">
        <v>0.14191222163329001</v>
      </c>
      <c r="I4451">
        <v>0.108330993406799</v>
      </c>
      <c r="J4451">
        <v>7.6144702612150603E-2</v>
      </c>
      <c r="K4451">
        <v>6.9114933636649001E-2</v>
      </c>
      <c r="L4451">
        <v>1389.81442596431</v>
      </c>
      <c r="M4451">
        <v>27.082769623209899</v>
      </c>
      <c r="N4451">
        <v>51.776082087987902</v>
      </c>
      <c r="O4451">
        <v>51.039952545414799</v>
      </c>
      <c r="P4451">
        <v>-0.11850448696357201</v>
      </c>
      <c r="Q4451">
        <v>0.10667863242871201</v>
      </c>
      <c r="R4451">
        <v>0.99100738297836999</v>
      </c>
      <c r="S4451" t="s">
        <v>10277</v>
      </c>
      <c r="T4451" t="s">
        <v>11650</v>
      </c>
      <c r="U4451" t="s">
        <v>11650</v>
      </c>
      <c r="V4451" t="s">
        <v>11650</v>
      </c>
      <c r="W4451" t="s">
        <v>16047</v>
      </c>
      <c r="X4451">
        <v>7</v>
      </c>
      <c r="Y4451" t="s">
        <v>21717</v>
      </c>
      <c r="Z4451" t="s">
        <v>27513</v>
      </c>
      <c r="AA4451">
        <v>0.45059696802261429</v>
      </c>
      <c r="AB4451" t="str">
        <f>HYPERLINK("Melting_Curves/meltCurve_Q96BN8_FAM105B.pdf", "Melting_Curves/meltCurve_Q96BN8_FAM105B.pdf")</f>
        <v>Melting_Curves/meltCurve_Q96BN8_FAM105B.pdf</v>
      </c>
    </row>
    <row r="4452" spans="1:28" x14ac:dyDescent="0.25">
      <c r="A4452" t="s">
        <v>4456</v>
      </c>
      <c r="B4452">
        <v>0.99996721820229495</v>
      </c>
      <c r="C4452">
        <v>1.0398966484953001</v>
      </c>
      <c r="D4452">
        <v>1.01554920330055</v>
      </c>
      <c r="E4452">
        <v>0.89115758863048999</v>
      </c>
      <c r="F4452">
        <v>1.0067520487838499</v>
      </c>
      <c r="G4452">
        <v>0.83522097015055996</v>
      </c>
      <c r="H4452">
        <v>0.47328349639578099</v>
      </c>
      <c r="I4452">
        <v>0.39089541609009498</v>
      </c>
      <c r="J4452">
        <v>0.33059389195349798</v>
      </c>
      <c r="K4452">
        <v>0.21607907779479099</v>
      </c>
      <c r="L4452">
        <v>1532.64791723549</v>
      </c>
      <c r="M4452">
        <v>25.740326641324899</v>
      </c>
      <c r="N4452">
        <v>61.181076904150899</v>
      </c>
      <c r="O4452">
        <v>59.186789404350201</v>
      </c>
      <c r="P4452">
        <v>-8.1649041956065802E-2</v>
      </c>
      <c r="Q4452">
        <v>0.24904041357066301</v>
      </c>
      <c r="R4452">
        <v>0.97835300934583602</v>
      </c>
      <c r="S4452" t="s">
        <v>10278</v>
      </c>
      <c r="T4452" t="s">
        <v>11650</v>
      </c>
      <c r="U4452" t="s">
        <v>11650</v>
      </c>
      <c r="V4452" t="s">
        <v>11650</v>
      </c>
      <c r="W4452" t="s">
        <v>16048</v>
      </c>
      <c r="X4452">
        <v>2</v>
      </c>
      <c r="Y4452" t="s">
        <v>21718</v>
      </c>
      <c r="Z4452" t="s">
        <v>27514</v>
      </c>
      <c r="AA4452">
        <v>0.74392066014530989</v>
      </c>
      <c r="AB4452" t="str">
        <f>HYPERLINK("Melting_Curves/meltCurve_Q96BP2_CHCHD1.pdf", "Melting_Curves/meltCurve_Q96BP2_CHCHD1.pdf")</f>
        <v>Melting_Curves/meltCurve_Q96BP2_CHCHD1.pdf</v>
      </c>
    </row>
    <row r="4453" spans="1:28" x14ac:dyDescent="0.25">
      <c r="A4453" t="s">
        <v>4457</v>
      </c>
      <c r="B4453">
        <v>0.99996721820229495</v>
      </c>
      <c r="C4453">
        <v>0.981683157545437</v>
      </c>
      <c r="D4453">
        <v>0.96182010917135097</v>
      </c>
      <c r="E4453">
        <v>0.64213527412416505</v>
      </c>
      <c r="F4453">
        <v>0.24389675792145901</v>
      </c>
      <c r="G4453">
        <v>0.167534538270524</v>
      </c>
      <c r="H4453">
        <v>9.8813325472049698E-2</v>
      </c>
      <c r="I4453">
        <v>7.2959542276138198E-2</v>
      </c>
      <c r="J4453">
        <v>9.0866675280244294E-2</v>
      </c>
      <c r="K4453">
        <v>9.3838057570854394E-2</v>
      </c>
      <c r="L4453">
        <v>1658.52910794886</v>
      </c>
      <c r="M4453">
        <v>32.785510509940302</v>
      </c>
      <c r="N4453">
        <v>50.921362395056697</v>
      </c>
      <c r="O4453">
        <v>50.400163530016201</v>
      </c>
      <c r="P4453">
        <v>-0.146888919473771</v>
      </c>
      <c r="Q4453">
        <v>9.6772676056061893E-2</v>
      </c>
      <c r="R4453">
        <v>0.99756079565929401</v>
      </c>
      <c r="S4453" t="s">
        <v>10279</v>
      </c>
      <c r="T4453" t="s">
        <v>11650</v>
      </c>
      <c r="U4453" t="s">
        <v>11650</v>
      </c>
      <c r="V4453" t="s">
        <v>11650</v>
      </c>
      <c r="W4453" t="s">
        <v>16049</v>
      </c>
      <c r="X4453">
        <v>3</v>
      </c>
      <c r="Y4453" t="s">
        <v>21719</v>
      </c>
      <c r="Z4453" t="s">
        <v>27515</v>
      </c>
      <c r="AA4453">
        <v>0.42024645976134922</v>
      </c>
      <c r="AB4453" t="str">
        <f>HYPERLINK("Melting_Curves/meltCurve_Q96BP3_PPWD1.pdf", "Melting_Curves/meltCurve_Q96BP3_PPWD1.pdf")</f>
        <v>Melting_Curves/meltCurve_Q96BP3_PPWD1.pdf</v>
      </c>
    </row>
    <row r="4454" spans="1:28" x14ac:dyDescent="0.25">
      <c r="A4454" t="s">
        <v>4458</v>
      </c>
      <c r="B4454">
        <v>0.99996721820229495</v>
      </c>
      <c r="C4454">
        <v>0.93530419975943602</v>
      </c>
      <c r="D4454">
        <v>0.89087684994427796</v>
      </c>
      <c r="E4454">
        <v>0.97335335863501804</v>
      </c>
      <c r="F4454">
        <v>1.0163071646233199</v>
      </c>
      <c r="G4454">
        <v>0.91313053468191996</v>
      </c>
      <c r="H4454">
        <v>0.61680636586721205</v>
      </c>
      <c r="I4454">
        <v>0.47453630958388598</v>
      </c>
      <c r="J4454">
        <v>0.386706440814096</v>
      </c>
      <c r="K4454">
        <v>0.28066464042228001</v>
      </c>
      <c r="L4454">
        <v>1492.6403452637201</v>
      </c>
      <c r="M4454">
        <v>24.4274047191292</v>
      </c>
      <c r="N4454">
        <v>63.226355598045302</v>
      </c>
      <c r="O4454">
        <v>60.7000532810709</v>
      </c>
      <c r="P4454">
        <v>-7.2470413545329404E-2</v>
      </c>
      <c r="Q4454">
        <v>0.27967902936914202</v>
      </c>
      <c r="R4454">
        <v>0.97023017504239595</v>
      </c>
      <c r="S4454" t="s">
        <v>10280</v>
      </c>
      <c r="T4454" t="s">
        <v>11650</v>
      </c>
      <c r="U4454" t="s">
        <v>11650</v>
      </c>
      <c r="V4454" t="s">
        <v>11650</v>
      </c>
      <c r="W4454" t="s">
        <v>16050</v>
      </c>
      <c r="X4454">
        <v>11</v>
      </c>
      <c r="Y4454" t="s">
        <v>21720</v>
      </c>
      <c r="Z4454" t="s">
        <v>27516</v>
      </c>
      <c r="AA4454">
        <v>0.79087016309315139</v>
      </c>
      <c r="AB4454" t="str">
        <f>HYPERLINK("Melting_Curves/meltCurve_Q96BR5_SELRC1.pdf", "Melting_Curves/meltCurve_Q96BR5_SELRC1.pdf")</f>
        <v>Melting_Curves/meltCurve_Q96BR5_SELRC1.pdf</v>
      </c>
    </row>
    <row r="4455" spans="1:28" x14ac:dyDescent="0.25">
      <c r="A4455" t="s">
        <v>4459</v>
      </c>
      <c r="B4455">
        <v>0.99996721820229495</v>
      </c>
      <c r="C4455">
        <v>1.0056594058019599</v>
      </c>
      <c r="D4455">
        <v>1.0357179543567201</v>
      </c>
      <c r="E4455">
        <v>1.0259714894165699</v>
      </c>
      <c r="F4455">
        <v>1.30462492697573</v>
      </c>
      <c r="G4455">
        <v>1.2297093437695501</v>
      </c>
      <c r="H4455">
        <v>0.86923291115337598</v>
      </c>
      <c r="I4455">
        <v>0.45635810124901599</v>
      </c>
      <c r="J4455">
        <v>0.19847710553789799</v>
      </c>
      <c r="K4455">
        <v>0.13805045340392</v>
      </c>
      <c r="L4455">
        <v>3180.4124731982602</v>
      </c>
      <c r="M4455">
        <v>50.249701279727098</v>
      </c>
      <c r="N4455">
        <v>63.707763216005802</v>
      </c>
      <c r="O4455">
        <v>63.192176232375097</v>
      </c>
      <c r="P4455">
        <v>-0.17101627066605199</v>
      </c>
      <c r="Q4455">
        <v>0.13974575126875199</v>
      </c>
      <c r="R4455">
        <v>0.90312369496900702</v>
      </c>
      <c r="S4455" t="s">
        <v>10281</v>
      </c>
      <c r="T4455" t="s">
        <v>11650</v>
      </c>
      <c r="U4455" t="s">
        <v>11650</v>
      </c>
      <c r="V4455" t="s">
        <v>11650</v>
      </c>
      <c r="W4455" t="s">
        <v>16051</v>
      </c>
      <c r="X4455">
        <v>10</v>
      </c>
      <c r="Y4455" t="s">
        <v>21721</v>
      </c>
      <c r="Z4455" t="s">
        <v>27517</v>
      </c>
      <c r="AA4455">
        <v>0.80965617011426083</v>
      </c>
      <c r="AB4455" t="str">
        <f>HYPERLINK("Melting_Curves/meltCurve_Q96BW5_2_PTER.pdf", "Melting_Curves/meltCurve_Q96BW5_2_PTER.pdf")</f>
        <v>Melting_Curves/meltCurve_Q96BW5_2_PTER.pdf</v>
      </c>
    </row>
    <row r="4456" spans="1:28" x14ac:dyDescent="0.25">
      <c r="A4456" t="s">
        <v>4460</v>
      </c>
      <c r="B4456">
        <v>0.99996721820229495</v>
      </c>
      <c r="C4456">
        <v>0.98089974268790103</v>
      </c>
      <c r="D4456">
        <v>0.94408900693487896</v>
      </c>
      <c r="E4456">
        <v>0.66029301210603297</v>
      </c>
      <c r="F4456">
        <v>0.40594497415765401</v>
      </c>
      <c r="G4456">
        <v>0.33703235697443401</v>
      </c>
      <c r="H4456">
        <v>0.16608599084901399</v>
      </c>
      <c r="I4456">
        <v>7.8226974843781896E-2</v>
      </c>
      <c r="J4456">
        <v>6.0535201403211697E-2</v>
      </c>
      <c r="K4456">
        <v>5.16699375350822E-2</v>
      </c>
      <c r="L4456">
        <v>770.50826094242302</v>
      </c>
      <c r="M4456">
        <v>14.730001352252399</v>
      </c>
      <c r="N4456">
        <v>52.598303887649401</v>
      </c>
      <c r="O4456">
        <v>51.373065916042101</v>
      </c>
      <c r="P4456">
        <v>-6.8897648327684094E-2</v>
      </c>
      <c r="Q4456">
        <v>3.8941402269905598E-2</v>
      </c>
      <c r="R4456">
        <v>0.98883478203238495</v>
      </c>
      <c r="S4456" t="s">
        <v>10282</v>
      </c>
      <c r="T4456" t="s">
        <v>11650</v>
      </c>
      <c r="U4456" t="s">
        <v>11650</v>
      </c>
      <c r="V4456" t="s">
        <v>11650</v>
      </c>
      <c r="W4456" t="s">
        <v>16052</v>
      </c>
      <c r="X4456">
        <v>5</v>
      </c>
      <c r="Y4456" t="s">
        <v>21722</v>
      </c>
      <c r="Z4456" t="s">
        <v>27518</v>
      </c>
      <c r="AA4456">
        <v>0.45508431803676458</v>
      </c>
      <c r="AB4456" t="str">
        <f>HYPERLINK("Melting_Curves/meltCurve_Q96BX8_MOB3A.pdf", "Melting_Curves/meltCurve_Q96BX8_MOB3A.pdf")</f>
        <v>Melting_Curves/meltCurve_Q96BX8_MOB3A.pdf</v>
      </c>
    </row>
    <row r="4457" spans="1:28" x14ac:dyDescent="0.25">
      <c r="A4457" t="s">
        <v>4461</v>
      </c>
      <c r="B4457">
        <v>0.99996721820229495</v>
      </c>
      <c r="C4457">
        <v>0.85796409582713795</v>
      </c>
      <c r="D4457">
        <v>0.97294782372713096</v>
      </c>
      <c r="E4457">
        <v>1.2349263565072399</v>
      </c>
      <c r="F4457">
        <v>1.5702817830101801</v>
      </c>
      <c r="G4457">
        <v>1.3704222528663901</v>
      </c>
      <c r="H4457">
        <v>0.65775240573442495</v>
      </c>
      <c r="I4457">
        <v>0.45504623234630898</v>
      </c>
      <c r="J4457">
        <v>0.42908417380719399</v>
      </c>
      <c r="K4457">
        <v>0.32649737233791498</v>
      </c>
      <c r="L4457">
        <v>7776.3702437573902</v>
      </c>
      <c r="M4457">
        <v>127.77227928640499</v>
      </c>
      <c r="N4457">
        <v>61.652592640894198</v>
      </c>
      <c r="O4457">
        <v>60.846250377351197</v>
      </c>
      <c r="P4457">
        <v>-0.31339873093382897</v>
      </c>
      <c r="Q4457">
        <v>0.40302728069064597</v>
      </c>
      <c r="R4457">
        <v>0.65886127353013602</v>
      </c>
      <c r="S4457" t="s">
        <v>10283</v>
      </c>
      <c r="T4457" t="s">
        <v>11650</v>
      </c>
      <c r="U4457" t="s">
        <v>11650</v>
      </c>
      <c r="V4457" t="s">
        <v>11650</v>
      </c>
      <c r="W4457" t="s">
        <v>16053</v>
      </c>
      <c r="X4457">
        <v>4</v>
      </c>
      <c r="Y4457" t="s">
        <v>21723</v>
      </c>
      <c r="Z4457" t="s">
        <v>27519</v>
      </c>
      <c r="AA4457">
        <v>0.81838982359058343</v>
      </c>
      <c r="AB4457" t="str">
        <f>HYPERLINK("Melting_Curves/meltCurve_Q96BY7_ATG2B.pdf", "Melting_Curves/meltCurve_Q96BY7_ATG2B.pdf")</f>
        <v>Melting_Curves/meltCurve_Q96BY7_ATG2B.pdf</v>
      </c>
    </row>
    <row r="4458" spans="1:28" x14ac:dyDescent="0.25">
      <c r="A4458" t="s">
        <v>4462</v>
      </c>
      <c r="B4458">
        <v>0.99996721820229495</v>
      </c>
      <c r="C4458">
        <v>0.98291538500666498</v>
      </c>
      <c r="D4458">
        <v>0.92330108575538605</v>
      </c>
      <c r="E4458">
        <v>0.69663315764830203</v>
      </c>
      <c r="F4458">
        <v>0.38905495374472798</v>
      </c>
      <c r="G4458">
        <v>0.30486901327399601</v>
      </c>
      <c r="H4458">
        <v>0.18569446463752501</v>
      </c>
      <c r="I4458">
        <v>0.107136805104878</v>
      </c>
      <c r="J4458">
        <v>6.2710032572838498E-2</v>
      </c>
      <c r="K4458">
        <v>6.2883673608158705E-2</v>
      </c>
      <c r="L4458">
        <v>832.06203329570997</v>
      </c>
      <c r="M4458">
        <v>16.0009756241591</v>
      </c>
      <c r="N4458">
        <v>52.462306884097302</v>
      </c>
      <c r="O4458">
        <v>51.208833599302899</v>
      </c>
      <c r="P4458">
        <v>-7.2992646557400898E-2</v>
      </c>
      <c r="Q4458">
        <v>6.5663172129581407E-2</v>
      </c>
      <c r="R4458">
        <v>0.99097690061895605</v>
      </c>
      <c r="S4458" t="s">
        <v>10284</v>
      </c>
      <c r="T4458" t="s">
        <v>11650</v>
      </c>
      <c r="U4458" t="s">
        <v>11650</v>
      </c>
      <c r="V4458" t="s">
        <v>11650</v>
      </c>
      <c r="W4458" t="s">
        <v>16054</v>
      </c>
      <c r="X4458">
        <v>11</v>
      </c>
      <c r="Y4458" t="s">
        <v>21724</v>
      </c>
      <c r="Z4458" t="s">
        <v>27520</v>
      </c>
      <c r="AA4458">
        <v>0.45830381723656949</v>
      </c>
      <c r="AB4458" t="str">
        <f>HYPERLINK("Melting_Curves/meltCurve_Q96BZ9_TBC1D20.pdf", "Melting_Curves/meltCurve_Q96BZ9_TBC1D20.pdf")</f>
        <v>Melting_Curves/meltCurve_Q96BZ9_TBC1D20.pdf</v>
      </c>
    </row>
    <row r="4459" spans="1:28" x14ac:dyDescent="0.25">
      <c r="A4459" t="s">
        <v>4463</v>
      </c>
      <c r="B4459">
        <v>0.99996721820229495</v>
      </c>
      <c r="C4459">
        <v>0.97330838890140903</v>
      </c>
      <c r="D4459">
        <v>0.96104582325196397</v>
      </c>
      <c r="E4459">
        <v>1.0324791599340499</v>
      </c>
      <c r="F4459">
        <v>1.3405595800373</v>
      </c>
      <c r="G4459">
        <v>1.19543994107338</v>
      </c>
      <c r="H4459">
        <v>0.77789103271149496</v>
      </c>
      <c r="I4459">
        <v>0.758699080139285</v>
      </c>
      <c r="J4459">
        <v>0.59120335640967703</v>
      </c>
      <c r="K4459">
        <v>0.44693601127910998</v>
      </c>
      <c r="L4459">
        <v>1752.9468941858599</v>
      </c>
      <c r="M4459">
        <v>27.207233364042199</v>
      </c>
      <c r="N4459">
        <v>68.713432838649098</v>
      </c>
      <c r="O4459">
        <v>64.084389973277496</v>
      </c>
      <c r="P4459">
        <v>-6.2800965056770894E-2</v>
      </c>
      <c r="Q4459">
        <v>0.40831575813760301</v>
      </c>
      <c r="R4459">
        <v>0.72263902190441498</v>
      </c>
      <c r="S4459" t="s">
        <v>10285</v>
      </c>
      <c r="T4459" t="s">
        <v>11650</v>
      </c>
      <c r="U4459" t="s">
        <v>11650</v>
      </c>
      <c r="V4459" t="s">
        <v>11650</v>
      </c>
      <c r="W4459" t="s">
        <v>16055</v>
      </c>
      <c r="X4459">
        <v>12</v>
      </c>
      <c r="Y4459" t="s">
        <v>21725</v>
      </c>
      <c r="Z4459" t="s">
        <v>27521</v>
      </c>
      <c r="AA4459">
        <v>0.88933944797236675</v>
      </c>
      <c r="AB4459" t="str">
        <f>HYPERLINK("Melting_Curves/meltCurve_Q96C01_FAM136A.pdf", "Melting_Curves/meltCurve_Q96C01_FAM136A.pdf")</f>
        <v>Melting_Curves/meltCurve_Q96C01_FAM136A.pdf</v>
      </c>
    </row>
    <row r="4460" spans="1:28" x14ac:dyDescent="0.25">
      <c r="A4460" t="s">
        <v>4464</v>
      </c>
      <c r="B4460">
        <v>0.99996721820229495</v>
      </c>
      <c r="C4460">
        <v>1.0667458979008799</v>
      </c>
      <c r="D4460">
        <v>1.0967624779088401</v>
      </c>
      <c r="E4460">
        <v>1.1308918650733899</v>
      </c>
      <c r="F4460">
        <v>1.4377774494354401</v>
      </c>
      <c r="G4460">
        <v>1.48577108553737</v>
      </c>
      <c r="H4460">
        <v>0.46821622538905</v>
      </c>
      <c r="I4460">
        <v>0.202654416061051</v>
      </c>
      <c r="J4460">
        <v>0.13485081675940799</v>
      </c>
      <c r="K4460">
        <v>0.113839549728124</v>
      </c>
      <c r="L4460">
        <v>9603.20149707985</v>
      </c>
      <c r="M4460">
        <v>157.94332133587301</v>
      </c>
      <c r="N4460">
        <v>60.939527046285903</v>
      </c>
      <c r="O4460">
        <v>60.791820737607303</v>
      </c>
      <c r="P4460">
        <v>-0.55189430101171899</v>
      </c>
      <c r="Q4460">
        <v>0.15031141964265701</v>
      </c>
      <c r="R4460">
        <v>0.81947239526849502</v>
      </c>
      <c r="S4460" t="s">
        <v>10286</v>
      </c>
      <c r="T4460" t="s">
        <v>11650</v>
      </c>
      <c r="U4460" t="s">
        <v>11650</v>
      </c>
      <c r="V4460" t="s">
        <v>11650</v>
      </c>
      <c r="W4460" t="s">
        <v>16056</v>
      </c>
      <c r="X4460">
        <v>14</v>
      </c>
      <c r="Y4460" t="s">
        <v>21726</v>
      </c>
      <c r="Z4460" t="s">
        <v>27522</v>
      </c>
      <c r="AA4460">
        <v>0.73970046093958386</v>
      </c>
      <c r="AB4460" t="str">
        <f>HYPERLINK("Melting_Curves/meltCurve_Q96C11_FGGY.pdf", "Melting_Curves/meltCurve_Q96C11_FGGY.pdf")</f>
        <v>Melting_Curves/meltCurve_Q96C11_FGGY.pdf</v>
      </c>
    </row>
    <row r="4461" spans="1:28" x14ac:dyDescent="0.25">
      <c r="A4461" t="s">
        <v>4465</v>
      </c>
      <c r="B4461">
        <v>0.99996721820229495</v>
      </c>
      <c r="C4461">
        <v>0.98687454152391196</v>
      </c>
      <c r="D4461">
        <v>0.95091471956197204</v>
      </c>
      <c r="E4461">
        <v>0.81317935289568999</v>
      </c>
      <c r="F4461">
        <v>0.54033947958305595</v>
      </c>
      <c r="G4461">
        <v>0.412789517008192</v>
      </c>
      <c r="H4461">
        <v>0.27114276749675897</v>
      </c>
      <c r="I4461">
        <v>0.25531904448056603</v>
      </c>
      <c r="J4461">
        <v>0.22585634266725499</v>
      </c>
      <c r="K4461">
        <v>0.16155848945394699</v>
      </c>
      <c r="L4461">
        <v>879.34952673040902</v>
      </c>
      <c r="M4461">
        <v>16.588730393931002</v>
      </c>
      <c r="N4461">
        <v>54.561830661255499</v>
      </c>
      <c r="O4461">
        <v>52.256504534190903</v>
      </c>
      <c r="P4461">
        <v>-6.4432603220131404E-2</v>
      </c>
      <c r="Q4461">
        <v>0.18817347105129301</v>
      </c>
      <c r="R4461">
        <v>0.99300793885792404</v>
      </c>
      <c r="S4461" t="s">
        <v>10287</v>
      </c>
      <c r="T4461" t="s">
        <v>11650</v>
      </c>
      <c r="U4461" t="s">
        <v>11650</v>
      </c>
      <c r="V4461" t="s">
        <v>11650</v>
      </c>
      <c r="W4461" t="s">
        <v>16057</v>
      </c>
      <c r="X4461">
        <v>22</v>
      </c>
      <c r="Y4461" t="s">
        <v>21727</v>
      </c>
      <c r="Z4461" t="s">
        <v>27523</v>
      </c>
      <c r="AA4461">
        <v>0.55529463303584914</v>
      </c>
      <c r="AB4461" t="str">
        <f>HYPERLINK("Melting_Curves/meltCurve_Q96C19_EFHD2.pdf", "Melting_Curves/meltCurve_Q96C19_EFHD2.pdf")</f>
        <v>Melting_Curves/meltCurve_Q96C19_EFHD2.pdf</v>
      </c>
    </row>
    <row r="4462" spans="1:28" x14ac:dyDescent="0.25">
      <c r="A4462" t="s">
        <v>4466</v>
      </c>
      <c r="B4462">
        <v>0.99996721820229495</v>
      </c>
      <c r="C4462">
        <v>1.02387678769184</v>
      </c>
      <c r="D4462">
        <v>0.935697402384012</v>
      </c>
      <c r="E4462">
        <v>0.68341189917450595</v>
      </c>
      <c r="F4462">
        <v>0.44975849601018297</v>
      </c>
      <c r="G4462">
        <v>0.24246457542921299</v>
      </c>
      <c r="H4462">
        <v>0.115433262439992</v>
      </c>
      <c r="I4462">
        <v>7.1462318340022604E-2</v>
      </c>
      <c r="J4462">
        <v>4.9375200384283703E-2</v>
      </c>
      <c r="K4462">
        <v>4.4845358102829101E-2</v>
      </c>
      <c r="L4462">
        <v>914.58937937997098</v>
      </c>
      <c r="M4462">
        <v>17.503410741996099</v>
      </c>
      <c r="N4462">
        <v>52.4873175125405</v>
      </c>
      <c r="O4462">
        <v>51.584338935865198</v>
      </c>
      <c r="P4462">
        <v>-8.1633289660404895E-2</v>
      </c>
      <c r="Q4462">
        <v>3.7726448310225098E-2</v>
      </c>
      <c r="R4462">
        <v>0.997848754120501</v>
      </c>
      <c r="S4462" t="s">
        <v>10288</v>
      </c>
      <c r="T4462" t="s">
        <v>11650</v>
      </c>
      <c r="U4462" t="s">
        <v>11650</v>
      </c>
      <c r="V4462" t="s">
        <v>11650</v>
      </c>
      <c r="W4462" t="s">
        <v>16058</v>
      </c>
      <c r="X4462">
        <v>8</v>
      </c>
      <c r="Y4462" t="s">
        <v>21728</v>
      </c>
      <c r="Z4462" t="s">
        <v>27524</v>
      </c>
      <c r="AA4462">
        <v>0.44743835220603839</v>
      </c>
      <c r="AB4462" t="str">
        <f>HYPERLINK("Melting_Curves/meltCurve_Q96C23_GALM.pdf", "Melting_Curves/meltCurve_Q96C23_GALM.pdf")</f>
        <v>Melting_Curves/meltCurve_Q96C23_GALM.pdf</v>
      </c>
    </row>
    <row r="4463" spans="1:28" x14ac:dyDescent="0.25">
      <c r="A4463" t="s">
        <v>4467</v>
      </c>
      <c r="B4463">
        <v>0.99996721820229495</v>
      </c>
      <c r="C4463">
        <v>0.80662195798605096</v>
      </c>
      <c r="D4463">
        <v>0.78393716892770704</v>
      </c>
      <c r="E4463">
        <v>0.95185617903872299</v>
      </c>
      <c r="F4463">
        <v>0.98124037552685806</v>
      </c>
      <c r="G4463">
        <v>0.753756303741411</v>
      </c>
      <c r="H4463">
        <v>0.52298283888196595</v>
      </c>
      <c r="I4463">
        <v>0.26916999800190899</v>
      </c>
      <c r="J4463">
        <v>0.14629603673675701</v>
      </c>
      <c r="K4463">
        <v>0.14085337182671601</v>
      </c>
      <c r="L4463">
        <v>1174.90139175831</v>
      </c>
      <c r="M4463">
        <v>19.423298962584902</v>
      </c>
      <c r="N4463">
        <v>60.813697994507699</v>
      </c>
      <c r="O4463">
        <v>59.8590427346547</v>
      </c>
      <c r="P4463">
        <v>-7.7131523690339002E-2</v>
      </c>
      <c r="Q4463">
        <v>4.9213943522502801E-2</v>
      </c>
      <c r="R4463">
        <v>0.91447308913365399</v>
      </c>
      <c r="S4463" t="s">
        <v>10289</v>
      </c>
      <c r="T4463" t="s">
        <v>11650</v>
      </c>
      <c r="U4463" t="s">
        <v>11650</v>
      </c>
      <c r="V4463" t="s">
        <v>11650</v>
      </c>
      <c r="W4463" t="s">
        <v>16059</v>
      </c>
      <c r="X4463">
        <v>10</v>
      </c>
      <c r="Y4463" t="s">
        <v>21729</v>
      </c>
      <c r="Z4463" t="s">
        <v>27525</v>
      </c>
      <c r="AA4463">
        <v>0.70547461063046035</v>
      </c>
      <c r="AB4463" t="str">
        <f>HYPERLINK("Melting_Curves/meltCurve_Q96C36_PYCR2.pdf", "Melting_Curves/meltCurve_Q96C36_PYCR2.pdf")</f>
        <v>Melting_Curves/meltCurve_Q96C36_PYCR2.pdf</v>
      </c>
    </row>
    <row r="4464" spans="1:28" x14ac:dyDescent="0.25">
      <c r="A4464" t="s">
        <v>4468</v>
      </c>
      <c r="B4464">
        <v>0.99996721820229495</v>
      </c>
      <c r="C4464">
        <v>0.98573387216602004</v>
      </c>
      <c r="D4464">
        <v>1.01402746851356</v>
      </c>
      <c r="E4464">
        <v>0.97476866856630295</v>
      </c>
      <c r="F4464">
        <v>1.0709641136939201</v>
      </c>
      <c r="G4464">
        <v>0.87884033977380005</v>
      </c>
      <c r="H4464">
        <v>0.31429393059377603</v>
      </c>
      <c r="I4464">
        <v>0.14263782008609699</v>
      </c>
      <c r="J4464">
        <v>9.0897078128981706E-2</v>
      </c>
      <c r="K4464">
        <v>7.7920528633928801E-2</v>
      </c>
      <c r="L4464">
        <v>2599.7703822931398</v>
      </c>
      <c r="M4464">
        <v>43.702631171129902</v>
      </c>
      <c r="N4464">
        <v>59.748111356886099</v>
      </c>
      <c r="O4464">
        <v>59.363577765642802</v>
      </c>
      <c r="P4464">
        <v>-0.16808844239884799</v>
      </c>
      <c r="Q4464">
        <v>8.6707915289282705E-2</v>
      </c>
      <c r="R4464">
        <v>0.995869924531675</v>
      </c>
      <c r="S4464" t="s">
        <v>10290</v>
      </c>
      <c r="T4464" t="s">
        <v>11650</v>
      </c>
      <c r="U4464" t="s">
        <v>11650</v>
      </c>
      <c r="V4464" t="s">
        <v>11650</v>
      </c>
      <c r="W4464" t="s">
        <v>16060</v>
      </c>
      <c r="X4464">
        <v>15</v>
      </c>
      <c r="Y4464" t="s">
        <v>21730</v>
      </c>
      <c r="Z4464" t="s">
        <v>27526</v>
      </c>
      <c r="AA4464">
        <v>0.68303098845365073</v>
      </c>
      <c r="AB4464" t="str">
        <f>HYPERLINK("Melting_Curves/meltCurve_Q96C86_DCPS.pdf", "Melting_Curves/meltCurve_Q96C86_DCPS.pdf")</f>
        <v>Melting_Curves/meltCurve_Q96C86_DCPS.pdf</v>
      </c>
    </row>
    <row r="4465" spans="1:28" x14ac:dyDescent="0.25">
      <c r="A4465" t="s">
        <v>4469</v>
      </c>
      <c r="B4465">
        <v>0.99996721820229495</v>
      </c>
      <c r="C4465">
        <v>1.0798879049535599</v>
      </c>
      <c r="D4465">
        <v>0.97534162874425201</v>
      </c>
      <c r="E4465">
        <v>0.95367018035736795</v>
      </c>
      <c r="F4465">
        <v>1.2058326918154201</v>
      </c>
      <c r="G4465">
        <v>1.51097429638154</v>
      </c>
      <c r="H4465">
        <v>1.15992552236748</v>
      </c>
      <c r="I4465">
        <v>1.08670219151902</v>
      </c>
      <c r="J4465">
        <v>1.0686008406046299</v>
      </c>
      <c r="K4465">
        <v>0.61450641227133596</v>
      </c>
      <c r="L4465">
        <v>15000</v>
      </c>
      <c r="M4465">
        <v>213.819367246003</v>
      </c>
      <c r="Q4465">
        <v>0</v>
      </c>
      <c r="R4465">
        <v>0.23165009834545799</v>
      </c>
      <c r="S4465" t="s">
        <v>10291</v>
      </c>
      <c r="T4465" t="s">
        <v>11650</v>
      </c>
      <c r="U4465" t="s">
        <v>11650</v>
      </c>
      <c r="V4465" t="s">
        <v>11650</v>
      </c>
      <c r="W4465" t="s">
        <v>16061</v>
      </c>
      <c r="X4465">
        <v>4</v>
      </c>
      <c r="Y4465" t="s">
        <v>21731</v>
      </c>
      <c r="Z4465" t="s">
        <v>27527</v>
      </c>
      <c r="AA4465">
        <v>0.99475304493404182</v>
      </c>
      <c r="AB4465" t="str">
        <f>HYPERLINK("Melting_Curves/meltCurve_Q96C90_PPP1R14B.pdf", "Melting_Curves/meltCurve_Q96C90_PPP1R14B.pdf")</f>
        <v>Melting_Curves/meltCurve_Q96C90_PPP1R14B.pdf</v>
      </c>
    </row>
    <row r="4466" spans="1:28" x14ac:dyDescent="0.25">
      <c r="A4466" t="s">
        <v>4470</v>
      </c>
      <c r="B4466">
        <v>0.99996721820229495</v>
      </c>
      <c r="C4466">
        <v>1.1355565374812699</v>
      </c>
      <c r="D4466">
        <v>1.109887091999</v>
      </c>
      <c r="E4466">
        <v>1.0073152333381801</v>
      </c>
      <c r="F4466">
        <v>0.91662740742591897</v>
      </c>
      <c r="G4466">
        <v>0.59508023969835599</v>
      </c>
      <c r="H4466">
        <v>0.32581458621331699</v>
      </c>
      <c r="I4466">
        <v>0.25133546245524901</v>
      </c>
      <c r="J4466">
        <v>0.19283469767931799</v>
      </c>
      <c r="K4466">
        <v>0.128788618759799</v>
      </c>
      <c r="L4466">
        <v>1409.2781643493099</v>
      </c>
      <c r="M4466">
        <v>24.5419555747842</v>
      </c>
      <c r="N4466">
        <v>58.3204924598543</v>
      </c>
      <c r="O4466">
        <v>57.046034011967201</v>
      </c>
      <c r="P4466">
        <v>-9.0642760454493501E-2</v>
      </c>
      <c r="Q4466">
        <v>0.157241522580648</v>
      </c>
      <c r="R4466">
        <v>0.97684301287902997</v>
      </c>
      <c r="S4466" t="s">
        <v>10292</v>
      </c>
      <c r="T4466" t="s">
        <v>11650</v>
      </c>
      <c r="U4466" t="s">
        <v>11650</v>
      </c>
      <c r="V4466" t="s">
        <v>11650</v>
      </c>
      <c r="W4466" t="s">
        <v>16062</v>
      </c>
      <c r="X4466">
        <v>3</v>
      </c>
      <c r="Y4466" t="s">
        <v>21732</v>
      </c>
      <c r="Z4466" t="s">
        <v>27528</v>
      </c>
      <c r="AA4466">
        <v>0.65439858364898007</v>
      </c>
      <c r="AB4466" t="str">
        <f>HYPERLINK("Melting_Curves/meltCurve_Q96C92_4_SDCCAG3.pdf", "Melting_Curves/meltCurve_Q96C92_4_SDCCAG3.pdf")</f>
        <v>Melting_Curves/meltCurve_Q96C92_4_SDCCAG3.pdf</v>
      </c>
    </row>
    <row r="4467" spans="1:28" x14ac:dyDescent="0.25">
      <c r="A4467" t="s">
        <v>4471</v>
      </c>
      <c r="B4467">
        <v>0.99996721820229495</v>
      </c>
      <c r="C4467">
        <v>0.95155122452415497</v>
      </c>
      <c r="D4467">
        <v>0.81123371185039295</v>
      </c>
      <c r="E4467">
        <v>0.82712539571965005</v>
      </c>
      <c r="F4467">
        <v>0.45518400524052099</v>
      </c>
      <c r="G4467">
        <v>0.40259836480005001</v>
      </c>
      <c r="H4467">
        <v>0.23746819564340799</v>
      </c>
      <c r="I4467">
        <v>0.18268619134878999</v>
      </c>
      <c r="J4467">
        <v>0.10343986798392101</v>
      </c>
      <c r="K4467">
        <v>0.105370983255546</v>
      </c>
      <c r="L4467">
        <v>604.08107992564601</v>
      </c>
      <c r="M4467">
        <v>11.221358016384499</v>
      </c>
      <c r="N4467">
        <v>54.137432743754196</v>
      </c>
      <c r="O4467">
        <v>52.208417098764997</v>
      </c>
      <c r="P4467">
        <v>-5.2107591489489201E-2</v>
      </c>
      <c r="Q4467">
        <v>3.0561135455938401E-2</v>
      </c>
      <c r="R4467">
        <v>0.97374653149616097</v>
      </c>
      <c r="S4467" t="s">
        <v>10293</v>
      </c>
      <c r="T4467" t="s">
        <v>11650</v>
      </c>
      <c r="U4467" t="s">
        <v>11650</v>
      </c>
      <c r="V4467" t="s">
        <v>11650</v>
      </c>
      <c r="W4467" t="s">
        <v>16063</v>
      </c>
      <c r="X4467">
        <v>1</v>
      </c>
      <c r="Y4467" t="s">
        <v>21733</v>
      </c>
      <c r="Z4467" t="s">
        <v>27529</v>
      </c>
      <c r="AA4467">
        <v>0.50491660221183388</v>
      </c>
      <c r="AB4467" t="str">
        <f>HYPERLINK("Melting_Curves/meltCurve_Q96CB9_4_NSUN4.pdf", "Melting_Curves/meltCurve_Q96CB9_4_NSUN4.pdf")</f>
        <v>Melting_Curves/meltCurve_Q96CB9_4_NSUN4.pdf</v>
      </c>
    </row>
    <row r="4468" spans="1:28" x14ac:dyDescent="0.25">
      <c r="A4468" t="s">
        <v>4472</v>
      </c>
      <c r="B4468">
        <v>0.99996721820229495</v>
      </c>
      <c r="C4468">
        <v>0.73704688976698096</v>
      </c>
      <c r="D4468">
        <v>0.76795863962023203</v>
      </c>
      <c r="E4468">
        <v>1.1088555348735001</v>
      </c>
      <c r="F4468">
        <v>1.1343973806618499</v>
      </c>
      <c r="G4468">
        <v>0.72804242866734203</v>
      </c>
      <c r="H4468">
        <v>0.67446085283162804</v>
      </c>
      <c r="I4468">
        <v>0.53252021176103503</v>
      </c>
      <c r="J4468">
        <v>0.27937901462635001</v>
      </c>
      <c r="K4468">
        <v>0.28270535157459498</v>
      </c>
      <c r="L4468">
        <v>1109.72966102793</v>
      </c>
      <c r="M4468">
        <v>17.8512907401992</v>
      </c>
      <c r="N4468">
        <v>63.555835875082501</v>
      </c>
      <c r="O4468">
        <v>61.400862541101603</v>
      </c>
      <c r="P4468">
        <v>-6.0935839721591903E-2</v>
      </c>
      <c r="Q4468">
        <v>0.16166904983875</v>
      </c>
      <c r="R4468">
        <v>0.76814226349940695</v>
      </c>
      <c r="S4468" t="s">
        <v>10294</v>
      </c>
      <c r="T4468" t="s">
        <v>11650</v>
      </c>
      <c r="U4468" t="s">
        <v>11650</v>
      </c>
      <c r="V4468" t="s">
        <v>11650</v>
      </c>
      <c r="W4468" t="s">
        <v>16064</v>
      </c>
      <c r="X4468">
        <v>10</v>
      </c>
      <c r="Y4468" t="s">
        <v>21734</v>
      </c>
      <c r="Z4468" t="s">
        <v>27530</v>
      </c>
      <c r="AA4468">
        <v>0.78158970335603206</v>
      </c>
      <c r="AB4468" t="str">
        <f>HYPERLINK("Melting_Curves/meltCurve_Q96CC6_RHBDF1.pdf", "Melting_Curves/meltCurve_Q96CC6_RHBDF1.pdf")</f>
        <v>Melting_Curves/meltCurve_Q96CC6_RHBDF1.pdf</v>
      </c>
    </row>
    <row r="4469" spans="1:28" x14ac:dyDescent="0.25">
      <c r="A4469" t="s">
        <v>4473</v>
      </c>
      <c r="B4469">
        <v>0.99996721820229495</v>
      </c>
      <c r="C4469">
        <v>0.96467441492859696</v>
      </c>
      <c r="D4469">
        <v>0.95570314087147301</v>
      </c>
      <c r="E4469">
        <v>0.87051181518272802</v>
      </c>
      <c r="F4469">
        <v>0.65679549127426096</v>
      </c>
      <c r="G4469">
        <v>0.37815962415721799</v>
      </c>
      <c r="H4469">
        <v>0.19038476583775499</v>
      </c>
      <c r="I4469">
        <v>0.10654235520253499</v>
      </c>
      <c r="J4469">
        <v>7.2113129256042005E-2</v>
      </c>
      <c r="K4469">
        <v>5.7488669777041999E-2</v>
      </c>
      <c r="L4469">
        <v>933.47157963224504</v>
      </c>
      <c r="M4469">
        <v>16.959393898658501</v>
      </c>
      <c r="N4469">
        <v>55.238037688941702</v>
      </c>
      <c r="O4469">
        <v>54.293373509923001</v>
      </c>
      <c r="P4469">
        <v>-7.5810593565424994E-2</v>
      </c>
      <c r="Q4469">
        <v>2.9268112126665101E-2</v>
      </c>
      <c r="R4469">
        <v>0.999026291916012</v>
      </c>
      <c r="S4469" t="s">
        <v>10295</v>
      </c>
      <c r="T4469" t="s">
        <v>11650</v>
      </c>
      <c r="U4469" t="s">
        <v>11650</v>
      </c>
      <c r="V4469" t="s">
        <v>11650</v>
      </c>
      <c r="W4469" t="s">
        <v>16065</v>
      </c>
      <c r="X4469">
        <v>11</v>
      </c>
      <c r="Y4469" t="s">
        <v>21735</v>
      </c>
      <c r="Z4469" t="s">
        <v>27531</v>
      </c>
      <c r="AA4469">
        <v>0.53217530405734936</v>
      </c>
      <c r="AB4469" t="str">
        <f>HYPERLINK("Melting_Curves/meltCurve_Q96CD0_FBXL8.pdf", "Melting_Curves/meltCurve_Q96CD0_FBXL8.pdf")</f>
        <v>Melting_Curves/meltCurve_Q96CD0_FBXL8.pdf</v>
      </c>
    </row>
    <row r="4470" spans="1:28" x14ac:dyDescent="0.25">
      <c r="A4470" t="s">
        <v>4474</v>
      </c>
      <c r="B4470">
        <v>0.99996721820229495</v>
      </c>
      <c r="C4470">
        <v>1.17727698297141</v>
      </c>
      <c r="D4470">
        <v>1.1221583234221499</v>
      </c>
      <c r="E4470">
        <v>1.1133974043500301</v>
      </c>
      <c r="F4470">
        <v>1.40300115329279</v>
      </c>
      <c r="G4470">
        <v>1.2445837970277001</v>
      </c>
      <c r="H4470">
        <v>0.93851002248262405</v>
      </c>
      <c r="I4470">
        <v>0.67714201746981695</v>
      </c>
      <c r="J4470">
        <v>0.70211484104499899</v>
      </c>
      <c r="K4470">
        <v>0.73903114128298197</v>
      </c>
      <c r="L4470">
        <v>15000</v>
      </c>
      <c r="M4470">
        <v>244.57211489263901</v>
      </c>
      <c r="O4470">
        <v>61.327479586036603</v>
      </c>
      <c r="P4470">
        <v>-0.293022760429758</v>
      </c>
      <c r="Q4470">
        <v>0.70609316372736897</v>
      </c>
      <c r="R4470">
        <v>0.47996644811053801</v>
      </c>
      <c r="S4470" t="s">
        <v>10296</v>
      </c>
      <c r="T4470" t="s">
        <v>11650</v>
      </c>
      <c r="U4470" t="s">
        <v>11650</v>
      </c>
      <c r="V4470" t="s">
        <v>11650</v>
      </c>
      <c r="W4470" t="s">
        <v>16066</v>
      </c>
      <c r="X4470">
        <v>1</v>
      </c>
      <c r="Y4470" t="s">
        <v>21736</v>
      </c>
      <c r="Z4470" t="s">
        <v>27532</v>
      </c>
      <c r="AA4470">
        <v>0.91510968957200645</v>
      </c>
      <c r="AB4470" t="str">
        <f>HYPERLINK("Melting_Curves/meltCurve_Q96CD2_PPCDC.pdf", "Melting_Curves/meltCurve_Q96CD2_PPCDC.pdf")</f>
        <v>Melting_Curves/meltCurve_Q96CD2_PPCDC.pdf</v>
      </c>
    </row>
    <row r="4471" spans="1:28" x14ac:dyDescent="0.25">
      <c r="A4471" t="s">
        <v>4475</v>
      </c>
      <c r="B4471">
        <v>0.99996721820229495</v>
      </c>
      <c r="C4471">
        <v>1.0604418835733</v>
      </c>
      <c r="D4471">
        <v>0.99069765988233804</v>
      </c>
      <c r="E4471">
        <v>0.95631007485553099</v>
      </c>
      <c r="F4471">
        <v>0.93331318382784501</v>
      </c>
      <c r="G4471">
        <v>0.70655275310836396</v>
      </c>
      <c r="H4471">
        <v>0.35912352263965103</v>
      </c>
      <c r="I4471">
        <v>0.21189135516392199</v>
      </c>
      <c r="J4471">
        <v>0.14207076485049899</v>
      </c>
      <c r="K4471">
        <v>0.12388202333311001</v>
      </c>
      <c r="L4471">
        <v>1372.6511510308601</v>
      </c>
      <c r="M4471">
        <v>23.3827591735682</v>
      </c>
      <c r="N4471">
        <v>59.260012149652198</v>
      </c>
      <c r="O4471">
        <v>58.279255710874303</v>
      </c>
      <c r="P4471">
        <v>-9.0419746888425301E-2</v>
      </c>
      <c r="Q4471">
        <v>9.8566125335746199E-2</v>
      </c>
      <c r="R4471">
        <v>0.99667589617880403</v>
      </c>
      <c r="S4471" t="s">
        <v>10297</v>
      </c>
      <c r="T4471" t="s">
        <v>11650</v>
      </c>
      <c r="U4471" t="s">
        <v>11650</v>
      </c>
      <c r="V4471" t="s">
        <v>11650</v>
      </c>
      <c r="W4471" t="s">
        <v>16067</v>
      </c>
      <c r="X4471">
        <v>10</v>
      </c>
      <c r="Y4471" t="s">
        <v>21737</v>
      </c>
      <c r="Z4471" t="s">
        <v>27533</v>
      </c>
      <c r="AA4471">
        <v>0.66873123265061285</v>
      </c>
      <c r="AB4471" t="str">
        <f>HYPERLINK("Melting_Curves/meltCurve_Q96CG8_CTHRC1.pdf", "Melting_Curves/meltCurve_Q96CG8_CTHRC1.pdf")</f>
        <v>Melting_Curves/meltCurve_Q96CG8_CTHRC1.pdf</v>
      </c>
    </row>
    <row r="4472" spans="1:28" x14ac:dyDescent="0.25">
      <c r="A4472" t="s">
        <v>4476</v>
      </c>
      <c r="B4472">
        <v>0.99996721820229495</v>
      </c>
      <c r="C4472">
        <v>1.15810262873506</v>
      </c>
      <c r="D4472">
        <v>1.3389413844957601</v>
      </c>
      <c r="E4472">
        <v>1.4046129542100101</v>
      </c>
      <c r="F4472">
        <v>0.80604481731315603</v>
      </c>
      <c r="G4472">
        <v>0.93942289116192601</v>
      </c>
      <c r="H4472">
        <v>0.79325794410001804</v>
      </c>
      <c r="I4472">
        <v>0.73450518447572899</v>
      </c>
      <c r="J4472">
        <v>0.66729477961073602</v>
      </c>
      <c r="K4472">
        <v>0.39586522203589403</v>
      </c>
      <c r="L4472">
        <v>933.92750142055604</v>
      </c>
      <c r="M4472">
        <v>13.576161479895999</v>
      </c>
      <c r="N4472">
        <v>68.791720254166506</v>
      </c>
      <c r="O4472">
        <v>67.350627448271695</v>
      </c>
      <c r="P4472">
        <v>-5.0401116152354999E-2</v>
      </c>
      <c r="Q4472">
        <v>0</v>
      </c>
      <c r="R4472">
        <v>0.59805172599381295</v>
      </c>
      <c r="S4472" t="s">
        <v>10298</v>
      </c>
      <c r="T4472" t="s">
        <v>11650</v>
      </c>
      <c r="U4472" t="s">
        <v>11650</v>
      </c>
      <c r="V4472" t="s">
        <v>11650</v>
      </c>
      <c r="W4472" t="s">
        <v>16068</v>
      </c>
      <c r="X4472">
        <v>2</v>
      </c>
      <c r="Y4472" t="s">
        <v>21738</v>
      </c>
      <c r="Z4472" t="s">
        <v>27534</v>
      </c>
      <c r="AA4472">
        <v>0.87824206490402346</v>
      </c>
      <c r="AB4472" t="str">
        <f>HYPERLINK("Melting_Curves/meltCurve_Q96CN4_EVI5L.pdf", "Melting_Curves/meltCurve_Q96CN4_EVI5L.pdf")</f>
        <v>Melting_Curves/meltCurve_Q96CN4_EVI5L.pdf</v>
      </c>
    </row>
    <row r="4473" spans="1:28" x14ac:dyDescent="0.25">
      <c r="A4473" t="s">
        <v>4477</v>
      </c>
      <c r="B4473">
        <v>0.99996721820229495</v>
      </c>
      <c r="C4473">
        <v>0.97988845209797304</v>
      </c>
      <c r="D4473">
        <v>1.0628802920553599</v>
      </c>
      <c r="E4473">
        <v>1.2144629211692799</v>
      </c>
      <c r="F4473">
        <v>1.66626729419264</v>
      </c>
      <c r="G4473">
        <v>1.24164026832729</v>
      </c>
      <c r="H4473">
        <v>0.288397221134013</v>
      </c>
      <c r="I4473">
        <v>0.16575545586634999</v>
      </c>
      <c r="J4473">
        <v>6.6425774800781101E-2</v>
      </c>
      <c r="K4473">
        <v>5.2070368777138797E-2</v>
      </c>
      <c r="L4473">
        <v>11077.014304333499</v>
      </c>
      <c r="M4473">
        <v>182.89149035934699</v>
      </c>
      <c r="N4473">
        <v>60.635681384419101</v>
      </c>
      <c r="O4473">
        <v>60.5588043566799</v>
      </c>
      <c r="P4473">
        <v>-0.68349835628171896</v>
      </c>
      <c r="Q4473">
        <v>9.4723482715734802E-2</v>
      </c>
      <c r="R4473">
        <v>0.81405497127892401</v>
      </c>
      <c r="S4473" t="s">
        <v>10299</v>
      </c>
      <c r="T4473" t="s">
        <v>11650</v>
      </c>
      <c r="U4473" t="s">
        <v>11650</v>
      </c>
      <c r="V4473" t="s">
        <v>11650</v>
      </c>
      <c r="W4473" t="s">
        <v>16069</v>
      </c>
      <c r="X4473">
        <v>7</v>
      </c>
      <c r="Y4473" t="s">
        <v>21739</v>
      </c>
      <c r="Z4473" t="s">
        <v>27535</v>
      </c>
      <c r="AA4473">
        <v>0.71550190972805128</v>
      </c>
      <c r="AB4473" t="str">
        <f>HYPERLINK("Melting_Curves/meltCurve_Q96CN7_ISOC1.pdf", "Melting_Curves/meltCurve_Q96CN7_ISOC1.pdf")</f>
        <v>Melting_Curves/meltCurve_Q96CN7_ISOC1.pdf</v>
      </c>
    </row>
    <row r="4474" spans="1:28" x14ac:dyDescent="0.25">
      <c r="A4474" t="s">
        <v>4478</v>
      </c>
      <c r="B4474">
        <v>0.99996721820229495</v>
      </c>
      <c r="C4474">
        <v>0.88397390768004602</v>
      </c>
      <c r="D4474">
        <v>0.65191589785020698</v>
      </c>
      <c r="E4474">
        <v>0.34492246904036</v>
      </c>
      <c r="F4474">
        <v>0.41501516323176202</v>
      </c>
      <c r="G4474">
        <v>0.37649556900709302</v>
      </c>
      <c r="H4474">
        <v>0.243861533318044</v>
      </c>
      <c r="I4474">
        <v>0.14535737833406001</v>
      </c>
      <c r="J4474">
        <v>0.12641504287286601</v>
      </c>
      <c r="K4474">
        <v>9.6450549067439606E-2</v>
      </c>
      <c r="L4474">
        <v>558.24530125104695</v>
      </c>
      <c r="M4474">
        <v>11.5685330807403</v>
      </c>
      <c r="N4474">
        <v>49.516237396407298</v>
      </c>
      <c r="O4474">
        <v>46.881172097651501</v>
      </c>
      <c r="P4474">
        <v>-5.3836025135887401E-2</v>
      </c>
      <c r="Q4474">
        <v>0.12756605294179299</v>
      </c>
      <c r="R4474">
        <v>0.94291865992881296</v>
      </c>
      <c r="S4474" t="s">
        <v>10300</v>
      </c>
      <c r="T4474" t="s">
        <v>11650</v>
      </c>
      <c r="U4474" t="s">
        <v>11650</v>
      </c>
      <c r="V4474" t="s">
        <v>11650</v>
      </c>
      <c r="W4474" t="s">
        <v>16070</v>
      </c>
      <c r="X4474">
        <v>10</v>
      </c>
      <c r="Y4474" t="s">
        <v>21740</v>
      </c>
      <c r="Z4474" t="s">
        <v>27536</v>
      </c>
      <c r="AA4474">
        <v>0.40340942349024961</v>
      </c>
      <c r="AB4474" t="str">
        <f>HYPERLINK("Melting_Curves/meltCurve_Q96CN9_GCC1.pdf", "Melting_Curves/meltCurve_Q96CN9_GCC1.pdf")</f>
        <v>Melting_Curves/meltCurve_Q96CN9_GCC1.pdf</v>
      </c>
    </row>
    <row r="4475" spans="1:28" x14ac:dyDescent="0.25">
      <c r="A4475" t="s">
        <v>4479</v>
      </c>
      <c r="B4475">
        <v>0.99996721820229495</v>
      </c>
      <c r="C4475">
        <v>1.0262405582657801</v>
      </c>
      <c r="D4475">
        <v>0.98750219451700505</v>
      </c>
      <c r="E4475">
        <v>0.99214502623100098</v>
      </c>
      <c r="F4475">
        <v>1.1728884735301499</v>
      </c>
      <c r="G4475">
        <v>1.3928970144103101</v>
      </c>
      <c r="H4475">
        <v>0.97866490865303701</v>
      </c>
      <c r="I4475">
        <v>1.0017289734374599</v>
      </c>
      <c r="J4475">
        <v>0.89219003420906096</v>
      </c>
      <c r="K4475">
        <v>0.63861660829945599</v>
      </c>
      <c r="L4475">
        <v>15000</v>
      </c>
      <c r="M4475">
        <v>223.02508414346701</v>
      </c>
      <c r="O4475">
        <v>67.251607127467906</v>
      </c>
      <c r="P4475">
        <v>-0.29966004803604801</v>
      </c>
      <c r="Q4475">
        <v>0.63855872235425104</v>
      </c>
      <c r="R4475">
        <v>0.43261894646769</v>
      </c>
      <c r="S4475" t="s">
        <v>10301</v>
      </c>
      <c r="T4475" t="s">
        <v>11650</v>
      </c>
      <c r="U4475" t="s">
        <v>11650</v>
      </c>
      <c r="V4475" t="s">
        <v>11650</v>
      </c>
      <c r="W4475" t="s">
        <v>16071</v>
      </c>
      <c r="X4475">
        <v>8</v>
      </c>
      <c r="Y4475" t="s">
        <v>21741</v>
      </c>
      <c r="Z4475" t="s">
        <v>27537</v>
      </c>
      <c r="AA4475">
        <v>0.96700529643610023</v>
      </c>
      <c r="AB4475" t="str">
        <f>HYPERLINK("Melting_Curves/meltCurve_Q96CP2_FLYWCH2.pdf", "Melting_Curves/meltCurve_Q96CP2_FLYWCH2.pdf")</f>
        <v>Melting_Curves/meltCurve_Q96CP2_FLYWCH2.pdf</v>
      </c>
    </row>
    <row r="4476" spans="1:28" x14ac:dyDescent="0.25">
      <c r="A4476" t="s">
        <v>4480</v>
      </c>
      <c r="B4476">
        <v>0.99996721820229495</v>
      </c>
      <c r="C4476">
        <v>0.85064933713886903</v>
      </c>
      <c r="D4476">
        <v>0.87857295319630102</v>
      </c>
      <c r="E4476">
        <v>0.86272682536228296</v>
      </c>
      <c r="F4476">
        <v>1.17263512974104</v>
      </c>
      <c r="G4476">
        <v>1.1144746265190599</v>
      </c>
      <c r="H4476">
        <v>0.73590097589432102</v>
      </c>
      <c r="I4476">
        <v>0.47578172390325002</v>
      </c>
      <c r="J4476">
        <v>0.20363988157254401</v>
      </c>
      <c r="K4476">
        <v>0.106172790660642</v>
      </c>
      <c r="L4476">
        <v>2115.3783718176701</v>
      </c>
      <c r="M4476">
        <v>33.449526855425901</v>
      </c>
      <c r="N4476">
        <v>63.570758023166697</v>
      </c>
      <c r="O4476">
        <v>63.016155497446498</v>
      </c>
      <c r="P4476">
        <v>-0.12213070825380801</v>
      </c>
      <c r="Q4476">
        <v>7.9667081714706905E-2</v>
      </c>
      <c r="R4476">
        <v>0.90928280011874196</v>
      </c>
      <c r="S4476" t="s">
        <v>10302</v>
      </c>
      <c r="T4476" t="s">
        <v>11650</v>
      </c>
      <c r="U4476" t="s">
        <v>11650</v>
      </c>
      <c r="V4476" t="s">
        <v>11650</v>
      </c>
      <c r="W4476" t="s">
        <v>16072</v>
      </c>
      <c r="X4476">
        <v>3</v>
      </c>
      <c r="Y4476" t="s">
        <v>21742</v>
      </c>
      <c r="Z4476" t="s">
        <v>27538</v>
      </c>
      <c r="AA4476">
        <v>0.79546029955162068</v>
      </c>
      <c r="AB4476" t="str">
        <f>HYPERLINK("Melting_Curves/meltCurve_Q96CQ1_SLC25A36.pdf", "Melting_Curves/meltCurve_Q96CQ1_SLC25A36.pdf")</f>
        <v>Melting_Curves/meltCurve_Q96CQ1_SLC25A36.pdf</v>
      </c>
    </row>
    <row r="4477" spans="1:28" x14ac:dyDescent="0.25">
      <c r="A4477" t="s">
        <v>4481</v>
      </c>
      <c r="B4477">
        <v>0.99996721820229495</v>
      </c>
      <c r="C4477">
        <v>0.976648325218892</v>
      </c>
      <c r="D4477">
        <v>0.96374798125924699</v>
      </c>
      <c r="E4477">
        <v>1.02432020799756</v>
      </c>
      <c r="F4477">
        <v>1.3279252454145001</v>
      </c>
      <c r="G4477">
        <v>1.4507545965494599</v>
      </c>
      <c r="H4477">
        <v>1.3745535782957301</v>
      </c>
      <c r="I4477">
        <v>1.00124470519132</v>
      </c>
      <c r="J4477">
        <v>0.53901689781212703</v>
      </c>
      <c r="K4477">
        <v>1.4661395910414401</v>
      </c>
      <c r="L4477">
        <v>12596.9033168838</v>
      </c>
      <c r="M4477">
        <v>250</v>
      </c>
      <c r="O4477">
        <v>50.384404284954897</v>
      </c>
      <c r="P4477">
        <v>0.23974734048782201</v>
      </c>
      <c r="Q4477">
        <v>1.1932723715079601</v>
      </c>
      <c r="R4477">
        <v>0.129892023314019</v>
      </c>
      <c r="S4477" t="s">
        <v>10303</v>
      </c>
      <c r="T4477" t="s">
        <v>11650</v>
      </c>
      <c r="U4477" t="s">
        <v>11650</v>
      </c>
      <c r="V4477" t="s">
        <v>11650</v>
      </c>
      <c r="W4477" t="s">
        <v>16073</v>
      </c>
      <c r="X4477">
        <v>1</v>
      </c>
      <c r="Y4477" t="s">
        <v>21743</v>
      </c>
      <c r="Z4477" t="s">
        <v>27539</v>
      </c>
      <c r="AA4477">
        <v>1.1263339921824109</v>
      </c>
      <c r="AB4477" t="str">
        <f>HYPERLINK("Melting_Curves/meltCurve_Q96CS2_HAUS1.pdf", "Melting_Curves/meltCurve_Q96CS2_HAUS1.pdf")</f>
        <v>Melting_Curves/meltCurve_Q96CS2_HAUS1.pdf</v>
      </c>
    </row>
    <row r="4478" spans="1:28" x14ac:dyDescent="0.25">
      <c r="A4478" t="s">
        <v>4482</v>
      </c>
      <c r="B4478">
        <v>0.99996721820229495</v>
      </c>
      <c r="C4478">
        <v>0.871188260598179</v>
      </c>
      <c r="D4478">
        <v>0.92171955019428498</v>
      </c>
      <c r="E4478">
        <v>0.688476894050705</v>
      </c>
      <c r="F4478">
        <v>0.34477386564275903</v>
      </c>
      <c r="G4478">
        <v>0.25200221594050498</v>
      </c>
      <c r="H4478">
        <v>0.149089876545277</v>
      </c>
      <c r="I4478">
        <v>0.102431785223835</v>
      </c>
      <c r="J4478">
        <v>8.0464732382124496E-2</v>
      </c>
      <c r="K4478">
        <v>6.9599809564718798E-2</v>
      </c>
      <c r="L4478">
        <v>890.43738233806903</v>
      </c>
      <c r="M4478">
        <v>17.3397568740704</v>
      </c>
      <c r="N4478">
        <v>51.830320513795201</v>
      </c>
      <c r="O4478">
        <v>50.683972297014101</v>
      </c>
      <c r="P4478">
        <v>-7.9214003477621198E-2</v>
      </c>
      <c r="Q4478">
        <v>7.3885736858723294E-2</v>
      </c>
      <c r="R4478">
        <v>0.98477841844924996</v>
      </c>
      <c r="S4478" t="s">
        <v>10304</v>
      </c>
      <c r="T4478" t="s">
        <v>11650</v>
      </c>
      <c r="U4478" t="s">
        <v>11650</v>
      </c>
      <c r="V4478" t="s">
        <v>11650</v>
      </c>
      <c r="W4478" t="s">
        <v>16074</v>
      </c>
      <c r="X4478">
        <v>18</v>
      </c>
      <c r="Y4478" t="s">
        <v>21744</v>
      </c>
      <c r="Z4478" t="s">
        <v>27540</v>
      </c>
      <c r="AA4478">
        <v>0.44093125308576941</v>
      </c>
      <c r="AB4478" t="str">
        <f>HYPERLINK("Melting_Curves/meltCurve_Q96CS3_FAF2.pdf", "Melting_Curves/meltCurve_Q96CS3_FAF2.pdf")</f>
        <v>Melting_Curves/meltCurve_Q96CS3_FAF2.pdf</v>
      </c>
    </row>
    <row r="4479" spans="1:28" x14ac:dyDescent="0.25">
      <c r="A4479" t="s">
        <v>4483</v>
      </c>
      <c r="B4479">
        <v>0.99996721820229495</v>
      </c>
      <c r="C4479">
        <v>0.81113376915854196</v>
      </c>
      <c r="D4479">
        <v>0.73643045428948695</v>
      </c>
      <c r="E4479">
        <v>0.85361986161208903</v>
      </c>
      <c r="F4479">
        <v>1.12582524268858</v>
      </c>
      <c r="G4479">
        <v>0.94294796882061405</v>
      </c>
      <c r="H4479">
        <v>0.75317369733120398</v>
      </c>
      <c r="I4479">
        <v>0.782128730277033</v>
      </c>
      <c r="J4479">
        <v>0.73859889481311902</v>
      </c>
      <c r="K4479">
        <v>0.56187348207182497</v>
      </c>
      <c r="S4479" t="s">
        <v>10305</v>
      </c>
      <c r="T4479" t="s">
        <v>11650</v>
      </c>
      <c r="U4479" t="s">
        <v>11651</v>
      </c>
      <c r="V4479" t="s">
        <v>11650</v>
      </c>
      <c r="W4479" t="s">
        <v>16075</v>
      </c>
      <c r="X4479">
        <v>18</v>
      </c>
      <c r="Y4479" t="s">
        <v>21745</v>
      </c>
      <c r="Z4479" t="s">
        <v>27541</v>
      </c>
      <c r="AB4479" t="str">
        <f>HYPERLINK("Melting_Curves/meltCurve_Q96CT7_CCDC124.pdf", "Melting_Curves/meltCurve_Q96CT7_CCDC124.pdf")</f>
        <v>Melting_Curves/meltCurve_Q96CT7_CCDC124.pdf</v>
      </c>
    </row>
    <row r="4480" spans="1:28" x14ac:dyDescent="0.25">
      <c r="A4480" t="s">
        <v>4484</v>
      </c>
      <c r="B4480">
        <v>0.99996721820229495</v>
      </c>
      <c r="C4480">
        <v>1.0201594490218899</v>
      </c>
      <c r="D4480">
        <v>0.90610714253294</v>
      </c>
      <c r="E4480">
        <v>0.87261831177476601</v>
      </c>
      <c r="F4480">
        <v>1.04726519251149</v>
      </c>
      <c r="G4480">
        <v>1.1615415225102701</v>
      </c>
      <c r="H4480">
        <v>0.69684650735034204</v>
      </c>
      <c r="I4480">
        <v>0.54779260767831695</v>
      </c>
      <c r="J4480">
        <v>0.48561279988844003</v>
      </c>
      <c r="K4480">
        <v>0.38762492171089702</v>
      </c>
      <c r="L4480">
        <v>4441.1027674857996</v>
      </c>
      <c r="M4480">
        <v>72.988580918555201</v>
      </c>
      <c r="N4480">
        <v>63.182029510688402</v>
      </c>
      <c r="O4480">
        <v>60.800913125691302</v>
      </c>
      <c r="P4480">
        <v>-0.160161677781754</v>
      </c>
      <c r="Q4480">
        <v>0.46632888150587698</v>
      </c>
      <c r="R4480">
        <v>0.89623618507788505</v>
      </c>
      <c r="S4480" t="s">
        <v>10306</v>
      </c>
      <c r="T4480" t="s">
        <v>11650</v>
      </c>
      <c r="U4480" t="s">
        <v>11650</v>
      </c>
      <c r="V4480" t="s">
        <v>11650</v>
      </c>
      <c r="W4480" t="s">
        <v>16076</v>
      </c>
      <c r="X4480">
        <v>1</v>
      </c>
      <c r="Y4480" t="s">
        <v>21746</v>
      </c>
      <c r="Z4480" t="s">
        <v>27542</v>
      </c>
      <c r="AA4480">
        <v>0.83783752115127752</v>
      </c>
      <c r="AB4480" t="str">
        <f>HYPERLINK("Melting_Curves/meltCurve_Q96CU9_3_FOXRED1.pdf", "Melting_Curves/meltCurve_Q96CU9_3_FOXRED1.pdf")</f>
        <v>Melting_Curves/meltCurve_Q96CU9_3_FOXRED1.pdf</v>
      </c>
    </row>
    <row r="4481" spans="1:28" x14ac:dyDescent="0.25">
      <c r="A4481" t="s">
        <v>4485</v>
      </c>
      <c r="B4481">
        <v>0.99996721820229495</v>
      </c>
      <c r="C4481">
        <v>0.88429062252094004</v>
      </c>
      <c r="D4481">
        <v>0.76773790063156999</v>
      </c>
      <c r="E4481">
        <v>0.67257177955512304</v>
      </c>
      <c r="F4481">
        <v>0.528003286169348</v>
      </c>
      <c r="G4481">
        <v>0.45436802626808698</v>
      </c>
      <c r="H4481">
        <v>0.34838890930713501</v>
      </c>
      <c r="I4481">
        <v>0.31451437879239003</v>
      </c>
      <c r="J4481">
        <v>0.28597855892598101</v>
      </c>
      <c r="K4481">
        <v>0.27956047439595799</v>
      </c>
      <c r="L4481">
        <v>493.39107094501497</v>
      </c>
      <c r="M4481">
        <v>9.6576772594619502</v>
      </c>
      <c r="N4481">
        <v>54.381594627366603</v>
      </c>
      <c r="O4481">
        <v>49.041765600387997</v>
      </c>
      <c r="P4481">
        <v>-3.8352103561993797E-2</v>
      </c>
      <c r="Q4481">
        <v>0.221423456464896</v>
      </c>
      <c r="R4481">
        <v>0.991868341114859</v>
      </c>
      <c r="S4481" t="s">
        <v>10307</v>
      </c>
      <c r="T4481" t="s">
        <v>11650</v>
      </c>
      <c r="U4481" t="s">
        <v>11650</v>
      </c>
      <c r="V4481" t="s">
        <v>11650</v>
      </c>
      <c r="W4481" t="s">
        <v>16077</v>
      </c>
      <c r="X4481">
        <v>40</v>
      </c>
      <c r="Y4481" t="s">
        <v>21747</v>
      </c>
      <c r="Z4481" t="s">
        <v>27543</v>
      </c>
      <c r="AA4481">
        <v>0.54269729647653397</v>
      </c>
      <c r="AB4481" t="str">
        <f>HYPERLINK("Melting_Curves/meltCurve_Q96CV9_OPTN.pdf", "Melting_Curves/meltCurve_Q96CV9_OPTN.pdf")</f>
        <v>Melting_Curves/meltCurve_Q96CV9_OPTN.pdf</v>
      </c>
    </row>
    <row r="4482" spans="1:28" x14ac:dyDescent="0.25">
      <c r="A4482" t="s">
        <v>4486</v>
      </c>
      <c r="B4482">
        <v>0.99996721820229495</v>
      </c>
      <c r="C4482">
        <v>1.0468399916565201</v>
      </c>
      <c r="D4482">
        <v>1.18588804719362</v>
      </c>
      <c r="E4482">
        <v>1.58289230282019</v>
      </c>
      <c r="F4482">
        <v>1.2803218053336001</v>
      </c>
      <c r="G4482">
        <v>0.85183710657444001</v>
      </c>
      <c r="H4482">
        <v>0.40381730991981701</v>
      </c>
      <c r="I4482">
        <v>0.157288211563367</v>
      </c>
      <c r="J4482">
        <v>9.1119872773253702E-2</v>
      </c>
      <c r="K4482">
        <v>7.5427719231047005E-2</v>
      </c>
      <c r="L4482">
        <v>2328.9993447921302</v>
      </c>
      <c r="M4482">
        <v>38.824907693594902</v>
      </c>
      <c r="N4482">
        <v>60.249015222058397</v>
      </c>
      <c r="O4482">
        <v>59.828787941216397</v>
      </c>
      <c r="P4482">
        <v>-0.149642169425105</v>
      </c>
      <c r="Q4482">
        <v>7.7614268916126994E-2</v>
      </c>
      <c r="R4482">
        <v>0.82836340290477495</v>
      </c>
      <c r="S4482" t="s">
        <v>10308</v>
      </c>
      <c r="T4482" t="s">
        <v>11650</v>
      </c>
      <c r="U4482" t="s">
        <v>11650</v>
      </c>
      <c r="V4482" t="s">
        <v>11650</v>
      </c>
      <c r="W4482" t="s">
        <v>16078</v>
      </c>
      <c r="X4482">
        <v>12</v>
      </c>
      <c r="Y4482" t="s">
        <v>21748</v>
      </c>
      <c r="Z4482" t="s">
        <v>27544</v>
      </c>
      <c r="AA4482">
        <v>0.69594237156595906</v>
      </c>
      <c r="AB4482" t="str">
        <f>HYPERLINK("Melting_Curves/meltCurve_Q96CW1_2_AP2M1.pdf", "Melting_Curves/meltCurve_Q96CW1_2_AP2M1.pdf")</f>
        <v>Melting_Curves/meltCurve_Q96CW1_2_AP2M1.pdf</v>
      </c>
    </row>
    <row r="4483" spans="1:28" x14ac:dyDescent="0.25">
      <c r="A4483" t="s">
        <v>4487</v>
      </c>
      <c r="B4483">
        <v>0.99996721820229495</v>
      </c>
      <c r="C4483">
        <v>0.99977129331253201</v>
      </c>
      <c r="D4483">
        <v>0.94081670078883906</v>
      </c>
      <c r="E4483">
        <v>0.75668747048125296</v>
      </c>
      <c r="F4483">
        <v>0.68934920815540801</v>
      </c>
      <c r="G4483">
        <v>0.53607092773073906</v>
      </c>
      <c r="H4483">
        <v>0.28454655488976199</v>
      </c>
      <c r="I4483">
        <v>0.133934726022196</v>
      </c>
      <c r="J4483">
        <v>8.9211766232765694E-2</v>
      </c>
      <c r="K4483">
        <v>6.7724555544413007E-2</v>
      </c>
      <c r="L4483">
        <v>705.84776468060898</v>
      </c>
      <c r="M4483">
        <v>12.5367811044643</v>
      </c>
      <c r="N4483">
        <v>56.302152740027701</v>
      </c>
      <c r="O4483">
        <v>54.927219518085401</v>
      </c>
      <c r="P4483">
        <v>-5.7072485518420001E-2</v>
      </c>
      <c r="Q4483">
        <v>0</v>
      </c>
      <c r="R4483">
        <v>0.98887628985359999</v>
      </c>
      <c r="S4483" t="s">
        <v>10309</v>
      </c>
      <c r="T4483" t="s">
        <v>11650</v>
      </c>
      <c r="U4483" t="s">
        <v>11650</v>
      </c>
      <c r="V4483" t="s">
        <v>11650</v>
      </c>
      <c r="W4483" t="s">
        <v>16079</v>
      </c>
      <c r="X4483">
        <v>2</v>
      </c>
      <c r="Y4483" t="s">
        <v>21749</v>
      </c>
      <c r="Z4483" t="s">
        <v>27545</v>
      </c>
      <c r="AA4483">
        <v>0.56249446777470469</v>
      </c>
      <c r="AB4483" t="str">
        <f>HYPERLINK("Melting_Curves/meltCurve_Q96CW5_3_TUBGCP3.pdf", "Melting_Curves/meltCurve_Q96CW5_3_TUBGCP3.pdf")</f>
        <v>Melting_Curves/meltCurve_Q96CW5_3_TUBGCP3.pdf</v>
      </c>
    </row>
    <row r="4484" spans="1:28" x14ac:dyDescent="0.25">
      <c r="A4484" t="s">
        <v>4488</v>
      </c>
      <c r="B4484">
        <v>0.99996721820229495</v>
      </c>
      <c r="C4484">
        <v>0.97402081619102199</v>
      </c>
      <c r="D4484">
        <v>0.95790177841749402</v>
      </c>
      <c r="E4484">
        <v>1.0375509279483499</v>
      </c>
      <c r="F4484">
        <v>1.1666301527634899</v>
      </c>
      <c r="G4484">
        <v>1.00632878634687</v>
      </c>
      <c r="H4484">
        <v>0.68363460468255899</v>
      </c>
      <c r="I4484">
        <v>0.58727670997192505</v>
      </c>
      <c r="J4484">
        <v>0.48262256094141598</v>
      </c>
      <c r="K4484">
        <v>0.33632579430190701</v>
      </c>
      <c r="L4484">
        <v>1715.99611075129</v>
      </c>
      <c r="M4484">
        <v>27.6713055306097</v>
      </c>
      <c r="N4484">
        <v>65.021534462247402</v>
      </c>
      <c r="O4484">
        <v>61.692374117309598</v>
      </c>
      <c r="P4484">
        <v>-7.1654792942696596E-2</v>
      </c>
      <c r="Q4484">
        <v>0.36099639795626398</v>
      </c>
      <c r="R4484">
        <v>0.93113049373835599</v>
      </c>
      <c r="S4484" t="s">
        <v>10310</v>
      </c>
      <c r="T4484" t="s">
        <v>11650</v>
      </c>
      <c r="U4484" t="s">
        <v>11650</v>
      </c>
      <c r="V4484" t="s">
        <v>11650</v>
      </c>
      <c r="W4484" t="s">
        <v>16080</v>
      </c>
      <c r="X4484">
        <v>5</v>
      </c>
      <c r="Y4484" t="s">
        <v>21750</v>
      </c>
      <c r="Z4484" t="s">
        <v>27546</v>
      </c>
      <c r="AA4484">
        <v>0.83289561766373865</v>
      </c>
      <c r="AB4484" t="str">
        <f>HYPERLINK("Melting_Curves/meltCurve_Q96CW6_SLC7A6OS.pdf", "Melting_Curves/meltCurve_Q96CW6_SLC7A6OS.pdf")</f>
        <v>Melting_Curves/meltCurve_Q96CW6_SLC7A6OS.pdf</v>
      </c>
    </row>
    <row r="4485" spans="1:28" x14ac:dyDescent="0.25">
      <c r="A4485" t="s">
        <v>4489</v>
      </c>
      <c r="B4485">
        <v>0.99996721820229495</v>
      </c>
      <c r="C4485">
        <v>0.98590590491125996</v>
      </c>
      <c r="D4485">
        <v>1.0365063296225601</v>
      </c>
      <c r="E4485">
        <v>1.32079890322222</v>
      </c>
      <c r="F4485">
        <v>1.7791520886652701</v>
      </c>
      <c r="G4485">
        <v>2.0031345948553798</v>
      </c>
      <c r="H4485">
        <v>1.3067918776698</v>
      </c>
      <c r="I4485">
        <v>0.57616374183897801</v>
      </c>
      <c r="J4485">
        <v>0.21307317443719601</v>
      </c>
      <c r="K4485">
        <v>0.14675378791651</v>
      </c>
      <c r="L4485">
        <v>15000</v>
      </c>
      <c r="M4485">
        <v>234.44218664854</v>
      </c>
      <c r="N4485">
        <v>64.103601643850993</v>
      </c>
      <c r="O4485">
        <v>63.9769973678086</v>
      </c>
      <c r="P4485">
        <v>-0.75130934806604999</v>
      </c>
      <c r="Q4485">
        <v>0.17989981129646501</v>
      </c>
      <c r="R4485">
        <v>0.45444473209238501</v>
      </c>
      <c r="S4485" t="s">
        <v>10311</v>
      </c>
      <c r="T4485" t="s">
        <v>11650</v>
      </c>
      <c r="U4485" t="s">
        <v>11650</v>
      </c>
      <c r="V4485" t="s">
        <v>11650</v>
      </c>
      <c r="W4485" t="s">
        <v>16081</v>
      </c>
      <c r="X4485">
        <v>16</v>
      </c>
      <c r="Y4485" t="s">
        <v>21751</v>
      </c>
      <c r="Z4485" t="s">
        <v>27547</v>
      </c>
      <c r="AA4485">
        <v>0.83558329253864072</v>
      </c>
      <c r="AB4485" t="str">
        <f>HYPERLINK("Melting_Curves/meltCurve_Q96CX2_KCTD12.pdf", "Melting_Curves/meltCurve_Q96CX2_KCTD12.pdf")</f>
        <v>Melting_Curves/meltCurve_Q96CX2_KCTD12.pdf</v>
      </c>
    </row>
    <row r="4486" spans="1:28" x14ac:dyDescent="0.25">
      <c r="A4486" t="s">
        <v>4490</v>
      </c>
      <c r="B4486">
        <v>0.99996721820229495</v>
      </c>
      <c r="C4486">
        <v>1.0440491477043901</v>
      </c>
      <c r="D4486">
        <v>0.62599536044430704</v>
      </c>
      <c r="E4486">
        <v>0.37714186076150102</v>
      </c>
      <c r="F4486">
        <v>0.66478795895252996</v>
      </c>
      <c r="G4486">
        <v>0.30047788363622102</v>
      </c>
      <c r="H4486">
        <v>0.15902671916981401</v>
      </c>
      <c r="I4486">
        <v>3.9454586520945398E-2</v>
      </c>
      <c r="J4486">
        <v>1.99835122537643E-2</v>
      </c>
      <c r="K4486">
        <v>2.16124090026267E-2</v>
      </c>
      <c r="L4486">
        <v>535.37387951764003</v>
      </c>
      <c r="M4486">
        <v>10.4334374312149</v>
      </c>
      <c r="N4486">
        <v>51.313259490754803</v>
      </c>
      <c r="O4486">
        <v>49.535642650784098</v>
      </c>
      <c r="P4486">
        <v>-5.2677985654993001E-2</v>
      </c>
      <c r="Q4486">
        <v>0</v>
      </c>
      <c r="R4486">
        <v>0.88555235180758896</v>
      </c>
      <c r="S4486" t="s">
        <v>10312</v>
      </c>
      <c r="T4486" t="s">
        <v>11650</v>
      </c>
      <c r="U4486" t="s">
        <v>11650</v>
      </c>
      <c r="V4486" t="s">
        <v>11650</v>
      </c>
      <c r="W4486" t="s">
        <v>16082</v>
      </c>
      <c r="X4486">
        <v>1</v>
      </c>
      <c r="Y4486" t="s">
        <v>21752</v>
      </c>
      <c r="Z4486" t="s">
        <v>27548</v>
      </c>
      <c r="AA4486">
        <v>0.41554192187457878</v>
      </c>
      <c r="AB4486" t="str">
        <f>HYPERLINK("Melting_Curves/meltCurve_Q96CX6_LRRC58.pdf", "Melting_Curves/meltCurve_Q96CX6_LRRC58.pdf")</f>
        <v>Melting_Curves/meltCurve_Q96CX6_LRRC58.pdf</v>
      </c>
    </row>
    <row r="4487" spans="1:28" x14ac:dyDescent="0.25">
      <c r="A4487" t="s">
        <v>4491</v>
      </c>
      <c r="B4487">
        <v>0.99996721820229495</v>
      </c>
      <c r="C4487">
        <v>1.05390564203546</v>
      </c>
      <c r="D4487">
        <v>1.0161023313078901</v>
      </c>
      <c r="E4487">
        <v>0.98690109274503002</v>
      </c>
      <c r="F4487">
        <v>1.33183357044523</v>
      </c>
      <c r="G4487">
        <v>1.55387902282019</v>
      </c>
      <c r="H4487">
        <v>1.17688478561938</v>
      </c>
      <c r="I4487">
        <v>1.10144284991714</v>
      </c>
      <c r="J4487">
        <v>0.98813465191707495</v>
      </c>
      <c r="K4487">
        <v>0.69993621724212796</v>
      </c>
      <c r="L4487">
        <v>6200.4326080569999</v>
      </c>
      <c r="M4487">
        <v>88.228554477789203</v>
      </c>
      <c r="Q4487">
        <v>0.27725264548212603</v>
      </c>
      <c r="R4487">
        <v>1.60228314936703E-2</v>
      </c>
      <c r="S4487" t="s">
        <v>10313</v>
      </c>
      <c r="T4487" t="s">
        <v>11650</v>
      </c>
      <c r="U4487" t="s">
        <v>11650</v>
      </c>
      <c r="V4487" t="s">
        <v>11650</v>
      </c>
      <c r="W4487" t="s">
        <v>16083</v>
      </c>
      <c r="X4487">
        <v>27</v>
      </c>
      <c r="Y4487" t="s">
        <v>18519</v>
      </c>
      <c r="Z4487" t="s">
        <v>27549</v>
      </c>
      <c r="AA4487">
        <v>0.99009040136451054</v>
      </c>
      <c r="AB4487" t="str">
        <f>HYPERLINK("Melting_Curves/meltCurve_Q96D15_RCN3.pdf", "Melting_Curves/meltCurve_Q96D15_RCN3.pdf")</f>
        <v>Melting_Curves/meltCurve_Q96D15_RCN3.pdf</v>
      </c>
    </row>
    <row r="4488" spans="1:28" x14ac:dyDescent="0.25">
      <c r="A4488" t="s">
        <v>4492</v>
      </c>
      <c r="B4488">
        <v>0.99996721820229495</v>
      </c>
      <c r="C4488">
        <v>0.64723391419786802</v>
      </c>
      <c r="D4488">
        <v>0.68722807987591605</v>
      </c>
      <c r="E4488">
        <v>0.957389661226142</v>
      </c>
      <c r="F4488">
        <v>0.90915711293686097</v>
      </c>
      <c r="G4488">
        <v>0.506630836525511</v>
      </c>
      <c r="H4488">
        <v>0.33297342258342499</v>
      </c>
      <c r="I4488">
        <v>0.17531382095519099</v>
      </c>
      <c r="J4488">
        <v>0.17850739883081801</v>
      </c>
      <c r="K4488">
        <v>0.16862065235510301</v>
      </c>
      <c r="L4488">
        <v>676.58337677685495</v>
      </c>
      <c r="M4488">
        <v>11.673870055830401</v>
      </c>
      <c r="N4488">
        <v>57.957058268396501</v>
      </c>
      <c r="O4488">
        <v>56.3347430947804</v>
      </c>
      <c r="P4488">
        <v>-5.1819713523655497E-2</v>
      </c>
      <c r="Q4488">
        <v>0</v>
      </c>
      <c r="R4488">
        <v>0.77039418985671204</v>
      </c>
      <c r="S4488" t="s">
        <v>10314</v>
      </c>
      <c r="T4488" t="s">
        <v>11650</v>
      </c>
      <c r="U4488" t="s">
        <v>11650</v>
      </c>
      <c r="V4488" t="s">
        <v>11650</v>
      </c>
      <c r="W4488" t="s">
        <v>16084</v>
      </c>
      <c r="X4488">
        <v>5</v>
      </c>
      <c r="Y4488" t="s">
        <v>21753</v>
      </c>
      <c r="Z4488" t="s">
        <v>27550</v>
      </c>
      <c r="AA4488">
        <v>0.61118753032244022</v>
      </c>
      <c r="AB4488" t="str">
        <f>HYPERLINK("Melting_Curves/meltCurve_Q96DA6_2_DNAJC19.pdf", "Melting_Curves/meltCurve_Q96DA6_2_DNAJC19.pdf")</f>
        <v>Melting_Curves/meltCurve_Q96DA6_2_DNAJC19.pdf</v>
      </c>
    </row>
    <row r="4489" spans="1:28" x14ac:dyDescent="0.25">
      <c r="A4489" t="s">
        <v>4493</v>
      </c>
      <c r="B4489">
        <v>0.99996721820229495</v>
      </c>
      <c r="C4489">
        <v>1.00356032916768</v>
      </c>
      <c r="D4489">
        <v>0.98276497805289997</v>
      </c>
      <c r="E4489">
        <v>0.91481432715878497</v>
      </c>
      <c r="F4489">
        <v>0.69318574978840197</v>
      </c>
      <c r="G4489">
        <v>0.23468832477371401</v>
      </c>
      <c r="H4489">
        <v>0.119026034748585</v>
      </c>
      <c r="I4489">
        <v>8.2497170442632203E-2</v>
      </c>
      <c r="J4489">
        <v>6.8572017148235895E-2</v>
      </c>
      <c r="K4489">
        <v>4.9625806011562898E-2</v>
      </c>
      <c r="L4489">
        <v>1567.3065231688599</v>
      </c>
      <c r="M4489">
        <v>28.903183836000998</v>
      </c>
      <c r="N4489">
        <v>54.486155608199503</v>
      </c>
      <c r="O4489">
        <v>53.9684966440011</v>
      </c>
      <c r="P4489">
        <v>-0.12526324756836901</v>
      </c>
      <c r="Q4489">
        <v>6.4432762982538402E-2</v>
      </c>
      <c r="R4489">
        <v>0.99930031930422103</v>
      </c>
      <c r="S4489" t="s">
        <v>10315</v>
      </c>
      <c r="T4489" t="s">
        <v>11650</v>
      </c>
      <c r="U4489" t="s">
        <v>11650</v>
      </c>
      <c r="V4489" t="s">
        <v>11650</v>
      </c>
      <c r="W4489" t="s">
        <v>16085</v>
      </c>
      <c r="X4489">
        <v>10</v>
      </c>
      <c r="Y4489" t="s">
        <v>21754</v>
      </c>
      <c r="Z4489" t="s">
        <v>27551</v>
      </c>
      <c r="AA4489">
        <v>0.5146970321987967</v>
      </c>
      <c r="AB4489" t="str">
        <f>HYPERLINK("Melting_Curves/meltCurve_Q96DB5_RMDN1.pdf", "Melting_Curves/meltCurve_Q96DB5_RMDN1.pdf")</f>
        <v>Melting_Curves/meltCurve_Q96DB5_RMDN1.pdf</v>
      </c>
    </row>
    <row r="4490" spans="1:28" x14ac:dyDescent="0.25">
      <c r="A4490" t="s">
        <v>4494</v>
      </c>
      <c r="B4490">
        <v>0.99996721820229495</v>
      </c>
      <c r="C4490">
        <v>0.98702604327866195</v>
      </c>
      <c r="D4490">
        <v>0.88138004739528097</v>
      </c>
      <c r="E4490">
        <v>1.0544243037224501</v>
      </c>
      <c r="F4490">
        <v>0.71686033906890301</v>
      </c>
      <c r="G4490">
        <v>0.43934714530462998</v>
      </c>
      <c r="H4490">
        <v>0.255999175712469</v>
      </c>
      <c r="I4490">
        <v>0.17602885595555401</v>
      </c>
      <c r="J4490">
        <v>0.14075050904919501</v>
      </c>
      <c r="K4490">
        <v>0.105573097419005</v>
      </c>
      <c r="L4490">
        <v>1225.8142954571799</v>
      </c>
      <c r="M4490">
        <v>22.0703321707485</v>
      </c>
      <c r="N4490">
        <v>56.253577133808399</v>
      </c>
      <c r="O4490">
        <v>55.0913167980477</v>
      </c>
      <c r="P4490">
        <v>-8.7946167811533499E-2</v>
      </c>
      <c r="Q4490">
        <v>0.12190473578838899</v>
      </c>
      <c r="R4490">
        <v>0.97659638992790598</v>
      </c>
      <c r="S4490" t="s">
        <v>10316</v>
      </c>
      <c r="T4490" t="s">
        <v>11650</v>
      </c>
      <c r="U4490" t="s">
        <v>11650</v>
      </c>
      <c r="V4490" t="s">
        <v>11650</v>
      </c>
      <c r="W4490" t="s">
        <v>16086</v>
      </c>
      <c r="X4490">
        <v>5</v>
      </c>
      <c r="Y4490" t="s">
        <v>21755</v>
      </c>
      <c r="Z4490" t="s">
        <v>27552</v>
      </c>
      <c r="AA4490">
        <v>0.58672541752365581</v>
      </c>
      <c r="AB4490" t="str">
        <f>HYPERLINK("Melting_Curves/meltCurve_Q96DC8_ECHDC3.pdf", "Melting_Curves/meltCurve_Q96DC8_ECHDC3.pdf")</f>
        <v>Melting_Curves/meltCurve_Q96DC8_ECHDC3.pdf</v>
      </c>
    </row>
    <row r="4491" spans="1:28" x14ac:dyDescent="0.25">
      <c r="A4491" t="s">
        <v>4495</v>
      </c>
      <c r="B4491">
        <v>0.99996721820229495</v>
      </c>
      <c r="C4491">
        <v>1.0361179287500899</v>
      </c>
      <c r="D4491">
        <v>1.0253827846781101</v>
      </c>
      <c r="E4491">
        <v>0.93194032343893296</v>
      </c>
      <c r="F4491">
        <v>1.1660986621555101</v>
      </c>
      <c r="G4491">
        <v>1.3216597451914101</v>
      </c>
      <c r="H4491">
        <v>0.94042039081023998</v>
      </c>
      <c r="I4491">
        <v>0.738024689770439</v>
      </c>
      <c r="J4491">
        <v>0.59237228426741195</v>
      </c>
      <c r="K4491">
        <v>0.46779039596821897</v>
      </c>
      <c r="L4491">
        <v>2713.43279002074</v>
      </c>
      <c r="M4491">
        <v>42.252252235714799</v>
      </c>
      <c r="N4491">
        <v>69.277400919579506</v>
      </c>
      <c r="O4491">
        <v>64.076491628509601</v>
      </c>
      <c r="P4491">
        <v>-8.6196331681867897E-2</v>
      </c>
      <c r="Q4491">
        <v>0.47712622888987199</v>
      </c>
      <c r="R4491">
        <v>0.76306213307967496</v>
      </c>
      <c r="S4491" t="s">
        <v>10317</v>
      </c>
      <c r="T4491" t="s">
        <v>11650</v>
      </c>
      <c r="U4491" t="s">
        <v>11650</v>
      </c>
      <c r="V4491" t="s">
        <v>11650</v>
      </c>
      <c r="W4491" t="s">
        <v>16087</v>
      </c>
      <c r="X4491">
        <v>1</v>
      </c>
      <c r="Y4491" t="s">
        <v>21756</v>
      </c>
      <c r="Z4491" t="s">
        <v>27553</v>
      </c>
      <c r="AA4491">
        <v>0.90033559545593578</v>
      </c>
      <c r="AB4491" t="str">
        <f>HYPERLINK("Melting_Curves/meltCurve_Q96DD7_SHISA4.pdf", "Melting_Curves/meltCurve_Q96DD7_SHISA4.pdf")</f>
        <v>Melting_Curves/meltCurve_Q96DD7_SHISA4.pdf</v>
      </c>
    </row>
    <row r="4492" spans="1:28" x14ac:dyDescent="0.25">
      <c r="A4492" t="s">
        <v>4496</v>
      </c>
      <c r="B4492">
        <v>0.99996721820229495</v>
      </c>
      <c r="C4492">
        <v>0.98411754958001696</v>
      </c>
      <c r="D4492">
        <v>0.91386191636843195</v>
      </c>
      <c r="E4492">
        <v>0.90676184661378201</v>
      </c>
      <c r="F4492">
        <v>1.0566014869524001</v>
      </c>
      <c r="G4492">
        <v>0.96898462594485202</v>
      </c>
      <c r="H4492">
        <v>0.65299817607456601</v>
      </c>
      <c r="I4492">
        <v>0.644183118298292</v>
      </c>
      <c r="J4492">
        <v>0.52101997111243104</v>
      </c>
      <c r="K4492">
        <v>0.25184825708637498</v>
      </c>
      <c r="L4492">
        <v>952.94980882345703</v>
      </c>
      <c r="M4492">
        <v>14.4311119641148</v>
      </c>
      <c r="N4492">
        <v>66.0343961496595</v>
      </c>
      <c r="O4492">
        <v>64.805240281390496</v>
      </c>
      <c r="P4492">
        <v>-5.5677632460302703E-2</v>
      </c>
      <c r="Q4492">
        <v>0</v>
      </c>
      <c r="R4492">
        <v>0.92295128751307398</v>
      </c>
      <c r="S4492" t="s">
        <v>10318</v>
      </c>
      <c r="T4492" t="s">
        <v>11650</v>
      </c>
      <c r="U4492" t="s">
        <v>11650</v>
      </c>
      <c r="V4492" t="s">
        <v>11650</v>
      </c>
      <c r="W4492" t="s">
        <v>16088</v>
      </c>
      <c r="X4492">
        <v>10</v>
      </c>
      <c r="Y4492" t="s">
        <v>21757</v>
      </c>
      <c r="Z4492" t="s">
        <v>27554</v>
      </c>
      <c r="AA4492">
        <v>0.82907373573442555</v>
      </c>
      <c r="AB4492" t="str">
        <f>HYPERLINK("Melting_Curves/meltCurve_Q96DE0_NUDT16.pdf", "Melting_Curves/meltCurve_Q96DE0_NUDT16.pdf")</f>
        <v>Melting_Curves/meltCurve_Q96DE0_NUDT16.pdf</v>
      </c>
    </row>
    <row r="4493" spans="1:28" x14ac:dyDescent="0.25">
      <c r="A4493" t="s">
        <v>4497</v>
      </c>
      <c r="B4493">
        <v>0.99996721820229495</v>
      </c>
      <c r="C4493">
        <v>0.94586878499881999</v>
      </c>
      <c r="D4493">
        <v>0.82660433319061799</v>
      </c>
      <c r="E4493">
        <v>1.03654856221634</v>
      </c>
      <c r="F4493">
        <v>1.2909355864915899</v>
      </c>
      <c r="G4493">
        <v>1.8022481097260299</v>
      </c>
      <c r="H4493">
        <v>1.4317649651506501</v>
      </c>
      <c r="I4493">
        <v>1.3470571442602299</v>
      </c>
      <c r="J4493">
        <v>1.3204350131343601</v>
      </c>
      <c r="K4493">
        <v>1.0279453674729699</v>
      </c>
      <c r="L4493">
        <v>3899.2694616508002</v>
      </c>
      <c r="M4493">
        <v>74.829119847631105</v>
      </c>
      <c r="O4493">
        <v>52.071797872405298</v>
      </c>
      <c r="P4493">
        <v>0.138209052107026</v>
      </c>
      <c r="Q4493">
        <v>1.3847054996847601</v>
      </c>
      <c r="R4493">
        <v>0.54877175276618795</v>
      </c>
      <c r="S4493" t="s">
        <v>10319</v>
      </c>
      <c r="T4493" t="s">
        <v>11650</v>
      </c>
      <c r="U4493" t="s">
        <v>11650</v>
      </c>
      <c r="V4493" t="s">
        <v>11650</v>
      </c>
      <c r="W4493" t="s">
        <v>16089</v>
      </c>
      <c r="X4493">
        <v>1</v>
      </c>
      <c r="Y4493" t="s">
        <v>21758</v>
      </c>
      <c r="Z4493" t="s">
        <v>27555</v>
      </c>
      <c r="AA4493">
        <v>1.2290321523985981</v>
      </c>
      <c r="AB4493" t="str">
        <f>HYPERLINK("Melting_Curves/meltCurve_Q96DE5_ANAPC16.pdf", "Melting_Curves/meltCurve_Q96DE5_ANAPC16.pdf")</f>
        <v>Melting_Curves/meltCurve_Q96DE5_ANAPC16.pdf</v>
      </c>
    </row>
    <row r="4494" spans="1:28" x14ac:dyDescent="0.25">
      <c r="A4494" t="s">
        <v>4498</v>
      </c>
      <c r="B4494">
        <v>0.99996721820229495</v>
      </c>
      <c r="C4494">
        <v>1.05570867095816</v>
      </c>
      <c r="D4494">
        <v>0.97038817137186095</v>
      </c>
      <c r="E4494">
        <v>0.82909756237992904</v>
      </c>
      <c r="F4494">
        <v>1.0132493625202501</v>
      </c>
      <c r="G4494">
        <v>0.93990712449504399</v>
      </c>
      <c r="H4494">
        <v>0.72763832896463199</v>
      </c>
      <c r="I4494">
        <v>0.70089802909778398</v>
      </c>
      <c r="J4494">
        <v>0.76734272565310202</v>
      </c>
      <c r="K4494">
        <v>0.62934475366223097</v>
      </c>
      <c r="L4494">
        <v>644.68862389190394</v>
      </c>
      <c r="M4494">
        <v>10.3865195610028</v>
      </c>
      <c r="O4494">
        <v>59.901116119879298</v>
      </c>
      <c r="P4494">
        <v>-1.9584370733010899E-2</v>
      </c>
      <c r="Q4494">
        <v>0.54840217715862405</v>
      </c>
      <c r="R4494">
        <v>0.77706882793338805</v>
      </c>
      <c r="S4494" t="s">
        <v>10320</v>
      </c>
      <c r="T4494" t="s">
        <v>11650</v>
      </c>
      <c r="U4494" t="s">
        <v>11650</v>
      </c>
      <c r="V4494" t="s">
        <v>11650</v>
      </c>
      <c r="W4494" t="s">
        <v>16090</v>
      </c>
      <c r="X4494">
        <v>4</v>
      </c>
      <c r="Y4494" t="s">
        <v>21759</v>
      </c>
      <c r="Z4494" t="s">
        <v>27556</v>
      </c>
      <c r="AA4494">
        <v>0.87178011916411191</v>
      </c>
      <c r="AB4494" t="str">
        <f>HYPERLINK("Melting_Curves/meltCurve_Q96DF8_DGCR14.pdf", "Melting_Curves/meltCurve_Q96DF8_DGCR14.pdf")</f>
        <v>Melting_Curves/meltCurve_Q96DF8_DGCR14.pdf</v>
      </c>
    </row>
    <row r="4495" spans="1:28" x14ac:dyDescent="0.25">
      <c r="A4495" t="s">
        <v>4499</v>
      </c>
      <c r="B4495">
        <v>0.99996721820229495</v>
      </c>
      <c r="C4495">
        <v>1.0355298513710101</v>
      </c>
      <c r="D4495">
        <v>0.95316782093057095</v>
      </c>
      <c r="E4495">
        <v>0.90458523460497398</v>
      </c>
      <c r="F4495">
        <v>0.831001109327967</v>
      </c>
      <c r="G4495">
        <v>0.41113243770372498</v>
      </c>
      <c r="H4495">
        <v>0.20995327923069301</v>
      </c>
      <c r="I4495">
        <v>0.14095942874255499</v>
      </c>
      <c r="J4495">
        <v>9.6396163184068406E-2</v>
      </c>
      <c r="K4495">
        <v>8.1478281126733304E-2</v>
      </c>
      <c r="L4495">
        <v>1284.6356696954799</v>
      </c>
      <c r="M4495">
        <v>23.001698928680099</v>
      </c>
      <c r="N4495">
        <v>56.286734057698197</v>
      </c>
      <c r="O4495">
        <v>55.432603531653797</v>
      </c>
      <c r="P4495">
        <v>-9.5253776358676601E-2</v>
      </c>
      <c r="Q4495">
        <v>8.1795484041756503E-2</v>
      </c>
      <c r="R4495">
        <v>0.99555898687313304</v>
      </c>
      <c r="S4495" t="s">
        <v>10321</v>
      </c>
      <c r="T4495" t="s">
        <v>11650</v>
      </c>
      <c r="U4495" t="s">
        <v>11650</v>
      </c>
      <c r="V4495" t="s">
        <v>11650</v>
      </c>
      <c r="W4495" t="s">
        <v>16091</v>
      </c>
      <c r="X4495">
        <v>9</v>
      </c>
      <c r="Y4495" t="s">
        <v>21760</v>
      </c>
      <c r="Z4495" t="s">
        <v>27557</v>
      </c>
      <c r="AA4495">
        <v>0.57657181854355366</v>
      </c>
      <c r="AB4495" t="str">
        <f>HYPERLINK("Melting_Curves/meltCurve_Q96DG6_CMBL.pdf", "Melting_Curves/meltCurve_Q96DG6_CMBL.pdf")</f>
        <v>Melting_Curves/meltCurve_Q96DG6_CMBL.pdf</v>
      </c>
    </row>
    <row r="4496" spans="1:28" x14ac:dyDescent="0.25">
      <c r="A4496" t="s">
        <v>4500</v>
      </c>
      <c r="B4496">
        <v>0.99996721820229495</v>
      </c>
      <c r="C4496">
        <v>0.97602652996661798</v>
      </c>
      <c r="D4496">
        <v>0.76347812317762098</v>
      </c>
      <c r="E4496">
        <v>0.27499980870615498</v>
      </c>
      <c r="F4496">
        <v>0.197922250552895</v>
      </c>
      <c r="G4496">
        <v>0.16783609002504499</v>
      </c>
      <c r="H4496">
        <v>6.9802146975744897E-2</v>
      </c>
      <c r="I4496">
        <v>5.4768006679811201E-2</v>
      </c>
      <c r="J4496">
        <v>4.5284275548615797E-2</v>
      </c>
      <c r="K4496">
        <v>2.92680154690175E-2</v>
      </c>
      <c r="L4496">
        <v>1179.7560172052499</v>
      </c>
      <c r="M4496">
        <v>24.6201705613115</v>
      </c>
      <c r="N4496">
        <v>48.218729145753798</v>
      </c>
      <c r="O4496">
        <v>47.605493247511198</v>
      </c>
      <c r="P4496">
        <v>-0.120100552857356</v>
      </c>
      <c r="Q4496">
        <v>7.11088928041336E-2</v>
      </c>
      <c r="R4496">
        <v>0.990256973880978</v>
      </c>
      <c r="S4496" t="s">
        <v>10322</v>
      </c>
      <c r="T4496" t="s">
        <v>11650</v>
      </c>
      <c r="U4496" t="s">
        <v>11650</v>
      </c>
      <c r="V4496" t="s">
        <v>11650</v>
      </c>
      <c r="W4496" t="s">
        <v>16092</v>
      </c>
      <c r="X4496">
        <v>1</v>
      </c>
      <c r="Y4496" t="s">
        <v>21761</v>
      </c>
      <c r="Z4496" t="s">
        <v>27558</v>
      </c>
      <c r="AA4496">
        <v>0.32476692315316519</v>
      </c>
      <c r="AB4496" t="str">
        <f>HYPERLINK("Melting_Curves/meltCurve_Q96DR4_STARD4.pdf", "Melting_Curves/meltCurve_Q96DR4_STARD4.pdf")</f>
        <v>Melting_Curves/meltCurve_Q96DR4_STARD4.pdf</v>
      </c>
    </row>
    <row r="4497" spans="1:28" x14ac:dyDescent="0.25">
      <c r="A4497" t="s">
        <v>4501</v>
      </c>
      <c r="B4497">
        <v>0.99996721820229495</v>
      </c>
      <c r="C4497">
        <v>0.95569498514144702</v>
      </c>
      <c r="D4497">
        <v>0.98115295194683905</v>
      </c>
      <c r="E4497">
        <v>0.91442044833243397</v>
      </c>
      <c r="F4497">
        <v>0.15529489752352801</v>
      </c>
      <c r="G4497">
        <v>5.7051353683922203E-2</v>
      </c>
      <c r="H4497">
        <v>2.7974740566267298E-2</v>
      </c>
      <c r="I4497">
        <v>0</v>
      </c>
      <c r="J4497">
        <v>0</v>
      </c>
      <c r="K4497">
        <v>0</v>
      </c>
      <c r="L4497">
        <v>3655.4911695092901</v>
      </c>
      <c r="M4497">
        <v>70.770129950376798</v>
      </c>
      <c r="N4497">
        <v>51.677655536983401</v>
      </c>
      <c r="O4497">
        <v>51.611825089862798</v>
      </c>
      <c r="P4497">
        <v>-0.33711501089002499</v>
      </c>
      <c r="Q4497">
        <v>1.65841269696318E-2</v>
      </c>
      <c r="R4497">
        <v>0.99767530624513001</v>
      </c>
      <c r="S4497" t="s">
        <v>10323</v>
      </c>
      <c r="T4497" t="s">
        <v>11650</v>
      </c>
      <c r="U4497" t="s">
        <v>11650</v>
      </c>
      <c r="V4497" t="s">
        <v>11650</v>
      </c>
      <c r="W4497" t="s">
        <v>16093</v>
      </c>
      <c r="X4497">
        <v>1</v>
      </c>
      <c r="Y4497" t="s">
        <v>21762</v>
      </c>
      <c r="Z4497" t="s">
        <v>27559</v>
      </c>
      <c r="AA4497">
        <v>0.39969170170104268</v>
      </c>
      <c r="AB4497" t="str">
        <f>HYPERLINK("Melting_Curves/meltCurve_Q96DT0_3_LGALS12.pdf", "Melting_Curves/meltCurve_Q96DT0_3_LGALS12.pdf")</f>
        <v>Melting_Curves/meltCurve_Q96DT0_3_LGALS12.pdf</v>
      </c>
    </row>
    <row r="4498" spans="1:28" x14ac:dyDescent="0.25">
      <c r="A4498" t="s">
        <v>4502</v>
      </c>
      <c r="B4498">
        <v>0.99996721820229495</v>
      </c>
      <c r="C4498">
        <v>0.60585863498721104</v>
      </c>
      <c r="D4498">
        <v>0.74359887098465305</v>
      </c>
      <c r="E4498">
        <v>1.4754829209906</v>
      </c>
      <c r="F4498">
        <v>1.62544233017124</v>
      </c>
      <c r="G4498">
        <v>0.60097091782184997</v>
      </c>
      <c r="H4498">
        <v>0.93285768662077995</v>
      </c>
      <c r="I4498">
        <v>1.34494871380395</v>
      </c>
      <c r="J4498">
        <v>0.91984661287755298</v>
      </c>
      <c r="K4498">
        <v>1.33566069561959</v>
      </c>
      <c r="L4498">
        <v>332.16669070207399</v>
      </c>
      <c r="M4498">
        <v>4.1281261777221498</v>
      </c>
      <c r="O4498">
        <v>66.708544458053197</v>
      </c>
      <c r="P4498">
        <v>7.8251939962399094E-3</v>
      </c>
      <c r="Q4498">
        <v>1.5</v>
      </c>
      <c r="R4498">
        <v>4.9415998469073498E-2</v>
      </c>
      <c r="S4498" t="s">
        <v>10324</v>
      </c>
      <c r="T4498" t="s">
        <v>11650</v>
      </c>
      <c r="U4498" t="s">
        <v>11650</v>
      </c>
      <c r="V4498" t="s">
        <v>11650</v>
      </c>
      <c r="W4498" t="s">
        <v>16094</v>
      </c>
      <c r="X4498">
        <v>1</v>
      </c>
      <c r="Y4498" t="s">
        <v>21763</v>
      </c>
      <c r="Z4498" t="s">
        <v>27560</v>
      </c>
      <c r="AA4498">
        <v>1.0739578411660839</v>
      </c>
      <c r="AB4498" t="str">
        <f>HYPERLINK("Melting_Curves/meltCurve_Q96DT5_DNAH11.pdf", "Melting_Curves/meltCurve_Q96DT5_DNAH11.pdf")</f>
        <v>Melting_Curves/meltCurve_Q96DT5_DNAH11.pdf</v>
      </c>
    </row>
    <row r="4499" spans="1:28" x14ac:dyDescent="0.25">
      <c r="A4499" t="s">
        <v>4503</v>
      </c>
      <c r="B4499">
        <v>0.99996721820229495</v>
      </c>
      <c r="C4499">
        <v>0.92389962824209504</v>
      </c>
      <c r="D4499">
        <v>1.0262414031621101</v>
      </c>
      <c r="E4499">
        <v>0.72772704607467797</v>
      </c>
      <c r="F4499">
        <v>0.28679197268841999</v>
      </c>
      <c r="G4499">
        <v>0.16343379025584301</v>
      </c>
      <c r="H4499">
        <v>8.19916615625116E-2</v>
      </c>
      <c r="I4499">
        <v>4.5023206134012499E-2</v>
      </c>
      <c r="J4499">
        <v>2.4637490302269201E-2</v>
      </c>
      <c r="K4499">
        <v>3.3233226541007098E-2</v>
      </c>
      <c r="L4499">
        <v>1661.18498260211</v>
      </c>
      <c r="M4499">
        <v>32.346711772757097</v>
      </c>
      <c r="N4499">
        <v>51.549305704801803</v>
      </c>
      <c r="O4499">
        <v>51.160517296025098</v>
      </c>
      <c r="P4499">
        <v>-0.14902038706878801</v>
      </c>
      <c r="Q4499">
        <v>5.7224320465000499E-2</v>
      </c>
      <c r="R4499">
        <v>0.99090064879990403</v>
      </c>
      <c r="S4499" t="s">
        <v>10325</v>
      </c>
      <c r="T4499" t="s">
        <v>11650</v>
      </c>
      <c r="U4499" t="s">
        <v>11650</v>
      </c>
      <c r="V4499" t="s">
        <v>11650</v>
      </c>
      <c r="W4499" t="s">
        <v>16095</v>
      </c>
      <c r="X4499">
        <v>2</v>
      </c>
      <c r="Y4499" t="s">
        <v>21764</v>
      </c>
      <c r="Z4499" t="s">
        <v>27561</v>
      </c>
      <c r="AA4499">
        <v>0.41921212252727158</v>
      </c>
      <c r="AB4499" t="str">
        <f>HYPERLINK("Melting_Curves/meltCurve_Q96DT6_ATG4C.pdf", "Melting_Curves/meltCurve_Q96DT6_ATG4C.pdf")</f>
        <v>Melting_Curves/meltCurve_Q96DT6_ATG4C.pdf</v>
      </c>
    </row>
    <row r="4500" spans="1:28" x14ac:dyDescent="0.25">
      <c r="A4500" t="s">
        <v>4504</v>
      </c>
      <c r="B4500">
        <v>0.99996721820229495</v>
      </c>
      <c r="C4500">
        <v>0.87667322338549802</v>
      </c>
      <c r="D4500">
        <v>1.1438671574391299</v>
      </c>
      <c r="E4500">
        <v>1.26192059044628</v>
      </c>
      <c r="F4500">
        <v>1.2058121266724999</v>
      </c>
      <c r="G4500">
        <v>0.93177224504262202</v>
      </c>
      <c r="H4500">
        <v>0.30616438078359798</v>
      </c>
      <c r="I4500">
        <v>0.28309783731385602</v>
      </c>
      <c r="J4500">
        <v>0.19837301815040001</v>
      </c>
      <c r="K4500">
        <v>0.14422954125311199</v>
      </c>
      <c r="L4500">
        <v>3625.75288401633</v>
      </c>
      <c r="M4500">
        <v>61.2609308063033</v>
      </c>
      <c r="N4500">
        <v>59.693882606905298</v>
      </c>
      <c r="O4500">
        <v>59.122436712246</v>
      </c>
      <c r="P4500">
        <v>-0.20638389241677699</v>
      </c>
      <c r="Q4500">
        <v>0.203282548332513</v>
      </c>
      <c r="R4500">
        <v>0.91436813383688997</v>
      </c>
      <c r="S4500" t="s">
        <v>10326</v>
      </c>
      <c r="T4500" t="s">
        <v>11650</v>
      </c>
      <c r="U4500" t="s">
        <v>11650</v>
      </c>
      <c r="V4500" t="s">
        <v>11650</v>
      </c>
      <c r="W4500" t="s">
        <v>16096</v>
      </c>
      <c r="X4500">
        <v>3</v>
      </c>
      <c r="Y4500" t="s">
        <v>21765</v>
      </c>
      <c r="Z4500" t="s">
        <v>27562</v>
      </c>
      <c r="AA4500">
        <v>0.71417415436821585</v>
      </c>
      <c r="AB4500" t="str">
        <f>HYPERLINK("Melting_Curves/meltCurve_Q96DX4_RSPRY1.pdf", "Melting_Curves/meltCurve_Q96DX4_RSPRY1.pdf")</f>
        <v>Melting_Curves/meltCurve_Q96DX4_RSPRY1.pdf</v>
      </c>
    </row>
    <row r="4501" spans="1:28" x14ac:dyDescent="0.25">
      <c r="A4501" t="s">
        <v>4505</v>
      </c>
      <c r="B4501">
        <v>0.99996721820229495</v>
      </c>
      <c r="C4501">
        <v>0.83252583141150105</v>
      </c>
      <c r="D4501">
        <v>0.79360821842506402</v>
      </c>
      <c r="E4501">
        <v>0.94511115069678997</v>
      </c>
      <c r="F4501">
        <v>1.26331476276818</v>
      </c>
      <c r="G4501">
        <v>1.2100789108476699</v>
      </c>
      <c r="H4501">
        <v>0.88194573600637005</v>
      </c>
      <c r="I4501">
        <v>0.69217673763480903</v>
      </c>
      <c r="J4501">
        <v>0.58977701922354198</v>
      </c>
      <c r="K4501">
        <v>0.55940299900239598</v>
      </c>
      <c r="L4501">
        <v>3063.2888025843199</v>
      </c>
      <c r="M4501">
        <v>48.9168463324676</v>
      </c>
      <c r="O4501">
        <v>62.517977669479002</v>
      </c>
      <c r="P4501">
        <v>-8.4576560662433797E-2</v>
      </c>
      <c r="Q4501">
        <v>0.567629476022113</v>
      </c>
      <c r="R4501">
        <v>0.62566765868753205</v>
      </c>
      <c r="S4501" t="s">
        <v>10327</v>
      </c>
      <c r="T4501" t="s">
        <v>11650</v>
      </c>
      <c r="U4501" t="s">
        <v>11650</v>
      </c>
      <c r="V4501" t="s">
        <v>11650</v>
      </c>
      <c r="W4501" t="s">
        <v>16097</v>
      </c>
      <c r="X4501">
        <v>1</v>
      </c>
      <c r="Y4501" t="s">
        <v>21766</v>
      </c>
      <c r="Z4501" t="s">
        <v>27563</v>
      </c>
      <c r="AA4501">
        <v>0.89478002448293215</v>
      </c>
      <c r="AB4501" t="str">
        <f>HYPERLINK("Melting_Curves/meltCurve_Q96DX7_TRIM44.pdf", "Melting_Curves/meltCurve_Q96DX7_TRIM44.pdf")</f>
        <v>Melting_Curves/meltCurve_Q96DX7_TRIM44.pdf</v>
      </c>
    </row>
    <row r="4502" spans="1:28" x14ac:dyDescent="0.25">
      <c r="A4502" t="s">
        <v>4506</v>
      </c>
      <c r="B4502">
        <v>0.99996721820229495</v>
      </c>
      <c r="C4502">
        <v>0.989424790431497</v>
      </c>
      <c r="D4502">
        <v>1.0715204063463999</v>
      </c>
      <c r="E4502">
        <v>1.36988325452402</v>
      </c>
      <c r="F4502">
        <v>1.3415586276384901</v>
      </c>
      <c r="G4502">
        <v>1.13353117325132</v>
      </c>
      <c r="H4502">
        <v>0.52958900534875997</v>
      </c>
      <c r="I4502">
        <v>0.26983826761311003</v>
      </c>
      <c r="J4502">
        <v>0.17188530332190699</v>
      </c>
      <c r="K4502">
        <v>0.18115592279388601</v>
      </c>
      <c r="L4502">
        <v>5271.6201053900604</v>
      </c>
      <c r="M4502">
        <v>86.762033195920296</v>
      </c>
      <c r="N4502">
        <v>61.127267331166102</v>
      </c>
      <c r="O4502">
        <v>60.727274247820198</v>
      </c>
      <c r="P4502">
        <v>-0.28455703209810901</v>
      </c>
      <c r="Q4502">
        <v>0.203321114467898</v>
      </c>
      <c r="R4502">
        <v>0.85972940146496202</v>
      </c>
      <c r="S4502" t="s">
        <v>10328</v>
      </c>
      <c r="T4502" t="s">
        <v>11650</v>
      </c>
      <c r="U4502" t="s">
        <v>11650</v>
      </c>
      <c r="V4502" t="s">
        <v>11650</v>
      </c>
      <c r="W4502" t="s">
        <v>16098</v>
      </c>
      <c r="X4502">
        <v>15</v>
      </c>
      <c r="Y4502" t="s">
        <v>21767</v>
      </c>
      <c r="Z4502" t="s">
        <v>27564</v>
      </c>
      <c r="AA4502">
        <v>0.75531654758171862</v>
      </c>
      <c r="AB4502" t="str">
        <f>HYPERLINK("Melting_Curves/meltCurve_Q96DZ1_ERLEC1.pdf", "Melting_Curves/meltCurve_Q96DZ1_ERLEC1.pdf")</f>
        <v>Melting_Curves/meltCurve_Q96DZ1_ERLEC1.pdf</v>
      </c>
    </row>
    <row r="4503" spans="1:28" x14ac:dyDescent="0.25">
      <c r="A4503" t="s">
        <v>4507</v>
      </c>
      <c r="B4503">
        <v>0.99996721820229495</v>
      </c>
      <c r="C4503">
        <v>0.94615525524695399</v>
      </c>
      <c r="D4503">
        <v>0.92292699131618305</v>
      </c>
      <c r="E4503">
        <v>1.0312279094886401</v>
      </c>
      <c r="F4503">
        <v>1.20966009985282</v>
      </c>
      <c r="G4503">
        <v>1.5685104915020001</v>
      </c>
      <c r="H4503">
        <v>1.2160707468555001</v>
      </c>
      <c r="I4503">
        <v>1.11275447872402</v>
      </c>
      <c r="J4503">
        <v>1.1075621073552999</v>
      </c>
      <c r="K4503">
        <v>0.68638795747091097</v>
      </c>
      <c r="L4503">
        <v>15000</v>
      </c>
      <c r="M4503">
        <v>213.502355752184</v>
      </c>
      <c r="Q4503">
        <v>0</v>
      </c>
      <c r="R4503">
        <v>7.0835439614096996E-2</v>
      </c>
      <c r="S4503" t="s">
        <v>10329</v>
      </c>
      <c r="T4503" t="s">
        <v>11650</v>
      </c>
      <c r="U4503" t="s">
        <v>11650</v>
      </c>
      <c r="V4503" t="s">
        <v>11650</v>
      </c>
      <c r="W4503" t="s">
        <v>16099</v>
      </c>
      <c r="X4503">
        <v>6</v>
      </c>
      <c r="Y4503" t="s">
        <v>21768</v>
      </c>
      <c r="Z4503" t="s">
        <v>27565</v>
      </c>
      <c r="AA4503">
        <v>0.99594400835646824</v>
      </c>
      <c r="AB4503" t="str">
        <f>HYPERLINK("Melting_Curves/meltCurve_Q96E09_FAM122A.pdf", "Melting_Curves/meltCurve_Q96E09_FAM122A.pdf")</f>
        <v>Melting_Curves/meltCurve_Q96E09_FAM122A.pdf</v>
      </c>
    </row>
    <row r="4504" spans="1:28" x14ac:dyDescent="0.25">
      <c r="A4504" t="s">
        <v>4508</v>
      </c>
      <c r="B4504">
        <v>0.99996721820229495</v>
      </c>
      <c r="C4504">
        <v>0.90651883062919902</v>
      </c>
      <c r="D4504">
        <v>0.79870034494396902</v>
      </c>
      <c r="E4504">
        <v>0.41178917428915801</v>
      </c>
      <c r="F4504">
        <v>0.35338239595728199</v>
      </c>
      <c r="G4504">
        <v>0.334716391325797</v>
      </c>
      <c r="H4504">
        <v>0.22825941405633299</v>
      </c>
      <c r="I4504">
        <v>0.20805595245966699</v>
      </c>
      <c r="J4504">
        <v>0.14413293159079699</v>
      </c>
      <c r="K4504">
        <v>0.115337463597332</v>
      </c>
      <c r="L4504">
        <v>766.92146119654899</v>
      </c>
      <c r="M4504">
        <v>15.800100204135401</v>
      </c>
      <c r="N4504">
        <v>49.859567280180698</v>
      </c>
      <c r="O4504">
        <v>47.7814412782433</v>
      </c>
      <c r="P4504">
        <v>-6.8540127839348E-2</v>
      </c>
      <c r="Q4504">
        <v>0.17097329464982999</v>
      </c>
      <c r="R4504">
        <v>0.97560988189143105</v>
      </c>
      <c r="S4504" t="s">
        <v>10330</v>
      </c>
      <c r="T4504" t="s">
        <v>11650</v>
      </c>
      <c r="U4504" t="s">
        <v>11650</v>
      </c>
      <c r="V4504" t="s">
        <v>11650</v>
      </c>
      <c r="W4504" t="s">
        <v>16100</v>
      </c>
      <c r="X4504">
        <v>5</v>
      </c>
      <c r="Y4504" t="s">
        <v>21769</v>
      </c>
      <c r="Z4504" t="s">
        <v>27566</v>
      </c>
      <c r="AA4504">
        <v>0.42577096177508722</v>
      </c>
      <c r="AB4504" t="str">
        <f>HYPERLINK("Melting_Curves/meltCurve_Q96E11_3_MRRF.pdf", "Melting_Curves/meltCurve_Q96E11_3_MRRF.pdf")</f>
        <v>Melting_Curves/meltCurve_Q96E11_3_MRRF.pdf</v>
      </c>
    </row>
    <row r="4505" spans="1:28" x14ac:dyDescent="0.25">
      <c r="A4505" t="s">
        <v>4509</v>
      </c>
      <c r="B4505">
        <v>0.99996721820229495</v>
      </c>
      <c r="C4505">
        <v>1.0987079552330301</v>
      </c>
      <c r="D4505">
        <v>1.11824253644657</v>
      </c>
      <c r="E4505">
        <v>1.30766565129998</v>
      </c>
      <c r="F4505">
        <v>1.3405158828286901</v>
      </c>
      <c r="G4505">
        <v>0.90171136612540004</v>
      </c>
      <c r="H4505">
        <v>0.33171966304142497</v>
      </c>
      <c r="I4505">
        <v>0.23706391934954901</v>
      </c>
      <c r="J4505">
        <v>0.101976249410692</v>
      </c>
      <c r="K4505">
        <v>0.12422410871910899</v>
      </c>
      <c r="L4505">
        <v>2884.27713195155</v>
      </c>
      <c r="M4505">
        <v>48.454618977434002</v>
      </c>
      <c r="N4505">
        <v>59.931358521990099</v>
      </c>
      <c r="O4505">
        <v>59.4242041753512</v>
      </c>
      <c r="P4505">
        <v>-0.17532832760977399</v>
      </c>
      <c r="Q4505">
        <v>0.13991801893250999</v>
      </c>
      <c r="R4505">
        <v>0.89213350265864899</v>
      </c>
      <c r="S4505" t="s">
        <v>10331</v>
      </c>
      <c r="T4505" t="s">
        <v>11650</v>
      </c>
      <c r="U4505" t="s">
        <v>11650</v>
      </c>
      <c r="V4505" t="s">
        <v>11650</v>
      </c>
      <c r="W4505" t="s">
        <v>16101</v>
      </c>
      <c r="X4505">
        <v>2</v>
      </c>
      <c r="Y4505" t="s">
        <v>21770</v>
      </c>
      <c r="Z4505" t="s">
        <v>27567</v>
      </c>
      <c r="AA4505">
        <v>0.70206663810326242</v>
      </c>
      <c r="AB4505" t="str">
        <f>HYPERLINK("Melting_Curves/meltCurve_Q96E22_NUS1.pdf", "Melting_Curves/meltCurve_Q96E22_NUS1.pdf")</f>
        <v>Melting_Curves/meltCurve_Q96E22_NUS1.pdf</v>
      </c>
    </row>
    <row r="4506" spans="1:28" x14ac:dyDescent="0.25">
      <c r="A4506" t="s">
        <v>4510</v>
      </c>
      <c r="B4506">
        <v>0.99996721820229495</v>
      </c>
      <c r="C4506">
        <v>1.0329600040976701</v>
      </c>
      <c r="D4506">
        <v>0.87298487398983404</v>
      </c>
      <c r="E4506">
        <v>0.54476132891878404</v>
      </c>
      <c r="F4506">
        <v>0.53093948103766397</v>
      </c>
      <c r="G4506">
        <v>0.35582303342136801</v>
      </c>
      <c r="H4506">
        <v>0.235909193438256</v>
      </c>
      <c r="I4506">
        <v>0.17720501211933201</v>
      </c>
      <c r="J4506">
        <v>0.16488712296994101</v>
      </c>
      <c r="K4506">
        <v>0.13481892553788399</v>
      </c>
      <c r="L4506">
        <v>684.27606144515505</v>
      </c>
      <c r="M4506">
        <v>13.2790188763861</v>
      </c>
      <c r="N4506">
        <v>52.706200142519997</v>
      </c>
      <c r="O4506">
        <v>50.404030677209597</v>
      </c>
      <c r="P4506">
        <v>-5.7430384221855202E-2</v>
      </c>
      <c r="Q4506">
        <v>0.12817289721557301</v>
      </c>
      <c r="R4506">
        <v>0.97830958295868198</v>
      </c>
      <c r="S4506" t="s">
        <v>10332</v>
      </c>
      <c r="T4506" t="s">
        <v>11650</v>
      </c>
      <c r="U4506" t="s">
        <v>11650</v>
      </c>
      <c r="V4506" t="s">
        <v>11650</v>
      </c>
      <c r="W4506" t="s">
        <v>16102</v>
      </c>
      <c r="X4506">
        <v>6</v>
      </c>
      <c r="Y4506" t="s">
        <v>21771</v>
      </c>
      <c r="Z4506" t="s">
        <v>27568</v>
      </c>
      <c r="AA4506">
        <v>0.48711481142990631</v>
      </c>
      <c r="AB4506" t="str">
        <f>HYPERLINK("Melting_Curves/meltCurve_Q96EA4_2_SPDL1.pdf", "Melting_Curves/meltCurve_Q96EA4_2_SPDL1.pdf")</f>
        <v>Melting_Curves/meltCurve_Q96EA4_2_SPDL1.pdf</v>
      </c>
    </row>
    <row r="4507" spans="1:28" x14ac:dyDescent="0.25">
      <c r="A4507" t="s">
        <v>4511</v>
      </c>
      <c r="B4507">
        <v>0.99996721820229495</v>
      </c>
      <c r="C4507">
        <v>0.87173796165295603</v>
      </c>
      <c r="D4507">
        <v>0.86230496725325601</v>
      </c>
      <c r="E4507">
        <v>0.86689507766220897</v>
      </c>
      <c r="F4507">
        <v>0.94409488018796694</v>
      </c>
      <c r="G4507">
        <v>0.80360199851684699</v>
      </c>
      <c r="H4507">
        <v>0.55358530203755796</v>
      </c>
      <c r="I4507">
        <v>0.37032586526030098</v>
      </c>
      <c r="J4507">
        <v>0.267153788058755</v>
      </c>
      <c r="K4507">
        <v>0.17883237617952599</v>
      </c>
      <c r="L4507">
        <v>826.76749248727401</v>
      </c>
      <c r="M4507">
        <v>13.3426419332094</v>
      </c>
      <c r="N4507">
        <v>61.964301898980899</v>
      </c>
      <c r="O4507">
        <v>60.622029890488903</v>
      </c>
      <c r="P4507">
        <v>-5.5032678060121097E-2</v>
      </c>
      <c r="Q4507">
        <v>0</v>
      </c>
      <c r="R4507">
        <v>0.945650777797582</v>
      </c>
      <c r="S4507" t="s">
        <v>10333</v>
      </c>
      <c r="T4507" t="s">
        <v>11650</v>
      </c>
      <c r="U4507" t="s">
        <v>11650</v>
      </c>
      <c r="V4507" t="s">
        <v>11650</v>
      </c>
      <c r="W4507" t="s">
        <v>16103</v>
      </c>
      <c r="X4507">
        <v>2</v>
      </c>
      <c r="Y4507" t="s">
        <v>21772</v>
      </c>
      <c r="Z4507" t="s">
        <v>27569</v>
      </c>
      <c r="AA4507">
        <v>0.7255690745858937</v>
      </c>
      <c r="AB4507" t="str">
        <f>HYPERLINK("Melting_Curves/meltCurve_Q96EC8_YIPF6.pdf", "Melting_Curves/meltCurve_Q96EC8_YIPF6.pdf")</f>
        <v>Melting_Curves/meltCurve_Q96EC8_YIPF6.pdf</v>
      </c>
    </row>
    <row r="4508" spans="1:28" x14ac:dyDescent="0.25">
      <c r="A4508" t="s">
        <v>4512</v>
      </c>
      <c r="B4508">
        <v>0.99996721820229495</v>
      </c>
      <c r="C4508">
        <v>1.0826009140035999</v>
      </c>
      <c r="D4508">
        <v>1.1560290183528701</v>
      </c>
      <c r="E4508">
        <v>1.37597932240147</v>
      </c>
      <c r="F4508">
        <v>1.6399593974382101</v>
      </c>
      <c r="G4508">
        <v>1.1663477717363999</v>
      </c>
      <c r="H4508">
        <v>0.48077852206732102</v>
      </c>
      <c r="I4508">
        <v>0.338226429571923</v>
      </c>
      <c r="J4508">
        <v>0.202346961357452</v>
      </c>
      <c r="K4508">
        <v>0.19499713503089999</v>
      </c>
      <c r="L4508">
        <v>6698.6604996754004</v>
      </c>
      <c r="M4508">
        <v>110.587958773051</v>
      </c>
      <c r="N4508">
        <v>60.942182578976897</v>
      </c>
      <c r="O4508">
        <v>60.553367901382103</v>
      </c>
      <c r="P4508">
        <v>-0.34514492985523898</v>
      </c>
      <c r="Q4508">
        <v>0.24405227217873199</v>
      </c>
      <c r="R4508">
        <v>0.74227005877135899</v>
      </c>
      <c r="S4508" t="s">
        <v>10334</v>
      </c>
      <c r="T4508" t="s">
        <v>11650</v>
      </c>
      <c r="U4508" t="s">
        <v>11650</v>
      </c>
      <c r="V4508" t="s">
        <v>11650</v>
      </c>
      <c r="W4508" t="s">
        <v>16104</v>
      </c>
      <c r="X4508">
        <v>10</v>
      </c>
      <c r="Y4508" t="s">
        <v>21773</v>
      </c>
      <c r="Z4508" t="s">
        <v>27570</v>
      </c>
      <c r="AA4508">
        <v>0.76287074146759259</v>
      </c>
      <c r="AB4508" t="str">
        <f>HYPERLINK("Melting_Curves/meltCurve_Q96EE3_SEH1L.pdf", "Melting_Curves/meltCurve_Q96EE3_SEH1L.pdf")</f>
        <v>Melting_Curves/meltCurve_Q96EE3_SEH1L.pdf</v>
      </c>
    </row>
    <row r="4509" spans="1:28" x14ac:dyDescent="0.25">
      <c r="A4509" t="s">
        <v>4513</v>
      </c>
      <c r="B4509">
        <v>0.99996721820229495</v>
      </c>
      <c r="C4509">
        <v>1.1544998440860501</v>
      </c>
      <c r="D4509">
        <v>1.2248723252967399</v>
      </c>
      <c r="E4509">
        <v>1.3522668683182</v>
      </c>
      <c r="F4509">
        <v>1.7626362780009699</v>
      </c>
      <c r="G4509">
        <v>1.8117091192005501</v>
      </c>
      <c r="H4509">
        <v>0.78751988269145701</v>
      </c>
      <c r="I4509">
        <v>0.351469058723473</v>
      </c>
      <c r="J4509">
        <v>0.21577943349565401</v>
      </c>
      <c r="K4509">
        <v>0.155635956095907</v>
      </c>
      <c r="L4509">
        <v>3800.0988346977701</v>
      </c>
      <c r="M4509">
        <v>60.981360586422603</v>
      </c>
      <c r="N4509">
        <v>62.801567678859001</v>
      </c>
      <c r="O4509">
        <v>62.248822154773997</v>
      </c>
      <c r="P4509">
        <v>-0.19885661338185201</v>
      </c>
      <c r="Q4509">
        <v>0.18804122919247501</v>
      </c>
      <c r="R4509">
        <v>0.55182548508628204</v>
      </c>
      <c r="S4509" t="s">
        <v>10335</v>
      </c>
      <c r="T4509" t="s">
        <v>11650</v>
      </c>
      <c r="U4509" t="s">
        <v>11650</v>
      </c>
      <c r="V4509" t="s">
        <v>11650</v>
      </c>
      <c r="W4509" t="s">
        <v>16105</v>
      </c>
      <c r="X4509">
        <v>3</v>
      </c>
      <c r="Y4509" t="s">
        <v>21774</v>
      </c>
      <c r="Z4509" t="s">
        <v>27571</v>
      </c>
      <c r="AA4509">
        <v>0.79347617051382613</v>
      </c>
      <c r="AB4509" t="str">
        <f>HYPERLINK("Melting_Curves/meltCurve_Q96EH3_MALSU1.pdf", "Melting_Curves/meltCurve_Q96EH3_MALSU1.pdf")</f>
        <v>Melting_Curves/meltCurve_Q96EH3_MALSU1.pdf</v>
      </c>
    </row>
    <row r="4510" spans="1:28" x14ac:dyDescent="0.25">
      <c r="A4510" t="s">
        <v>4514</v>
      </c>
      <c r="B4510">
        <v>0.99996721820229495</v>
      </c>
      <c r="C4510">
        <v>0.97313200755812401</v>
      </c>
      <c r="D4510">
        <v>0.91283602336002001</v>
      </c>
      <c r="E4510">
        <v>0.88807638780883702</v>
      </c>
      <c r="F4510">
        <v>1.1881469619574401</v>
      </c>
      <c r="G4510">
        <v>1.2422254827282599</v>
      </c>
      <c r="H4510">
        <v>0.942153325962235</v>
      </c>
      <c r="I4510">
        <v>1.0305119496866</v>
      </c>
      <c r="J4510">
        <v>1.04059787439299</v>
      </c>
      <c r="K4510">
        <v>0.81974253920596696</v>
      </c>
      <c r="L4510">
        <v>15000</v>
      </c>
      <c r="M4510">
        <v>212.77108229421299</v>
      </c>
      <c r="Q4510">
        <v>0</v>
      </c>
      <c r="R4510">
        <v>0.211177126508655</v>
      </c>
      <c r="S4510" t="s">
        <v>10336</v>
      </c>
      <c r="T4510" t="s">
        <v>11650</v>
      </c>
      <c r="U4510" t="s">
        <v>11650</v>
      </c>
      <c r="V4510" t="s">
        <v>11650</v>
      </c>
      <c r="W4510" t="s">
        <v>16106</v>
      </c>
      <c r="X4510">
        <v>16</v>
      </c>
      <c r="Y4510" t="s">
        <v>21775</v>
      </c>
      <c r="Z4510" t="s">
        <v>27572</v>
      </c>
      <c r="AA4510">
        <v>0.99785665168304771</v>
      </c>
      <c r="AB4510" t="str">
        <f>HYPERLINK("Melting_Curves/meltCurve_Q96EI5_TCEAL4.pdf", "Melting_Curves/meltCurve_Q96EI5_TCEAL4.pdf")</f>
        <v>Melting_Curves/meltCurve_Q96EI5_TCEAL4.pdf</v>
      </c>
    </row>
    <row r="4511" spans="1:28" x14ac:dyDescent="0.25">
      <c r="A4511" t="s">
        <v>4515</v>
      </c>
      <c r="B4511">
        <v>0.99996721820229495</v>
      </c>
      <c r="C4511">
        <v>1.0242793675034001</v>
      </c>
      <c r="D4511">
        <v>0.83433812587596301</v>
      </c>
      <c r="E4511">
        <v>0.28017800574075502</v>
      </c>
      <c r="F4511">
        <v>0.287015987837135</v>
      </c>
      <c r="G4511">
        <v>0.24282618391427599</v>
      </c>
      <c r="H4511">
        <v>0.17000760066157899</v>
      </c>
      <c r="I4511">
        <v>0.108500292527783</v>
      </c>
      <c r="J4511">
        <v>8.7454627824293502E-2</v>
      </c>
      <c r="K4511">
        <v>6.3289798545763998E-2</v>
      </c>
      <c r="L4511">
        <v>1527.7882106489801</v>
      </c>
      <c r="M4511">
        <v>31.8681525140261</v>
      </c>
      <c r="N4511">
        <v>48.465093814982097</v>
      </c>
      <c r="O4511">
        <v>47.753308005646801</v>
      </c>
      <c r="P4511">
        <v>-0.14251733351072199</v>
      </c>
      <c r="Q4511">
        <v>0.14577531594661799</v>
      </c>
      <c r="R4511">
        <v>0.97362069180842303</v>
      </c>
      <c r="S4511" t="s">
        <v>10337</v>
      </c>
      <c r="T4511" t="s">
        <v>11650</v>
      </c>
      <c r="U4511" t="s">
        <v>11650</v>
      </c>
      <c r="V4511" t="s">
        <v>11650</v>
      </c>
      <c r="W4511" t="s">
        <v>16107</v>
      </c>
      <c r="X4511">
        <v>16</v>
      </c>
      <c r="Y4511" t="s">
        <v>21776</v>
      </c>
      <c r="Z4511" t="s">
        <v>27573</v>
      </c>
      <c r="AA4511">
        <v>0.37641645198440699</v>
      </c>
      <c r="AB4511" t="str">
        <f>HYPERLINK("Melting_Curves/meltCurve_Q96EK5_KIAA1279.pdf", "Melting_Curves/meltCurve_Q96EK5_KIAA1279.pdf")</f>
        <v>Melting_Curves/meltCurve_Q96EK5_KIAA1279.pdf</v>
      </c>
    </row>
    <row r="4512" spans="1:28" x14ac:dyDescent="0.25">
      <c r="A4512" t="s">
        <v>4516</v>
      </c>
      <c r="B4512">
        <v>0.99996721820229495</v>
      </c>
      <c r="C4512">
        <v>1.0647277033623499</v>
      </c>
      <c r="D4512">
        <v>1.0512230301760499</v>
      </c>
      <c r="E4512">
        <v>1.0291417054766601</v>
      </c>
      <c r="F4512">
        <v>1.2654966849762399</v>
      </c>
      <c r="G4512">
        <v>1.3253692001114701</v>
      </c>
      <c r="H4512">
        <v>0.43037609454078701</v>
      </c>
      <c r="I4512">
        <v>0.18206492204418201</v>
      </c>
      <c r="J4512">
        <v>0.12448894236977399</v>
      </c>
      <c r="K4512">
        <v>9.7086495832595598E-2</v>
      </c>
      <c r="L4512">
        <v>9530.8160968453794</v>
      </c>
      <c r="M4512">
        <v>156.89703345817301</v>
      </c>
      <c r="N4512">
        <v>60.867126139652697</v>
      </c>
      <c r="O4512">
        <v>60.735826215796401</v>
      </c>
      <c r="P4512">
        <v>-0.55900714745272695</v>
      </c>
      <c r="Q4512">
        <v>0.13441959156136499</v>
      </c>
      <c r="R4512">
        <v>0.91342085496057601</v>
      </c>
      <c r="S4512" t="s">
        <v>10338</v>
      </c>
      <c r="T4512" t="s">
        <v>11650</v>
      </c>
      <c r="U4512" t="s">
        <v>11650</v>
      </c>
      <c r="V4512" t="s">
        <v>11650</v>
      </c>
      <c r="W4512" t="s">
        <v>16108</v>
      </c>
      <c r="X4512">
        <v>14</v>
      </c>
      <c r="Y4512" t="s">
        <v>21777</v>
      </c>
      <c r="Z4512" t="s">
        <v>27574</v>
      </c>
      <c r="AA4512">
        <v>0.73322226600947915</v>
      </c>
      <c r="AB4512" t="str">
        <f>HYPERLINK("Melting_Curves/meltCurve_Q96EK6_GNPNAT1.pdf", "Melting_Curves/meltCurve_Q96EK6_GNPNAT1.pdf")</f>
        <v>Melting_Curves/meltCurve_Q96EK6_GNPNAT1.pdf</v>
      </c>
    </row>
    <row r="4513" spans="1:28" x14ac:dyDescent="0.25">
      <c r="A4513" t="s">
        <v>4517</v>
      </c>
      <c r="B4513">
        <v>0.99996721820229495</v>
      </c>
      <c r="C4513">
        <v>0.79483673548010203</v>
      </c>
      <c r="D4513">
        <v>0.76443840141892105</v>
      </c>
      <c r="E4513">
        <v>0.58944850435482898</v>
      </c>
      <c r="F4513">
        <v>0.59129023887850296</v>
      </c>
      <c r="G4513">
        <v>0.50632188268487499</v>
      </c>
      <c r="H4513">
        <v>0.27490159596068298</v>
      </c>
      <c r="I4513">
        <v>0.24455517020130399</v>
      </c>
      <c r="J4513">
        <v>0.20131300865036</v>
      </c>
      <c r="K4513">
        <v>0.16755839530130801</v>
      </c>
      <c r="L4513">
        <v>373.65423652479501</v>
      </c>
      <c r="M4513">
        <v>6.87945229695673</v>
      </c>
      <c r="N4513">
        <v>54.314532609860898</v>
      </c>
      <c r="O4513">
        <v>50.281092501625501</v>
      </c>
      <c r="P4513">
        <v>-3.4272544771640899E-2</v>
      </c>
      <c r="Q4513">
        <v>0</v>
      </c>
      <c r="R4513">
        <v>0.96444954698031005</v>
      </c>
      <c r="S4513" t="s">
        <v>10339</v>
      </c>
      <c r="T4513" t="s">
        <v>11650</v>
      </c>
      <c r="U4513" t="s">
        <v>11650</v>
      </c>
      <c r="V4513" t="s">
        <v>11650</v>
      </c>
      <c r="W4513" t="s">
        <v>16109</v>
      </c>
      <c r="X4513">
        <v>1</v>
      </c>
      <c r="Y4513" t="s">
        <v>21778</v>
      </c>
      <c r="Z4513" t="s">
        <v>27575</v>
      </c>
      <c r="AA4513">
        <v>0.51028950954935071</v>
      </c>
      <c r="AB4513" t="str">
        <f>HYPERLINK("Melting_Curves/meltCurve_Q96EK9_KTI12.pdf", "Melting_Curves/meltCurve_Q96EK9_KTI12.pdf")</f>
        <v>Melting_Curves/meltCurve_Q96EK9_KTI12.pdf</v>
      </c>
    </row>
    <row r="4514" spans="1:28" x14ac:dyDescent="0.25">
      <c r="A4514" t="s">
        <v>4518</v>
      </c>
      <c r="B4514">
        <v>0.99996721820229495</v>
      </c>
      <c r="C4514">
        <v>1.09381782496044</v>
      </c>
      <c r="D4514">
        <v>1.0578392493370401</v>
      </c>
      <c r="E4514">
        <v>1.4993994808446001</v>
      </c>
      <c r="F4514">
        <v>1.47897792430393</v>
      </c>
      <c r="G4514">
        <v>0.71004335511509997</v>
      </c>
      <c r="H4514">
        <v>0.32295798470918802</v>
      </c>
      <c r="I4514">
        <v>0.280414777485541</v>
      </c>
      <c r="J4514">
        <v>0.32861508490014302</v>
      </c>
      <c r="K4514">
        <v>0.244241625992829</v>
      </c>
      <c r="L4514">
        <v>12708.096748993599</v>
      </c>
      <c r="M4514">
        <v>222.588148039261</v>
      </c>
      <c r="N4514">
        <v>57.320846125221898</v>
      </c>
      <c r="O4514">
        <v>57.087818071935899</v>
      </c>
      <c r="P4514">
        <v>-0.688126257199971</v>
      </c>
      <c r="Q4514">
        <v>0.29405721895026798</v>
      </c>
      <c r="R4514">
        <v>0.77259384395511199</v>
      </c>
      <c r="S4514" t="s">
        <v>10340</v>
      </c>
      <c r="T4514" t="s">
        <v>11650</v>
      </c>
      <c r="U4514" t="s">
        <v>11650</v>
      </c>
      <c r="V4514" t="s">
        <v>11650</v>
      </c>
      <c r="W4514" t="s">
        <v>16110</v>
      </c>
      <c r="X4514">
        <v>3</v>
      </c>
      <c r="Y4514" t="s">
        <v>21779</v>
      </c>
      <c r="Z4514" t="s">
        <v>27576</v>
      </c>
      <c r="AA4514">
        <v>0.69635554378110276</v>
      </c>
      <c r="AB4514" t="str">
        <f>HYPERLINK("Melting_Curves/meltCurve_Q96EL3_MRPL53.pdf", "Melting_Curves/meltCurve_Q96EL3_MRPL53.pdf")</f>
        <v>Melting_Curves/meltCurve_Q96EL3_MRPL53.pdf</v>
      </c>
    </row>
    <row r="4515" spans="1:28" x14ac:dyDescent="0.25">
      <c r="A4515" t="s">
        <v>4519</v>
      </c>
      <c r="B4515">
        <v>0.99996721820229495</v>
      </c>
      <c r="C4515">
        <v>0.92013617478237397</v>
      </c>
      <c r="D4515">
        <v>0.93882733873953605</v>
      </c>
      <c r="E4515">
        <v>0.929214609968947</v>
      </c>
      <c r="F4515">
        <v>1.1134624734680401</v>
      </c>
      <c r="G4515">
        <v>0.77469820553538404</v>
      </c>
      <c r="H4515">
        <v>0.29656430617488</v>
      </c>
      <c r="I4515">
        <v>0.14965937769805401</v>
      </c>
      <c r="J4515">
        <v>0.109098751650795</v>
      </c>
      <c r="K4515">
        <v>0.11697441970780301</v>
      </c>
      <c r="L4515">
        <v>2290.8138842128601</v>
      </c>
      <c r="M4515">
        <v>38.986641593673603</v>
      </c>
      <c r="N4515">
        <v>59.147578285734198</v>
      </c>
      <c r="O4515">
        <v>58.604986860060002</v>
      </c>
      <c r="P4515">
        <v>-0.14751946738942501</v>
      </c>
      <c r="Q4515">
        <v>0.112992955601991</v>
      </c>
      <c r="R4515">
        <v>0.97943329839064697</v>
      </c>
      <c r="S4515" t="s">
        <v>10341</v>
      </c>
      <c r="T4515" t="s">
        <v>11650</v>
      </c>
      <c r="U4515" t="s">
        <v>11650</v>
      </c>
      <c r="V4515" t="s">
        <v>11650</v>
      </c>
      <c r="W4515" t="s">
        <v>16111</v>
      </c>
      <c r="X4515">
        <v>11</v>
      </c>
      <c r="Y4515" t="s">
        <v>21780</v>
      </c>
      <c r="Z4515" t="s">
        <v>27577</v>
      </c>
      <c r="AA4515">
        <v>0.67130322783753027</v>
      </c>
      <c r="AB4515" t="str">
        <f>HYPERLINK("Melting_Curves/meltCurve_Q96EM0_L3HYPDH.pdf", "Melting_Curves/meltCurve_Q96EM0_L3HYPDH.pdf")</f>
        <v>Melting_Curves/meltCurve_Q96EM0_L3HYPDH.pdf</v>
      </c>
    </row>
    <row r="4516" spans="1:28" x14ac:dyDescent="0.25">
      <c r="A4516" t="s">
        <v>4520</v>
      </c>
      <c r="B4516">
        <v>0.99996721820229495</v>
      </c>
      <c r="C4516">
        <v>1.0031897274450901</v>
      </c>
      <c r="D4516">
        <v>0.99132686329435904</v>
      </c>
      <c r="E4516">
        <v>0.99775966007182904</v>
      </c>
      <c r="F4516">
        <v>1.2247811473469301</v>
      </c>
      <c r="G4516">
        <v>1.21272956993833</v>
      </c>
      <c r="H4516">
        <v>0.80413007572390804</v>
      </c>
      <c r="I4516">
        <v>0.83391608447558496</v>
      </c>
      <c r="J4516">
        <v>0.24792724656901699</v>
      </c>
      <c r="K4516">
        <v>0.15829122512881399</v>
      </c>
      <c r="L4516">
        <v>4286.4612233205298</v>
      </c>
      <c r="M4516">
        <v>65.709398747336195</v>
      </c>
      <c r="N4516">
        <v>65.551098502885395</v>
      </c>
      <c r="O4516">
        <v>65.173256478509202</v>
      </c>
      <c r="P4516">
        <v>-0.21770282897064899</v>
      </c>
      <c r="Q4516">
        <v>0.13629397246210601</v>
      </c>
      <c r="R4516">
        <v>0.89037073855069204</v>
      </c>
      <c r="S4516" t="s">
        <v>10342</v>
      </c>
      <c r="T4516" t="s">
        <v>11650</v>
      </c>
      <c r="U4516" t="s">
        <v>11650</v>
      </c>
      <c r="V4516" t="s">
        <v>11650</v>
      </c>
      <c r="W4516" t="s">
        <v>16112</v>
      </c>
      <c r="X4516">
        <v>8</v>
      </c>
      <c r="Y4516" t="s">
        <v>21781</v>
      </c>
      <c r="Z4516" t="s">
        <v>27578</v>
      </c>
      <c r="AA4516">
        <v>0.86382436936268314</v>
      </c>
      <c r="AB4516" t="str">
        <f>HYPERLINK("Melting_Curves/meltCurve_Q96EP5_2_DAZAP1.pdf", "Melting_Curves/meltCurve_Q96EP5_2_DAZAP1.pdf")</f>
        <v>Melting_Curves/meltCurve_Q96EP5_2_DAZAP1.pdf</v>
      </c>
    </row>
    <row r="4517" spans="1:28" x14ac:dyDescent="0.25">
      <c r="A4517" t="s">
        <v>4521</v>
      </c>
      <c r="B4517">
        <v>0.99996721820229495</v>
      </c>
      <c r="C4517">
        <v>1.0630658798746699</v>
      </c>
      <c r="D4517">
        <v>1.00071488614905</v>
      </c>
      <c r="E4517">
        <v>1.0378795617796399</v>
      </c>
      <c r="F4517">
        <v>1.0037267365161799</v>
      </c>
      <c r="G4517">
        <v>0.710721869716883</v>
      </c>
      <c r="H4517">
        <v>0.41270208825698301</v>
      </c>
      <c r="I4517">
        <v>0.29693950174814199</v>
      </c>
      <c r="J4517">
        <v>0.23849067070840499</v>
      </c>
      <c r="K4517">
        <v>0.16778302617962901</v>
      </c>
      <c r="L4517">
        <v>1523.5821094374301</v>
      </c>
      <c r="M4517">
        <v>25.9787120845013</v>
      </c>
      <c r="N4517">
        <v>59.754108875597801</v>
      </c>
      <c r="O4517">
        <v>58.303121891950603</v>
      </c>
      <c r="P4517">
        <v>-9.0122355183078498E-2</v>
      </c>
      <c r="Q4517">
        <v>0.19097532202546899</v>
      </c>
      <c r="R4517">
        <v>0.99063193350780998</v>
      </c>
      <c r="S4517" t="s">
        <v>10343</v>
      </c>
      <c r="T4517" t="s">
        <v>11650</v>
      </c>
      <c r="U4517" t="s">
        <v>11650</v>
      </c>
      <c r="V4517" t="s">
        <v>11650</v>
      </c>
      <c r="W4517" t="s">
        <v>16113</v>
      </c>
      <c r="X4517">
        <v>10</v>
      </c>
      <c r="Y4517" t="s">
        <v>21782</v>
      </c>
      <c r="Z4517" t="s">
        <v>27579</v>
      </c>
      <c r="AA4517">
        <v>0.70031088447237855</v>
      </c>
      <c r="AB4517" t="str">
        <f>HYPERLINK("Melting_Curves/meltCurve_Q96EQ0_SGTB.pdf", "Melting_Curves/meltCurve_Q96EQ0_SGTB.pdf")</f>
        <v>Melting_Curves/meltCurve_Q96EQ0_SGTB.pdf</v>
      </c>
    </row>
    <row r="4518" spans="1:28" x14ac:dyDescent="0.25">
      <c r="A4518" t="s">
        <v>4522</v>
      </c>
      <c r="B4518">
        <v>0.99996721820229495</v>
      </c>
      <c r="C4518">
        <v>0.89943212041621001</v>
      </c>
      <c r="D4518">
        <v>1.1036413225459201</v>
      </c>
      <c r="E4518">
        <v>1.55068149536343</v>
      </c>
      <c r="F4518">
        <v>1.8062047122662499</v>
      </c>
      <c r="G4518">
        <v>0.57824550479812997</v>
      </c>
      <c r="H4518">
        <v>0.33573643575012901</v>
      </c>
      <c r="I4518">
        <v>0.20431962792651001</v>
      </c>
      <c r="J4518">
        <v>0.106788929494048</v>
      </c>
      <c r="K4518">
        <v>8.9136040962865606E-2</v>
      </c>
      <c r="L4518">
        <v>11176.354128127199</v>
      </c>
      <c r="M4518">
        <v>196.14380730880501</v>
      </c>
      <c r="N4518">
        <v>57.114017216898198</v>
      </c>
      <c r="O4518">
        <v>56.974484546394002</v>
      </c>
      <c r="P4518">
        <v>-0.70230755354896601</v>
      </c>
      <c r="Q4518">
        <v>0.18399441196088001</v>
      </c>
      <c r="R4518">
        <v>0.69438076909978197</v>
      </c>
      <c r="S4518" t="s">
        <v>10344</v>
      </c>
      <c r="T4518" t="s">
        <v>11650</v>
      </c>
      <c r="U4518" t="s">
        <v>11650</v>
      </c>
      <c r="V4518" t="s">
        <v>11650</v>
      </c>
      <c r="W4518" t="s">
        <v>16114</v>
      </c>
      <c r="X4518">
        <v>8</v>
      </c>
      <c r="Y4518" t="s">
        <v>21783</v>
      </c>
      <c r="Z4518" t="s">
        <v>27580</v>
      </c>
      <c r="AA4518">
        <v>0.64599724851817686</v>
      </c>
      <c r="AB4518" t="str">
        <f>HYPERLINK("Melting_Curves/meltCurve_Q96ER9_CCDC51.pdf", "Melting_Curves/meltCurve_Q96ER9_CCDC51.pdf")</f>
        <v>Melting_Curves/meltCurve_Q96ER9_CCDC51.pdf</v>
      </c>
    </row>
    <row r="4519" spans="1:28" x14ac:dyDescent="0.25">
      <c r="A4519" t="s">
        <v>4523</v>
      </c>
      <c r="B4519">
        <v>0.99996721820229495</v>
      </c>
      <c r="C4519">
        <v>0.78871117527457102</v>
      </c>
      <c r="D4519">
        <v>1.0712695195597199</v>
      </c>
      <c r="E4519">
        <v>1.15242345949506</v>
      </c>
      <c r="F4519">
        <v>0.66236773622568801</v>
      </c>
      <c r="G4519">
        <v>0.359527995746733</v>
      </c>
      <c r="H4519">
        <v>0.210730794853562</v>
      </c>
      <c r="I4519">
        <v>0.120768825872999</v>
      </c>
      <c r="J4519">
        <v>8.8311888435494104E-2</v>
      </c>
      <c r="K4519">
        <v>7.4058973131297307E-2</v>
      </c>
      <c r="L4519">
        <v>1585.30221377255</v>
      </c>
      <c r="M4519">
        <v>28.912069445471801</v>
      </c>
      <c r="N4519">
        <v>55.297950000564697</v>
      </c>
      <c r="O4519">
        <v>54.571540021081198</v>
      </c>
      <c r="P4519">
        <v>-0.118128327041156</v>
      </c>
      <c r="Q4519">
        <v>0.108137717756858</v>
      </c>
      <c r="R4519">
        <v>0.93629287690052698</v>
      </c>
      <c r="S4519" t="s">
        <v>10345</v>
      </c>
      <c r="T4519" t="s">
        <v>11650</v>
      </c>
      <c r="U4519" t="s">
        <v>11650</v>
      </c>
      <c r="V4519" t="s">
        <v>11650</v>
      </c>
      <c r="W4519" t="s">
        <v>16115</v>
      </c>
      <c r="X4519">
        <v>2</v>
      </c>
      <c r="Y4519" t="s">
        <v>21784</v>
      </c>
      <c r="Z4519" t="s">
        <v>27581</v>
      </c>
      <c r="AA4519">
        <v>0.55540381665582272</v>
      </c>
      <c r="AB4519" t="str">
        <f>HYPERLINK("Melting_Curves/meltCurve_Q96EU7_C1GALT1C1.pdf", "Melting_Curves/meltCurve_Q96EU7_C1GALT1C1.pdf")</f>
        <v>Melting_Curves/meltCurve_Q96EU7_C1GALT1C1.pdf</v>
      </c>
    </row>
    <row r="4520" spans="1:28" x14ac:dyDescent="0.25">
      <c r="A4520" t="s">
        <v>4524</v>
      </c>
      <c r="B4520">
        <v>0.99996721820229495</v>
      </c>
      <c r="C4520">
        <v>0.981023426001568</v>
      </c>
      <c r="D4520">
        <v>0.82295975606321203</v>
      </c>
      <c r="E4520">
        <v>0.74660784692538396</v>
      </c>
      <c r="F4520">
        <v>0.89031870508177902</v>
      </c>
      <c r="G4520">
        <v>0.92204269689953999</v>
      </c>
      <c r="H4520">
        <v>0.68140955373540102</v>
      </c>
      <c r="I4520">
        <v>0.63911779530839596</v>
      </c>
      <c r="J4520">
        <v>0.46499562675350498</v>
      </c>
      <c r="K4520">
        <v>0.345773578020798</v>
      </c>
      <c r="L4520">
        <v>491.573905322462</v>
      </c>
      <c r="M4520">
        <v>7.3521796224498903</v>
      </c>
      <c r="N4520">
        <v>66.860975929697901</v>
      </c>
      <c r="O4520">
        <v>62.448198558797799</v>
      </c>
      <c r="P4520">
        <v>-2.94786657290722E-2</v>
      </c>
      <c r="Q4520">
        <v>0</v>
      </c>
      <c r="R4520">
        <v>0.811863092064945</v>
      </c>
      <c r="S4520" t="s">
        <v>10346</v>
      </c>
      <c r="T4520" t="s">
        <v>11650</v>
      </c>
      <c r="U4520" t="s">
        <v>11650</v>
      </c>
      <c r="V4520" t="s">
        <v>11650</v>
      </c>
      <c r="W4520" t="s">
        <v>16116</v>
      </c>
      <c r="X4520">
        <v>4</v>
      </c>
      <c r="Y4520" t="s">
        <v>21785</v>
      </c>
      <c r="Z4520" t="s">
        <v>27582</v>
      </c>
      <c r="AA4520">
        <v>0.78187645726481747</v>
      </c>
      <c r="AB4520" t="str">
        <f>HYPERLINK("Melting_Curves/meltCurve_Q96EV2_RBM33.pdf", "Melting_Curves/meltCurve_Q96EV2_RBM33.pdf")</f>
        <v>Melting_Curves/meltCurve_Q96EV2_RBM33.pdf</v>
      </c>
    </row>
    <row r="4521" spans="1:28" x14ac:dyDescent="0.25">
      <c r="A4521" t="s">
        <v>4525</v>
      </c>
      <c r="B4521">
        <v>0.99996721820229495</v>
      </c>
      <c r="C4521">
        <v>0.99759204744037799</v>
      </c>
      <c r="D4521">
        <v>0.98709988534655302</v>
      </c>
      <c r="E4521">
        <v>1.1394434471966399</v>
      </c>
      <c r="F4521">
        <v>1.33161733953963</v>
      </c>
      <c r="G4521">
        <v>1.1558033243121</v>
      </c>
      <c r="H4521">
        <v>0.475863284670341</v>
      </c>
      <c r="I4521">
        <v>0.279475382962387</v>
      </c>
      <c r="J4521">
        <v>0.22817240591738899</v>
      </c>
      <c r="K4521">
        <v>0.194918678083562</v>
      </c>
      <c r="L4521">
        <v>8355.6765602680607</v>
      </c>
      <c r="M4521">
        <v>137.749836283109</v>
      </c>
      <c r="N4521">
        <v>60.937440623196899</v>
      </c>
      <c r="O4521">
        <v>60.645557010027801</v>
      </c>
      <c r="P4521">
        <v>-0.43500948503664999</v>
      </c>
      <c r="Q4521">
        <v>0.233933235720577</v>
      </c>
      <c r="R4521">
        <v>0.907541542165194</v>
      </c>
      <c r="S4521" t="s">
        <v>10347</v>
      </c>
      <c r="T4521" t="s">
        <v>11650</v>
      </c>
      <c r="U4521" t="s">
        <v>11650</v>
      </c>
      <c r="V4521" t="s">
        <v>11650</v>
      </c>
      <c r="W4521" t="s">
        <v>16117</v>
      </c>
      <c r="X4521">
        <v>8</v>
      </c>
      <c r="Y4521" t="s">
        <v>21786</v>
      </c>
      <c r="Z4521" t="s">
        <v>27583</v>
      </c>
      <c r="AA4521">
        <v>0.7617242707046904</v>
      </c>
      <c r="AB4521" t="str">
        <f>HYPERLINK("Melting_Curves/meltCurve_Q96EV8_DTNBP1.pdf", "Melting_Curves/meltCurve_Q96EV8_DTNBP1.pdf")</f>
        <v>Melting_Curves/meltCurve_Q96EV8_DTNBP1.pdf</v>
      </c>
    </row>
    <row r="4522" spans="1:28" x14ac:dyDescent="0.25">
      <c r="A4522" t="s">
        <v>4526</v>
      </c>
      <c r="B4522">
        <v>0.99996721820229495</v>
      </c>
      <c r="C4522">
        <v>0.640648106725069</v>
      </c>
      <c r="D4522">
        <v>0.558582544448612</v>
      </c>
      <c r="E4522">
        <v>1.02245006933805</v>
      </c>
      <c r="F4522">
        <v>1.2380626245128299</v>
      </c>
      <c r="G4522">
        <v>0.55012316888755397</v>
      </c>
      <c r="H4522">
        <v>0.70795391562711796</v>
      </c>
      <c r="I4522">
        <v>0.599021632020727</v>
      </c>
      <c r="J4522">
        <v>0.40873140387995999</v>
      </c>
      <c r="K4522">
        <v>0.57108632757334299</v>
      </c>
      <c r="L4522">
        <v>243.54821288139101</v>
      </c>
      <c r="M4522">
        <v>3.3447415217859202</v>
      </c>
      <c r="O4522">
        <v>56.102146957602102</v>
      </c>
      <c r="P4522">
        <v>-1.5238920703902601E-2</v>
      </c>
      <c r="Q4522">
        <v>0</v>
      </c>
      <c r="R4522">
        <v>0.22718717502569</v>
      </c>
      <c r="S4522" t="s">
        <v>10348</v>
      </c>
      <c r="T4522" t="s">
        <v>11650</v>
      </c>
      <c r="U4522" t="s">
        <v>11650</v>
      </c>
      <c r="V4522" t="s">
        <v>11650</v>
      </c>
      <c r="W4522" t="s">
        <v>16118</v>
      </c>
      <c r="X4522">
        <v>3</v>
      </c>
      <c r="Y4522" t="s">
        <v>21787</v>
      </c>
      <c r="Z4522" t="s">
        <v>27584</v>
      </c>
      <c r="AA4522">
        <v>0.7441655897895284</v>
      </c>
      <c r="AB4522" t="str">
        <f>HYPERLINK("Melting_Curves/meltCurve_Q96EX1_SMIM12.pdf", "Melting_Curves/meltCurve_Q96EX1_SMIM12.pdf")</f>
        <v>Melting_Curves/meltCurve_Q96EX1_SMIM12.pdf</v>
      </c>
    </row>
    <row r="4523" spans="1:28" x14ac:dyDescent="0.25">
      <c r="A4523" t="s">
        <v>4527</v>
      </c>
      <c r="B4523">
        <v>0.99996721820229495</v>
      </c>
      <c r="C4523">
        <v>1.05676387451766</v>
      </c>
      <c r="D4523">
        <v>1.0201858678818601</v>
      </c>
      <c r="E4523">
        <v>0.52588340503683795</v>
      </c>
      <c r="F4523">
        <v>0.31867784244700997</v>
      </c>
      <c r="G4523">
        <v>0.25624681580754</v>
      </c>
      <c r="H4523">
        <v>0.163116220351751</v>
      </c>
      <c r="I4523">
        <v>0.125168321264955</v>
      </c>
      <c r="J4523">
        <v>0.14988051723960999</v>
      </c>
      <c r="K4523">
        <v>6.3653703369705203E-2</v>
      </c>
      <c r="L4523">
        <v>1476.9317316658401</v>
      </c>
      <c r="M4523">
        <v>29.5266922893524</v>
      </c>
      <c r="N4523">
        <v>50.619691985458203</v>
      </c>
      <c r="O4523">
        <v>49.792465987665899</v>
      </c>
      <c r="P4523">
        <v>-0.12637694974765801</v>
      </c>
      <c r="Q4523">
        <v>0.14754063883462301</v>
      </c>
      <c r="R4523">
        <v>0.98013843009885004</v>
      </c>
      <c r="S4523" t="s">
        <v>10349</v>
      </c>
      <c r="T4523" t="s">
        <v>11650</v>
      </c>
      <c r="U4523" t="s">
        <v>11650</v>
      </c>
      <c r="V4523" t="s">
        <v>11650</v>
      </c>
      <c r="W4523" t="s">
        <v>16119</v>
      </c>
      <c r="X4523">
        <v>5</v>
      </c>
      <c r="Y4523" t="s">
        <v>21788</v>
      </c>
      <c r="Z4523" t="s">
        <v>27585</v>
      </c>
      <c r="AA4523">
        <v>0.43771516154123269</v>
      </c>
      <c r="AB4523" t="str">
        <f>HYPERLINK("Melting_Curves/meltCurve_Q96EY5_MVB12A.pdf", "Melting_Curves/meltCurve_Q96EY5_MVB12A.pdf")</f>
        <v>Melting_Curves/meltCurve_Q96EY5_MVB12A.pdf</v>
      </c>
    </row>
    <row r="4524" spans="1:28" x14ac:dyDescent="0.25">
      <c r="A4524" t="s">
        <v>4528</v>
      </c>
      <c r="B4524">
        <v>0.99996721820229495</v>
      </c>
      <c r="C4524">
        <v>0.99445976424480798</v>
      </c>
      <c r="D4524">
        <v>0.98400462071635098</v>
      </c>
      <c r="E4524">
        <v>0.95593723037561396</v>
      </c>
      <c r="F4524">
        <v>1.0991489877631699</v>
      </c>
      <c r="G4524">
        <v>0.98779945328348195</v>
      </c>
      <c r="H4524">
        <v>0.59659748926034095</v>
      </c>
      <c r="I4524">
        <v>0.40301637375881499</v>
      </c>
      <c r="J4524">
        <v>0.26945247307978898</v>
      </c>
      <c r="K4524">
        <v>0.19300242507119</v>
      </c>
      <c r="L4524">
        <v>2069.8846288452801</v>
      </c>
      <c r="M4524">
        <v>33.779016938958399</v>
      </c>
      <c r="N4524">
        <v>62.300593262221703</v>
      </c>
      <c r="O4524">
        <v>61.063645283905501</v>
      </c>
      <c r="P4524">
        <v>-0.108848538353888</v>
      </c>
      <c r="Q4524">
        <v>0.21292399559179201</v>
      </c>
      <c r="R4524">
        <v>0.98222760709244705</v>
      </c>
      <c r="S4524" t="s">
        <v>10350</v>
      </c>
      <c r="T4524" t="s">
        <v>11650</v>
      </c>
      <c r="U4524" t="s">
        <v>11650</v>
      </c>
      <c r="V4524" t="s">
        <v>11650</v>
      </c>
      <c r="W4524" t="s">
        <v>16120</v>
      </c>
      <c r="X4524">
        <v>6</v>
      </c>
      <c r="Y4524" t="s">
        <v>21789</v>
      </c>
      <c r="Z4524" t="s">
        <v>27586</v>
      </c>
      <c r="AA4524">
        <v>0.77485812903406159</v>
      </c>
      <c r="AB4524" t="str">
        <f>HYPERLINK("Melting_Curves/meltCurve_Q96EY8_MMAB.pdf", "Melting_Curves/meltCurve_Q96EY8_MMAB.pdf")</f>
        <v>Melting_Curves/meltCurve_Q96EY8_MMAB.pdf</v>
      </c>
    </row>
    <row r="4525" spans="1:28" x14ac:dyDescent="0.25">
      <c r="A4525" t="s">
        <v>4529</v>
      </c>
      <c r="B4525">
        <v>0.99996721820229495</v>
      </c>
      <c r="C4525">
        <v>1.0774424239111899</v>
      </c>
      <c r="D4525">
        <v>1.0371763312576301</v>
      </c>
      <c r="E4525">
        <v>0.93501157630822296</v>
      </c>
      <c r="F4525">
        <v>0.71569300977007799</v>
      </c>
      <c r="G4525">
        <v>0.51596682054467502</v>
      </c>
      <c r="H4525">
        <v>0.33793930391369198</v>
      </c>
      <c r="I4525">
        <v>0.19408287118439799</v>
      </c>
      <c r="J4525">
        <v>0.15849870327666701</v>
      </c>
      <c r="K4525">
        <v>0.14672413074045601</v>
      </c>
      <c r="L4525">
        <v>946.93259008885502</v>
      </c>
      <c r="M4525">
        <v>16.827611764007401</v>
      </c>
      <c r="N4525">
        <v>57.132752636460403</v>
      </c>
      <c r="O4525">
        <v>55.4958759315683</v>
      </c>
      <c r="P4525">
        <v>-6.7326840026884202E-2</v>
      </c>
      <c r="Q4525">
        <v>0.11190694845270401</v>
      </c>
      <c r="R4525">
        <v>0.98836239487052402</v>
      </c>
      <c r="S4525" t="s">
        <v>10351</v>
      </c>
      <c r="T4525" t="s">
        <v>11650</v>
      </c>
      <c r="U4525" t="s">
        <v>11650</v>
      </c>
      <c r="V4525" t="s">
        <v>11650</v>
      </c>
      <c r="W4525" t="s">
        <v>16121</v>
      </c>
      <c r="X4525">
        <v>7</v>
      </c>
      <c r="Y4525" t="s">
        <v>21790</v>
      </c>
      <c r="Z4525" t="s">
        <v>27587</v>
      </c>
      <c r="AA4525">
        <v>0.60745274508952463</v>
      </c>
      <c r="AB4525" t="str">
        <f>HYPERLINK("Melting_Curves/meltCurve_Q96F10_SAT2.pdf", "Melting_Curves/meltCurve_Q96F10_SAT2.pdf")</f>
        <v>Melting_Curves/meltCurve_Q96F10_SAT2.pdf</v>
      </c>
    </row>
    <row r="4526" spans="1:28" x14ac:dyDescent="0.25">
      <c r="A4526" t="s">
        <v>4530</v>
      </c>
      <c r="B4526">
        <v>0.99996721820229495</v>
      </c>
      <c r="C4526">
        <v>1.03459214943039</v>
      </c>
      <c r="D4526">
        <v>0.99750588343063795</v>
      </c>
      <c r="E4526">
        <v>0.97142185200421505</v>
      </c>
      <c r="F4526">
        <v>1.00093342501542</v>
      </c>
      <c r="G4526">
        <v>0.81217236338098697</v>
      </c>
      <c r="H4526">
        <v>0.40769328844209801</v>
      </c>
      <c r="I4526">
        <v>0.32921696930241301</v>
      </c>
      <c r="J4526">
        <v>0.27506809113689101</v>
      </c>
      <c r="K4526">
        <v>0.233192285146925</v>
      </c>
      <c r="L4526">
        <v>2025.20379006485</v>
      </c>
      <c r="M4526">
        <v>34.459259713257502</v>
      </c>
      <c r="N4526">
        <v>60.026752534889297</v>
      </c>
      <c r="O4526">
        <v>58.574088859706698</v>
      </c>
      <c r="P4526">
        <v>-0.10930042061357</v>
      </c>
      <c r="Q4526">
        <v>0.25684432473840701</v>
      </c>
      <c r="R4526">
        <v>0.99621558863044601</v>
      </c>
      <c r="S4526" t="s">
        <v>10352</v>
      </c>
      <c r="T4526" t="s">
        <v>11650</v>
      </c>
      <c r="U4526" t="s">
        <v>11650</v>
      </c>
      <c r="V4526" t="s">
        <v>11650</v>
      </c>
      <c r="W4526" t="s">
        <v>16122</v>
      </c>
      <c r="X4526">
        <v>4</v>
      </c>
      <c r="Y4526" t="s">
        <v>21791</v>
      </c>
      <c r="Z4526" t="s">
        <v>27588</v>
      </c>
      <c r="AA4526">
        <v>0.72566143247461301</v>
      </c>
      <c r="AB4526" t="str">
        <f>HYPERLINK("Melting_Curves/meltCurve_Q96F24_2_NRBF2.pdf", "Melting_Curves/meltCurve_Q96F24_2_NRBF2.pdf")</f>
        <v>Melting_Curves/meltCurve_Q96F24_2_NRBF2.pdf</v>
      </c>
    </row>
    <row r="4527" spans="1:28" x14ac:dyDescent="0.25">
      <c r="A4527" t="s">
        <v>4531</v>
      </c>
      <c r="B4527">
        <v>0.99996721820229495</v>
      </c>
      <c r="C4527">
        <v>0.96098576470923602</v>
      </c>
      <c r="D4527">
        <v>0.90562674145976396</v>
      </c>
      <c r="E4527">
        <v>0.83966035610457201</v>
      </c>
      <c r="F4527">
        <v>0.84719435870566395</v>
      </c>
      <c r="G4527">
        <v>0.74953062309429797</v>
      </c>
      <c r="H4527">
        <v>0.401452833768418</v>
      </c>
      <c r="I4527">
        <v>0.19889373707895</v>
      </c>
      <c r="J4527">
        <v>0.132526266495021</v>
      </c>
      <c r="K4527">
        <v>0.162509096499071</v>
      </c>
      <c r="L4527">
        <v>862.64073736233797</v>
      </c>
      <c r="M4527">
        <v>14.5010219173521</v>
      </c>
      <c r="N4527">
        <v>59.488272325480203</v>
      </c>
      <c r="O4527">
        <v>58.391284019098997</v>
      </c>
      <c r="P4527">
        <v>-6.20927192463702E-2</v>
      </c>
      <c r="Q4527">
        <v>0</v>
      </c>
      <c r="R4527">
        <v>0.96795815135931096</v>
      </c>
      <c r="S4527" t="s">
        <v>10353</v>
      </c>
      <c r="T4527" t="s">
        <v>11650</v>
      </c>
      <c r="U4527" t="s">
        <v>11650</v>
      </c>
      <c r="V4527" t="s">
        <v>11650</v>
      </c>
      <c r="W4527" t="s">
        <v>16123</v>
      </c>
      <c r="X4527">
        <v>5</v>
      </c>
      <c r="Y4527" t="s">
        <v>21792</v>
      </c>
      <c r="Z4527" t="s">
        <v>27589</v>
      </c>
      <c r="AA4527">
        <v>0.65809211105274512</v>
      </c>
      <c r="AB4527" t="str">
        <f>HYPERLINK("Melting_Curves/meltCurve_Q96F46_IL17RA.pdf", "Melting_Curves/meltCurve_Q96F46_IL17RA.pdf")</f>
        <v>Melting_Curves/meltCurve_Q96F46_IL17RA.pdf</v>
      </c>
    </row>
    <row r="4528" spans="1:28" x14ac:dyDescent="0.25">
      <c r="A4528" t="s">
        <v>4532</v>
      </c>
      <c r="B4528">
        <v>0.99996721820229495</v>
      </c>
      <c r="C4528">
        <v>1.03855026204639</v>
      </c>
      <c r="D4528">
        <v>0.83497559808270705</v>
      </c>
      <c r="E4528">
        <v>0.64955029584660495</v>
      </c>
      <c r="F4528">
        <v>0.54672089895486997</v>
      </c>
      <c r="G4528">
        <v>0.53086881596681401</v>
      </c>
      <c r="H4528">
        <v>0.30577351972014799</v>
      </c>
      <c r="I4528">
        <v>0.29264757203221903</v>
      </c>
      <c r="J4528">
        <v>0.237009730343964</v>
      </c>
      <c r="K4528">
        <v>0.16447005883749799</v>
      </c>
      <c r="L4528">
        <v>521.07868822742705</v>
      </c>
      <c r="M4528">
        <v>9.69235339034684</v>
      </c>
      <c r="N4528">
        <v>55.263245636952199</v>
      </c>
      <c r="O4528">
        <v>51.622911060956802</v>
      </c>
      <c r="P4528">
        <v>-4.1527657910380898E-2</v>
      </c>
      <c r="Q4528">
        <v>0.115754707872224</v>
      </c>
      <c r="R4528">
        <v>0.96728191820330101</v>
      </c>
      <c r="S4528" t="s">
        <v>10354</v>
      </c>
      <c r="T4528" t="s">
        <v>11650</v>
      </c>
      <c r="U4528" t="s">
        <v>11650</v>
      </c>
      <c r="V4528" t="s">
        <v>11650</v>
      </c>
      <c r="W4528" t="s">
        <v>16124</v>
      </c>
      <c r="X4528">
        <v>2</v>
      </c>
      <c r="Y4528" t="s">
        <v>21793</v>
      </c>
      <c r="Z4528" t="s">
        <v>27590</v>
      </c>
      <c r="AA4528">
        <v>0.54958682992180341</v>
      </c>
      <c r="AB4528" t="str">
        <f>HYPERLINK("Melting_Curves/meltCurve_Q96F63_CCDC97.pdf", "Melting_Curves/meltCurve_Q96F63_CCDC97.pdf")</f>
        <v>Melting_Curves/meltCurve_Q96F63_CCDC97.pdf</v>
      </c>
    </row>
    <row r="4529" spans="1:28" x14ac:dyDescent="0.25">
      <c r="A4529" t="s">
        <v>4533</v>
      </c>
      <c r="B4529">
        <v>0.99996721820229495</v>
      </c>
      <c r="C4529">
        <v>0.96139356382128605</v>
      </c>
      <c r="D4529">
        <v>0.989521241768334</v>
      </c>
      <c r="E4529">
        <v>0.88710221023797498</v>
      </c>
      <c r="F4529">
        <v>0.81091181959495995</v>
      </c>
      <c r="G4529">
        <v>0.581567838601593</v>
      </c>
      <c r="H4529">
        <v>0.24257292543595399</v>
      </c>
      <c r="I4529">
        <v>0.130607319231105</v>
      </c>
      <c r="J4529">
        <v>8.8088777844774202E-2</v>
      </c>
      <c r="K4529">
        <v>6.9370253965299E-2</v>
      </c>
      <c r="L4529">
        <v>1001.22458048121</v>
      </c>
      <c r="M4529">
        <v>17.423256566952301</v>
      </c>
      <c r="N4529">
        <v>57.5135813775942</v>
      </c>
      <c r="O4529">
        <v>56.723867234127702</v>
      </c>
      <c r="P4529">
        <v>-7.6231266216744795E-2</v>
      </c>
      <c r="Q4529">
        <v>7.3291629545325903E-3</v>
      </c>
      <c r="R4529">
        <v>0.99532257400014801</v>
      </c>
      <c r="S4529" t="s">
        <v>10355</v>
      </c>
      <c r="T4529" t="s">
        <v>11650</v>
      </c>
      <c r="U4529" t="s">
        <v>11650</v>
      </c>
      <c r="V4529" t="s">
        <v>11650</v>
      </c>
      <c r="W4529" t="s">
        <v>16125</v>
      </c>
      <c r="X4529">
        <v>9</v>
      </c>
      <c r="Y4529" t="s">
        <v>21794</v>
      </c>
      <c r="Z4529" t="s">
        <v>27591</v>
      </c>
      <c r="AA4529">
        <v>0.59862365207610801</v>
      </c>
      <c r="AB4529" t="str">
        <f>HYPERLINK("Melting_Curves/meltCurve_Q96F85_CNRIP1.pdf", "Melting_Curves/meltCurve_Q96F85_CNRIP1.pdf")</f>
        <v>Melting_Curves/meltCurve_Q96F85_CNRIP1.pdf</v>
      </c>
    </row>
    <row r="4530" spans="1:28" x14ac:dyDescent="0.25">
      <c r="A4530" t="s">
        <v>4534</v>
      </c>
      <c r="B4530">
        <v>0.99996721820229495</v>
      </c>
      <c r="C4530">
        <v>0.95656691020601803</v>
      </c>
      <c r="D4530">
        <v>0.97961454065377496</v>
      </c>
      <c r="E4530">
        <v>1.04281473136366</v>
      </c>
      <c r="F4530">
        <v>1.37187969993277</v>
      </c>
      <c r="G4530">
        <v>1.1252979562144501</v>
      </c>
      <c r="H4530">
        <v>0.50232093126858302</v>
      </c>
      <c r="I4530">
        <v>0.32992895366047797</v>
      </c>
      <c r="J4530">
        <v>0.26592825670189701</v>
      </c>
      <c r="K4530">
        <v>0.225335561871712</v>
      </c>
      <c r="L4530">
        <v>7241.5138524288104</v>
      </c>
      <c r="M4530">
        <v>119.48386129124</v>
      </c>
      <c r="N4530">
        <v>61.010100305794602</v>
      </c>
      <c r="O4530">
        <v>60.5896544555902</v>
      </c>
      <c r="P4530">
        <v>-0.35835714739522501</v>
      </c>
      <c r="Q4530">
        <v>0.27311572026787401</v>
      </c>
      <c r="R4530">
        <v>0.89160030552955605</v>
      </c>
      <c r="S4530" t="s">
        <v>10356</v>
      </c>
      <c r="T4530" t="s">
        <v>11650</v>
      </c>
      <c r="U4530" t="s">
        <v>11650</v>
      </c>
      <c r="V4530" t="s">
        <v>11650</v>
      </c>
      <c r="W4530" t="s">
        <v>16126</v>
      </c>
      <c r="X4530">
        <v>3</v>
      </c>
      <c r="Y4530" t="s">
        <v>21795</v>
      </c>
      <c r="Z4530" t="s">
        <v>27592</v>
      </c>
      <c r="AA4530">
        <v>0.77274222382236102</v>
      </c>
      <c r="AB4530" t="str">
        <f>HYPERLINK("Melting_Curves/meltCurve_Q96FH0_2_MEF2BNB.pdf", "Melting_Curves/meltCurve_Q96FH0_2_MEF2BNB.pdf")</f>
        <v>Melting_Curves/meltCurve_Q96FH0_2_MEF2BNB.pdf</v>
      </c>
    </row>
    <row r="4531" spans="1:28" x14ac:dyDescent="0.25">
      <c r="A4531" t="s">
        <v>4535</v>
      </c>
      <c r="B4531">
        <v>0.99996721820229495</v>
      </c>
      <c r="C4531">
        <v>1.0590710089676101</v>
      </c>
      <c r="D4531">
        <v>1.01121965948287</v>
      </c>
      <c r="E4531">
        <v>0.80618514759052595</v>
      </c>
      <c r="F4531">
        <v>0.51785138645109097</v>
      </c>
      <c r="G4531">
        <v>0.46235684257961801</v>
      </c>
      <c r="H4531">
        <v>0.28615446550027901</v>
      </c>
      <c r="I4531">
        <v>0.159656094044062</v>
      </c>
      <c r="J4531">
        <v>8.8798740723854006E-2</v>
      </c>
      <c r="K4531">
        <v>8.6734368552667002E-2</v>
      </c>
      <c r="L4531">
        <v>739.54954998450899</v>
      </c>
      <c r="M4531">
        <v>13.4868300439298</v>
      </c>
      <c r="N4531">
        <v>55.216440271949701</v>
      </c>
      <c r="O4531">
        <v>53.671516205299298</v>
      </c>
      <c r="P4531">
        <v>-6.0035708738081499E-2</v>
      </c>
      <c r="Q4531">
        <v>4.4486278006115501E-2</v>
      </c>
      <c r="R4531">
        <v>0.97666255547729497</v>
      </c>
      <c r="S4531" t="s">
        <v>10357</v>
      </c>
      <c r="T4531" t="s">
        <v>11650</v>
      </c>
      <c r="U4531" t="s">
        <v>11650</v>
      </c>
      <c r="V4531" t="s">
        <v>11650</v>
      </c>
      <c r="W4531" t="s">
        <v>16127</v>
      </c>
      <c r="X4531">
        <v>8</v>
      </c>
      <c r="Y4531" t="s">
        <v>21796</v>
      </c>
      <c r="Z4531" t="s">
        <v>27593</v>
      </c>
      <c r="AA4531">
        <v>0.5377339562258896</v>
      </c>
      <c r="AB4531" t="str">
        <f>HYPERLINK("Melting_Curves/meltCurve_Q96FJ0_STAMBPL1.pdf", "Melting_Curves/meltCurve_Q96FJ0_STAMBPL1.pdf")</f>
        <v>Melting_Curves/meltCurve_Q96FJ0_STAMBPL1.pdf</v>
      </c>
    </row>
    <row r="4532" spans="1:28" x14ac:dyDescent="0.25">
      <c r="A4532" t="s">
        <v>4536</v>
      </c>
      <c r="B4532">
        <v>0.99996721820229495</v>
      </c>
      <c r="C4532">
        <v>1.2633845593692099</v>
      </c>
      <c r="D4532">
        <v>1.1145230538945301</v>
      </c>
      <c r="E4532">
        <v>1.1447264413012701</v>
      </c>
      <c r="F4532">
        <v>1.45003881019123</v>
      </c>
      <c r="G4532">
        <v>1.3275667245566101</v>
      </c>
      <c r="H4532">
        <v>0.71352195405389196</v>
      </c>
      <c r="I4532">
        <v>0.48000418741439099</v>
      </c>
      <c r="J4532">
        <v>0.34951408718924298</v>
      </c>
      <c r="K4532">
        <v>0.118048813260625</v>
      </c>
      <c r="L4532">
        <v>2272.3944263173098</v>
      </c>
      <c r="M4532">
        <v>36.075109028581899</v>
      </c>
      <c r="N4532">
        <v>63.737315563036397</v>
      </c>
      <c r="O4532">
        <v>62.798028523317797</v>
      </c>
      <c r="P4532">
        <v>-0.118866185148162</v>
      </c>
      <c r="Q4532">
        <v>0.17233366060192001</v>
      </c>
      <c r="R4532">
        <v>0.75843770024464296</v>
      </c>
      <c r="S4532" t="s">
        <v>10358</v>
      </c>
      <c r="T4532" t="s">
        <v>11650</v>
      </c>
      <c r="U4532" t="s">
        <v>11650</v>
      </c>
      <c r="V4532" t="s">
        <v>11650</v>
      </c>
      <c r="W4532" t="s">
        <v>16128</v>
      </c>
      <c r="X4532">
        <v>4</v>
      </c>
      <c r="Y4532" t="s">
        <v>21797</v>
      </c>
      <c r="Z4532" t="s">
        <v>27594</v>
      </c>
      <c r="AA4532">
        <v>0.80936772769640519</v>
      </c>
      <c r="AB4532" t="str">
        <f>HYPERLINK("Melting_Curves/meltCurve_Q96FJ2_DYNLL2.pdf", "Melting_Curves/meltCurve_Q96FJ2_DYNLL2.pdf")</f>
        <v>Melting_Curves/meltCurve_Q96FJ2_DYNLL2.pdf</v>
      </c>
    </row>
    <row r="4533" spans="1:28" x14ac:dyDescent="0.25">
      <c r="A4533" t="s">
        <v>4537</v>
      </c>
      <c r="B4533">
        <v>0.99996721820229495</v>
      </c>
      <c r="C4533">
        <v>1.37647041335123</v>
      </c>
      <c r="D4533">
        <v>1.5988885720150401</v>
      </c>
      <c r="E4533">
        <v>1.6666766464527301</v>
      </c>
      <c r="F4533">
        <v>1.9438918226854101</v>
      </c>
      <c r="G4533">
        <v>1.8292949970761301</v>
      </c>
      <c r="H4533">
        <v>0.28267132203836598</v>
      </c>
      <c r="I4533">
        <v>0.189093692888573</v>
      </c>
      <c r="J4533">
        <v>4.5548933296552303E-2</v>
      </c>
      <c r="K4533">
        <v>4.2590193479748698E-2</v>
      </c>
      <c r="L4533">
        <v>13653.2104600479</v>
      </c>
      <c r="M4533">
        <v>225.15019313588701</v>
      </c>
      <c r="N4533">
        <v>60.695542304757602</v>
      </c>
      <c r="O4533">
        <v>60.635671931757599</v>
      </c>
      <c r="P4533">
        <v>-0.84251063829052397</v>
      </c>
      <c r="Q4533">
        <v>9.2406754318770296E-2</v>
      </c>
      <c r="R4533">
        <v>0.54056619915603699</v>
      </c>
      <c r="S4533" t="s">
        <v>10359</v>
      </c>
      <c r="T4533" t="s">
        <v>11650</v>
      </c>
      <c r="U4533" t="s">
        <v>11650</v>
      </c>
      <c r="V4533" t="s">
        <v>11650</v>
      </c>
      <c r="W4533" t="s">
        <v>16129</v>
      </c>
      <c r="X4533">
        <v>2</v>
      </c>
      <c r="Y4533" t="s">
        <v>21798</v>
      </c>
      <c r="Z4533" t="s">
        <v>27595</v>
      </c>
      <c r="AA4533">
        <v>0.71696380607679999</v>
      </c>
      <c r="AB4533" t="str">
        <f>HYPERLINK("Melting_Curves/meltCurve_Q96FK6_WDR89.pdf", "Melting_Curves/meltCurve_Q96FK6_WDR89.pdf")</f>
        <v>Melting_Curves/meltCurve_Q96FK6_WDR89.pdf</v>
      </c>
    </row>
    <row r="4534" spans="1:28" x14ac:dyDescent="0.25">
      <c r="A4534" t="s">
        <v>4538</v>
      </c>
      <c r="B4534">
        <v>0.99996721820229495</v>
      </c>
      <c r="C4534">
        <v>1.01544161055328</v>
      </c>
      <c r="D4534">
        <v>0.90999177690120603</v>
      </c>
      <c r="E4534">
        <v>0.68443665827439804</v>
      </c>
      <c r="F4534">
        <v>0.44873780873601099</v>
      </c>
      <c r="G4534">
        <v>0.41391384540433901</v>
      </c>
      <c r="H4534">
        <v>0.23008675967596001</v>
      </c>
      <c r="I4534">
        <v>0.124858548518539</v>
      </c>
      <c r="J4534">
        <v>8.2621033884734796E-2</v>
      </c>
      <c r="K4534">
        <v>6.5639560039208303E-2</v>
      </c>
      <c r="L4534">
        <v>645.03345971549504</v>
      </c>
      <c r="M4534">
        <v>12.0778700463006</v>
      </c>
      <c r="N4534">
        <v>53.617413721176199</v>
      </c>
      <c r="O4534">
        <v>52.005378140526098</v>
      </c>
      <c r="P4534">
        <v>-5.6725292457687301E-2</v>
      </c>
      <c r="Q4534">
        <v>2.3229467858319201E-2</v>
      </c>
      <c r="R4534">
        <v>0.984011023425864</v>
      </c>
      <c r="S4534" t="s">
        <v>10360</v>
      </c>
      <c r="T4534" t="s">
        <v>11650</v>
      </c>
      <c r="U4534" t="s">
        <v>11650</v>
      </c>
      <c r="V4534" t="s">
        <v>11650</v>
      </c>
      <c r="W4534" t="s">
        <v>16130</v>
      </c>
      <c r="X4534">
        <v>6</v>
      </c>
      <c r="Y4534" t="s">
        <v>21799</v>
      </c>
      <c r="Z4534" t="s">
        <v>27596</v>
      </c>
      <c r="AA4534">
        <v>0.48644856266777781</v>
      </c>
      <c r="AB4534" t="str">
        <f>HYPERLINK("Melting_Curves/meltCurve_Q96FN4_CPNE2.pdf", "Melting_Curves/meltCurve_Q96FN4_CPNE2.pdf")</f>
        <v>Melting_Curves/meltCurve_Q96FN4_CPNE2.pdf</v>
      </c>
    </row>
    <row r="4535" spans="1:28" x14ac:dyDescent="0.25">
      <c r="A4535" t="s">
        <v>4539</v>
      </c>
      <c r="B4535">
        <v>0.99996721820229495</v>
      </c>
      <c r="C4535">
        <v>1.01334818710898</v>
      </c>
      <c r="D4535">
        <v>1.00212238880266</v>
      </c>
      <c r="E4535">
        <v>1.0274247330678199</v>
      </c>
      <c r="F4535">
        <v>1.3131429111397499</v>
      </c>
      <c r="G4535">
        <v>1.43847930312286</v>
      </c>
      <c r="H4535">
        <v>0.870921323873171</v>
      </c>
      <c r="I4535">
        <v>0.54861962395534103</v>
      </c>
      <c r="J4535">
        <v>0.387134395543832</v>
      </c>
      <c r="K4535">
        <v>0.24946482607777701</v>
      </c>
      <c r="L4535">
        <v>3000.67756964616</v>
      </c>
      <c r="M4535">
        <v>47.377466922246299</v>
      </c>
      <c r="N4535">
        <v>64.4822392790809</v>
      </c>
      <c r="O4535">
        <v>63.223011647742602</v>
      </c>
      <c r="P4535">
        <v>-0.13400858913611</v>
      </c>
      <c r="Q4535">
        <v>0.284688013576468</v>
      </c>
      <c r="R4535">
        <v>0.77243328870331596</v>
      </c>
      <c r="S4535" t="s">
        <v>10361</v>
      </c>
      <c r="T4535" t="s">
        <v>11650</v>
      </c>
      <c r="U4535" t="s">
        <v>11650</v>
      </c>
      <c r="V4535" t="s">
        <v>11650</v>
      </c>
      <c r="W4535" t="s">
        <v>16131</v>
      </c>
      <c r="X4535">
        <v>11</v>
      </c>
      <c r="Y4535" t="s">
        <v>21800</v>
      </c>
      <c r="Z4535" t="s">
        <v>27597</v>
      </c>
      <c r="AA4535">
        <v>0.84287457723343662</v>
      </c>
      <c r="AB4535" t="str">
        <f>HYPERLINK("Melting_Curves/meltCurve_Q96FQ6_S100A16.pdf", "Melting_Curves/meltCurve_Q96FQ6_S100A16.pdf")</f>
        <v>Melting_Curves/meltCurve_Q96FQ6_S100A16.pdf</v>
      </c>
    </row>
    <row r="4536" spans="1:28" x14ac:dyDescent="0.25">
      <c r="A4536" t="s">
        <v>4540</v>
      </c>
      <c r="B4536">
        <v>0.99996721820229495</v>
      </c>
      <c r="C4536">
        <v>0.957289726513461</v>
      </c>
      <c r="D4536">
        <v>0.82492696240508001</v>
      </c>
      <c r="E4536">
        <v>0.66407391742439104</v>
      </c>
      <c r="F4536">
        <v>0.49757338281544999</v>
      </c>
      <c r="G4536">
        <v>0.50119751738127405</v>
      </c>
      <c r="H4536">
        <v>0.33451009379247199</v>
      </c>
      <c r="I4536">
        <v>0.28689880648460703</v>
      </c>
      <c r="J4536">
        <v>0.23471181416068801</v>
      </c>
      <c r="K4536">
        <v>0.181887099784521</v>
      </c>
      <c r="L4536">
        <v>499.94117333332798</v>
      </c>
      <c r="M4536">
        <v>9.4403768014591805</v>
      </c>
      <c r="N4536">
        <v>54.741535164413897</v>
      </c>
      <c r="O4536">
        <v>50.744626707792698</v>
      </c>
      <c r="P4536">
        <v>-4.0375757077423899E-2</v>
      </c>
      <c r="Q4536">
        <v>0.13240234256585001</v>
      </c>
      <c r="R4536">
        <v>0.98150807962648201</v>
      </c>
      <c r="S4536" t="s">
        <v>10362</v>
      </c>
      <c r="T4536" t="s">
        <v>11650</v>
      </c>
      <c r="U4536" t="s">
        <v>11650</v>
      </c>
      <c r="V4536" t="s">
        <v>11650</v>
      </c>
      <c r="W4536" t="s">
        <v>16132</v>
      </c>
      <c r="X4536">
        <v>9</v>
      </c>
      <c r="Y4536" t="s">
        <v>21801</v>
      </c>
      <c r="Z4536" t="s">
        <v>27598</v>
      </c>
      <c r="AA4536">
        <v>0.53850536282590933</v>
      </c>
      <c r="AB4536" t="str">
        <f>HYPERLINK("Melting_Curves/meltCurve_Q96FS4_SIPA1.pdf", "Melting_Curves/meltCurve_Q96FS4_SIPA1.pdf")</f>
        <v>Melting_Curves/meltCurve_Q96FS4_SIPA1.pdf</v>
      </c>
    </row>
    <row r="4537" spans="1:28" x14ac:dyDescent="0.25">
      <c r="A4537" t="s">
        <v>4541</v>
      </c>
      <c r="B4537">
        <v>0.99996721820229495</v>
      </c>
      <c r="C4537">
        <v>0.91546392042017799</v>
      </c>
      <c r="D4537">
        <v>0.91379575054386497</v>
      </c>
      <c r="E4537">
        <v>0.754724481465333</v>
      </c>
      <c r="F4537">
        <v>0.76049034330532095</v>
      </c>
      <c r="G4537">
        <v>0.90367227362587399</v>
      </c>
      <c r="H4537">
        <v>0.61568243005024803</v>
      </c>
      <c r="I4537">
        <v>0.540653743020584</v>
      </c>
      <c r="J4537">
        <v>0.53621056540034495</v>
      </c>
      <c r="K4537">
        <v>0.29861877274124699</v>
      </c>
      <c r="L4537">
        <v>394.68409931185499</v>
      </c>
      <c r="M4537">
        <v>5.9882423406721399</v>
      </c>
      <c r="N4537">
        <v>65.909840790158398</v>
      </c>
      <c r="O4537">
        <v>59.686043254848897</v>
      </c>
      <c r="P4537">
        <v>-2.5164050693958499E-2</v>
      </c>
      <c r="Q4537">
        <v>0</v>
      </c>
      <c r="R4537">
        <v>0.84268606211163499</v>
      </c>
      <c r="S4537" t="s">
        <v>10363</v>
      </c>
      <c r="T4537" t="s">
        <v>11650</v>
      </c>
      <c r="U4537" t="s">
        <v>11650</v>
      </c>
      <c r="V4537" t="s">
        <v>11650</v>
      </c>
      <c r="W4537" t="s">
        <v>16133</v>
      </c>
      <c r="X4537">
        <v>1</v>
      </c>
      <c r="Y4537" t="s">
        <v>21802</v>
      </c>
      <c r="Z4537" t="s">
        <v>27599</v>
      </c>
      <c r="AA4537">
        <v>0.74092436093627811</v>
      </c>
      <c r="AB4537" t="str">
        <f>HYPERLINK("Melting_Curves/meltCurve_Q96FX2_DPH3.pdf", "Melting_Curves/meltCurve_Q96FX2_DPH3.pdf")</f>
        <v>Melting_Curves/meltCurve_Q96FX2_DPH3.pdf</v>
      </c>
    </row>
    <row r="4538" spans="1:28" x14ac:dyDescent="0.25">
      <c r="A4538" t="s">
        <v>4542</v>
      </c>
      <c r="B4538">
        <v>0.99996721820229495</v>
      </c>
      <c r="C4538">
        <v>0.84786402274256301</v>
      </c>
      <c r="D4538">
        <v>0.82911772463542199</v>
      </c>
      <c r="E4538">
        <v>1.1113721163933199</v>
      </c>
      <c r="F4538">
        <v>1.41790380822326</v>
      </c>
      <c r="G4538">
        <v>1.52915548700301</v>
      </c>
      <c r="H4538">
        <v>0.50214619691847495</v>
      </c>
      <c r="I4538">
        <v>0.19575040211706299</v>
      </c>
      <c r="J4538">
        <v>9.5883759669460306E-2</v>
      </c>
      <c r="K4538">
        <v>7.2313902431662899E-2</v>
      </c>
      <c r="L4538">
        <v>7613.66109003167</v>
      </c>
      <c r="M4538">
        <v>125.074680447036</v>
      </c>
      <c r="N4538">
        <v>61.007341430988603</v>
      </c>
      <c r="O4538">
        <v>60.857362492903597</v>
      </c>
      <c r="P4538">
        <v>-0.45192082751856999</v>
      </c>
      <c r="Q4538">
        <v>0.120438801621887</v>
      </c>
      <c r="R4538">
        <v>0.79025362727377801</v>
      </c>
      <c r="S4538" t="s">
        <v>10364</v>
      </c>
      <c r="T4538" t="s">
        <v>11650</v>
      </c>
      <c r="U4538" t="s">
        <v>11650</v>
      </c>
      <c r="V4538" t="s">
        <v>11650</v>
      </c>
      <c r="W4538" t="s">
        <v>16134</v>
      </c>
      <c r="X4538">
        <v>1</v>
      </c>
      <c r="Y4538" t="s">
        <v>21803</v>
      </c>
      <c r="Z4538" t="s">
        <v>27600</v>
      </c>
      <c r="AA4538">
        <v>0.73278149296825934</v>
      </c>
      <c r="AB4538" t="str">
        <f>HYPERLINK("Melting_Curves/meltCurve_Q96FX7_TRMT61A.pdf", "Melting_Curves/meltCurve_Q96FX7_TRMT61A.pdf")</f>
        <v>Melting_Curves/meltCurve_Q96FX7_TRMT61A.pdf</v>
      </c>
    </row>
    <row r="4539" spans="1:28" x14ac:dyDescent="0.25">
      <c r="A4539" t="s">
        <v>4543</v>
      </c>
      <c r="B4539">
        <v>0.99996721820229495</v>
      </c>
      <c r="C4539">
        <v>0.82955976193363601</v>
      </c>
      <c r="D4539">
        <v>0.91725793758402097</v>
      </c>
      <c r="E4539">
        <v>0.95457778836576401</v>
      </c>
      <c r="F4539">
        <v>1.1652688700698799</v>
      </c>
      <c r="G4539">
        <v>0.92303853901654598</v>
      </c>
      <c r="H4539">
        <v>0.495447955588037</v>
      </c>
      <c r="I4539">
        <v>0.27087037155273003</v>
      </c>
      <c r="J4539">
        <v>0.17609239444936201</v>
      </c>
      <c r="K4539">
        <v>0.14098670835798599</v>
      </c>
      <c r="L4539">
        <v>2307.0331937976098</v>
      </c>
      <c r="M4539">
        <v>38.150602220134203</v>
      </c>
      <c r="N4539">
        <v>61.060983035037701</v>
      </c>
      <c r="O4539">
        <v>60.306302767342203</v>
      </c>
      <c r="P4539">
        <v>-0.13379879046700999</v>
      </c>
      <c r="Q4539">
        <v>0.15399603625601599</v>
      </c>
      <c r="R4539">
        <v>0.947827886483259</v>
      </c>
      <c r="S4539" t="s">
        <v>10365</v>
      </c>
      <c r="T4539" t="s">
        <v>11650</v>
      </c>
      <c r="U4539" t="s">
        <v>11650</v>
      </c>
      <c r="V4539" t="s">
        <v>11650</v>
      </c>
      <c r="W4539" t="s">
        <v>16135</v>
      </c>
      <c r="X4539">
        <v>7</v>
      </c>
      <c r="Y4539" t="s">
        <v>21804</v>
      </c>
      <c r="Z4539" t="s">
        <v>27601</v>
      </c>
      <c r="AA4539">
        <v>0.7348396551339077</v>
      </c>
      <c r="AB4539" t="str">
        <f>HYPERLINK("Melting_Curves/meltCurve_Q96FZ7_CHMP6.pdf", "Melting_Curves/meltCurve_Q96FZ7_CHMP6.pdf")</f>
        <v>Melting_Curves/meltCurve_Q96FZ7_CHMP6.pdf</v>
      </c>
    </row>
    <row r="4540" spans="1:28" x14ac:dyDescent="0.25">
      <c r="A4540" t="s">
        <v>4544</v>
      </c>
      <c r="B4540">
        <v>0.99996721820229495</v>
      </c>
      <c r="C4540">
        <v>1.02490379973901</v>
      </c>
      <c r="D4540">
        <v>0.99726874179735703</v>
      </c>
      <c r="E4540">
        <v>1.08387512861851</v>
      </c>
      <c r="F4540">
        <v>1.30203643537202</v>
      </c>
      <c r="G4540">
        <v>1.26592293906302</v>
      </c>
      <c r="H4540">
        <v>0.78421200826613602</v>
      </c>
      <c r="I4540">
        <v>0.54282505149899696</v>
      </c>
      <c r="J4540">
        <v>0.35927840082553397</v>
      </c>
      <c r="K4540">
        <v>0.22971643524900101</v>
      </c>
      <c r="L4540">
        <v>2411.0395449233702</v>
      </c>
      <c r="M4540">
        <v>38.170582975836602</v>
      </c>
      <c r="N4540">
        <v>64.304370955570505</v>
      </c>
      <c r="O4540">
        <v>62.992229973617199</v>
      </c>
      <c r="P4540">
        <v>-0.11425663128151101</v>
      </c>
      <c r="Q4540">
        <v>0.24577908881677599</v>
      </c>
      <c r="R4540">
        <v>0.85139681900435904</v>
      </c>
      <c r="S4540" t="s">
        <v>10366</v>
      </c>
      <c r="T4540" t="s">
        <v>11650</v>
      </c>
      <c r="U4540" t="s">
        <v>11650</v>
      </c>
      <c r="V4540" t="s">
        <v>11650</v>
      </c>
      <c r="W4540" t="s">
        <v>16136</v>
      </c>
      <c r="X4540">
        <v>33</v>
      </c>
      <c r="Y4540" t="s">
        <v>21805</v>
      </c>
      <c r="Z4540" t="s">
        <v>27602</v>
      </c>
      <c r="AA4540">
        <v>0.83048746436302001</v>
      </c>
      <c r="AB4540" t="str">
        <f>HYPERLINK("Melting_Curves/meltCurve_Q96G03_PGM2.pdf", "Melting_Curves/meltCurve_Q96G03_PGM2.pdf")</f>
        <v>Melting_Curves/meltCurve_Q96G03_PGM2.pdf</v>
      </c>
    </row>
    <row r="4541" spans="1:28" x14ac:dyDescent="0.25">
      <c r="A4541" t="s">
        <v>4545</v>
      </c>
      <c r="B4541">
        <v>0.99996721820229495</v>
      </c>
      <c r="C4541">
        <v>1.0375169510700899</v>
      </c>
      <c r="D4541">
        <v>1.0381095054648</v>
      </c>
      <c r="E4541">
        <v>0.99153822705953498</v>
      </c>
      <c r="F4541">
        <v>1.8073901527587499</v>
      </c>
      <c r="G4541">
        <v>2.3601352216649998</v>
      </c>
      <c r="H4541">
        <v>1.8422653004211</v>
      </c>
      <c r="I4541">
        <v>1.5282413887472499</v>
      </c>
      <c r="J4541">
        <v>1.3940747782120799</v>
      </c>
      <c r="K4541">
        <v>0.98837817299908604</v>
      </c>
      <c r="L4541">
        <v>12778.182996658999</v>
      </c>
      <c r="M4541">
        <v>250</v>
      </c>
      <c r="O4541">
        <v>51.109461126245797</v>
      </c>
      <c r="P4541">
        <v>0.61143278284377101</v>
      </c>
      <c r="Q4541">
        <v>1.5</v>
      </c>
      <c r="R4541">
        <v>0.40334153586055599</v>
      </c>
      <c r="S4541" t="s">
        <v>10367</v>
      </c>
      <c r="T4541" t="s">
        <v>11650</v>
      </c>
      <c r="U4541" t="s">
        <v>11650</v>
      </c>
      <c r="V4541" t="s">
        <v>11650</v>
      </c>
      <c r="W4541" t="s">
        <v>16137</v>
      </c>
      <c r="X4541">
        <v>4</v>
      </c>
      <c r="Y4541" t="s">
        <v>21806</v>
      </c>
      <c r="Z4541" t="s">
        <v>27603</v>
      </c>
      <c r="AA4541">
        <v>1.3147429491981599</v>
      </c>
      <c r="AB4541" t="str">
        <f>HYPERLINK("Melting_Curves/meltCurve_Q96G25_MED8.pdf", "Melting_Curves/meltCurve_Q96G25_MED8.pdf")</f>
        <v>Melting_Curves/meltCurve_Q96G25_MED8.pdf</v>
      </c>
    </row>
    <row r="4542" spans="1:28" x14ac:dyDescent="0.25">
      <c r="A4542" t="s">
        <v>4546</v>
      </c>
      <c r="B4542">
        <v>0.99996721820229495</v>
      </c>
      <c r="C4542">
        <v>0.92795256429125805</v>
      </c>
      <c r="D4542">
        <v>0.83595635517496103</v>
      </c>
      <c r="E4542">
        <v>0.73792197404099902</v>
      </c>
      <c r="F4542">
        <v>0.50903089393774303</v>
      </c>
      <c r="G4542">
        <v>0.38232763401499498</v>
      </c>
      <c r="H4542">
        <v>0.23154932165580899</v>
      </c>
      <c r="I4542">
        <v>0.176723991470912</v>
      </c>
      <c r="J4542">
        <v>0.13479459845767999</v>
      </c>
      <c r="K4542">
        <v>9.7014193804729504E-2</v>
      </c>
      <c r="L4542">
        <v>572.47225511323904</v>
      </c>
      <c r="M4542">
        <v>10.664690990110801</v>
      </c>
      <c r="N4542">
        <v>53.952190139932902</v>
      </c>
      <c r="O4542">
        <v>51.895044581396803</v>
      </c>
      <c r="P4542">
        <v>-5.0045894841098497E-2</v>
      </c>
      <c r="Q4542">
        <v>2.62644238221523E-2</v>
      </c>
      <c r="R4542">
        <v>0.99556355005168096</v>
      </c>
      <c r="S4542" t="s">
        <v>10368</v>
      </c>
      <c r="T4542" t="s">
        <v>11650</v>
      </c>
      <c r="U4542" t="s">
        <v>11650</v>
      </c>
      <c r="V4542" t="s">
        <v>11650</v>
      </c>
      <c r="W4542" t="s">
        <v>16138</v>
      </c>
      <c r="X4542">
        <v>10</v>
      </c>
      <c r="Y4542" t="s">
        <v>21807</v>
      </c>
      <c r="Z4542" t="s">
        <v>27604</v>
      </c>
      <c r="AA4542">
        <v>0.49943078553918119</v>
      </c>
      <c r="AB4542" t="str">
        <f>HYPERLINK("Melting_Curves/meltCurve_Q96G28_CCDC104.pdf", "Melting_Curves/meltCurve_Q96G28_CCDC104.pdf")</f>
        <v>Melting_Curves/meltCurve_Q96G28_CCDC104.pdf</v>
      </c>
    </row>
    <row r="4543" spans="1:28" x14ac:dyDescent="0.25">
      <c r="A4543" t="s">
        <v>4547</v>
      </c>
      <c r="B4543">
        <v>0.99996721820229495</v>
      </c>
      <c r="C4543">
        <v>0.92043029196915505</v>
      </c>
      <c r="D4543">
        <v>0.80824341084269302</v>
      </c>
      <c r="E4543">
        <v>0.71227440976356304</v>
      </c>
      <c r="F4543">
        <v>0.84829927550172302</v>
      </c>
      <c r="G4543">
        <v>0.67187702498155299</v>
      </c>
      <c r="H4543">
        <v>0.41092685347941799</v>
      </c>
      <c r="I4543">
        <v>0.207765713896366</v>
      </c>
      <c r="J4543">
        <v>0.137351645945197</v>
      </c>
      <c r="K4543">
        <v>9.5407666154683504E-2</v>
      </c>
      <c r="L4543">
        <v>646.22283787051299</v>
      </c>
      <c r="M4543">
        <v>11.0808134275255</v>
      </c>
      <c r="N4543">
        <v>58.3190652209002</v>
      </c>
      <c r="O4543">
        <v>56.516300976620201</v>
      </c>
      <c r="P4543">
        <v>-4.90320835241458E-2</v>
      </c>
      <c r="Q4543">
        <v>0</v>
      </c>
      <c r="R4543">
        <v>0.92537967504745899</v>
      </c>
      <c r="S4543" t="s">
        <v>10369</v>
      </c>
      <c r="T4543" t="s">
        <v>11650</v>
      </c>
      <c r="U4543" t="s">
        <v>11650</v>
      </c>
      <c r="V4543" t="s">
        <v>11650</v>
      </c>
      <c r="W4543" t="s">
        <v>16139</v>
      </c>
      <c r="X4543">
        <v>5</v>
      </c>
      <c r="Y4543" t="s">
        <v>21808</v>
      </c>
      <c r="Z4543" t="s">
        <v>27605</v>
      </c>
      <c r="AA4543">
        <v>0.62069127421047532</v>
      </c>
      <c r="AB4543" t="str">
        <f>HYPERLINK("Melting_Curves/meltCurve_Q96G46_DUS3L.pdf", "Melting_Curves/meltCurve_Q96G46_DUS3L.pdf")</f>
        <v>Melting_Curves/meltCurve_Q96G46_DUS3L.pdf</v>
      </c>
    </row>
    <row r="4544" spans="1:28" x14ac:dyDescent="0.25">
      <c r="A4544" t="s">
        <v>4548</v>
      </c>
      <c r="B4544">
        <v>0.99996721820229495</v>
      </c>
      <c r="C4544">
        <v>1.0435254646127701</v>
      </c>
      <c r="D4544">
        <v>0.86292897639883304</v>
      </c>
      <c r="E4544">
        <v>0.59703360298406805</v>
      </c>
      <c r="F4544">
        <v>0.524154907410597</v>
      </c>
      <c r="G4544">
        <v>0.33001422506116701</v>
      </c>
      <c r="H4544">
        <v>0.193698659061324</v>
      </c>
      <c r="I4544">
        <v>0.12927381420935699</v>
      </c>
      <c r="J4544">
        <v>0.112918449606237</v>
      </c>
      <c r="K4544">
        <v>8.8761460833430006E-2</v>
      </c>
      <c r="L4544">
        <v>679.64516787792104</v>
      </c>
      <c r="M4544">
        <v>12.9817785052402</v>
      </c>
      <c r="N4544">
        <v>52.887555969827297</v>
      </c>
      <c r="O4544">
        <v>51.158165803751601</v>
      </c>
      <c r="P4544">
        <v>-5.9554795993063903E-2</v>
      </c>
      <c r="Q4544">
        <v>6.1400217250147E-2</v>
      </c>
      <c r="R4544">
        <v>0.98706659001251396</v>
      </c>
      <c r="S4544" t="s">
        <v>10370</v>
      </c>
      <c r="T4544" t="s">
        <v>11650</v>
      </c>
      <c r="U4544" t="s">
        <v>11650</v>
      </c>
      <c r="V4544" t="s">
        <v>11650</v>
      </c>
      <c r="W4544" t="s">
        <v>16140</v>
      </c>
      <c r="X4544">
        <v>12</v>
      </c>
      <c r="Y4544" t="s">
        <v>21809</v>
      </c>
      <c r="Z4544" t="s">
        <v>27606</v>
      </c>
      <c r="AA4544">
        <v>0.47327366485637329</v>
      </c>
      <c r="AB4544" t="str">
        <f>HYPERLINK("Melting_Curves/meltCurve_Q96G61_NUDT11.pdf", "Melting_Curves/meltCurve_Q96G61_NUDT11.pdf")</f>
        <v>Melting_Curves/meltCurve_Q96G61_NUDT11.pdf</v>
      </c>
    </row>
    <row r="4545" spans="1:28" x14ac:dyDescent="0.25">
      <c r="A4545" t="s">
        <v>4549</v>
      </c>
      <c r="B4545">
        <v>0.99996721820229495</v>
      </c>
      <c r="C4545">
        <v>1.02343171299652</v>
      </c>
      <c r="D4545">
        <v>1.0179225756745001</v>
      </c>
      <c r="E4545">
        <v>1.01456204731788</v>
      </c>
      <c r="F4545">
        <v>1.31631872403866</v>
      </c>
      <c r="G4545">
        <v>1.2976630510457201</v>
      </c>
      <c r="H4545">
        <v>0.82850781362871395</v>
      </c>
      <c r="I4545">
        <v>0.45180381557525701</v>
      </c>
      <c r="J4545">
        <v>0.17978511495760899</v>
      </c>
      <c r="K4545">
        <v>0.102212531509428</v>
      </c>
      <c r="L4545">
        <v>2887.0435529454799</v>
      </c>
      <c r="M4545">
        <v>45.602018637571703</v>
      </c>
      <c r="N4545">
        <v>63.629200257974098</v>
      </c>
      <c r="O4545">
        <v>63.188169617915101</v>
      </c>
      <c r="P4545">
        <v>-0.161952170996952</v>
      </c>
      <c r="Q4545">
        <v>0.102368806091721</v>
      </c>
      <c r="R4545">
        <v>0.88441445379072003</v>
      </c>
      <c r="S4545" t="s">
        <v>10371</v>
      </c>
      <c r="T4545" t="s">
        <v>11650</v>
      </c>
      <c r="U4545" t="s">
        <v>11650</v>
      </c>
      <c r="V4545" t="s">
        <v>11650</v>
      </c>
      <c r="W4545" t="s">
        <v>16141</v>
      </c>
      <c r="X4545">
        <v>16</v>
      </c>
      <c r="Y4545" t="s">
        <v>21810</v>
      </c>
      <c r="Z4545" t="s">
        <v>27607</v>
      </c>
      <c r="AA4545">
        <v>0.80215226024723285</v>
      </c>
      <c r="AB4545" t="str">
        <f>HYPERLINK("Melting_Curves/meltCurve_Q96GA7_SDSL.pdf", "Melting_Curves/meltCurve_Q96GA7_SDSL.pdf")</f>
        <v>Melting_Curves/meltCurve_Q96GA7_SDSL.pdf</v>
      </c>
    </row>
    <row r="4546" spans="1:28" x14ac:dyDescent="0.25">
      <c r="A4546" t="s">
        <v>4550</v>
      </c>
      <c r="B4546">
        <v>0.99996721820229495</v>
      </c>
      <c r="C4546">
        <v>0.97335561601262</v>
      </c>
      <c r="D4546">
        <v>0.94890169673991998</v>
      </c>
      <c r="E4546">
        <v>0.95302723829509195</v>
      </c>
      <c r="F4546">
        <v>1.27924348732425</v>
      </c>
      <c r="G4546">
        <v>1.1779920701214599</v>
      </c>
      <c r="H4546">
        <v>0.80870820877042104</v>
      </c>
      <c r="I4546">
        <v>0.65029791334323905</v>
      </c>
      <c r="J4546">
        <v>0.49393751683417902</v>
      </c>
      <c r="K4546">
        <v>0.27203706164275498</v>
      </c>
      <c r="L4546">
        <v>1766.8947876612799</v>
      </c>
      <c r="M4546">
        <v>27.281811060123001</v>
      </c>
      <c r="N4546">
        <v>66.097106832393706</v>
      </c>
      <c r="O4546">
        <v>64.419599556510406</v>
      </c>
      <c r="P4546">
        <v>-8.3480643190763301E-2</v>
      </c>
      <c r="Q4546">
        <v>0.21152764513632</v>
      </c>
      <c r="R4546">
        <v>0.84479158599879101</v>
      </c>
      <c r="S4546" t="s">
        <v>10372</v>
      </c>
      <c r="T4546" t="s">
        <v>11650</v>
      </c>
      <c r="U4546" t="s">
        <v>11650</v>
      </c>
      <c r="V4546" t="s">
        <v>11650</v>
      </c>
      <c r="W4546" t="s">
        <v>16142</v>
      </c>
      <c r="X4546">
        <v>12</v>
      </c>
      <c r="Y4546" t="s">
        <v>21811</v>
      </c>
      <c r="Z4546" t="s">
        <v>27608</v>
      </c>
      <c r="AA4546">
        <v>0.8603308961479077</v>
      </c>
      <c r="AB4546" t="str">
        <f>HYPERLINK("Melting_Curves/meltCurve_Q96GD0_PDXP.pdf", "Melting_Curves/meltCurve_Q96GD0_PDXP.pdf")</f>
        <v>Melting_Curves/meltCurve_Q96GD0_PDXP.pdf</v>
      </c>
    </row>
    <row r="4547" spans="1:28" x14ac:dyDescent="0.25">
      <c r="A4547" t="s">
        <v>4551</v>
      </c>
      <c r="B4547">
        <v>0.99996721820229495</v>
      </c>
      <c r="C4547">
        <v>0.96441389734275396</v>
      </c>
      <c r="D4547">
        <v>1.18583175787495</v>
      </c>
      <c r="E4547">
        <v>1.5332698457641101</v>
      </c>
      <c r="F4547">
        <v>1.3012376284449401</v>
      </c>
      <c r="G4547">
        <v>1.67358391113498</v>
      </c>
      <c r="H4547">
        <v>1.2066383724909699</v>
      </c>
      <c r="I4547">
        <v>0.55050525412360796</v>
      </c>
      <c r="J4547">
        <v>0.28556620707506197</v>
      </c>
      <c r="K4547">
        <v>0.332855994428149</v>
      </c>
      <c r="L4547">
        <v>15000</v>
      </c>
      <c r="M4547">
        <v>234.99697773655399</v>
      </c>
      <c r="N4547">
        <v>64.093367549426304</v>
      </c>
      <c r="O4547">
        <v>63.825985295847801</v>
      </c>
      <c r="P4547">
        <v>-0.63585067837401699</v>
      </c>
      <c r="Q4547">
        <v>0.30920309955196301</v>
      </c>
      <c r="R4547">
        <v>0.56001764984970004</v>
      </c>
      <c r="S4547" t="s">
        <v>10373</v>
      </c>
      <c r="T4547" t="s">
        <v>11650</v>
      </c>
      <c r="U4547" t="s">
        <v>11650</v>
      </c>
      <c r="V4547" t="s">
        <v>11650</v>
      </c>
      <c r="W4547" t="s">
        <v>16143</v>
      </c>
      <c r="X4547">
        <v>2</v>
      </c>
      <c r="Y4547" t="s">
        <v>21812</v>
      </c>
      <c r="Z4547" t="s">
        <v>27609</v>
      </c>
      <c r="AA4547">
        <v>0.85802769069860652</v>
      </c>
      <c r="AB4547" t="str">
        <f>HYPERLINK("Melting_Curves/meltCurve_Q96GF1_RNF185.pdf", "Melting_Curves/meltCurve_Q96GF1_RNF185.pdf")</f>
        <v>Melting_Curves/meltCurve_Q96GF1_RNF185.pdf</v>
      </c>
    </row>
    <row r="4548" spans="1:28" x14ac:dyDescent="0.25">
      <c r="A4548" t="s">
        <v>4552</v>
      </c>
      <c r="B4548">
        <v>0.99996721820229495</v>
      </c>
      <c r="C4548">
        <v>0.95548611644291204</v>
      </c>
      <c r="D4548">
        <v>0.93655594146009002</v>
      </c>
      <c r="E4548">
        <v>1.0727664354381301</v>
      </c>
      <c r="F4548">
        <v>0.45871464271010198</v>
      </c>
      <c r="G4548">
        <v>0.24216797480170399</v>
      </c>
      <c r="H4548">
        <v>0.124197479172467</v>
      </c>
      <c r="I4548">
        <v>9.2007332735236896E-2</v>
      </c>
      <c r="J4548">
        <v>6.6917227312702304E-2</v>
      </c>
      <c r="K4548">
        <v>6.3950136664240903E-2</v>
      </c>
      <c r="L4548">
        <v>13225.4899113752</v>
      </c>
      <c r="M4548">
        <v>250</v>
      </c>
      <c r="N4548">
        <v>52.958877566276499</v>
      </c>
      <c r="O4548">
        <v>52.898575241225302</v>
      </c>
      <c r="P4548">
        <v>-1.04226815258378</v>
      </c>
      <c r="Q4548">
        <v>0.117848012553867</v>
      </c>
      <c r="R4548">
        <v>0.98094152427007697</v>
      </c>
      <c r="S4548" t="s">
        <v>10374</v>
      </c>
      <c r="T4548" t="s">
        <v>11650</v>
      </c>
      <c r="U4548" t="s">
        <v>11650</v>
      </c>
      <c r="V4548" t="s">
        <v>11650</v>
      </c>
      <c r="W4548" t="s">
        <v>16144</v>
      </c>
      <c r="X4548">
        <v>7</v>
      </c>
      <c r="Y4548" t="s">
        <v>21813</v>
      </c>
      <c r="Z4548" t="s">
        <v>27610</v>
      </c>
      <c r="AA4548">
        <v>0.49731289151848762</v>
      </c>
      <c r="AB4548" t="str">
        <f>HYPERLINK("Melting_Curves/meltCurve_Q96GG9_DCUN1D1.pdf", "Melting_Curves/meltCurve_Q96GG9_DCUN1D1.pdf")</f>
        <v>Melting_Curves/meltCurve_Q96GG9_DCUN1D1.pdf</v>
      </c>
    </row>
    <row r="4549" spans="1:28" x14ac:dyDescent="0.25">
      <c r="A4549" t="s">
        <v>4553</v>
      </c>
      <c r="B4549">
        <v>0.99996721820229495</v>
      </c>
      <c r="C4549">
        <v>1.1024506889833601</v>
      </c>
      <c r="D4549">
        <v>1.1160116544949801</v>
      </c>
      <c r="E4549">
        <v>0.97234024909466898</v>
      </c>
      <c r="F4549">
        <v>1.05738913470137</v>
      </c>
      <c r="G4549">
        <v>0.848796898986658</v>
      </c>
      <c r="H4549">
        <v>0.39965786841359402</v>
      </c>
      <c r="I4549">
        <v>0.26205285578182602</v>
      </c>
      <c r="J4549">
        <v>0.20294312816725499</v>
      </c>
      <c r="K4549">
        <v>0.111406730153167</v>
      </c>
      <c r="L4549">
        <v>2011.1731744772701</v>
      </c>
      <c r="M4549">
        <v>33.757144100507702</v>
      </c>
      <c r="N4549">
        <v>60.2331130350168</v>
      </c>
      <c r="O4549">
        <v>59.369797681351699</v>
      </c>
      <c r="P4549">
        <v>-0.12029889229936599</v>
      </c>
      <c r="Q4549">
        <v>0.153709077720798</v>
      </c>
      <c r="R4549">
        <v>0.97756131597815499</v>
      </c>
      <c r="S4549" t="s">
        <v>10375</v>
      </c>
      <c r="T4549" t="s">
        <v>11650</v>
      </c>
      <c r="U4549" t="s">
        <v>11650</v>
      </c>
      <c r="V4549" t="s">
        <v>11650</v>
      </c>
      <c r="W4549" t="s">
        <v>16145</v>
      </c>
      <c r="X4549">
        <v>15</v>
      </c>
      <c r="Y4549" t="s">
        <v>21814</v>
      </c>
      <c r="Z4549" t="s">
        <v>27611</v>
      </c>
      <c r="AA4549">
        <v>0.71041795920358175</v>
      </c>
      <c r="AB4549" t="str">
        <f>HYPERLINK("Melting_Curves/meltCurve_Q96GK7_FAHD2A.pdf", "Melting_Curves/meltCurve_Q96GK7_FAHD2A.pdf")</f>
        <v>Melting_Curves/meltCurve_Q96GK7_FAHD2A.pdf</v>
      </c>
    </row>
    <row r="4550" spans="1:28" x14ac:dyDescent="0.25">
      <c r="A4550" t="s">
        <v>4554</v>
      </c>
      <c r="B4550">
        <v>0.99996721820229495</v>
      </c>
      <c r="C4550">
        <v>0.862253166036827</v>
      </c>
      <c r="D4550">
        <v>0.88307151425506503</v>
      </c>
      <c r="E4550">
        <v>0.90940535880053597</v>
      </c>
      <c r="F4550">
        <v>1.3565629398135799</v>
      </c>
      <c r="G4550">
        <v>1.3162992812942</v>
      </c>
      <c r="H4550">
        <v>1.1716672273192601</v>
      </c>
      <c r="I4550">
        <v>0.89225994923531005</v>
      </c>
      <c r="J4550">
        <v>0.70957266565876598</v>
      </c>
      <c r="K4550">
        <v>0.80281359946583597</v>
      </c>
      <c r="L4550">
        <v>15000</v>
      </c>
      <c r="M4550">
        <v>234.14157634276799</v>
      </c>
      <c r="O4550">
        <v>64.059130047482995</v>
      </c>
      <c r="P4550">
        <v>-0.22278601763379099</v>
      </c>
      <c r="Q4550">
        <v>0.75619061470367699</v>
      </c>
      <c r="R4550">
        <v>0.30032435286306602</v>
      </c>
      <c r="S4550" t="s">
        <v>10376</v>
      </c>
      <c r="T4550" t="s">
        <v>11650</v>
      </c>
      <c r="U4550" t="s">
        <v>11650</v>
      </c>
      <c r="V4550" t="s">
        <v>11650</v>
      </c>
      <c r="W4550" t="s">
        <v>16146</v>
      </c>
      <c r="X4550">
        <v>13</v>
      </c>
      <c r="Y4550" t="s">
        <v>21815</v>
      </c>
      <c r="Z4550" t="s">
        <v>27612</v>
      </c>
      <c r="AA4550">
        <v>0.95178790646314504</v>
      </c>
      <c r="AB4550" t="str">
        <f>HYPERLINK("Melting_Curves/meltCurve_Q96GP6_2_SCARF2.pdf", "Melting_Curves/meltCurve_Q96GP6_2_SCARF2.pdf")</f>
        <v>Melting_Curves/meltCurve_Q96GP6_2_SCARF2.pdf</v>
      </c>
    </row>
    <row r="4551" spans="1:28" x14ac:dyDescent="0.25">
      <c r="A4551" t="s">
        <v>4555</v>
      </c>
      <c r="B4551">
        <v>0.99996721820229495</v>
      </c>
      <c r="C4551">
        <v>1.0000258750968301</v>
      </c>
      <c r="D4551">
        <v>0.964329089109765</v>
      </c>
      <c r="E4551">
        <v>1.15519328712715</v>
      </c>
      <c r="F4551">
        <v>1.3080562876898101</v>
      </c>
      <c r="G4551">
        <v>1.06248178078751</v>
      </c>
      <c r="H4551">
        <v>0.46850785761247699</v>
      </c>
      <c r="I4551">
        <v>0.23419357619051501</v>
      </c>
      <c r="J4551">
        <v>0.16825535437679601</v>
      </c>
      <c r="K4551">
        <v>0.152273369958526</v>
      </c>
      <c r="L4551">
        <v>5293.25410109737</v>
      </c>
      <c r="M4551">
        <v>87.375270580895403</v>
      </c>
      <c r="N4551">
        <v>60.895252267302297</v>
      </c>
      <c r="O4551">
        <v>60.548976358689004</v>
      </c>
      <c r="P4551">
        <v>-0.29524283566906601</v>
      </c>
      <c r="Q4551">
        <v>0.181615135364185</v>
      </c>
      <c r="R4551">
        <v>0.92848296810986297</v>
      </c>
      <c r="S4551" t="s">
        <v>10377</v>
      </c>
      <c r="T4551" t="s">
        <v>11650</v>
      </c>
      <c r="U4551" t="s">
        <v>11650</v>
      </c>
      <c r="V4551" t="s">
        <v>11650</v>
      </c>
      <c r="W4551" t="s">
        <v>16147</v>
      </c>
      <c r="X4551">
        <v>12</v>
      </c>
      <c r="Y4551" t="s">
        <v>21816</v>
      </c>
      <c r="Z4551" t="s">
        <v>27613</v>
      </c>
      <c r="AA4551">
        <v>0.74375919229865162</v>
      </c>
      <c r="AB4551" t="str">
        <f>HYPERLINK("Melting_Curves/meltCurve_Q96GS4_C17orf59.pdf", "Melting_Curves/meltCurve_Q96GS4_C17orf59.pdf")</f>
        <v>Melting_Curves/meltCurve_Q96GS4_C17orf59.pdf</v>
      </c>
    </row>
    <row r="4552" spans="1:28" x14ac:dyDescent="0.25">
      <c r="A4552" t="s">
        <v>4556</v>
      </c>
      <c r="B4552">
        <v>0.99996721820229495</v>
      </c>
      <c r="C4552">
        <v>0.98583250260960398</v>
      </c>
      <c r="D4552">
        <v>0.84924038404820401</v>
      </c>
      <c r="E4552">
        <v>0.98653443605171098</v>
      </c>
      <c r="F4552">
        <v>1.32460264812988</v>
      </c>
      <c r="G4552">
        <v>0.96383968029918399</v>
      </c>
      <c r="H4552">
        <v>0.346716348089741</v>
      </c>
      <c r="I4552">
        <v>0.15142252268009601</v>
      </c>
      <c r="J4552">
        <v>9.3108176657922398E-2</v>
      </c>
      <c r="K4552">
        <v>6.5862490308765703E-2</v>
      </c>
      <c r="L4552">
        <v>3430.3558011151599</v>
      </c>
      <c r="M4552">
        <v>57.144308100344197</v>
      </c>
      <c r="N4552">
        <v>60.245143317912103</v>
      </c>
      <c r="O4552">
        <v>59.956319462363901</v>
      </c>
      <c r="P4552">
        <v>-0.21625528643740899</v>
      </c>
      <c r="Q4552">
        <v>9.2412526394347896E-2</v>
      </c>
      <c r="R4552">
        <v>0.93216187317476695</v>
      </c>
      <c r="S4552" t="s">
        <v>10378</v>
      </c>
      <c r="T4552" t="s">
        <v>11650</v>
      </c>
      <c r="U4552" t="s">
        <v>11650</v>
      </c>
      <c r="V4552" t="s">
        <v>11650</v>
      </c>
      <c r="W4552" t="s">
        <v>16148</v>
      </c>
      <c r="X4552">
        <v>4</v>
      </c>
      <c r="Y4552" t="s">
        <v>21817</v>
      </c>
      <c r="Z4552" t="s">
        <v>27614</v>
      </c>
      <c r="AA4552">
        <v>0.70019372084979647</v>
      </c>
      <c r="AB4552" t="str">
        <f>HYPERLINK("Melting_Curves/meltCurve_Q96GW9_MARS2.pdf", "Melting_Curves/meltCurve_Q96GW9_MARS2.pdf")</f>
        <v>Melting_Curves/meltCurve_Q96GW9_MARS2.pdf</v>
      </c>
    </row>
    <row r="4553" spans="1:28" x14ac:dyDescent="0.25">
      <c r="A4553" t="s">
        <v>4557</v>
      </c>
      <c r="B4553">
        <v>0.99996721820229495</v>
      </c>
      <c r="C4553">
        <v>1.07073685922414</v>
      </c>
      <c r="D4553">
        <v>1.03126896825533</v>
      </c>
      <c r="E4553">
        <v>0.89497953057222601</v>
      </c>
      <c r="F4553">
        <v>0.93984355607201997</v>
      </c>
      <c r="G4553">
        <v>0.64328491842563496</v>
      </c>
      <c r="H4553">
        <v>0.34043608060460401</v>
      </c>
      <c r="I4553">
        <v>0.169258917151664</v>
      </c>
      <c r="J4553">
        <v>7.3911294609309994E-2</v>
      </c>
      <c r="K4553">
        <v>7.1487782385826495E-2</v>
      </c>
      <c r="L4553">
        <v>1198.48436931121</v>
      </c>
      <c r="M4553">
        <v>20.419560782045</v>
      </c>
      <c r="N4553">
        <v>58.814159650882303</v>
      </c>
      <c r="O4553">
        <v>58.138742934984101</v>
      </c>
      <c r="P4553">
        <v>-8.5998843603861799E-2</v>
      </c>
      <c r="Q4553">
        <v>2.0602977740488099E-2</v>
      </c>
      <c r="R4553">
        <v>0.99071474342163801</v>
      </c>
      <c r="S4553" t="s">
        <v>10379</v>
      </c>
      <c r="T4553" t="s">
        <v>11650</v>
      </c>
      <c r="U4553" t="s">
        <v>11650</v>
      </c>
      <c r="V4553" t="s">
        <v>11650</v>
      </c>
      <c r="W4553" t="s">
        <v>16149</v>
      </c>
      <c r="X4553">
        <v>4</v>
      </c>
      <c r="Y4553" t="s">
        <v>21818</v>
      </c>
      <c r="Z4553" t="s">
        <v>27615</v>
      </c>
      <c r="AA4553">
        <v>0.64098224241257939</v>
      </c>
      <c r="AB4553" t="str">
        <f>HYPERLINK("Melting_Curves/meltCurve_Q96GX2_ATXN7L3B.pdf", "Melting_Curves/meltCurve_Q96GX2_ATXN7L3B.pdf")</f>
        <v>Melting_Curves/meltCurve_Q96GX2_ATXN7L3B.pdf</v>
      </c>
    </row>
    <row r="4554" spans="1:28" x14ac:dyDescent="0.25">
      <c r="A4554" t="s">
        <v>4558</v>
      </c>
      <c r="B4554">
        <v>0.99996721820229495</v>
      </c>
      <c r="C4554">
        <v>0.90419425000471099</v>
      </c>
      <c r="D4554">
        <v>0.89551690536313</v>
      </c>
      <c r="E4554">
        <v>1.06624081501085</v>
      </c>
      <c r="F4554">
        <v>1.3237779244844201</v>
      </c>
      <c r="G4554">
        <v>1.4243727723630799</v>
      </c>
      <c r="H4554">
        <v>1.0824069253556401</v>
      </c>
      <c r="I4554">
        <v>0.77964649814230502</v>
      </c>
      <c r="J4554">
        <v>0.511785648816799</v>
      </c>
      <c r="K4554">
        <v>0.46100006778480501</v>
      </c>
      <c r="L4554">
        <v>10294.4273277268</v>
      </c>
      <c r="M4554">
        <v>160.562061652126</v>
      </c>
      <c r="N4554">
        <v>65.578064127416695</v>
      </c>
      <c r="O4554">
        <v>64.105016137975198</v>
      </c>
      <c r="P4554">
        <v>-0.32179131279477102</v>
      </c>
      <c r="Q4554">
        <v>0.48609451646049501</v>
      </c>
      <c r="R4554">
        <v>0.63222389603485796</v>
      </c>
      <c r="S4554" t="s">
        <v>10380</v>
      </c>
      <c r="T4554" t="s">
        <v>11650</v>
      </c>
      <c r="U4554" t="s">
        <v>11650</v>
      </c>
      <c r="V4554" t="s">
        <v>11650</v>
      </c>
      <c r="W4554" t="s">
        <v>16150</v>
      </c>
      <c r="X4554">
        <v>15</v>
      </c>
      <c r="Y4554" t="s">
        <v>21819</v>
      </c>
      <c r="Z4554" t="s">
        <v>27616</v>
      </c>
      <c r="AA4554">
        <v>0.89932810746326408</v>
      </c>
      <c r="AB4554" t="str">
        <f>HYPERLINK("Melting_Curves/meltCurve_Q96GX9_APIP.pdf", "Melting_Curves/meltCurve_Q96GX9_APIP.pdf")</f>
        <v>Melting_Curves/meltCurve_Q96GX9_APIP.pdf</v>
      </c>
    </row>
    <row r="4555" spans="1:28" x14ac:dyDescent="0.25">
      <c r="A4555" t="s">
        <v>4559</v>
      </c>
      <c r="B4555">
        <v>0.99996721820229495</v>
      </c>
      <c r="C4555">
        <v>0.92457799676410901</v>
      </c>
      <c r="D4555">
        <v>0.87549349556334499</v>
      </c>
      <c r="E4555">
        <v>0.92835700454387604</v>
      </c>
      <c r="F4555">
        <v>0.93514363182333204</v>
      </c>
      <c r="G4555">
        <v>1.06475809796166</v>
      </c>
      <c r="H4555">
        <v>0.64193940278249795</v>
      </c>
      <c r="I4555">
        <v>0.48150711559597897</v>
      </c>
      <c r="J4555">
        <v>0.45557624727712298</v>
      </c>
      <c r="K4555">
        <v>0.32389057612295002</v>
      </c>
      <c r="L4555">
        <v>3747.2200935522401</v>
      </c>
      <c r="M4555">
        <v>61.765428444382302</v>
      </c>
      <c r="N4555">
        <v>62.392360298180897</v>
      </c>
      <c r="O4555">
        <v>60.605068116836598</v>
      </c>
      <c r="P4555">
        <v>-0.15051573872820401</v>
      </c>
      <c r="Q4555">
        <v>0.40924795968106997</v>
      </c>
      <c r="R4555">
        <v>0.922818670141487</v>
      </c>
      <c r="S4555" t="s">
        <v>10381</v>
      </c>
      <c r="T4555" t="s">
        <v>11650</v>
      </c>
      <c r="U4555" t="s">
        <v>11650</v>
      </c>
      <c r="V4555" t="s">
        <v>11650</v>
      </c>
      <c r="W4555" t="s">
        <v>16151</v>
      </c>
      <c r="X4555">
        <v>5</v>
      </c>
      <c r="Y4555" t="s">
        <v>21820</v>
      </c>
      <c r="Z4555" t="s">
        <v>27617</v>
      </c>
      <c r="AA4555">
        <v>0.81727480343554315</v>
      </c>
      <c r="AB4555" t="str">
        <f>HYPERLINK("Melting_Curves/meltCurve_Q96GY0_ZC2HC1A.pdf", "Melting_Curves/meltCurve_Q96GY0_ZC2HC1A.pdf")</f>
        <v>Melting_Curves/meltCurve_Q96GY0_ZC2HC1A.pdf</v>
      </c>
    </row>
    <row r="4556" spans="1:28" x14ac:dyDescent="0.25">
      <c r="A4556" t="s">
        <v>4560</v>
      </c>
      <c r="B4556">
        <v>0.99996721820229495</v>
      </c>
      <c r="C4556">
        <v>1.1432998947205999</v>
      </c>
      <c r="D4556">
        <v>1.09078846917845</v>
      </c>
      <c r="E4556">
        <v>0.98763399726010404</v>
      </c>
      <c r="F4556">
        <v>0.69267751976920799</v>
      </c>
      <c r="G4556">
        <v>0.31631059787625099</v>
      </c>
      <c r="H4556">
        <v>0.15504237808558799</v>
      </c>
      <c r="I4556">
        <v>0.10426412182313501</v>
      </c>
      <c r="J4556">
        <v>7.4686804851457803E-2</v>
      </c>
      <c r="K4556">
        <v>5.82313598009754E-2</v>
      </c>
      <c r="L4556">
        <v>1504.3209138961099</v>
      </c>
      <c r="M4556">
        <v>27.513493038144599</v>
      </c>
      <c r="N4556">
        <v>55.022153723474901</v>
      </c>
      <c r="O4556">
        <v>54.389360667937801</v>
      </c>
      <c r="P4556">
        <v>-0.116410080779735</v>
      </c>
      <c r="Q4556">
        <v>7.9519041680264704E-2</v>
      </c>
      <c r="R4556">
        <v>0.98168930390193898</v>
      </c>
      <c r="S4556" t="s">
        <v>10382</v>
      </c>
      <c r="T4556" t="s">
        <v>11650</v>
      </c>
      <c r="U4556" t="s">
        <v>11650</v>
      </c>
      <c r="V4556" t="s">
        <v>11650</v>
      </c>
      <c r="W4556" t="s">
        <v>16152</v>
      </c>
      <c r="X4556">
        <v>8</v>
      </c>
      <c r="Y4556" t="s">
        <v>21821</v>
      </c>
      <c r="Z4556" t="s">
        <v>27618</v>
      </c>
      <c r="AA4556">
        <v>0.53697363478794613</v>
      </c>
      <c r="AB4556" t="str">
        <f>HYPERLINK("Melting_Curves/meltCurve_Q96H20_SNF8.pdf", "Melting_Curves/meltCurve_Q96H20_SNF8.pdf")</f>
        <v>Melting_Curves/meltCurve_Q96H20_SNF8.pdf</v>
      </c>
    </row>
    <row r="4557" spans="1:28" x14ac:dyDescent="0.25">
      <c r="A4557" t="s">
        <v>4561</v>
      </c>
      <c r="B4557">
        <v>0.99996721820229495</v>
      </c>
      <c r="C4557">
        <v>0.78464143257534602</v>
      </c>
      <c r="D4557">
        <v>0.64114105026667201</v>
      </c>
      <c r="E4557">
        <v>0.50268530957986901</v>
      </c>
      <c r="F4557">
        <v>0.30015619230691998</v>
      </c>
      <c r="G4557">
        <v>0.23103101400414799</v>
      </c>
      <c r="H4557">
        <v>0.17072670967051301</v>
      </c>
      <c r="I4557">
        <v>0.116661379339633</v>
      </c>
      <c r="J4557">
        <v>8.9376982038593802E-2</v>
      </c>
      <c r="K4557">
        <v>9.8376078763893704E-2</v>
      </c>
      <c r="L4557">
        <v>538.77874035376601</v>
      </c>
      <c r="M4557">
        <v>11.0927544968924</v>
      </c>
      <c r="N4557">
        <v>49.182846371551101</v>
      </c>
      <c r="O4557">
        <v>47.071977469429498</v>
      </c>
      <c r="P4557">
        <v>-5.5131017365283301E-2</v>
      </c>
      <c r="Q4557">
        <v>6.4514244496421194E-2</v>
      </c>
      <c r="R4557">
        <v>0.98649243459225899</v>
      </c>
      <c r="S4557" t="s">
        <v>10383</v>
      </c>
      <c r="T4557" t="s">
        <v>11650</v>
      </c>
      <c r="U4557" t="s">
        <v>11650</v>
      </c>
      <c r="V4557" t="s">
        <v>11650</v>
      </c>
      <c r="W4557" t="s">
        <v>16153</v>
      </c>
      <c r="X4557">
        <v>6</v>
      </c>
      <c r="Y4557" t="s">
        <v>21822</v>
      </c>
      <c r="Z4557" t="s">
        <v>27619</v>
      </c>
      <c r="AA4557">
        <v>0.37201222939941858</v>
      </c>
      <c r="AB4557" t="str">
        <f>HYPERLINK("Melting_Curves/meltCurve_Q96H79_ZC3HAV1L.pdf", "Melting_Curves/meltCurve_Q96H79_ZC3HAV1L.pdf")</f>
        <v>Melting_Curves/meltCurve_Q96H79_ZC3HAV1L.pdf</v>
      </c>
    </row>
    <row r="4558" spans="1:28" x14ac:dyDescent="0.25">
      <c r="A4558" t="s">
        <v>4562</v>
      </c>
      <c r="B4558">
        <v>0.99996721820229495</v>
      </c>
      <c r="C4558">
        <v>0.840121149104753</v>
      </c>
      <c r="D4558">
        <v>0.83065025970904305</v>
      </c>
      <c r="E4558">
        <v>0.99218095230175496</v>
      </c>
      <c r="F4558">
        <v>1.27135485720662</v>
      </c>
      <c r="G4558">
        <v>1.4292221420940201</v>
      </c>
      <c r="H4558">
        <v>1.1829270485208201</v>
      </c>
      <c r="I4558">
        <v>1.27855008339399</v>
      </c>
      <c r="J4558">
        <v>0.97311895946096005</v>
      </c>
      <c r="K4558">
        <v>0.92797530070194401</v>
      </c>
      <c r="L4558">
        <v>12802.7568439606</v>
      </c>
      <c r="M4558">
        <v>250</v>
      </c>
      <c r="O4558">
        <v>51.207732776295501</v>
      </c>
      <c r="P4558">
        <v>0.21626508943129999</v>
      </c>
      <c r="Q4558">
        <v>1.1771911789726599</v>
      </c>
      <c r="R4558">
        <v>0.360374852730246</v>
      </c>
      <c r="S4558" t="s">
        <v>10384</v>
      </c>
      <c r="T4558" t="s">
        <v>11650</v>
      </c>
      <c r="U4558" t="s">
        <v>11650</v>
      </c>
      <c r="V4558" t="s">
        <v>11650</v>
      </c>
      <c r="W4558" t="s">
        <v>16154</v>
      </c>
      <c r="X4558">
        <v>2</v>
      </c>
      <c r="Y4558" t="s">
        <v>21823</v>
      </c>
      <c r="Z4558" t="s">
        <v>27620</v>
      </c>
      <c r="AA4558">
        <v>1.1109587487201089</v>
      </c>
      <c r="AB4558" t="str">
        <f>HYPERLINK("Melting_Curves/meltCurve_Q96HA4_4_C1orf159.pdf", "Melting_Curves/meltCurve_Q96HA4_4_C1orf159.pdf")</f>
        <v>Melting_Curves/meltCurve_Q96HA4_4_C1orf159.pdf</v>
      </c>
    </row>
    <row r="4559" spans="1:28" x14ac:dyDescent="0.25">
      <c r="A4559" t="s">
        <v>4563</v>
      </c>
      <c r="B4559">
        <v>0.99996721820229495</v>
      </c>
      <c r="C4559">
        <v>1.0062033137292901</v>
      </c>
      <c r="D4559">
        <v>0.86698246056994699</v>
      </c>
      <c r="E4559">
        <v>0.70973260153557804</v>
      </c>
      <c r="F4559">
        <v>0.53443327550147901</v>
      </c>
      <c r="G4559">
        <v>0.46190225068771101</v>
      </c>
      <c r="H4559">
        <v>0.30170050228175799</v>
      </c>
      <c r="I4559">
        <v>0.27546304707803898</v>
      </c>
      <c r="J4559">
        <v>0.247009237350477</v>
      </c>
      <c r="K4559">
        <v>0.17548809399010301</v>
      </c>
      <c r="L4559">
        <v>622.76311636696403</v>
      </c>
      <c r="M4559">
        <v>11.7871409624446</v>
      </c>
      <c r="N4559">
        <v>54.719796187893301</v>
      </c>
      <c r="O4559">
        <v>51.382202620898198</v>
      </c>
      <c r="P4559">
        <v>-4.7790377152995597E-2</v>
      </c>
      <c r="Q4559">
        <v>0.16690910012913501</v>
      </c>
      <c r="R4559">
        <v>0.98957502119914398</v>
      </c>
      <c r="S4559" t="s">
        <v>10385</v>
      </c>
      <c r="T4559" t="s">
        <v>11650</v>
      </c>
      <c r="U4559" t="s">
        <v>11650</v>
      </c>
      <c r="V4559" t="s">
        <v>11650</v>
      </c>
      <c r="W4559" t="s">
        <v>16155</v>
      </c>
      <c r="X4559">
        <v>24</v>
      </c>
      <c r="Y4559" t="s">
        <v>21824</v>
      </c>
      <c r="Z4559" t="s">
        <v>27621</v>
      </c>
      <c r="AA4559">
        <v>0.54782578272586613</v>
      </c>
      <c r="AB4559" t="str">
        <f>HYPERLINK("Melting_Curves/meltCurve_Q96HC4_PDLIM5.pdf", "Melting_Curves/meltCurve_Q96HC4_PDLIM5.pdf")</f>
        <v>Melting_Curves/meltCurve_Q96HC4_PDLIM5.pdf</v>
      </c>
    </row>
    <row r="4560" spans="1:28" x14ac:dyDescent="0.25">
      <c r="A4560" t="s">
        <v>4564</v>
      </c>
      <c r="B4560">
        <v>0.99996721820229495</v>
      </c>
      <c r="C4560">
        <v>0.92522287120656099</v>
      </c>
      <c r="D4560">
        <v>0.98954462628900897</v>
      </c>
      <c r="E4560">
        <v>1.0768070934318399</v>
      </c>
      <c r="F4560">
        <v>1.4635812227790601</v>
      </c>
      <c r="G4560">
        <v>1.64183850203652</v>
      </c>
      <c r="H4560">
        <v>1.1814570804750899</v>
      </c>
      <c r="I4560">
        <v>0.82488035850272101</v>
      </c>
      <c r="J4560">
        <v>0.57792300316177703</v>
      </c>
      <c r="K4560">
        <v>0.445080220157548</v>
      </c>
      <c r="L4560">
        <v>3890.11330401949</v>
      </c>
      <c r="M4560">
        <v>59.6905722902533</v>
      </c>
      <c r="N4560">
        <v>67.963802673989207</v>
      </c>
      <c r="O4560">
        <v>65.0982950484822</v>
      </c>
      <c r="P4560">
        <v>-0.124481623050612</v>
      </c>
      <c r="Q4560">
        <v>0.45696366566640301</v>
      </c>
      <c r="R4560">
        <v>0.42874493926357599</v>
      </c>
      <c r="S4560" t="s">
        <v>10386</v>
      </c>
      <c r="T4560" t="s">
        <v>11650</v>
      </c>
      <c r="U4560" t="s">
        <v>11650</v>
      </c>
      <c r="V4560" t="s">
        <v>11650</v>
      </c>
      <c r="W4560" t="s">
        <v>16156</v>
      </c>
      <c r="X4560">
        <v>17</v>
      </c>
      <c r="Y4560" t="s">
        <v>21825</v>
      </c>
      <c r="Z4560" t="s">
        <v>27622</v>
      </c>
      <c r="AA4560">
        <v>0.91330614614936745</v>
      </c>
      <c r="AB4560" t="str">
        <f>HYPERLINK("Melting_Curves/meltCurve_Q96HD1_CRELD1.pdf", "Melting_Curves/meltCurve_Q96HD1_CRELD1.pdf")</f>
        <v>Melting_Curves/meltCurve_Q96HD1_CRELD1.pdf</v>
      </c>
    </row>
    <row r="4561" spans="1:28" x14ac:dyDescent="0.25">
      <c r="A4561" t="s">
        <v>4565</v>
      </c>
      <c r="B4561">
        <v>0.99996721820229495</v>
      </c>
      <c r="C4561">
        <v>1.1691201490576399</v>
      </c>
      <c r="D4561">
        <v>1.1177874075018801</v>
      </c>
      <c r="E4561">
        <v>1.0283224019269199</v>
      </c>
      <c r="F4561">
        <v>0.72826842175637196</v>
      </c>
      <c r="G4561">
        <v>0.32518186576146801</v>
      </c>
      <c r="H4561">
        <v>0.16762374745794401</v>
      </c>
      <c r="I4561">
        <v>9.2770740833819407E-2</v>
      </c>
      <c r="J4561">
        <v>5.7988393620189302E-2</v>
      </c>
      <c r="K4561">
        <v>5.6860072864751601E-2</v>
      </c>
      <c r="L4561">
        <v>1581.7650831492101</v>
      </c>
      <c r="M4561">
        <v>28.757681796663501</v>
      </c>
      <c r="N4561">
        <v>55.310825892096503</v>
      </c>
      <c r="O4561">
        <v>54.739306424817897</v>
      </c>
      <c r="P4561">
        <v>-0.121634270081853</v>
      </c>
      <c r="Q4561">
        <v>7.3899691969380496E-2</v>
      </c>
      <c r="R4561">
        <v>0.97397830694014598</v>
      </c>
      <c r="S4561" t="s">
        <v>10387</v>
      </c>
      <c r="T4561" t="s">
        <v>11650</v>
      </c>
      <c r="U4561" t="s">
        <v>11650</v>
      </c>
      <c r="V4561" t="s">
        <v>11650</v>
      </c>
      <c r="W4561" t="s">
        <v>16157</v>
      </c>
      <c r="X4561">
        <v>26</v>
      </c>
      <c r="Y4561" t="s">
        <v>21826</v>
      </c>
      <c r="Z4561" t="s">
        <v>27623</v>
      </c>
      <c r="AA4561">
        <v>0.54369948651703415</v>
      </c>
      <c r="AB4561" t="str">
        <f>HYPERLINK("Melting_Curves/meltCurve_Q96HE7_ERO1L.pdf", "Melting_Curves/meltCurve_Q96HE7_ERO1L.pdf")</f>
        <v>Melting_Curves/meltCurve_Q96HE7_ERO1L.pdf</v>
      </c>
    </row>
    <row r="4562" spans="1:28" x14ac:dyDescent="0.25">
      <c r="A4562" t="s">
        <v>4566</v>
      </c>
      <c r="B4562">
        <v>0.99996721820229495</v>
      </c>
      <c r="C4562">
        <v>1.27228767355633</v>
      </c>
      <c r="D4562">
        <v>1.35083967094716</v>
      </c>
      <c r="E4562">
        <v>1.5241689361667099</v>
      </c>
      <c r="F4562">
        <v>2.53743867795753</v>
      </c>
      <c r="G4562">
        <v>2.25447910097366</v>
      </c>
      <c r="H4562">
        <v>1.09117829466189</v>
      </c>
      <c r="I4562">
        <v>0.29340387987663902</v>
      </c>
      <c r="J4562">
        <v>0.12309454994506901</v>
      </c>
      <c r="K4562">
        <v>9.9394231805624303E-2</v>
      </c>
      <c r="L4562">
        <v>15000</v>
      </c>
      <c r="M4562">
        <v>235.73036930720301</v>
      </c>
      <c r="N4562">
        <v>63.700026540644899</v>
      </c>
      <c r="O4562">
        <v>63.6274441145137</v>
      </c>
      <c r="P4562">
        <v>-0.82318683353961797</v>
      </c>
      <c r="Q4562">
        <v>0.111234203334637</v>
      </c>
      <c r="R4562">
        <v>0.29401778253682298</v>
      </c>
      <c r="S4562" t="s">
        <v>10388</v>
      </c>
      <c r="T4562" t="s">
        <v>11650</v>
      </c>
      <c r="U4562" t="s">
        <v>11650</v>
      </c>
      <c r="V4562" t="s">
        <v>11650</v>
      </c>
      <c r="W4562" t="s">
        <v>16158</v>
      </c>
      <c r="X4562">
        <v>3</v>
      </c>
      <c r="Y4562" t="s">
        <v>21827</v>
      </c>
      <c r="Z4562" t="s">
        <v>27624</v>
      </c>
      <c r="AA4562">
        <v>0.81145692708987405</v>
      </c>
      <c r="AB4562" t="str">
        <f>HYPERLINK("Melting_Curves/meltCurve_Q96HJ9_C7orf55.pdf", "Melting_Curves/meltCurve_Q96HJ9_C7orf55.pdf")</f>
        <v>Melting_Curves/meltCurve_Q96HJ9_C7orf55.pdf</v>
      </c>
    </row>
    <row r="4563" spans="1:28" x14ac:dyDescent="0.25">
      <c r="A4563" t="s">
        <v>4567</v>
      </c>
      <c r="B4563">
        <v>0.99996721820229495</v>
      </c>
      <c r="C4563">
        <v>0.76682545207703101</v>
      </c>
      <c r="D4563">
        <v>0.70361337223421205</v>
      </c>
      <c r="E4563">
        <v>1.2765084602023999</v>
      </c>
      <c r="F4563">
        <v>1.5475033745195499</v>
      </c>
      <c r="G4563">
        <v>0.98904842219825495</v>
      </c>
      <c r="H4563">
        <v>1.3637629437755201</v>
      </c>
      <c r="I4563">
        <v>0.89098251793067496</v>
      </c>
      <c r="J4563">
        <v>0.22957648952467199</v>
      </c>
      <c r="K4563">
        <v>0.122283089387411</v>
      </c>
      <c r="L4563">
        <v>5885.8068026565797</v>
      </c>
      <c r="M4563">
        <v>89.898328896281399</v>
      </c>
      <c r="N4563">
        <v>65.6801164614877</v>
      </c>
      <c r="O4563">
        <v>65.439415074988005</v>
      </c>
      <c r="P4563">
        <v>-0.30084372553727001</v>
      </c>
      <c r="Q4563">
        <v>0.12403076922237199</v>
      </c>
      <c r="R4563">
        <v>0.65751836852043499</v>
      </c>
      <c r="S4563" t="s">
        <v>10389</v>
      </c>
      <c r="T4563" t="s">
        <v>11650</v>
      </c>
      <c r="U4563" t="s">
        <v>11650</v>
      </c>
      <c r="V4563" t="s">
        <v>11650</v>
      </c>
      <c r="W4563" t="s">
        <v>16159</v>
      </c>
      <c r="X4563">
        <v>19</v>
      </c>
      <c r="Y4563" t="s">
        <v>21828</v>
      </c>
      <c r="Z4563" t="s">
        <v>27625</v>
      </c>
      <c r="AA4563">
        <v>0.86848705144375582</v>
      </c>
      <c r="AB4563" t="str">
        <f>HYPERLINK("Melting_Curves/meltCurve_Q96HN2_2_AHCYL2.pdf", "Melting_Curves/meltCurve_Q96HN2_2_AHCYL2.pdf")</f>
        <v>Melting_Curves/meltCurve_Q96HN2_2_AHCYL2.pdf</v>
      </c>
    </row>
    <row r="4564" spans="1:28" x14ac:dyDescent="0.25">
      <c r="A4564" t="s">
        <v>4568</v>
      </c>
      <c r="B4564">
        <v>0.99996721820229495</v>
      </c>
      <c r="C4564">
        <v>1.0003446071604201</v>
      </c>
      <c r="D4564">
        <v>0.88864301174134397</v>
      </c>
      <c r="E4564">
        <v>1.29686425572015</v>
      </c>
      <c r="F4564">
        <v>2.26165067907916</v>
      </c>
      <c r="G4564">
        <v>2.71501148953937</v>
      </c>
      <c r="H4564">
        <v>2.2106576351096501</v>
      </c>
      <c r="I4564">
        <v>2.2848692973403799</v>
      </c>
      <c r="J4564">
        <v>1.6081849320088</v>
      </c>
      <c r="K4564">
        <v>0.90203518106703395</v>
      </c>
      <c r="L4564">
        <v>12481.029355929901</v>
      </c>
      <c r="M4564">
        <v>250</v>
      </c>
      <c r="O4564">
        <v>49.920940554265499</v>
      </c>
      <c r="P4564">
        <v>0.62599003261426001</v>
      </c>
      <c r="Q4564">
        <v>1.5</v>
      </c>
      <c r="R4564">
        <v>0.17707458195869399</v>
      </c>
      <c r="S4564" t="s">
        <v>10390</v>
      </c>
      <c r="T4564" t="s">
        <v>11650</v>
      </c>
      <c r="U4564" t="s">
        <v>11650</v>
      </c>
      <c r="V4564" t="s">
        <v>11650</v>
      </c>
      <c r="W4564" t="s">
        <v>16160</v>
      </c>
      <c r="X4564">
        <v>2</v>
      </c>
      <c r="Y4564" t="s">
        <v>21829</v>
      </c>
      <c r="Z4564" t="s">
        <v>27626</v>
      </c>
      <c r="AA4564">
        <v>1.3345542349134629</v>
      </c>
      <c r="AB4564" t="str">
        <f>HYPERLINK("Melting_Curves/meltCurve_Q96HQ2_2_CDKN2AIPNL.pdf", "Melting_Curves/meltCurve_Q96HQ2_2_CDKN2AIPNL.pdf")</f>
        <v>Melting_Curves/meltCurve_Q96HQ2_2_CDKN2AIPNL.pdf</v>
      </c>
    </row>
    <row r="4565" spans="1:28" x14ac:dyDescent="0.25">
      <c r="A4565" t="s">
        <v>4569</v>
      </c>
      <c r="B4565">
        <v>0.99996721820229495</v>
      </c>
      <c r="C4565">
        <v>0.52310978924398299</v>
      </c>
      <c r="D4565">
        <v>0.446754465686522</v>
      </c>
      <c r="E4565">
        <v>0.84190756041951897</v>
      </c>
      <c r="F4565">
        <v>0.812498292030293</v>
      </c>
      <c r="G4565">
        <v>0.48873593277621902</v>
      </c>
      <c r="H4565">
        <v>0.76594076548907897</v>
      </c>
      <c r="I4565">
        <v>0.827015711622064</v>
      </c>
      <c r="J4565">
        <v>0.54183691819928503</v>
      </c>
      <c r="K4565">
        <v>0.77710472661112595</v>
      </c>
      <c r="L4565">
        <v>10241.887353210701</v>
      </c>
      <c r="M4565">
        <v>250</v>
      </c>
      <c r="O4565">
        <v>40.9649458028724</v>
      </c>
      <c r="P4565">
        <v>-0.50434342413561795</v>
      </c>
      <c r="Q4565">
        <v>0.66943372839983994</v>
      </c>
      <c r="R4565">
        <v>0.31292871310341103</v>
      </c>
      <c r="S4565" t="s">
        <v>10391</v>
      </c>
      <c r="T4565" t="s">
        <v>11650</v>
      </c>
      <c r="U4565" t="s">
        <v>11650</v>
      </c>
      <c r="V4565" t="s">
        <v>11650</v>
      </c>
      <c r="W4565" t="s">
        <v>16161</v>
      </c>
      <c r="X4565">
        <v>4</v>
      </c>
      <c r="Y4565" t="s">
        <v>21830</v>
      </c>
      <c r="Z4565" t="s">
        <v>27627</v>
      </c>
      <c r="AA4565">
        <v>0.68012283600808998</v>
      </c>
      <c r="AB4565" t="str">
        <f>HYPERLINK("Melting_Curves/meltCurve_Q96HR9_REEP6.pdf", "Melting_Curves/meltCurve_Q96HR9_REEP6.pdf")</f>
        <v>Melting_Curves/meltCurve_Q96HR9_REEP6.pdf</v>
      </c>
    </row>
    <row r="4566" spans="1:28" x14ac:dyDescent="0.25">
      <c r="A4566" t="s">
        <v>4570</v>
      </c>
      <c r="B4566">
        <v>0.99996721820229495</v>
      </c>
      <c r="C4566">
        <v>0.90079367594832005</v>
      </c>
      <c r="D4566">
        <v>0.96957088657118695</v>
      </c>
      <c r="E4566">
        <v>1.3302714922038901</v>
      </c>
      <c r="F4566">
        <v>1.96570520194396</v>
      </c>
      <c r="G4566">
        <v>3.2249564812331899</v>
      </c>
      <c r="H4566">
        <v>2.3651904259442502</v>
      </c>
      <c r="I4566">
        <v>0.71244279718779102</v>
      </c>
      <c r="J4566">
        <v>0.161844677931817</v>
      </c>
      <c r="K4566">
        <v>0.120987110273927</v>
      </c>
      <c r="L4566">
        <v>15000</v>
      </c>
      <c r="M4566">
        <v>233.688753267229</v>
      </c>
      <c r="N4566">
        <v>64.279380967653907</v>
      </c>
      <c r="O4566">
        <v>64.183239762353296</v>
      </c>
      <c r="P4566">
        <v>-0.78154235296185204</v>
      </c>
      <c r="Q4566">
        <v>0.141389220041823</v>
      </c>
      <c r="R4566">
        <v>9.2279509241559601E-2</v>
      </c>
      <c r="S4566" t="s">
        <v>10392</v>
      </c>
      <c r="T4566" t="s">
        <v>11650</v>
      </c>
      <c r="U4566" t="s">
        <v>11650</v>
      </c>
      <c r="V4566" t="s">
        <v>11650</v>
      </c>
      <c r="W4566" t="s">
        <v>16162</v>
      </c>
      <c r="X4566">
        <v>2</v>
      </c>
      <c r="Y4566" t="s">
        <v>21831</v>
      </c>
      <c r="Z4566" t="s">
        <v>27628</v>
      </c>
      <c r="AA4566">
        <v>0.83376749270288641</v>
      </c>
      <c r="AB4566" t="str">
        <f>HYPERLINK("Melting_Curves/meltCurve_Q96HS1_PGAM5.pdf", "Melting_Curves/meltCurve_Q96HS1_PGAM5.pdf")</f>
        <v>Melting_Curves/meltCurve_Q96HS1_PGAM5.pdf</v>
      </c>
    </row>
    <row r="4567" spans="1:28" x14ac:dyDescent="0.25">
      <c r="A4567" t="s">
        <v>4571</v>
      </c>
      <c r="B4567">
        <v>0.99996721820229495</v>
      </c>
      <c r="C4567">
        <v>0.85785816294818096</v>
      </c>
      <c r="D4567">
        <v>0.92700083455362503</v>
      </c>
      <c r="E4567">
        <v>1.1829756469691299</v>
      </c>
      <c r="F4567">
        <v>0.96532822335732404</v>
      </c>
      <c r="G4567">
        <v>0.73074469245977602</v>
      </c>
      <c r="H4567">
        <v>0.50709135399139904</v>
      </c>
      <c r="I4567">
        <v>0.33311891653182502</v>
      </c>
      <c r="J4567">
        <v>0.19553098798443799</v>
      </c>
      <c r="K4567">
        <v>0.174244276284412</v>
      </c>
      <c r="L4567">
        <v>1277.13242620459</v>
      </c>
      <c r="M4567">
        <v>21.311319786770198</v>
      </c>
      <c r="N4567">
        <v>60.824404295810503</v>
      </c>
      <c r="O4567">
        <v>59.407257326257302</v>
      </c>
      <c r="P4567">
        <v>-7.7592003012586702E-2</v>
      </c>
      <c r="Q4567">
        <v>0.13484280558246001</v>
      </c>
      <c r="R4567">
        <v>0.94220728175568802</v>
      </c>
      <c r="S4567" t="s">
        <v>10393</v>
      </c>
      <c r="T4567" t="s">
        <v>11650</v>
      </c>
      <c r="U4567" t="s">
        <v>11650</v>
      </c>
      <c r="V4567" t="s">
        <v>11650</v>
      </c>
      <c r="W4567" t="s">
        <v>16163</v>
      </c>
      <c r="X4567">
        <v>1</v>
      </c>
      <c r="Y4567" t="s">
        <v>21832</v>
      </c>
      <c r="Z4567" t="s">
        <v>27629</v>
      </c>
      <c r="AA4567">
        <v>0.71673442872515125</v>
      </c>
      <c r="AB4567" t="str">
        <f>HYPERLINK("Melting_Curves/meltCurve_Q96HW7_2_INTS4.pdf", "Melting_Curves/meltCurve_Q96HW7_2_INTS4.pdf")</f>
        <v>Melting_Curves/meltCurve_Q96HW7_2_INTS4.pdf</v>
      </c>
    </row>
    <row r="4568" spans="1:28" x14ac:dyDescent="0.25">
      <c r="A4568" t="s">
        <v>4572</v>
      </c>
      <c r="B4568">
        <v>0.99996721820229495</v>
      </c>
      <c r="C4568">
        <v>0.820534996443959</v>
      </c>
      <c r="D4568">
        <v>0.90869931844391305</v>
      </c>
      <c r="E4568">
        <v>1.17950171454388</v>
      </c>
      <c r="F4568">
        <v>1.87497071066725</v>
      </c>
      <c r="G4568">
        <v>1.7473485940545499</v>
      </c>
      <c r="H4568">
        <v>1.5845165701751001</v>
      </c>
      <c r="I4568">
        <v>1.1710214068803899</v>
      </c>
      <c r="J4568">
        <v>0.90075065680833999</v>
      </c>
      <c r="K4568">
        <v>0.91431487210544904</v>
      </c>
      <c r="L4568">
        <v>12501.773362317101</v>
      </c>
      <c r="M4568">
        <v>250</v>
      </c>
      <c r="O4568">
        <v>50.00389334338</v>
      </c>
      <c r="P4568">
        <v>0.456823181422639</v>
      </c>
      <c r="Q4568">
        <v>1.36548700170197</v>
      </c>
      <c r="R4568">
        <v>0.29183860143864998</v>
      </c>
      <c r="S4568" t="s">
        <v>10394</v>
      </c>
      <c r="T4568" t="s">
        <v>11650</v>
      </c>
      <c r="U4568" t="s">
        <v>11650</v>
      </c>
      <c r="V4568" t="s">
        <v>11650</v>
      </c>
      <c r="W4568" t="s">
        <v>16164</v>
      </c>
      <c r="X4568">
        <v>12</v>
      </c>
      <c r="Y4568" t="s">
        <v>21833</v>
      </c>
      <c r="Z4568" t="s">
        <v>27630</v>
      </c>
      <c r="AA4568">
        <v>1.243539506601256</v>
      </c>
      <c r="AB4568" t="str">
        <f>HYPERLINK("Melting_Curves/meltCurve_Q96HY6_DDRGK1.pdf", "Melting_Curves/meltCurve_Q96HY6_DDRGK1.pdf")</f>
        <v>Melting_Curves/meltCurve_Q96HY6_DDRGK1.pdf</v>
      </c>
    </row>
    <row r="4569" spans="1:28" x14ac:dyDescent="0.25">
      <c r="A4569" t="s">
        <v>4573</v>
      </c>
      <c r="B4569">
        <v>0.99996721820229495</v>
      </c>
      <c r="C4569">
        <v>1.12473526844567</v>
      </c>
      <c r="D4569">
        <v>1.1982226679376999</v>
      </c>
      <c r="E4569">
        <v>1.63310100961451</v>
      </c>
      <c r="F4569">
        <v>1.1158089343504201</v>
      </c>
      <c r="G4569">
        <v>1.07529073961644</v>
      </c>
      <c r="H4569">
        <v>0.71101447940567697</v>
      </c>
      <c r="I4569">
        <v>0.52178282031270495</v>
      </c>
      <c r="J4569">
        <v>0.38875624257178998</v>
      </c>
      <c r="K4569">
        <v>0.35783254158275601</v>
      </c>
      <c r="L4569">
        <v>2570.74320036373</v>
      </c>
      <c r="M4569">
        <v>41.742241663488898</v>
      </c>
      <c r="N4569">
        <v>63.669807495788099</v>
      </c>
      <c r="O4569">
        <v>61.445286031426797</v>
      </c>
      <c r="P4569">
        <v>-0.10658112941731999</v>
      </c>
      <c r="Q4569">
        <v>0.37244415887096999</v>
      </c>
      <c r="R4569">
        <v>0.677889849485388</v>
      </c>
      <c r="S4569" t="s">
        <v>10395</v>
      </c>
      <c r="T4569" t="s">
        <v>11650</v>
      </c>
      <c r="U4569" t="s">
        <v>11650</v>
      </c>
      <c r="V4569" t="s">
        <v>11650</v>
      </c>
      <c r="W4569" t="s">
        <v>16165</v>
      </c>
      <c r="X4569">
        <v>3</v>
      </c>
      <c r="Y4569" t="s">
        <v>21834</v>
      </c>
      <c r="Z4569" t="s">
        <v>27631</v>
      </c>
      <c r="AA4569">
        <v>0.82616749918086918</v>
      </c>
      <c r="AB4569" t="str">
        <f>HYPERLINK("Melting_Curves/meltCurve_Q96HY7_DHTKD1.pdf", "Melting_Curves/meltCurve_Q96HY7_DHTKD1.pdf")</f>
        <v>Melting_Curves/meltCurve_Q96HY7_DHTKD1.pdf</v>
      </c>
    </row>
    <row r="4570" spans="1:28" x14ac:dyDescent="0.25">
      <c r="A4570" t="s">
        <v>4574</v>
      </c>
      <c r="B4570">
        <v>0.99996721820229495</v>
      </c>
      <c r="C4570">
        <v>0.99184693521354705</v>
      </c>
      <c r="D4570">
        <v>1.0418936575329001</v>
      </c>
      <c r="E4570">
        <v>1.0866380360044099</v>
      </c>
      <c r="F4570">
        <v>1.25441825227947</v>
      </c>
      <c r="G4570">
        <v>1.1378582840320599</v>
      </c>
      <c r="H4570">
        <v>0.50475201290482297</v>
      </c>
      <c r="I4570">
        <v>0.26216375281972398</v>
      </c>
      <c r="J4570">
        <v>0.17633361306187101</v>
      </c>
      <c r="K4570">
        <v>0.15636665862078</v>
      </c>
      <c r="L4570">
        <v>5692.4515392820704</v>
      </c>
      <c r="M4570">
        <v>93.772073210075803</v>
      </c>
      <c r="N4570">
        <v>61.0277120329173</v>
      </c>
      <c r="O4570">
        <v>60.677601285183599</v>
      </c>
      <c r="P4570">
        <v>-0.31086485977571299</v>
      </c>
      <c r="Q4570">
        <v>0.19538811135263401</v>
      </c>
      <c r="R4570">
        <v>0.94179279787537695</v>
      </c>
      <c r="S4570" t="s">
        <v>10396</v>
      </c>
      <c r="T4570" t="s">
        <v>11650</v>
      </c>
      <c r="U4570" t="s">
        <v>11650</v>
      </c>
      <c r="V4570" t="s">
        <v>11650</v>
      </c>
      <c r="W4570" t="s">
        <v>16166</v>
      </c>
      <c r="X4570">
        <v>8</v>
      </c>
      <c r="Y4570" t="s">
        <v>21835</v>
      </c>
      <c r="Z4570" t="s">
        <v>27632</v>
      </c>
      <c r="AA4570">
        <v>0.75131953312271837</v>
      </c>
      <c r="AB4570" t="str">
        <f>HYPERLINK("Melting_Curves/meltCurve_Q96I15_SCLY.pdf", "Melting_Curves/meltCurve_Q96I15_SCLY.pdf")</f>
        <v>Melting_Curves/meltCurve_Q96I15_SCLY.pdf</v>
      </c>
    </row>
    <row r="4571" spans="1:28" x14ac:dyDescent="0.25">
      <c r="A4571" t="s">
        <v>4575</v>
      </c>
      <c r="B4571">
        <v>0.99996721820229495</v>
      </c>
      <c r="C4571">
        <v>0.90390794847848099</v>
      </c>
      <c r="D4571">
        <v>0.87168450230124905</v>
      </c>
      <c r="E4571">
        <v>0.64652268612297903</v>
      </c>
      <c r="F4571">
        <v>0.59608648707541101</v>
      </c>
      <c r="G4571">
        <v>0.52510476871341405</v>
      </c>
      <c r="H4571">
        <v>0.31854478551614901</v>
      </c>
      <c r="I4571">
        <v>0.248940149905201</v>
      </c>
      <c r="J4571">
        <v>0.20039088445726</v>
      </c>
      <c r="K4571">
        <v>0.14042777327416101</v>
      </c>
      <c r="L4571">
        <v>450.96953109326699</v>
      </c>
      <c r="M4571">
        <v>8.1026647533141105</v>
      </c>
      <c r="N4571">
        <v>55.656940620807497</v>
      </c>
      <c r="O4571">
        <v>52.574502963093799</v>
      </c>
      <c r="P4571">
        <v>-3.8571001276770003E-2</v>
      </c>
      <c r="Q4571">
        <v>0</v>
      </c>
      <c r="R4571">
        <v>0.98521792795159802</v>
      </c>
      <c r="S4571" t="s">
        <v>10397</v>
      </c>
      <c r="T4571" t="s">
        <v>11650</v>
      </c>
      <c r="U4571" t="s">
        <v>11650</v>
      </c>
      <c r="V4571" t="s">
        <v>11650</v>
      </c>
      <c r="W4571" t="s">
        <v>16167</v>
      </c>
      <c r="X4571">
        <v>15</v>
      </c>
      <c r="Y4571" t="s">
        <v>21836</v>
      </c>
      <c r="Z4571" t="s">
        <v>27633</v>
      </c>
      <c r="AA4571">
        <v>0.54436737079737652</v>
      </c>
      <c r="AB4571" t="str">
        <f>HYPERLINK("Melting_Curves/meltCurve_Q96I24_FUBP3.pdf", "Melting_Curves/meltCurve_Q96I24_FUBP3.pdf")</f>
        <v>Melting_Curves/meltCurve_Q96I24_FUBP3.pdf</v>
      </c>
    </row>
    <row r="4572" spans="1:28" x14ac:dyDescent="0.25">
      <c r="A4572" t="s">
        <v>4576</v>
      </c>
      <c r="B4572">
        <v>0.99996721820229495</v>
      </c>
      <c r="C4572">
        <v>1.0265278927111801</v>
      </c>
      <c r="D4572">
        <v>1.0327483792515</v>
      </c>
      <c r="E4572">
        <v>0.91203303422603998</v>
      </c>
      <c r="F4572">
        <v>0.78547705557909697</v>
      </c>
      <c r="G4572">
        <v>0.71483266498920195</v>
      </c>
      <c r="H4572">
        <v>0.40811076969190502</v>
      </c>
      <c r="I4572">
        <v>0.257852655197019</v>
      </c>
      <c r="J4572">
        <v>0.19410430237853701</v>
      </c>
      <c r="K4572">
        <v>0.14470406857071499</v>
      </c>
      <c r="L4572">
        <v>822.43425359182095</v>
      </c>
      <c r="M4572">
        <v>13.8574190526351</v>
      </c>
      <c r="N4572">
        <v>59.571901827557902</v>
      </c>
      <c r="O4572">
        <v>58.154745259941002</v>
      </c>
      <c r="P4572">
        <v>-5.8079153023413502E-2</v>
      </c>
      <c r="Q4572">
        <v>2.5182645725053299E-2</v>
      </c>
      <c r="R4572">
        <v>0.98897749083234998</v>
      </c>
      <c r="S4572" t="s">
        <v>10398</v>
      </c>
      <c r="T4572" t="s">
        <v>11650</v>
      </c>
      <c r="U4572" t="s">
        <v>11650</v>
      </c>
      <c r="V4572" t="s">
        <v>11650</v>
      </c>
      <c r="W4572" t="s">
        <v>16168</v>
      </c>
      <c r="X4572">
        <v>7</v>
      </c>
      <c r="Y4572" t="s">
        <v>21837</v>
      </c>
      <c r="Z4572" t="s">
        <v>27634</v>
      </c>
      <c r="AA4572">
        <v>0.66223348993151232</v>
      </c>
      <c r="AB4572" t="str">
        <f>HYPERLINK("Melting_Curves/meltCurve_Q96I25_RBM17.pdf", "Melting_Curves/meltCurve_Q96I25_RBM17.pdf")</f>
        <v>Melting_Curves/meltCurve_Q96I25_RBM17.pdf</v>
      </c>
    </row>
    <row r="4573" spans="1:28" x14ac:dyDescent="0.25">
      <c r="A4573" t="s">
        <v>4577</v>
      </c>
      <c r="B4573">
        <v>0.99996721820229495</v>
      </c>
      <c r="C4573">
        <v>0.65540903296263497</v>
      </c>
      <c r="D4573">
        <v>0.98408865177400295</v>
      </c>
      <c r="E4573">
        <v>1.10786183145163</v>
      </c>
      <c r="F4573">
        <v>1.9686093332910499</v>
      </c>
      <c r="G4573">
        <v>2.0658321597592502</v>
      </c>
      <c r="H4573">
        <v>1.9479496751457801</v>
      </c>
      <c r="I4573">
        <v>1.4796866905216499</v>
      </c>
      <c r="J4573">
        <v>0.990809233000156</v>
      </c>
      <c r="K4573">
        <v>0.86611210899744495</v>
      </c>
      <c r="L4573">
        <v>12564.534427492999</v>
      </c>
      <c r="M4573">
        <v>250</v>
      </c>
      <c r="O4573">
        <v>50.254925463590702</v>
      </c>
      <c r="P4573">
        <v>0.62182964547345498</v>
      </c>
      <c r="Q4573">
        <v>1.5</v>
      </c>
      <c r="R4573">
        <v>0.36925769822669702</v>
      </c>
      <c r="S4573" t="s">
        <v>10399</v>
      </c>
      <c r="T4573" t="s">
        <v>11650</v>
      </c>
      <c r="U4573" t="s">
        <v>11650</v>
      </c>
      <c r="V4573" t="s">
        <v>11650</v>
      </c>
      <c r="W4573" t="s">
        <v>16169</v>
      </c>
      <c r="X4573">
        <v>1</v>
      </c>
      <c r="Y4573" t="s">
        <v>21838</v>
      </c>
      <c r="Z4573" t="s">
        <v>27635</v>
      </c>
      <c r="AA4573">
        <v>1.328986937042387</v>
      </c>
      <c r="AB4573" t="str">
        <f>HYPERLINK("Melting_Curves/meltCurve_Q96I36_COX14.pdf", "Melting_Curves/meltCurve_Q96I36_COX14.pdf")</f>
        <v>Melting_Curves/meltCurve_Q96I36_COX14.pdf</v>
      </c>
    </row>
    <row r="4574" spans="1:28" x14ac:dyDescent="0.25">
      <c r="A4574" t="s">
        <v>4578</v>
      </c>
      <c r="B4574">
        <v>0.99996721820229495</v>
      </c>
      <c r="C4574">
        <v>1.0336586376146999</v>
      </c>
      <c r="D4574">
        <v>1.0371093791405801</v>
      </c>
      <c r="E4574">
        <v>1.08599660507206</v>
      </c>
      <c r="F4574">
        <v>1.2603216120776299</v>
      </c>
      <c r="G4574">
        <v>1.36702732073232</v>
      </c>
      <c r="H4574">
        <v>0.84640157414294703</v>
      </c>
      <c r="I4574">
        <v>0.49556577780981598</v>
      </c>
      <c r="J4574">
        <v>0.23245731863979999</v>
      </c>
      <c r="K4574">
        <v>0.12826372072275499</v>
      </c>
      <c r="L4574">
        <v>2870.6696760368</v>
      </c>
      <c r="M4574">
        <v>45.203121611363599</v>
      </c>
      <c r="N4574">
        <v>63.951600053477499</v>
      </c>
      <c r="O4574">
        <v>63.382090373018897</v>
      </c>
      <c r="P4574">
        <v>-0.15421055376499099</v>
      </c>
      <c r="Q4574">
        <v>0.13508851173321601</v>
      </c>
      <c r="R4574">
        <v>0.864420619975523</v>
      </c>
      <c r="S4574" t="s">
        <v>10400</v>
      </c>
      <c r="T4574" t="s">
        <v>11650</v>
      </c>
      <c r="U4574" t="s">
        <v>11650</v>
      </c>
      <c r="V4574" t="s">
        <v>11650</v>
      </c>
      <c r="W4574" t="s">
        <v>16170</v>
      </c>
      <c r="X4574">
        <v>9</v>
      </c>
      <c r="Y4574" t="s">
        <v>21839</v>
      </c>
      <c r="Z4574" t="s">
        <v>27636</v>
      </c>
      <c r="AA4574">
        <v>0.8149675526397071</v>
      </c>
      <c r="AB4574" t="str">
        <f>HYPERLINK("Melting_Curves/meltCurve_Q96I51_WBSCR16.pdf", "Melting_Curves/meltCurve_Q96I51_WBSCR16.pdf")</f>
        <v>Melting_Curves/meltCurve_Q96I51_WBSCR16.pdf</v>
      </c>
    </row>
    <row r="4575" spans="1:28" x14ac:dyDescent="0.25">
      <c r="A4575" t="s">
        <v>4579</v>
      </c>
      <c r="B4575">
        <v>0.99996721820229495</v>
      </c>
      <c r="C4575">
        <v>1.01667810239026</v>
      </c>
      <c r="D4575">
        <v>0.976186238623581</v>
      </c>
      <c r="E4575">
        <v>0.91901873085572106</v>
      </c>
      <c r="F4575">
        <v>0.36219790595572698</v>
      </c>
      <c r="G4575">
        <v>0.24602575591208301</v>
      </c>
      <c r="H4575">
        <v>0.145874703286588</v>
      </c>
      <c r="I4575">
        <v>9.92451027365574E-2</v>
      </c>
      <c r="J4575">
        <v>7.4771223226927599E-2</v>
      </c>
      <c r="K4575">
        <v>6.0736430311997797E-2</v>
      </c>
      <c r="L4575">
        <v>2603.0777926754899</v>
      </c>
      <c r="M4575">
        <v>49.998153856411101</v>
      </c>
      <c r="N4575">
        <v>52.353010943683898</v>
      </c>
      <c r="O4575">
        <v>51.980392950848803</v>
      </c>
      <c r="P4575">
        <v>-0.21142071998504999</v>
      </c>
      <c r="Q4575">
        <v>0.12078973304478</v>
      </c>
      <c r="R4575">
        <v>0.98729389223762298</v>
      </c>
      <c r="S4575" t="s">
        <v>10401</v>
      </c>
      <c r="T4575" t="s">
        <v>11650</v>
      </c>
      <c r="U4575" t="s">
        <v>11650</v>
      </c>
      <c r="V4575" t="s">
        <v>11650</v>
      </c>
      <c r="W4575" t="s">
        <v>16171</v>
      </c>
      <c r="X4575">
        <v>26</v>
      </c>
      <c r="Y4575" t="s">
        <v>21840</v>
      </c>
      <c r="Z4575" t="s">
        <v>27637</v>
      </c>
      <c r="AA4575">
        <v>0.47635333555574261</v>
      </c>
      <c r="AB4575" t="str">
        <f>HYPERLINK("Melting_Curves/meltCurve_Q96I99_SUCLG2.pdf", "Melting_Curves/meltCurve_Q96I99_SUCLG2.pdf")</f>
        <v>Melting_Curves/meltCurve_Q96I99_SUCLG2.pdf</v>
      </c>
    </row>
    <row r="4576" spans="1:28" x14ac:dyDescent="0.25">
      <c r="A4576" t="s">
        <v>4580</v>
      </c>
      <c r="B4576">
        <v>0.99996721820229495</v>
      </c>
      <c r="C4576">
        <v>0.89350363397056698</v>
      </c>
      <c r="D4576">
        <v>0.96709139956260703</v>
      </c>
      <c r="E4576">
        <v>1.0082502751400599</v>
      </c>
      <c r="F4576">
        <v>0.57708735243280895</v>
      </c>
      <c r="G4576">
        <v>0.35118539766832002</v>
      </c>
      <c r="H4576">
        <v>0.17858861191377101</v>
      </c>
      <c r="I4576">
        <v>0.141313722788493</v>
      </c>
      <c r="J4576">
        <v>0.12664686921739499</v>
      </c>
      <c r="K4576">
        <v>8.5678637881887704E-2</v>
      </c>
      <c r="L4576">
        <v>1358.59592788482</v>
      </c>
      <c r="M4576">
        <v>25.165484886439099</v>
      </c>
      <c r="N4576">
        <v>54.578082944074403</v>
      </c>
      <c r="O4576">
        <v>53.6490258098844</v>
      </c>
      <c r="P4576">
        <v>-0.10327184497451</v>
      </c>
      <c r="Q4576">
        <v>0.11937116324376799</v>
      </c>
      <c r="R4576">
        <v>0.97567741934694696</v>
      </c>
      <c r="S4576" t="s">
        <v>10402</v>
      </c>
      <c r="T4576" t="s">
        <v>11650</v>
      </c>
      <c r="U4576" t="s">
        <v>11650</v>
      </c>
      <c r="V4576" t="s">
        <v>11650</v>
      </c>
      <c r="W4576" t="s">
        <v>16172</v>
      </c>
      <c r="X4576">
        <v>5</v>
      </c>
      <c r="Y4576" t="s">
        <v>21841</v>
      </c>
      <c r="Z4576" t="s">
        <v>27638</v>
      </c>
      <c r="AA4576">
        <v>0.53798569237721272</v>
      </c>
      <c r="AB4576" t="str">
        <f>HYPERLINK("Melting_Curves/meltCurve_Q96IG2_FBXL20.pdf", "Melting_Curves/meltCurve_Q96IG2_FBXL20.pdf")</f>
        <v>Melting_Curves/meltCurve_Q96IG2_FBXL20.pdf</v>
      </c>
    </row>
    <row r="4577" spans="1:28" x14ac:dyDescent="0.25">
      <c r="A4577" t="s">
        <v>4581</v>
      </c>
      <c r="B4577">
        <v>0.99996721820229495</v>
      </c>
      <c r="C4577">
        <v>0.90259391276077305</v>
      </c>
      <c r="D4577">
        <v>0.91669188166200699</v>
      </c>
      <c r="E4577">
        <v>1.0389087755890101</v>
      </c>
      <c r="F4577">
        <v>1.02369969790048</v>
      </c>
      <c r="G4577">
        <v>0.810509864740666</v>
      </c>
      <c r="H4577">
        <v>0.36063318906872899</v>
      </c>
      <c r="I4577">
        <v>0.16672127634924599</v>
      </c>
      <c r="J4577">
        <v>9.3813832642970496E-2</v>
      </c>
      <c r="K4577">
        <v>0.11724454218991499</v>
      </c>
      <c r="L4577">
        <v>2024.0578622564301</v>
      </c>
      <c r="M4577">
        <v>34.102038934077498</v>
      </c>
      <c r="N4577">
        <v>59.726852427575501</v>
      </c>
      <c r="O4577">
        <v>59.150006293746898</v>
      </c>
      <c r="P4577">
        <v>-0.13028183734447099</v>
      </c>
      <c r="Q4577">
        <v>9.6107899089312498E-2</v>
      </c>
      <c r="R4577">
        <v>0.98624662400134699</v>
      </c>
      <c r="S4577" t="s">
        <v>10403</v>
      </c>
      <c r="T4577" t="s">
        <v>11650</v>
      </c>
      <c r="U4577" t="s">
        <v>11650</v>
      </c>
      <c r="V4577" t="s">
        <v>11650</v>
      </c>
      <c r="W4577" t="s">
        <v>16173</v>
      </c>
      <c r="X4577">
        <v>11</v>
      </c>
      <c r="Y4577" t="s">
        <v>21842</v>
      </c>
      <c r="Z4577" t="s">
        <v>27639</v>
      </c>
      <c r="AA4577">
        <v>0.68389087751425071</v>
      </c>
      <c r="AB4577" t="str">
        <f>HYPERLINK("Melting_Curves/meltCurve_Q96IJ6_GMPPA.pdf", "Melting_Curves/meltCurve_Q96IJ6_GMPPA.pdf")</f>
        <v>Melting_Curves/meltCurve_Q96IJ6_GMPPA.pdf</v>
      </c>
    </row>
    <row r="4578" spans="1:28" x14ac:dyDescent="0.25">
      <c r="A4578" t="s">
        <v>4582</v>
      </c>
      <c r="B4578">
        <v>0.99996721820229495</v>
      </c>
      <c r="C4578">
        <v>0.87994795778292101</v>
      </c>
      <c r="D4578">
        <v>0.83999012193288802</v>
      </c>
      <c r="E4578">
        <v>0.73124277749595801</v>
      </c>
      <c r="F4578">
        <v>0.89480403638928496</v>
      </c>
      <c r="G4578">
        <v>0.72647529251968901</v>
      </c>
      <c r="H4578">
        <v>0.56939294373225802</v>
      </c>
      <c r="I4578">
        <v>0.77682393270087602</v>
      </c>
      <c r="J4578">
        <v>0.85413282468099905</v>
      </c>
      <c r="K4578">
        <v>0.404423448890538</v>
      </c>
      <c r="L4578">
        <v>201.66534145957601</v>
      </c>
      <c r="M4578">
        <v>2.4644773879136399</v>
      </c>
      <c r="O4578">
        <v>54.772733556059798</v>
      </c>
      <c r="P4578">
        <v>-1.18464465820333E-2</v>
      </c>
      <c r="Q4578">
        <v>0</v>
      </c>
      <c r="R4578">
        <v>0.46623981663728897</v>
      </c>
      <c r="S4578" t="s">
        <v>10404</v>
      </c>
      <c r="T4578" t="s">
        <v>11650</v>
      </c>
      <c r="U4578" t="s">
        <v>11650</v>
      </c>
      <c r="V4578" t="s">
        <v>11650</v>
      </c>
      <c r="W4578" t="s">
        <v>16174</v>
      </c>
      <c r="X4578">
        <v>8</v>
      </c>
      <c r="Y4578" t="s">
        <v>21843</v>
      </c>
      <c r="Z4578" t="s">
        <v>27640</v>
      </c>
      <c r="AA4578">
        <v>0.76838745572406175</v>
      </c>
      <c r="AB4578" t="str">
        <f>HYPERLINK("Melting_Curves/meltCurve_Q96IK1_BOD1.pdf", "Melting_Curves/meltCurve_Q96IK1_BOD1.pdf")</f>
        <v>Melting_Curves/meltCurve_Q96IK1_BOD1.pdf</v>
      </c>
    </row>
    <row r="4579" spans="1:28" x14ac:dyDescent="0.25">
      <c r="A4579" t="s">
        <v>4583</v>
      </c>
      <c r="B4579">
        <v>0.99996721820229495</v>
      </c>
      <c r="C4579">
        <v>0.94937099006360504</v>
      </c>
      <c r="D4579">
        <v>0.77097031100485003</v>
      </c>
      <c r="E4579">
        <v>0.63428287219674195</v>
      </c>
      <c r="F4579">
        <v>0.54018437246569295</v>
      </c>
      <c r="G4579">
        <v>0.35676333436381003</v>
      </c>
      <c r="H4579">
        <v>0.20224089151695601</v>
      </c>
      <c r="I4579">
        <v>0.152618828540315</v>
      </c>
      <c r="J4579">
        <v>0.10853359609230501</v>
      </c>
      <c r="K4579">
        <v>7.9780094350687697E-2</v>
      </c>
      <c r="L4579">
        <v>528.01754710943203</v>
      </c>
      <c r="M4579">
        <v>9.9313171663279096</v>
      </c>
      <c r="N4579">
        <v>53.166918993322</v>
      </c>
      <c r="O4579">
        <v>51.145986830464999</v>
      </c>
      <c r="P4579">
        <v>-4.85682097966528E-2</v>
      </c>
      <c r="Q4579">
        <v>0</v>
      </c>
      <c r="R4579">
        <v>0.99327389079810402</v>
      </c>
      <c r="S4579" t="s">
        <v>10405</v>
      </c>
      <c r="T4579" t="s">
        <v>11650</v>
      </c>
      <c r="U4579" t="s">
        <v>11650</v>
      </c>
      <c r="V4579" t="s">
        <v>11650</v>
      </c>
      <c r="W4579" t="s">
        <v>16175</v>
      </c>
      <c r="X4579">
        <v>7</v>
      </c>
      <c r="Y4579" t="s">
        <v>21844</v>
      </c>
      <c r="Z4579" t="s">
        <v>27641</v>
      </c>
      <c r="AA4579">
        <v>0.47265907462144952</v>
      </c>
      <c r="AB4579" t="str">
        <f>HYPERLINK("Melting_Curves/meltCurve_Q96IU4_ABHD14B.pdf", "Melting_Curves/meltCurve_Q96IU4_ABHD14B.pdf")</f>
        <v>Melting_Curves/meltCurve_Q96IU4_ABHD14B.pdf</v>
      </c>
    </row>
    <row r="4580" spans="1:28" x14ac:dyDescent="0.25">
      <c r="A4580" t="s">
        <v>4584</v>
      </c>
      <c r="B4580">
        <v>0.99996721820229495</v>
      </c>
      <c r="C4580">
        <v>1.03108356982201</v>
      </c>
      <c r="D4580">
        <v>0.85636223936369404</v>
      </c>
      <c r="E4580">
        <v>0.47198122360816103</v>
      </c>
      <c r="F4580">
        <v>0.52191160472872</v>
      </c>
      <c r="G4580">
        <v>0.46753090773435102</v>
      </c>
      <c r="H4580">
        <v>0.22731989778067799</v>
      </c>
      <c r="I4580">
        <v>0.187385523821301</v>
      </c>
      <c r="J4580">
        <v>0.12310971879625</v>
      </c>
      <c r="K4580">
        <v>8.3119315843327699E-2</v>
      </c>
      <c r="L4580">
        <v>529.38842949159505</v>
      </c>
      <c r="M4580">
        <v>10.022096555778299</v>
      </c>
      <c r="N4580">
        <v>53.219137589721001</v>
      </c>
      <c r="O4580">
        <v>50.848295547321896</v>
      </c>
      <c r="P4580">
        <v>-4.7522558353140502E-2</v>
      </c>
      <c r="Q4580">
        <v>3.6019577928145197E-2</v>
      </c>
      <c r="R4580">
        <v>0.94440912954330003</v>
      </c>
      <c r="S4580" t="s">
        <v>10406</v>
      </c>
      <c r="T4580" t="s">
        <v>11650</v>
      </c>
      <c r="U4580" t="s">
        <v>11650</v>
      </c>
      <c r="V4580" t="s">
        <v>11650</v>
      </c>
      <c r="W4580" t="s">
        <v>16176</v>
      </c>
      <c r="X4580">
        <v>7</v>
      </c>
      <c r="Y4580" t="s">
        <v>21845</v>
      </c>
      <c r="Z4580" t="s">
        <v>27642</v>
      </c>
      <c r="AA4580">
        <v>0.48159497200695228</v>
      </c>
      <c r="AB4580" t="str">
        <f>HYPERLINK("Melting_Curves/meltCurve_Q96IV0_2_NGLY1.pdf", "Melting_Curves/meltCurve_Q96IV0_2_NGLY1.pdf")</f>
        <v>Melting_Curves/meltCurve_Q96IV0_2_NGLY1.pdf</v>
      </c>
    </row>
    <row r="4581" spans="1:28" x14ac:dyDescent="0.25">
      <c r="A4581" t="s">
        <v>4585</v>
      </c>
      <c r="B4581">
        <v>0.99996721820229495</v>
      </c>
      <c r="C4581">
        <v>0.73757837276731297</v>
      </c>
      <c r="D4581">
        <v>0.89315928306875902</v>
      </c>
      <c r="E4581">
        <v>0.96277316884610897</v>
      </c>
      <c r="F4581">
        <v>1.0720083701871601</v>
      </c>
      <c r="G4581">
        <v>1.2486919974773001</v>
      </c>
      <c r="H4581">
        <v>0.93639809642151695</v>
      </c>
      <c r="I4581">
        <v>0.74458374550933204</v>
      </c>
      <c r="J4581">
        <v>0.62166682307257104</v>
      </c>
      <c r="K4581">
        <v>0.51904052546115798</v>
      </c>
      <c r="L4581">
        <v>2761.30064287505</v>
      </c>
      <c r="M4581">
        <v>43.215007556296797</v>
      </c>
      <c r="O4581">
        <v>63.760428446917203</v>
      </c>
      <c r="P4581">
        <v>-7.9280224617331294E-2</v>
      </c>
      <c r="Q4581">
        <v>0.53211316120086205</v>
      </c>
      <c r="R4581">
        <v>0.64879438019434099</v>
      </c>
      <c r="S4581" t="s">
        <v>10407</v>
      </c>
      <c r="T4581" t="s">
        <v>11650</v>
      </c>
      <c r="U4581" t="s">
        <v>11650</v>
      </c>
      <c r="V4581" t="s">
        <v>11650</v>
      </c>
      <c r="W4581" t="s">
        <v>16177</v>
      </c>
      <c r="X4581">
        <v>2</v>
      </c>
      <c r="Y4581" t="s">
        <v>21846</v>
      </c>
      <c r="Z4581" t="s">
        <v>27643</v>
      </c>
      <c r="AA4581">
        <v>0.90591476526288128</v>
      </c>
      <c r="AB4581" t="str">
        <f>HYPERLINK("Melting_Curves/meltCurve_Q96IX5_USMG5.pdf", "Melting_Curves/meltCurve_Q96IX5_USMG5.pdf")</f>
        <v>Melting_Curves/meltCurve_Q96IX5_USMG5.pdf</v>
      </c>
    </row>
    <row r="4582" spans="1:28" x14ac:dyDescent="0.25">
      <c r="A4582" t="s">
        <v>4586</v>
      </c>
      <c r="B4582">
        <v>0.99996721820229495</v>
      </c>
      <c r="C4582">
        <v>1.0674995073164699</v>
      </c>
      <c r="D4582">
        <v>1.0242385205729401</v>
      </c>
      <c r="E4582">
        <v>1.1760846716315501</v>
      </c>
      <c r="F4582">
        <v>1.6393627107889499</v>
      </c>
      <c r="G4582">
        <v>1.8425459421025301</v>
      </c>
      <c r="H4582">
        <v>1.41902417843243</v>
      </c>
      <c r="I4582">
        <v>1.21627912772647</v>
      </c>
      <c r="J4582">
        <v>1.1770882454429601</v>
      </c>
      <c r="K4582">
        <v>0.98749255574954697</v>
      </c>
      <c r="L4582">
        <v>12507.409765795001</v>
      </c>
      <c r="M4582">
        <v>250</v>
      </c>
      <c r="O4582">
        <v>50.026437510195102</v>
      </c>
      <c r="P4582">
        <v>0.47512221372746399</v>
      </c>
      <c r="Q4582">
        <v>1.3802987472183199</v>
      </c>
      <c r="R4582">
        <v>0.32785839784649701</v>
      </c>
      <c r="S4582" t="s">
        <v>10408</v>
      </c>
      <c r="T4582" t="s">
        <v>11650</v>
      </c>
      <c r="U4582" t="s">
        <v>11650</v>
      </c>
      <c r="V4582" t="s">
        <v>11650</v>
      </c>
      <c r="W4582" t="s">
        <v>16178</v>
      </c>
      <c r="X4582">
        <v>13</v>
      </c>
      <c r="Y4582" t="s">
        <v>21847</v>
      </c>
      <c r="Z4582" t="s">
        <v>27644</v>
      </c>
      <c r="AA4582">
        <v>1.253123384158225</v>
      </c>
      <c r="AB4582" t="str">
        <f>HYPERLINK("Melting_Curves/meltCurve_Q96IZ0_PAWR.pdf", "Melting_Curves/meltCurve_Q96IZ0_PAWR.pdf")</f>
        <v>Melting_Curves/meltCurve_Q96IZ0_PAWR.pdf</v>
      </c>
    </row>
    <row r="4583" spans="1:28" x14ac:dyDescent="0.25">
      <c r="A4583" t="s">
        <v>4587</v>
      </c>
      <c r="B4583">
        <v>0.99996721820229495</v>
      </c>
      <c r="C4583">
        <v>1.0067028160287199</v>
      </c>
      <c r="D4583">
        <v>0.92650073102062402</v>
      </c>
      <c r="E4583">
        <v>0.58008336295054996</v>
      </c>
      <c r="F4583">
        <v>0.42736033400582002</v>
      </c>
      <c r="G4583">
        <v>0.429557752678011</v>
      </c>
      <c r="H4583">
        <v>0.28573347903001201</v>
      </c>
      <c r="I4583">
        <v>0.17132329492023901</v>
      </c>
      <c r="J4583">
        <v>0.131700991711138</v>
      </c>
      <c r="K4583">
        <v>0.106087155051379</v>
      </c>
      <c r="L4583">
        <v>663.93861279845999</v>
      </c>
      <c r="M4583">
        <v>12.802679589235201</v>
      </c>
      <c r="N4583">
        <v>52.922982694717398</v>
      </c>
      <c r="O4583">
        <v>50.642957785763002</v>
      </c>
      <c r="P4583">
        <v>-5.6042101137895102E-2</v>
      </c>
      <c r="Q4583">
        <v>0.11343380874030599</v>
      </c>
      <c r="R4583">
        <v>0.96745546360497603</v>
      </c>
      <c r="S4583" t="s">
        <v>10409</v>
      </c>
      <c r="T4583" t="s">
        <v>11650</v>
      </c>
      <c r="U4583" t="s">
        <v>11650</v>
      </c>
      <c r="V4583" t="s">
        <v>11650</v>
      </c>
      <c r="W4583" t="s">
        <v>16179</v>
      </c>
      <c r="X4583">
        <v>10</v>
      </c>
      <c r="Y4583" t="s">
        <v>21848</v>
      </c>
      <c r="Z4583" t="s">
        <v>27645</v>
      </c>
      <c r="AA4583">
        <v>0.4890128938451101</v>
      </c>
      <c r="AB4583" t="str">
        <f>HYPERLINK("Melting_Curves/meltCurve_Q96J02_2_ITCH.pdf", "Melting_Curves/meltCurve_Q96J02_2_ITCH.pdf")</f>
        <v>Melting_Curves/meltCurve_Q96J02_2_ITCH.pdf</v>
      </c>
    </row>
    <row r="4584" spans="1:28" x14ac:dyDescent="0.25">
      <c r="A4584" t="s">
        <v>4588</v>
      </c>
      <c r="B4584">
        <v>0.99996721820229495</v>
      </c>
      <c r="C4584">
        <v>0.96961524970351898</v>
      </c>
      <c r="D4584">
        <v>1.04881909514313</v>
      </c>
      <c r="E4584">
        <v>1.2120360847498099</v>
      </c>
      <c r="F4584">
        <v>1.6313906060207699</v>
      </c>
      <c r="G4584">
        <v>1.7836766248322999</v>
      </c>
      <c r="H4584">
        <v>1.2042808272191099</v>
      </c>
      <c r="I4584">
        <v>0.84933949674324205</v>
      </c>
      <c r="J4584">
        <v>0.61960246376093198</v>
      </c>
      <c r="K4584">
        <v>0.64280671867308803</v>
      </c>
      <c r="L4584">
        <v>15000</v>
      </c>
      <c r="M4584">
        <v>234.00483903137601</v>
      </c>
      <c r="O4584">
        <v>64.096556597363801</v>
      </c>
      <c r="P4584">
        <v>-0.336607812726546</v>
      </c>
      <c r="Q4584">
        <v>0.63119734156719098</v>
      </c>
      <c r="R4584">
        <v>0.154950905632569</v>
      </c>
      <c r="S4584" t="s">
        <v>10410</v>
      </c>
      <c r="T4584" t="s">
        <v>11650</v>
      </c>
      <c r="U4584" t="s">
        <v>11650</v>
      </c>
      <c r="V4584" t="s">
        <v>11650</v>
      </c>
      <c r="W4584" t="s">
        <v>16180</v>
      </c>
      <c r="X4584">
        <v>15</v>
      </c>
      <c r="Y4584" t="s">
        <v>21849</v>
      </c>
      <c r="Z4584" t="s">
        <v>27646</v>
      </c>
      <c r="AA4584">
        <v>0.92753139235154836</v>
      </c>
      <c r="AB4584" t="str">
        <f>HYPERLINK("Melting_Curves/meltCurve_Q96J84_KIRREL.pdf", "Melting_Curves/meltCurve_Q96J84_KIRREL.pdf")</f>
        <v>Melting_Curves/meltCurve_Q96J84_KIRREL.pdf</v>
      </c>
    </row>
    <row r="4585" spans="1:28" x14ac:dyDescent="0.25">
      <c r="A4585" t="s">
        <v>4589</v>
      </c>
      <c r="B4585">
        <v>0.99996721820229495</v>
      </c>
      <c r="C4585">
        <v>1.00676375903947</v>
      </c>
      <c r="D4585">
        <v>1.09153593731854</v>
      </c>
      <c r="E4585">
        <v>1.1702640552333701</v>
      </c>
      <c r="F4585">
        <v>1.2718849903009199</v>
      </c>
      <c r="G4585">
        <v>0.90589813591804602</v>
      </c>
      <c r="H4585">
        <v>0.35275048591082397</v>
      </c>
      <c r="I4585">
        <v>0.20974548097710499</v>
      </c>
      <c r="J4585">
        <v>0.128896937389893</v>
      </c>
      <c r="K4585">
        <v>0.10600376879486</v>
      </c>
      <c r="L4585">
        <v>2800.63246419201</v>
      </c>
      <c r="M4585">
        <v>46.935842820408901</v>
      </c>
      <c r="N4585">
        <v>60.061568551296901</v>
      </c>
      <c r="O4585">
        <v>59.561360766222201</v>
      </c>
      <c r="P4585">
        <v>-0.171004641323279</v>
      </c>
      <c r="Q4585">
        <v>0.1319846682661</v>
      </c>
      <c r="R4585">
        <v>0.94117181090558399</v>
      </c>
      <c r="S4585" t="s">
        <v>10411</v>
      </c>
      <c r="T4585" t="s">
        <v>11650</v>
      </c>
      <c r="U4585" t="s">
        <v>11650</v>
      </c>
      <c r="V4585" t="s">
        <v>11650</v>
      </c>
      <c r="W4585" t="s">
        <v>16181</v>
      </c>
      <c r="X4585">
        <v>8</v>
      </c>
      <c r="Y4585" t="s">
        <v>21850</v>
      </c>
      <c r="Z4585" t="s">
        <v>27647</v>
      </c>
      <c r="AA4585">
        <v>0.70363767443525327</v>
      </c>
      <c r="AB4585" t="str">
        <f>HYPERLINK("Melting_Curves/meltCurve_Q96JA1_LRIG1.pdf", "Melting_Curves/meltCurve_Q96JA1_LRIG1.pdf")</f>
        <v>Melting_Curves/meltCurve_Q96JA1_LRIG1.pdf</v>
      </c>
    </row>
    <row r="4586" spans="1:28" x14ac:dyDescent="0.25">
      <c r="A4586" t="s">
        <v>4590</v>
      </c>
      <c r="B4586">
        <v>0.99996721820229495</v>
      </c>
      <c r="C4586">
        <v>0.93307695123840995</v>
      </c>
      <c r="D4586">
        <v>0.995698671238058</v>
      </c>
      <c r="E4586">
        <v>0.91777425037185001</v>
      </c>
      <c r="F4586">
        <v>0.34783490601519501</v>
      </c>
      <c r="G4586">
        <v>0.351997243331925</v>
      </c>
      <c r="H4586">
        <v>0.213730675196564</v>
      </c>
      <c r="I4586">
        <v>0.116967715217899</v>
      </c>
      <c r="J4586">
        <v>7.7436980630251298E-2</v>
      </c>
      <c r="K4586">
        <v>8.0470823496372801E-2</v>
      </c>
      <c r="L4586">
        <v>2802.5709558704998</v>
      </c>
      <c r="M4586">
        <v>54.034227824581997</v>
      </c>
      <c r="N4586">
        <v>52.251973706055999</v>
      </c>
      <c r="O4586">
        <v>51.795684360237999</v>
      </c>
      <c r="P4586">
        <v>-0.21794218200439899</v>
      </c>
      <c r="Q4586">
        <v>0.16434753929704199</v>
      </c>
      <c r="R4586">
        <v>0.96155608152998095</v>
      </c>
      <c r="S4586" t="s">
        <v>10412</v>
      </c>
      <c r="T4586" t="s">
        <v>11650</v>
      </c>
      <c r="U4586" t="s">
        <v>11650</v>
      </c>
      <c r="V4586" t="s">
        <v>11650</v>
      </c>
      <c r="W4586" t="s">
        <v>16182</v>
      </c>
      <c r="X4586">
        <v>15</v>
      </c>
      <c r="Y4586" t="s">
        <v>21851</v>
      </c>
      <c r="Z4586" t="s">
        <v>27648</v>
      </c>
      <c r="AA4586">
        <v>0.49652794757580182</v>
      </c>
      <c r="AB4586" t="str">
        <f>HYPERLINK("Melting_Curves/meltCurve_Q96JB5_CDK5RAP3.pdf", "Melting_Curves/meltCurve_Q96JB5_CDK5RAP3.pdf")</f>
        <v>Melting_Curves/meltCurve_Q96JB5_CDK5RAP3.pdf</v>
      </c>
    </row>
    <row r="4587" spans="1:28" x14ac:dyDescent="0.25">
      <c r="A4587" t="s">
        <v>4591</v>
      </c>
      <c r="B4587">
        <v>0.99996721820229495</v>
      </c>
      <c r="C4587">
        <v>1.0039366930637901</v>
      </c>
      <c r="D4587">
        <v>1.0234182228499</v>
      </c>
      <c r="E4587">
        <v>0.98489494979623604</v>
      </c>
      <c r="F4587">
        <v>0.56747617964346297</v>
      </c>
      <c r="G4587">
        <v>0.54949510288026304</v>
      </c>
      <c r="H4587">
        <v>0.31411411068640899</v>
      </c>
      <c r="I4587">
        <v>0.101904833521306</v>
      </c>
      <c r="J4587">
        <v>6.0169264204181797E-2</v>
      </c>
      <c r="K4587">
        <v>4.66865857465672E-2</v>
      </c>
      <c r="L4587">
        <v>843.92430106351003</v>
      </c>
      <c r="M4587">
        <v>14.899415957580301</v>
      </c>
      <c r="N4587">
        <v>56.641451882498103</v>
      </c>
      <c r="O4587">
        <v>55.650463250192203</v>
      </c>
      <c r="P4587">
        <v>-6.6939972146410204E-2</v>
      </c>
      <c r="Q4587">
        <v>0</v>
      </c>
      <c r="R4587">
        <v>0.96499464679168701</v>
      </c>
      <c r="S4587" t="s">
        <v>10413</v>
      </c>
      <c r="T4587" t="s">
        <v>11650</v>
      </c>
      <c r="U4587" t="s">
        <v>11650</v>
      </c>
      <c r="V4587" t="s">
        <v>11650</v>
      </c>
      <c r="W4587" t="s">
        <v>16183</v>
      </c>
      <c r="X4587">
        <v>5</v>
      </c>
      <c r="Y4587" t="s">
        <v>21852</v>
      </c>
      <c r="Z4587" t="s">
        <v>27649</v>
      </c>
      <c r="AA4587">
        <v>0.5713476025986719</v>
      </c>
      <c r="AB4587" t="str">
        <f>HYPERLINK("Melting_Curves/meltCurve_Q96JC1_2_VPS39.pdf", "Melting_Curves/meltCurve_Q96JC1_2_VPS39.pdf")</f>
        <v>Melting_Curves/meltCurve_Q96JC1_2_VPS39.pdf</v>
      </c>
    </row>
    <row r="4588" spans="1:28" x14ac:dyDescent="0.25">
      <c r="A4588" t="s">
        <v>4592</v>
      </c>
      <c r="B4588">
        <v>0.99996721820229495</v>
      </c>
      <c r="C4588">
        <v>0.71497333135749197</v>
      </c>
      <c r="D4588">
        <v>0.29956884681715501</v>
      </c>
      <c r="E4588">
        <v>0.268429618238195</v>
      </c>
      <c r="F4588">
        <v>0.29850074275405403</v>
      </c>
      <c r="G4588">
        <v>0.26824118402652702</v>
      </c>
      <c r="H4588">
        <v>0.18680761377588601</v>
      </c>
      <c r="I4588">
        <v>0.16325655422920199</v>
      </c>
      <c r="J4588">
        <v>0.136029514391482</v>
      </c>
      <c r="K4588">
        <v>8.9530879763754706E-2</v>
      </c>
      <c r="L4588">
        <v>1590.1372707974001</v>
      </c>
      <c r="M4588">
        <v>36.4480995115497</v>
      </c>
      <c r="N4588">
        <v>44.2448493894141</v>
      </c>
      <c r="O4588">
        <v>43.4967383810325</v>
      </c>
      <c r="P4588">
        <v>-0.167729929571728</v>
      </c>
      <c r="Q4588">
        <v>0.19933470155350799</v>
      </c>
      <c r="R4588">
        <v>0.95129322582361597</v>
      </c>
      <c r="S4588" t="s">
        <v>10414</v>
      </c>
      <c r="T4588" t="s">
        <v>11650</v>
      </c>
      <c r="U4588" t="s">
        <v>11650</v>
      </c>
      <c r="V4588" t="s">
        <v>11650</v>
      </c>
      <c r="W4588" t="s">
        <v>16184</v>
      </c>
      <c r="X4588">
        <v>7</v>
      </c>
      <c r="Y4588" t="s">
        <v>21853</v>
      </c>
      <c r="Z4588" t="s">
        <v>27650</v>
      </c>
      <c r="AA4588">
        <v>0.2999828305649454</v>
      </c>
      <c r="AB4588" t="str">
        <f>HYPERLINK("Melting_Curves/meltCurve_Q96JH7_VCPIP1.pdf", "Melting_Curves/meltCurve_Q96JH7_VCPIP1.pdf")</f>
        <v>Melting_Curves/meltCurve_Q96JH7_VCPIP1.pdf</v>
      </c>
    </row>
    <row r="4589" spans="1:28" x14ac:dyDescent="0.25">
      <c r="A4589" t="s">
        <v>4593</v>
      </c>
      <c r="B4589">
        <v>0.99996721820229495</v>
      </c>
      <c r="C4589">
        <v>0.99793329639968498</v>
      </c>
      <c r="D4589">
        <v>1.0752448291572401</v>
      </c>
      <c r="E4589">
        <v>1.0575776605793401</v>
      </c>
      <c r="F4589">
        <v>0.77492249655407697</v>
      </c>
      <c r="G4589">
        <v>0.42235721199663401</v>
      </c>
      <c r="H4589">
        <v>0.20617298567110401</v>
      </c>
      <c r="I4589">
        <v>0.11924678828691</v>
      </c>
      <c r="J4589">
        <v>9.5243670222623797E-2</v>
      </c>
      <c r="K4589">
        <v>8.0249760414028204E-2</v>
      </c>
      <c r="L4589">
        <v>1471.44327432399</v>
      </c>
      <c r="M4589">
        <v>26.373560908707699</v>
      </c>
      <c r="N4589">
        <v>56.219579988124501</v>
      </c>
      <c r="O4589">
        <v>55.474559434157499</v>
      </c>
      <c r="P4589">
        <v>-0.10806298505319099</v>
      </c>
      <c r="Q4589">
        <v>9.0804438421098102E-2</v>
      </c>
      <c r="R4589">
        <v>0.98905092692569496</v>
      </c>
      <c r="S4589" t="s">
        <v>10415</v>
      </c>
      <c r="T4589" t="s">
        <v>11650</v>
      </c>
      <c r="U4589" t="s">
        <v>11650</v>
      </c>
      <c r="V4589" t="s">
        <v>11650</v>
      </c>
      <c r="W4589" t="s">
        <v>16185</v>
      </c>
      <c r="X4589">
        <v>19</v>
      </c>
      <c r="Y4589" t="s">
        <v>21854</v>
      </c>
      <c r="Z4589" t="s">
        <v>27651</v>
      </c>
      <c r="AA4589">
        <v>0.57705083436455784</v>
      </c>
      <c r="AB4589" t="str">
        <f>HYPERLINK("Melting_Curves/meltCurve_Q96JJ7_TMX3.pdf", "Melting_Curves/meltCurve_Q96JJ7_TMX3.pdf")</f>
        <v>Melting_Curves/meltCurve_Q96JJ7_TMX3.pdf</v>
      </c>
    </row>
    <row r="4590" spans="1:28" x14ac:dyDescent="0.25">
      <c r="A4590" t="s">
        <v>4594</v>
      </c>
      <c r="B4590">
        <v>0.99996721820229495</v>
      </c>
      <c r="C4590">
        <v>1.0272776615085299</v>
      </c>
      <c r="D4590">
        <v>0.85669189823541003</v>
      </c>
      <c r="E4590">
        <v>0.88236356907390301</v>
      </c>
      <c r="F4590">
        <v>1.0816458476352899</v>
      </c>
      <c r="G4590">
        <v>1.41992623760295</v>
      </c>
      <c r="H4590">
        <v>1.0954501967983299</v>
      </c>
      <c r="I4590">
        <v>0.90410130329261196</v>
      </c>
      <c r="J4590">
        <v>0.77524104060110899</v>
      </c>
      <c r="K4590">
        <v>0.55502648738822502</v>
      </c>
      <c r="L4590">
        <v>2802.3094531096499</v>
      </c>
      <c r="M4590">
        <v>41.580964654450199</v>
      </c>
      <c r="O4590">
        <v>67.238728750452395</v>
      </c>
      <c r="P4590">
        <v>-8.2957148240110606E-2</v>
      </c>
      <c r="Q4590">
        <v>0.463415696503025</v>
      </c>
      <c r="R4590">
        <v>0.50775517052355201</v>
      </c>
      <c r="S4590" t="s">
        <v>10416</v>
      </c>
      <c r="T4590" t="s">
        <v>11650</v>
      </c>
      <c r="U4590" t="s">
        <v>11650</v>
      </c>
      <c r="V4590" t="s">
        <v>11650</v>
      </c>
      <c r="W4590" t="s">
        <v>16186</v>
      </c>
      <c r="X4590">
        <v>1</v>
      </c>
      <c r="Y4590" t="s">
        <v>21855</v>
      </c>
      <c r="Z4590" t="s">
        <v>27652</v>
      </c>
      <c r="AA4590">
        <v>0.94932782938378912</v>
      </c>
      <c r="AB4590" t="str">
        <f>HYPERLINK("Melting_Curves/meltCurve_Q96JK2_2_DCAF5.pdf", "Melting_Curves/meltCurve_Q96JK2_2_DCAF5.pdf")</f>
        <v>Melting_Curves/meltCurve_Q96JK2_2_DCAF5.pdf</v>
      </c>
    </row>
    <row r="4591" spans="1:28" x14ac:dyDescent="0.25">
      <c r="A4591" t="s">
        <v>4595</v>
      </c>
      <c r="B4591">
        <v>0.99996721820229495</v>
      </c>
      <c r="C4591">
        <v>0.819131679834747</v>
      </c>
      <c r="D4591">
        <v>0.61802427533080195</v>
      </c>
      <c r="E4591">
        <v>0.86271615289595205</v>
      </c>
      <c r="F4591">
        <v>0.88821531831775502</v>
      </c>
      <c r="G4591">
        <v>0.63236113164983998</v>
      </c>
      <c r="H4591">
        <v>0.64783996134871402</v>
      </c>
      <c r="I4591">
        <v>0.89501393886765601</v>
      </c>
      <c r="J4591">
        <v>0.65261133950547601</v>
      </c>
      <c r="K4591">
        <v>0.89235594295804199</v>
      </c>
      <c r="L4591">
        <v>10676.200866986001</v>
      </c>
      <c r="M4591">
        <v>250</v>
      </c>
      <c r="O4591">
        <v>42.702071394357901</v>
      </c>
      <c r="P4591">
        <v>-0.34959917937032398</v>
      </c>
      <c r="Q4591">
        <v>0.76114225860719897</v>
      </c>
      <c r="R4591">
        <v>0.29500806313092798</v>
      </c>
      <c r="S4591" t="s">
        <v>10417</v>
      </c>
      <c r="T4591" t="s">
        <v>11650</v>
      </c>
      <c r="U4591" t="s">
        <v>11650</v>
      </c>
      <c r="V4591" t="s">
        <v>11650</v>
      </c>
      <c r="W4591" t="s">
        <v>16187</v>
      </c>
      <c r="X4591">
        <v>1</v>
      </c>
      <c r="Y4591" t="s">
        <v>21856</v>
      </c>
      <c r="Z4591" t="s">
        <v>27653</v>
      </c>
      <c r="AA4591">
        <v>0.78269560173229269</v>
      </c>
      <c r="AB4591" t="str">
        <f>HYPERLINK("Melting_Curves/meltCurve_Q96JM3_CHAMP1.pdf", "Melting_Curves/meltCurve_Q96JM3_CHAMP1.pdf")</f>
        <v>Melting_Curves/meltCurve_Q96JM3_CHAMP1.pdf</v>
      </c>
    </row>
    <row r="4592" spans="1:28" x14ac:dyDescent="0.25">
      <c r="A4592" t="s">
        <v>4596</v>
      </c>
      <c r="B4592">
        <v>0.99996721820229495</v>
      </c>
      <c r="C4592">
        <v>1.0211542578003601</v>
      </c>
      <c r="D4592">
        <v>0.95916555984537399</v>
      </c>
      <c r="E4592">
        <v>0.84006221672228298</v>
      </c>
      <c r="F4592">
        <v>0.77559898906674296</v>
      </c>
      <c r="G4592">
        <v>0.64929720024648496</v>
      </c>
      <c r="H4592">
        <v>0.55440612808656298</v>
      </c>
      <c r="I4592">
        <v>0.60715444574547495</v>
      </c>
      <c r="J4592">
        <v>0.44110957542233897</v>
      </c>
      <c r="K4592">
        <v>0.26260288712205099</v>
      </c>
      <c r="L4592">
        <v>440.07904797685001</v>
      </c>
      <c r="M4592">
        <v>6.9180899270947496</v>
      </c>
      <c r="N4592">
        <v>63.612796543595401</v>
      </c>
      <c r="O4592">
        <v>58.9352625692785</v>
      </c>
      <c r="P4592">
        <v>-2.9402940950043598E-2</v>
      </c>
      <c r="Q4592">
        <v>0</v>
      </c>
      <c r="R4592">
        <v>0.94927861973024397</v>
      </c>
      <c r="S4592" t="s">
        <v>10418</v>
      </c>
      <c r="T4592" t="s">
        <v>11650</v>
      </c>
      <c r="U4592" t="s">
        <v>11650</v>
      </c>
      <c r="V4592" t="s">
        <v>11650</v>
      </c>
      <c r="W4592" t="s">
        <v>16188</v>
      </c>
      <c r="X4592">
        <v>3</v>
      </c>
      <c r="Y4592" t="s">
        <v>21857</v>
      </c>
      <c r="Z4592" t="s">
        <v>27654</v>
      </c>
      <c r="AA4592">
        <v>0.71647206994682233</v>
      </c>
      <c r="AB4592" t="str">
        <f>HYPERLINK("Melting_Curves/meltCurve_Q96JP5_ZFP91.pdf", "Melting_Curves/meltCurve_Q96JP5_ZFP91.pdf")</f>
        <v>Melting_Curves/meltCurve_Q96JP5_ZFP91.pdf</v>
      </c>
    </row>
    <row r="4593" spans="1:28" x14ac:dyDescent="0.25">
      <c r="A4593" t="s">
        <v>4597</v>
      </c>
      <c r="B4593">
        <v>0.99996721820229495</v>
      </c>
      <c r="C4593">
        <v>1.3592153972150101</v>
      </c>
      <c r="D4593">
        <v>1.2282831528156399</v>
      </c>
      <c r="E4593">
        <v>1.0433463081618499</v>
      </c>
      <c r="F4593">
        <v>1.2223604393643801</v>
      </c>
      <c r="G4593">
        <v>1.47453631460571</v>
      </c>
      <c r="H4593">
        <v>1.32894820246406</v>
      </c>
      <c r="I4593">
        <v>1.6588981496483299</v>
      </c>
      <c r="J4593">
        <v>1.17528674849036</v>
      </c>
      <c r="K4593">
        <v>0.86175180490811598</v>
      </c>
      <c r="L4593">
        <v>10245.568582789299</v>
      </c>
      <c r="M4593">
        <v>250</v>
      </c>
      <c r="O4593">
        <v>40.979651770238398</v>
      </c>
      <c r="P4593">
        <v>0.398678136624524</v>
      </c>
      <c r="Q4593">
        <v>1.2614030588008101</v>
      </c>
      <c r="R4593">
        <v>0.12392294617743201</v>
      </c>
      <c r="S4593" t="s">
        <v>10419</v>
      </c>
      <c r="T4593" t="s">
        <v>11650</v>
      </c>
      <c r="U4593" t="s">
        <v>11650</v>
      </c>
      <c r="V4593" t="s">
        <v>11650</v>
      </c>
      <c r="W4593" t="s">
        <v>16189</v>
      </c>
      <c r="X4593">
        <v>1</v>
      </c>
      <c r="Y4593" t="s">
        <v>21858</v>
      </c>
      <c r="Z4593" t="s">
        <v>27655</v>
      </c>
      <c r="AA4593">
        <v>1.252822365232257</v>
      </c>
      <c r="AB4593" t="str">
        <f>HYPERLINK("Melting_Curves/meltCurve_Q96JQ0_DCHS1.pdf", "Melting_Curves/meltCurve_Q96JQ0_DCHS1.pdf")</f>
        <v>Melting_Curves/meltCurve_Q96JQ0_DCHS1.pdf</v>
      </c>
    </row>
    <row r="4594" spans="1:28" x14ac:dyDescent="0.25">
      <c r="A4594" t="s">
        <v>4598</v>
      </c>
      <c r="B4594">
        <v>0.99996721820229495</v>
      </c>
      <c r="C4594">
        <v>0.97274949782639097</v>
      </c>
      <c r="D4594">
        <v>0.926239656048638</v>
      </c>
      <c r="E4594">
        <v>0.910786365433506</v>
      </c>
      <c r="F4594">
        <v>1.0899669074824001</v>
      </c>
      <c r="G4594">
        <v>1.1126361547294801</v>
      </c>
      <c r="H4594">
        <v>0.83412285773482797</v>
      </c>
      <c r="I4594">
        <v>0.91090125232441899</v>
      </c>
      <c r="J4594">
        <v>0.78865368127745505</v>
      </c>
      <c r="K4594">
        <v>0.41623699893222199</v>
      </c>
      <c r="L4594">
        <v>2024.6896576507399</v>
      </c>
      <c r="M4594">
        <v>29.1650323587515</v>
      </c>
      <c r="N4594">
        <v>69.421821169604797</v>
      </c>
      <c r="O4594">
        <v>69.097893918951797</v>
      </c>
      <c r="P4594">
        <v>-0.10552146526516799</v>
      </c>
      <c r="Q4594">
        <v>0</v>
      </c>
      <c r="R4594">
        <v>0.82692506338275495</v>
      </c>
      <c r="S4594" t="s">
        <v>10420</v>
      </c>
      <c r="T4594" t="s">
        <v>11650</v>
      </c>
      <c r="U4594" t="s">
        <v>11650</v>
      </c>
      <c r="V4594" t="s">
        <v>11650</v>
      </c>
      <c r="W4594" t="s">
        <v>16190</v>
      </c>
      <c r="X4594">
        <v>25</v>
      </c>
      <c r="Y4594" t="s">
        <v>21859</v>
      </c>
      <c r="Z4594" t="s">
        <v>27656</v>
      </c>
      <c r="AA4594">
        <v>0.9388188516278273</v>
      </c>
      <c r="AB4594" t="str">
        <f>HYPERLINK("Melting_Curves/meltCurve_Q96JY6_PDLIM2.pdf", "Melting_Curves/meltCurve_Q96JY6_PDLIM2.pdf")</f>
        <v>Melting_Curves/meltCurve_Q96JY6_PDLIM2.pdf</v>
      </c>
    </row>
    <row r="4595" spans="1:28" x14ac:dyDescent="0.25">
      <c r="A4595" t="s">
        <v>4599</v>
      </c>
      <c r="B4595">
        <v>0.99996721820229495</v>
      </c>
      <c r="C4595">
        <v>0.65473539765986699</v>
      </c>
      <c r="D4595">
        <v>0.74775654460937901</v>
      </c>
      <c r="E4595">
        <v>1.0974768550273599</v>
      </c>
      <c r="F4595">
        <v>1.3366947997808001</v>
      </c>
      <c r="G4595">
        <v>1.25795866854605</v>
      </c>
      <c r="H4595">
        <v>1.23317893556198</v>
      </c>
      <c r="I4595">
        <v>0.72502751515994102</v>
      </c>
      <c r="J4595">
        <v>0.62525468484954805</v>
      </c>
      <c r="K4595">
        <v>0.69744097272948902</v>
      </c>
      <c r="L4595">
        <v>15000</v>
      </c>
      <c r="M4595">
        <v>235.836239482672</v>
      </c>
      <c r="O4595">
        <v>63.598882377655002</v>
      </c>
      <c r="P4595">
        <v>-0.31396612818886899</v>
      </c>
      <c r="Q4595">
        <v>0.66132609643318396</v>
      </c>
      <c r="R4595">
        <v>0.38258446087834302</v>
      </c>
      <c r="S4595" t="s">
        <v>10421</v>
      </c>
      <c r="T4595" t="s">
        <v>11650</v>
      </c>
      <c r="U4595" t="s">
        <v>11650</v>
      </c>
      <c r="V4595" t="s">
        <v>11650</v>
      </c>
      <c r="W4595" t="s">
        <v>16191</v>
      </c>
      <c r="X4595">
        <v>2</v>
      </c>
      <c r="Y4595" t="s">
        <v>21860</v>
      </c>
      <c r="Z4595" t="s">
        <v>27657</v>
      </c>
      <c r="AA4595">
        <v>0.9278310703162399</v>
      </c>
      <c r="AB4595" t="str">
        <f>HYPERLINK("Melting_Curves/meltCurve_Q96K19_2_RNF170.pdf", "Melting_Curves/meltCurve_Q96K19_2_RNF170.pdf")</f>
        <v>Melting_Curves/meltCurve_Q96K19_2_RNF170.pdf</v>
      </c>
    </row>
    <row r="4596" spans="1:28" x14ac:dyDescent="0.25">
      <c r="A4596" t="s">
        <v>4600</v>
      </c>
      <c r="B4596">
        <v>0.99996721820229495</v>
      </c>
      <c r="C4596">
        <v>0.99491148237566496</v>
      </c>
      <c r="D4596">
        <v>0.99762956905168398</v>
      </c>
      <c r="E4596">
        <v>1.0287530371703999</v>
      </c>
      <c r="F4596">
        <v>0.58802037822312203</v>
      </c>
      <c r="G4596">
        <v>0.38940104580572799</v>
      </c>
      <c r="H4596">
        <v>0.25206513524012097</v>
      </c>
      <c r="I4596">
        <v>0.166991496466975</v>
      </c>
      <c r="J4596">
        <v>0.113808462314776</v>
      </c>
      <c r="K4596">
        <v>9.5778654918636297E-2</v>
      </c>
      <c r="L4596">
        <v>1224.3318699847</v>
      </c>
      <c r="M4596">
        <v>22.490538650047501</v>
      </c>
      <c r="N4596">
        <v>55.153667829230102</v>
      </c>
      <c r="O4596">
        <v>54.012743446947503</v>
      </c>
      <c r="P4596">
        <v>-9.0920410535462598E-2</v>
      </c>
      <c r="Q4596">
        <v>0.12660867200841</v>
      </c>
      <c r="R4596">
        <v>0.97664517041016896</v>
      </c>
      <c r="S4596" t="s">
        <v>10422</v>
      </c>
      <c r="T4596" t="s">
        <v>11650</v>
      </c>
      <c r="U4596" t="s">
        <v>11650</v>
      </c>
      <c r="V4596" t="s">
        <v>11650</v>
      </c>
      <c r="W4596" t="s">
        <v>16192</v>
      </c>
      <c r="X4596">
        <v>7</v>
      </c>
      <c r="Y4596" t="s">
        <v>21861</v>
      </c>
      <c r="Z4596" t="s">
        <v>27658</v>
      </c>
      <c r="AA4596">
        <v>0.55665967901775948</v>
      </c>
      <c r="AB4596" t="str">
        <f>HYPERLINK("Melting_Curves/meltCurve_Q96KA5_2_CLPTM1L.pdf", "Melting_Curves/meltCurve_Q96KA5_2_CLPTM1L.pdf")</f>
        <v>Melting_Curves/meltCurve_Q96KA5_2_CLPTM1L.pdf</v>
      </c>
    </row>
    <row r="4597" spans="1:28" x14ac:dyDescent="0.25">
      <c r="A4597" t="s">
        <v>4601</v>
      </c>
      <c r="B4597">
        <v>0.99996721820229495</v>
      </c>
      <c r="C4597">
        <v>1.008610129192</v>
      </c>
      <c r="D4597">
        <v>0.75251783423559704</v>
      </c>
      <c r="E4597">
        <v>0.42322171211020199</v>
      </c>
      <c r="F4597">
        <v>0.44042313569492703</v>
      </c>
      <c r="G4597">
        <v>0.37560942960897098</v>
      </c>
      <c r="H4597">
        <v>0.27524374448056099</v>
      </c>
      <c r="I4597">
        <v>0.167015640136986</v>
      </c>
      <c r="J4597">
        <v>0.13284595088223899</v>
      </c>
      <c r="K4597">
        <v>9.3860698008917401E-2</v>
      </c>
      <c r="L4597">
        <v>619.34117265757095</v>
      </c>
      <c r="M4597">
        <v>12.441633305507199</v>
      </c>
      <c r="N4597">
        <v>51.022442964322998</v>
      </c>
      <c r="O4597">
        <v>48.546151261284301</v>
      </c>
      <c r="P4597">
        <v>-5.5707960115125701E-2</v>
      </c>
      <c r="Q4597">
        <v>0.13071160092422501</v>
      </c>
      <c r="R4597">
        <v>0.95152833574323104</v>
      </c>
      <c r="S4597" t="s">
        <v>10423</v>
      </c>
      <c r="T4597" t="s">
        <v>11650</v>
      </c>
      <c r="U4597" t="s">
        <v>11650</v>
      </c>
      <c r="V4597" t="s">
        <v>11650</v>
      </c>
      <c r="W4597" t="s">
        <v>16193</v>
      </c>
      <c r="X4597">
        <v>4</v>
      </c>
      <c r="Y4597" t="s">
        <v>21862</v>
      </c>
      <c r="Z4597" t="s">
        <v>27659</v>
      </c>
      <c r="AA4597">
        <v>0.44285711574341141</v>
      </c>
      <c r="AB4597" t="str">
        <f>HYPERLINK("Melting_Curves/meltCurve_Q96KB5_PBK.pdf", "Melting_Curves/meltCurve_Q96KB5_PBK.pdf")</f>
        <v>Melting_Curves/meltCurve_Q96KB5_PBK.pdf</v>
      </c>
    </row>
    <row r="4598" spans="1:28" x14ac:dyDescent="0.25">
      <c r="A4598" t="s">
        <v>4602</v>
      </c>
      <c r="B4598">
        <v>0.99996721820229495</v>
      </c>
      <c r="C4598">
        <v>1.02514111568343</v>
      </c>
      <c r="D4598">
        <v>0.94991343677560303</v>
      </c>
      <c r="E4598">
        <v>0.84496736735197897</v>
      </c>
      <c r="F4598">
        <v>0.97837811734651003</v>
      </c>
      <c r="G4598">
        <v>1.00814077526754</v>
      </c>
      <c r="H4598">
        <v>0.75014277512068706</v>
      </c>
      <c r="I4598">
        <v>0.80207220085087305</v>
      </c>
      <c r="J4598">
        <v>0.56995498580100601</v>
      </c>
      <c r="K4598">
        <v>0.354500306641644</v>
      </c>
      <c r="L4598">
        <v>1060.69579966575</v>
      </c>
      <c r="M4598">
        <v>15.608595873883001</v>
      </c>
      <c r="N4598">
        <v>67.955877049243298</v>
      </c>
      <c r="O4598">
        <v>66.869767714182402</v>
      </c>
      <c r="P4598">
        <v>-5.8359520908556201E-2</v>
      </c>
      <c r="Q4598">
        <v>0</v>
      </c>
      <c r="R4598">
        <v>0.89056698555590497</v>
      </c>
      <c r="S4598" t="s">
        <v>10424</v>
      </c>
      <c r="T4598" t="s">
        <v>11650</v>
      </c>
      <c r="U4598" t="s">
        <v>11650</v>
      </c>
      <c r="V4598" t="s">
        <v>11650</v>
      </c>
      <c r="W4598" t="s">
        <v>12242</v>
      </c>
      <c r="X4598">
        <v>1</v>
      </c>
      <c r="Y4598" t="s">
        <v>21863</v>
      </c>
      <c r="Z4598" t="s">
        <v>27660</v>
      </c>
      <c r="AA4598">
        <v>0.87418421172291194</v>
      </c>
      <c r="AB4598" t="str">
        <f>HYPERLINK("Melting_Curves/meltCurve_Q96KB7_CIZ1.pdf", "Melting_Curves/meltCurve_Q96KB7_CIZ1.pdf")</f>
        <v>Melting_Curves/meltCurve_Q96KB7_CIZ1.pdf</v>
      </c>
    </row>
    <row r="4599" spans="1:28" x14ac:dyDescent="0.25">
      <c r="A4599" t="s">
        <v>4603</v>
      </c>
      <c r="B4599">
        <v>0.99996721820229495</v>
      </c>
      <c r="C4599">
        <v>0.97774923125004398</v>
      </c>
      <c r="D4599">
        <v>0.95810751193563803</v>
      </c>
      <c r="E4599">
        <v>0.90268690233206295</v>
      </c>
      <c r="F4599">
        <v>0.48969826012686801</v>
      </c>
      <c r="G4599">
        <v>0.39540649829350999</v>
      </c>
      <c r="H4599">
        <v>0.247153919917634</v>
      </c>
      <c r="I4599">
        <v>0.163050830314318</v>
      </c>
      <c r="J4599">
        <v>0.123311179862612</v>
      </c>
      <c r="K4599">
        <v>8.5215748520630297E-2</v>
      </c>
      <c r="L4599">
        <v>913.43255577749505</v>
      </c>
      <c r="M4599">
        <v>16.980500654240799</v>
      </c>
      <c r="N4599">
        <v>54.521315973142002</v>
      </c>
      <c r="O4599">
        <v>53.063584371659097</v>
      </c>
      <c r="P4599">
        <v>-7.1887588869077201E-2</v>
      </c>
      <c r="Q4599">
        <v>0.101469046143911</v>
      </c>
      <c r="R4599">
        <v>0.97900845200693898</v>
      </c>
      <c r="S4599" t="s">
        <v>10425</v>
      </c>
      <c r="T4599" t="s">
        <v>11650</v>
      </c>
      <c r="U4599" t="s">
        <v>11650</v>
      </c>
      <c r="V4599" t="s">
        <v>11650</v>
      </c>
      <c r="W4599" t="s">
        <v>16194</v>
      </c>
      <c r="X4599">
        <v>7</v>
      </c>
      <c r="Y4599" t="s">
        <v>21864</v>
      </c>
      <c r="Z4599" t="s">
        <v>27661</v>
      </c>
      <c r="AA4599">
        <v>0.53033740195480161</v>
      </c>
      <c r="AB4599" t="str">
        <f>HYPERLINK("Melting_Curves/meltCurve_Q96KC8_DNAJC1.pdf", "Melting_Curves/meltCurve_Q96KC8_DNAJC1.pdf")</f>
        <v>Melting_Curves/meltCurve_Q96KC8_DNAJC1.pdf</v>
      </c>
    </row>
    <row r="4600" spans="1:28" x14ac:dyDescent="0.25">
      <c r="A4600" t="s">
        <v>4604</v>
      </c>
      <c r="B4600">
        <v>0.99996721820229495</v>
      </c>
      <c r="C4600">
        <v>0.87671090444522204</v>
      </c>
      <c r="D4600">
        <v>0.47950239925075</v>
      </c>
      <c r="E4600">
        <v>0.215861561321495</v>
      </c>
      <c r="F4600">
        <v>9.8402053273683607E-2</v>
      </c>
      <c r="G4600">
        <v>0.103950247657878</v>
      </c>
      <c r="H4600">
        <v>7.7100412438851296E-2</v>
      </c>
      <c r="I4600">
        <v>8.7567227368175501E-2</v>
      </c>
      <c r="J4600">
        <v>4.1785711129007003E-2</v>
      </c>
      <c r="K4600">
        <v>4.0581511429721703E-2</v>
      </c>
      <c r="L4600">
        <v>1128.4515899373901</v>
      </c>
      <c r="M4600">
        <v>24.637608038949999</v>
      </c>
      <c r="N4600">
        <v>46.091701549487098</v>
      </c>
      <c r="O4600">
        <v>45.503438026450098</v>
      </c>
      <c r="P4600">
        <v>-0.125653305455556</v>
      </c>
      <c r="Q4600">
        <v>7.17317628178923E-2</v>
      </c>
      <c r="R4600">
        <v>0.99434218004688302</v>
      </c>
      <c r="S4600" t="s">
        <v>10426</v>
      </c>
      <c r="T4600" t="s">
        <v>11650</v>
      </c>
      <c r="U4600" t="s">
        <v>11650</v>
      </c>
      <c r="V4600" t="s">
        <v>11650</v>
      </c>
      <c r="W4600" t="s">
        <v>16195</v>
      </c>
      <c r="X4600">
        <v>1</v>
      </c>
      <c r="Y4600" t="s">
        <v>21865</v>
      </c>
      <c r="Z4600" t="s">
        <v>27662</v>
      </c>
      <c r="AA4600">
        <v>0.2602287011152446</v>
      </c>
      <c r="AB4600" t="str">
        <f>HYPERLINK("Melting_Curves/meltCurve_Q96KN4_FAM84A.pdf", "Melting_Curves/meltCurve_Q96KN4_FAM84A.pdf")</f>
        <v>Melting_Curves/meltCurve_Q96KN4_FAM84A.pdf</v>
      </c>
    </row>
    <row r="4601" spans="1:28" x14ac:dyDescent="0.25">
      <c r="A4601" t="s">
        <v>4605</v>
      </c>
      <c r="B4601">
        <v>0.99996721820229495</v>
      </c>
      <c r="C4601">
        <v>0.94516214765643203</v>
      </c>
      <c r="D4601">
        <v>1.0448178338993901</v>
      </c>
      <c r="E4601">
        <v>0.994912219645674</v>
      </c>
      <c r="F4601">
        <v>0.50613607452061005</v>
      </c>
      <c r="G4601">
        <v>0.36449081859035898</v>
      </c>
      <c r="H4601">
        <v>0.225186112629259</v>
      </c>
      <c r="I4601">
        <v>0.14677750887232999</v>
      </c>
      <c r="J4601">
        <v>0.107622856190151</v>
      </c>
      <c r="K4601">
        <v>8.4769951414629299E-2</v>
      </c>
      <c r="L4601">
        <v>1337.4315392635399</v>
      </c>
      <c r="M4601">
        <v>24.969266064149501</v>
      </c>
      <c r="N4601">
        <v>54.229659439245602</v>
      </c>
      <c r="O4601">
        <v>53.2231023119528</v>
      </c>
      <c r="P4601">
        <v>-0.101789206294739</v>
      </c>
      <c r="Q4601">
        <v>0.13213900436753001</v>
      </c>
      <c r="R4601">
        <v>0.96947073904263703</v>
      </c>
      <c r="S4601" t="s">
        <v>10427</v>
      </c>
      <c r="T4601" t="s">
        <v>11650</v>
      </c>
      <c r="U4601" t="s">
        <v>11650</v>
      </c>
      <c r="V4601" t="s">
        <v>11650</v>
      </c>
      <c r="W4601" t="s">
        <v>16196</v>
      </c>
      <c r="X4601">
        <v>4</v>
      </c>
      <c r="Y4601" t="s">
        <v>21866</v>
      </c>
      <c r="Z4601" t="s">
        <v>27663</v>
      </c>
      <c r="AA4601">
        <v>0.53253792362222041</v>
      </c>
      <c r="AB4601" t="str">
        <f>HYPERLINK("Melting_Curves/meltCurve_Q96KP1_EXOC2.pdf", "Melting_Curves/meltCurve_Q96KP1_EXOC2.pdf")</f>
        <v>Melting_Curves/meltCurve_Q96KP1_EXOC2.pdf</v>
      </c>
    </row>
    <row r="4602" spans="1:28" x14ac:dyDescent="0.25">
      <c r="A4602" t="s">
        <v>4606</v>
      </c>
      <c r="B4602">
        <v>0.99996721820229495</v>
      </c>
      <c r="C4602">
        <v>1.0314894713689799</v>
      </c>
      <c r="D4602">
        <v>1.08866644560596</v>
      </c>
      <c r="E4602">
        <v>1.0477871916691199</v>
      </c>
      <c r="F4602">
        <v>0.943142825496469</v>
      </c>
      <c r="G4602">
        <v>0.951487137933959</v>
      </c>
      <c r="H4602">
        <v>0.51899890859855002</v>
      </c>
      <c r="I4602">
        <v>0.265404136984973</v>
      </c>
      <c r="J4602">
        <v>0.144464976715557</v>
      </c>
      <c r="K4602">
        <v>0.120579499318389</v>
      </c>
      <c r="L4602">
        <v>2187.9185610248101</v>
      </c>
      <c r="M4602">
        <v>35.980228084987203</v>
      </c>
      <c r="N4602">
        <v>61.272136821691298</v>
      </c>
      <c r="O4602">
        <v>60.621989266620602</v>
      </c>
      <c r="P4602">
        <v>-0.13071033705378099</v>
      </c>
      <c r="Q4602">
        <v>0.11908337304293699</v>
      </c>
      <c r="R4602">
        <v>0.98953320023523095</v>
      </c>
      <c r="S4602" t="s">
        <v>10428</v>
      </c>
      <c r="T4602" t="s">
        <v>11650</v>
      </c>
      <c r="U4602" t="s">
        <v>11650</v>
      </c>
      <c r="V4602" t="s">
        <v>11650</v>
      </c>
      <c r="W4602" t="s">
        <v>16197</v>
      </c>
      <c r="X4602">
        <v>22</v>
      </c>
      <c r="Y4602" t="s">
        <v>21867</v>
      </c>
      <c r="Z4602" t="s">
        <v>27664</v>
      </c>
      <c r="AA4602">
        <v>0.73407863778422677</v>
      </c>
      <c r="AB4602" t="str">
        <f>HYPERLINK("Melting_Curves/meltCurve_Q96KP4_CNDP2.pdf", "Melting_Curves/meltCurve_Q96KP4_CNDP2.pdf")</f>
        <v>Melting_Curves/meltCurve_Q96KP4_CNDP2.pdf</v>
      </c>
    </row>
    <row r="4603" spans="1:28" x14ac:dyDescent="0.25">
      <c r="A4603" t="s">
        <v>4607</v>
      </c>
      <c r="B4603">
        <v>0.99996721820229495</v>
      </c>
      <c r="C4603">
        <v>1.0352404597537299</v>
      </c>
      <c r="D4603">
        <v>0.99706973545563704</v>
      </c>
      <c r="E4603">
        <v>0.79849043956712595</v>
      </c>
      <c r="F4603">
        <v>0.98975371835715797</v>
      </c>
      <c r="G4603">
        <v>0.95725460394752504</v>
      </c>
      <c r="H4603">
        <v>0.58753614270924703</v>
      </c>
      <c r="I4603">
        <v>0.68465879964696297</v>
      </c>
      <c r="J4603">
        <v>0.59108679730791702</v>
      </c>
      <c r="K4603">
        <v>0.457980255383104</v>
      </c>
      <c r="L4603">
        <v>588.49015093896003</v>
      </c>
      <c r="M4603">
        <v>8.8424722846645203</v>
      </c>
      <c r="N4603">
        <v>69.053107844873097</v>
      </c>
      <c r="O4603">
        <v>63.412458672084</v>
      </c>
      <c r="P4603">
        <v>-3.0108557365121202E-2</v>
      </c>
      <c r="Q4603">
        <v>0.13699407403038399</v>
      </c>
      <c r="R4603">
        <v>0.83036931809499603</v>
      </c>
      <c r="S4603" t="s">
        <v>10429</v>
      </c>
      <c r="T4603" t="s">
        <v>11650</v>
      </c>
      <c r="U4603" t="s">
        <v>11650</v>
      </c>
      <c r="V4603" t="s">
        <v>11650</v>
      </c>
      <c r="W4603" t="s">
        <v>16198</v>
      </c>
      <c r="X4603">
        <v>2</v>
      </c>
      <c r="Y4603" t="s">
        <v>21868</v>
      </c>
      <c r="Z4603" t="s">
        <v>27665</v>
      </c>
      <c r="AA4603">
        <v>0.82499729923084786</v>
      </c>
      <c r="AB4603" t="str">
        <f>HYPERLINK("Melting_Curves/meltCurve_Q96KR1_ZFR.pdf", "Melting_Curves/meltCurve_Q96KR1_ZFR.pdf")</f>
        <v>Melting_Curves/meltCurve_Q96KR1_ZFR.pdf</v>
      </c>
    </row>
    <row r="4604" spans="1:28" x14ac:dyDescent="0.25">
      <c r="A4604" t="s">
        <v>4608</v>
      </c>
      <c r="B4604">
        <v>0.99996721820229495</v>
      </c>
      <c r="C4604">
        <v>1.8827596285157799</v>
      </c>
      <c r="D4604">
        <v>1.06220058624567</v>
      </c>
      <c r="E4604">
        <v>2.51661830439151</v>
      </c>
      <c r="F4604">
        <v>2.8260512491569401</v>
      </c>
      <c r="G4604">
        <v>4.1895465437123596</v>
      </c>
      <c r="H4604">
        <v>2.92284967450628</v>
      </c>
      <c r="I4604">
        <v>0.70671084409433804</v>
      </c>
      <c r="J4604">
        <v>0.794203277050889</v>
      </c>
      <c r="K4604">
        <v>0.60538243069189401</v>
      </c>
      <c r="L4604">
        <v>15000</v>
      </c>
      <c r="M4604">
        <v>237.23991531772299</v>
      </c>
      <c r="O4604">
        <v>63.222641542206603</v>
      </c>
      <c r="P4604">
        <v>-0.28436178100936099</v>
      </c>
      <c r="Q4604">
        <v>0.69687895325777705</v>
      </c>
      <c r="R4604">
        <v>-0.52259548670133804</v>
      </c>
      <c r="S4604" t="s">
        <v>10430</v>
      </c>
      <c r="T4604" t="s">
        <v>11650</v>
      </c>
      <c r="U4604" t="s">
        <v>11650</v>
      </c>
      <c r="V4604" t="s">
        <v>11650</v>
      </c>
      <c r="W4604" t="s">
        <v>16199</v>
      </c>
      <c r="X4604">
        <v>3</v>
      </c>
      <c r="Y4604" t="s">
        <v>21869</v>
      </c>
      <c r="Z4604" t="s">
        <v>27666</v>
      </c>
      <c r="AA4604">
        <v>0.93160408069430778</v>
      </c>
      <c r="AB4604" t="str">
        <f>HYPERLINK("Melting_Curves/meltCurve_Q96KR6_FAM210B.pdf", "Melting_Curves/meltCurve_Q96KR6_FAM210B.pdf")</f>
        <v>Melting_Curves/meltCurve_Q96KR6_FAM210B.pdf</v>
      </c>
    </row>
    <row r="4605" spans="1:28" x14ac:dyDescent="0.25">
      <c r="A4605" t="s">
        <v>4609</v>
      </c>
      <c r="B4605">
        <v>0.99996721820229495</v>
      </c>
      <c r="C4605">
        <v>0.83099421104657201</v>
      </c>
      <c r="D4605">
        <v>0.63463299585855804</v>
      </c>
      <c r="E4605">
        <v>0.28326809113699503</v>
      </c>
      <c r="F4605">
        <v>0.26202318267401298</v>
      </c>
      <c r="G4605">
        <v>0.227181770409913</v>
      </c>
      <c r="H4605">
        <v>0.14255382907984099</v>
      </c>
      <c r="I4605">
        <v>0.104978893562264</v>
      </c>
      <c r="J4605">
        <v>8.2178082326877594E-2</v>
      </c>
      <c r="K4605">
        <v>7.1544277404041207E-2</v>
      </c>
      <c r="L4605">
        <v>773.31671839969795</v>
      </c>
      <c r="M4605">
        <v>16.493310474613398</v>
      </c>
      <c r="N4605">
        <v>47.581549024122403</v>
      </c>
      <c r="O4605">
        <v>46.213698002871901</v>
      </c>
      <c r="P4605">
        <v>-7.96795663009887E-2</v>
      </c>
      <c r="Q4605">
        <v>0.10702459230596199</v>
      </c>
      <c r="R4605">
        <v>0.983988770788645</v>
      </c>
      <c r="S4605" t="s">
        <v>10431</v>
      </c>
      <c r="T4605" t="s">
        <v>11650</v>
      </c>
      <c r="U4605" t="s">
        <v>11650</v>
      </c>
      <c r="V4605" t="s">
        <v>11650</v>
      </c>
      <c r="W4605" t="s">
        <v>16200</v>
      </c>
      <c r="X4605">
        <v>12</v>
      </c>
      <c r="Y4605" t="s">
        <v>21870</v>
      </c>
      <c r="Z4605" t="s">
        <v>27667</v>
      </c>
      <c r="AA4605">
        <v>0.33202965980568688</v>
      </c>
      <c r="AB4605" t="str">
        <f>HYPERLINK("Melting_Curves/meltCurve_Q96L92_SNX27.pdf", "Melting_Curves/meltCurve_Q96L92_SNX27.pdf")</f>
        <v>Melting_Curves/meltCurve_Q96L92_SNX27.pdf</v>
      </c>
    </row>
    <row r="4606" spans="1:28" x14ac:dyDescent="0.25">
      <c r="A4606" t="s">
        <v>4610</v>
      </c>
      <c r="B4606">
        <v>0.99996721820229495</v>
      </c>
      <c r="C4606">
        <v>0.802556514729867</v>
      </c>
      <c r="D4606">
        <v>0.67557622847531096</v>
      </c>
      <c r="E4606">
        <v>0.73068498526215098</v>
      </c>
      <c r="F4606">
        <v>0.827496894530523</v>
      </c>
      <c r="G4606">
        <v>0.56211139600909998</v>
      </c>
      <c r="H4606">
        <v>0.39426387562986498</v>
      </c>
      <c r="I4606">
        <v>0.36132500761123099</v>
      </c>
      <c r="J4606">
        <v>0.25789906643020699</v>
      </c>
      <c r="K4606">
        <v>0.23607945395572</v>
      </c>
      <c r="L4606">
        <v>351.03399155454201</v>
      </c>
      <c r="M4606">
        <v>6.0436855146703996</v>
      </c>
      <c r="N4606">
        <v>58.082763019195099</v>
      </c>
      <c r="O4606">
        <v>52.6834523173736</v>
      </c>
      <c r="P4606">
        <v>-2.87697430403712E-2</v>
      </c>
      <c r="Q4606">
        <v>0</v>
      </c>
      <c r="R4606">
        <v>0.87715996003323204</v>
      </c>
      <c r="S4606" t="s">
        <v>10432</v>
      </c>
      <c r="T4606" t="s">
        <v>11650</v>
      </c>
      <c r="U4606" t="s">
        <v>11650</v>
      </c>
      <c r="V4606" t="s">
        <v>11650</v>
      </c>
      <c r="W4606" t="s">
        <v>16201</v>
      </c>
      <c r="X4606">
        <v>3</v>
      </c>
      <c r="Y4606" t="s">
        <v>21871</v>
      </c>
      <c r="Z4606" t="s">
        <v>27668</v>
      </c>
      <c r="AA4606">
        <v>0.59354853662812512</v>
      </c>
      <c r="AB4606" t="str">
        <f>HYPERLINK("Melting_Curves/meltCurve_Q96LD4_TRIM47.pdf", "Melting_Curves/meltCurve_Q96LD4_TRIM47.pdf")</f>
        <v>Melting_Curves/meltCurve_Q96LD4_TRIM47.pdf</v>
      </c>
    </row>
    <row r="4607" spans="1:28" x14ac:dyDescent="0.25">
      <c r="A4607" t="s">
        <v>4611</v>
      </c>
      <c r="B4607">
        <v>0.99996721820229495</v>
      </c>
      <c r="C4607">
        <v>1.10562419522957</v>
      </c>
      <c r="D4607">
        <v>0.98802663734610696</v>
      </c>
      <c r="E4607">
        <v>0.76029733738320304</v>
      </c>
      <c r="F4607">
        <v>0.38419329732663399</v>
      </c>
      <c r="G4607">
        <v>0.240857355649992</v>
      </c>
      <c r="H4607">
        <v>0.136644629612242</v>
      </c>
      <c r="I4607">
        <v>9.5053827324923207E-2</v>
      </c>
      <c r="J4607">
        <v>9.4559403280593299E-2</v>
      </c>
      <c r="K4607">
        <v>5.7114405916110403E-2</v>
      </c>
      <c r="L4607">
        <v>1339.2392080060699</v>
      </c>
      <c r="M4607">
        <v>25.8391086916467</v>
      </c>
      <c r="N4607">
        <v>52.2717015510758</v>
      </c>
      <c r="O4607">
        <v>51.522478624973303</v>
      </c>
      <c r="P4607">
        <v>-0.113080978337952</v>
      </c>
      <c r="Q4607">
        <v>9.8089078690654904E-2</v>
      </c>
      <c r="R4607">
        <v>0.98757562555335499</v>
      </c>
      <c r="S4607" t="s">
        <v>10433</v>
      </c>
      <c r="T4607" t="s">
        <v>11650</v>
      </c>
      <c r="U4607" t="s">
        <v>11650</v>
      </c>
      <c r="V4607" t="s">
        <v>11650</v>
      </c>
      <c r="W4607" t="s">
        <v>16202</v>
      </c>
      <c r="X4607">
        <v>2</v>
      </c>
      <c r="Y4607" t="s">
        <v>21872</v>
      </c>
      <c r="Z4607" t="s">
        <v>27669</v>
      </c>
      <c r="AA4607">
        <v>0.46145060396875992</v>
      </c>
      <c r="AB4607" t="str">
        <f>HYPERLINK("Melting_Curves/meltCurve_Q96LD8_SENP8.pdf", "Melting_Curves/meltCurve_Q96LD8_SENP8.pdf")</f>
        <v>Melting_Curves/meltCurve_Q96LD8_SENP8.pdf</v>
      </c>
    </row>
    <row r="4608" spans="1:28" x14ac:dyDescent="0.25">
      <c r="A4608" t="s">
        <v>4612</v>
      </c>
      <c r="B4608">
        <v>0.99996721820229495</v>
      </c>
      <c r="C4608">
        <v>0.95273491159377499</v>
      </c>
      <c r="D4608">
        <v>0.73518369972856401</v>
      </c>
      <c r="E4608">
        <v>0.427813428461363</v>
      </c>
      <c r="F4608">
        <v>0.406592475962814</v>
      </c>
      <c r="G4608">
        <v>0.34146995339845299</v>
      </c>
      <c r="H4608">
        <v>0.197816286571492</v>
      </c>
      <c r="I4608">
        <v>0.116875377062715</v>
      </c>
      <c r="J4608">
        <v>7.9622785529575801E-2</v>
      </c>
      <c r="K4608">
        <v>6.3260488594473405E-2</v>
      </c>
      <c r="L4608">
        <v>569.81248752551699</v>
      </c>
      <c r="M4608">
        <v>11.368270930465201</v>
      </c>
      <c r="N4608">
        <v>50.666076549882803</v>
      </c>
      <c r="O4608">
        <v>48.647265257784198</v>
      </c>
      <c r="P4608">
        <v>-5.5087496430605301E-2</v>
      </c>
      <c r="Q4608">
        <v>5.7355366360441598E-2</v>
      </c>
      <c r="R4608">
        <v>0.97141969825629504</v>
      </c>
      <c r="S4608" t="s">
        <v>10434</v>
      </c>
      <c r="T4608" t="s">
        <v>11650</v>
      </c>
      <c r="U4608" t="s">
        <v>11650</v>
      </c>
      <c r="V4608" t="s">
        <v>11650</v>
      </c>
      <c r="W4608" t="s">
        <v>16203</v>
      </c>
      <c r="X4608">
        <v>12</v>
      </c>
      <c r="Y4608" t="s">
        <v>21873</v>
      </c>
      <c r="Z4608" t="s">
        <v>27670</v>
      </c>
      <c r="AA4608">
        <v>0.4106032899746177</v>
      </c>
      <c r="AB4608" t="str">
        <f>HYPERLINK("Melting_Curves/meltCurve_Q96LJ7_DHRS1.pdf", "Melting_Curves/meltCurve_Q96LJ7_DHRS1.pdf")</f>
        <v>Melting_Curves/meltCurve_Q96LJ7_DHRS1.pdf</v>
      </c>
    </row>
    <row r="4609" spans="1:28" x14ac:dyDescent="0.25">
      <c r="A4609" t="s">
        <v>4613</v>
      </c>
      <c r="B4609">
        <v>0.99996721820229495</v>
      </c>
      <c r="C4609">
        <v>1.1022078574607299</v>
      </c>
      <c r="D4609">
        <v>1.0089683009545201</v>
      </c>
      <c r="E4609">
        <v>0.73985130313942804</v>
      </c>
      <c r="F4609">
        <v>0.52225722796672103</v>
      </c>
      <c r="G4609">
        <v>0.53322281697722995</v>
      </c>
      <c r="H4609">
        <v>0.40965312245827301</v>
      </c>
      <c r="I4609">
        <v>0.39585730776306399</v>
      </c>
      <c r="J4609">
        <v>0.39386693783905102</v>
      </c>
      <c r="K4609">
        <v>0.28912803521097802</v>
      </c>
      <c r="L4609">
        <v>1240.8613123669199</v>
      </c>
      <c r="M4609">
        <v>24.374457403630998</v>
      </c>
      <c r="N4609">
        <v>54.185229088286299</v>
      </c>
      <c r="O4609">
        <v>50.569333001101398</v>
      </c>
      <c r="P4609">
        <v>-7.4047608096699899E-2</v>
      </c>
      <c r="Q4609">
        <v>0.38550742157532802</v>
      </c>
      <c r="R4609">
        <v>0.95467229793129804</v>
      </c>
      <c r="S4609" t="s">
        <v>10435</v>
      </c>
      <c r="T4609" t="s">
        <v>11650</v>
      </c>
      <c r="U4609" t="s">
        <v>11650</v>
      </c>
      <c r="V4609" t="s">
        <v>11650</v>
      </c>
      <c r="W4609" t="s">
        <v>16204</v>
      </c>
      <c r="X4609">
        <v>5</v>
      </c>
      <c r="Y4609" t="s">
        <v>21874</v>
      </c>
      <c r="Z4609" t="s">
        <v>27671</v>
      </c>
      <c r="AA4609">
        <v>0.61477161778701628</v>
      </c>
      <c r="AB4609" t="str">
        <f>HYPERLINK("Melting_Curves/meltCurve_Q96LR5_UBE2E2.pdf", "Melting_Curves/meltCurve_Q96LR5_UBE2E2.pdf")</f>
        <v>Melting_Curves/meltCurve_Q96LR5_UBE2E2.pdf</v>
      </c>
    </row>
    <row r="4610" spans="1:28" x14ac:dyDescent="0.25">
      <c r="A4610" t="s">
        <v>4614</v>
      </c>
      <c r="B4610">
        <v>0.99996721820229495</v>
      </c>
      <c r="C4610">
        <v>1.08405342357817</v>
      </c>
      <c r="D4610">
        <v>1.20913657091218</v>
      </c>
      <c r="E4610">
        <v>1.6236508718776601</v>
      </c>
      <c r="F4610">
        <v>3.6911985613421101</v>
      </c>
      <c r="G4610">
        <v>4.23392941616288</v>
      </c>
      <c r="H4610">
        <v>2.80662394739544</v>
      </c>
      <c r="I4610">
        <v>1.7521165831532399</v>
      </c>
      <c r="J4610">
        <v>1.58869947593794</v>
      </c>
      <c r="K4610">
        <v>3.3036444143974002</v>
      </c>
      <c r="L4610">
        <v>6463.7333452309003</v>
      </c>
      <c r="M4610">
        <v>140.186157288076</v>
      </c>
      <c r="O4610">
        <v>46.098832635892599</v>
      </c>
      <c r="P4610">
        <v>0.38012394258142002</v>
      </c>
      <c r="Q4610">
        <v>1.5</v>
      </c>
      <c r="R4610">
        <v>-0.38509913029362403</v>
      </c>
      <c r="S4610" t="s">
        <v>10436</v>
      </c>
      <c r="T4610" t="s">
        <v>11650</v>
      </c>
      <c r="U4610" t="s">
        <v>11650</v>
      </c>
      <c r="V4610" t="s">
        <v>11650</v>
      </c>
      <c r="W4610" t="s">
        <v>16205</v>
      </c>
      <c r="X4610">
        <v>1</v>
      </c>
      <c r="Y4610" t="s">
        <v>21875</v>
      </c>
      <c r="Z4610" t="s">
        <v>27672</v>
      </c>
      <c r="AA4610">
        <v>1.39806769642231</v>
      </c>
      <c r="AB4610" t="str">
        <f>HYPERLINK("Melting_Curves/meltCurve_Q96M20_2_CNBD2.pdf", "Melting_Curves/meltCurve_Q96M20_2_CNBD2.pdf")</f>
        <v>Melting_Curves/meltCurve_Q96M20_2_CNBD2.pdf</v>
      </c>
    </row>
    <row r="4611" spans="1:28" x14ac:dyDescent="0.25">
      <c r="A4611" t="s">
        <v>4615</v>
      </c>
      <c r="B4611">
        <v>0.99996721820229495</v>
      </c>
      <c r="C4611">
        <v>0.87313062048449097</v>
      </c>
      <c r="D4611">
        <v>0.87616086317290698</v>
      </c>
      <c r="E4611">
        <v>1.0072177770144699</v>
      </c>
      <c r="F4611">
        <v>1.3403934641369299</v>
      </c>
      <c r="G4611">
        <v>1.4013165744037099</v>
      </c>
      <c r="H4611">
        <v>1.08029946889977</v>
      </c>
      <c r="I4611">
        <v>1.0553909147559699</v>
      </c>
      <c r="J4611">
        <v>0.46096709003578701</v>
      </c>
      <c r="K4611">
        <v>0.182304213120353</v>
      </c>
      <c r="L4611">
        <v>15000</v>
      </c>
      <c r="M4611">
        <v>224.540175104036</v>
      </c>
      <c r="N4611">
        <v>66.938356007431906</v>
      </c>
      <c r="O4611">
        <v>66.797890882201699</v>
      </c>
      <c r="P4611">
        <v>-0.68719725053524705</v>
      </c>
      <c r="Q4611">
        <v>0.182269688151278</v>
      </c>
      <c r="R4611">
        <v>0.74043625100833599</v>
      </c>
      <c r="S4611" t="s">
        <v>10437</v>
      </c>
      <c r="T4611" t="s">
        <v>11650</v>
      </c>
      <c r="U4611" t="s">
        <v>11650</v>
      </c>
      <c r="V4611" t="s">
        <v>11650</v>
      </c>
      <c r="W4611" t="s">
        <v>16206</v>
      </c>
      <c r="X4611">
        <v>10</v>
      </c>
      <c r="Y4611" t="s">
        <v>21876</v>
      </c>
      <c r="Z4611" t="s">
        <v>27673</v>
      </c>
      <c r="AA4611">
        <v>0.91298092040879864</v>
      </c>
      <c r="AB4611" t="str">
        <f>HYPERLINK("Melting_Curves/meltCurve_Q96M27_PRRC1.pdf", "Melting_Curves/meltCurve_Q96M27_PRRC1.pdf")</f>
        <v>Melting_Curves/meltCurve_Q96M27_PRRC1.pdf</v>
      </c>
    </row>
    <row r="4612" spans="1:28" x14ac:dyDescent="0.25">
      <c r="A4612" t="s">
        <v>4616</v>
      </c>
      <c r="B4612">
        <v>0.99996721820229495</v>
      </c>
      <c r="C4612">
        <v>1.00912620788588</v>
      </c>
      <c r="D4612">
        <v>1.0240771019799799</v>
      </c>
      <c r="E4612">
        <v>1.0557192039974801</v>
      </c>
      <c r="F4612">
        <v>1.0223580304302999</v>
      </c>
      <c r="G4612">
        <v>0.51118868727042499</v>
      </c>
      <c r="H4612">
        <v>0.25688809948064001</v>
      </c>
      <c r="I4612">
        <v>0.13816997304384601</v>
      </c>
      <c r="J4612">
        <v>9.1378914436123504E-2</v>
      </c>
      <c r="K4612">
        <v>7.9949247150653505E-2</v>
      </c>
      <c r="L4612">
        <v>2158.9122365117701</v>
      </c>
      <c r="M4612">
        <v>37.9179551273835</v>
      </c>
      <c r="N4612">
        <v>57.335186649694201</v>
      </c>
      <c r="O4612">
        <v>56.778739129761497</v>
      </c>
      <c r="P4612">
        <v>-0.14760383698032301</v>
      </c>
      <c r="Q4612">
        <v>0.11590821010572699</v>
      </c>
      <c r="R4612">
        <v>0.98929846353440998</v>
      </c>
      <c r="S4612" t="s">
        <v>10438</v>
      </c>
      <c r="T4612" t="s">
        <v>11650</v>
      </c>
      <c r="U4612" t="s">
        <v>11650</v>
      </c>
      <c r="V4612" t="s">
        <v>11650</v>
      </c>
      <c r="W4612" t="s">
        <v>16207</v>
      </c>
      <c r="X4612">
        <v>14</v>
      </c>
      <c r="Y4612" t="s">
        <v>21877</v>
      </c>
      <c r="Z4612" t="s">
        <v>27674</v>
      </c>
      <c r="AA4612">
        <v>0.61883607389479356</v>
      </c>
      <c r="AB4612" t="str">
        <f>HYPERLINK("Melting_Curves/meltCurve_Q96ME1_4_FBXL18.pdf", "Melting_Curves/meltCurve_Q96ME1_4_FBXL18.pdf")</f>
        <v>Melting_Curves/meltCurve_Q96ME1_4_FBXL18.pdf</v>
      </c>
    </row>
    <row r="4613" spans="1:28" x14ac:dyDescent="0.25">
      <c r="A4613" t="s">
        <v>4617</v>
      </c>
      <c r="B4613">
        <v>0.99996721820229495</v>
      </c>
      <c r="C4613">
        <v>1.1307328126126199</v>
      </c>
      <c r="D4613">
        <v>1.10603216352708</v>
      </c>
      <c r="E4613">
        <v>1.20374734355297</v>
      </c>
      <c r="F4613">
        <v>1.58719863305982</v>
      </c>
      <c r="G4613">
        <v>1.16196684628236</v>
      </c>
      <c r="H4613">
        <v>0.50255906581463605</v>
      </c>
      <c r="I4613">
        <v>0.34667379169096801</v>
      </c>
      <c r="J4613">
        <v>0.21127275125256201</v>
      </c>
      <c r="K4613">
        <v>0.138831941032939</v>
      </c>
      <c r="L4613">
        <v>5032.0793083955296</v>
      </c>
      <c r="M4613">
        <v>83.031262537220798</v>
      </c>
      <c r="N4613">
        <v>61.049389301557397</v>
      </c>
      <c r="O4613">
        <v>60.569493861370702</v>
      </c>
      <c r="P4613">
        <v>-0.26493760183067899</v>
      </c>
      <c r="Q4613">
        <v>0.22693514342910301</v>
      </c>
      <c r="R4613">
        <v>0.79160067764561004</v>
      </c>
      <c r="S4613" t="s">
        <v>10439</v>
      </c>
      <c r="T4613" t="s">
        <v>11650</v>
      </c>
      <c r="U4613" t="s">
        <v>11650</v>
      </c>
      <c r="V4613" t="s">
        <v>11650</v>
      </c>
      <c r="W4613" t="s">
        <v>16208</v>
      </c>
      <c r="X4613">
        <v>5</v>
      </c>
      <c r="Y4613" t="s">
        <v>21878</v>
      </c>
      <c r="Z4613" t="s">
        <v>27675</v>
      </c>
      <c r="AA4613">
        <v>0.75863880064045142</v>
      </c>
      <c r="AB4613" t="str">
        <f>HYPERLINK("Melting_Curves/meltCurve_Q96MH6_2_TMEM68.pdf", "Melting_Curves/meltCurve_Q96MH6_2_TMEM68.pdf")</f>
        <v>Melting_Curves/meltCurve_Q96MH6_2_TMEM68.pdf</v>
      </c>
    </row>
    <row r="4614" spans="1:28" x14ac:dyDescent="0.25">
      <c r="A4614" t="s">
        <v>4618</v>
      </c>
      <c r="B4614">
        <v>0.99996721820229495</v>
      </c>
      <c r="C4614">
        <v>0.78401457650537798</v>
      </c>
      <c r="D4614">
        <v>0.802070809744446</v>
      </c>
      <c r="E4614">
        <v>1.0281050353293499</v>
      </c>
      <c r="F4614">
        <v>1.0917885001995999</v>
      </c>
      <c r="G4614">
        <v>0.96483228989245795</v>
      </c>
      <c r="H4614">
        <v>0.79047979858066197</v>
      </c>
      <c r="I4614">
        <v>0.66163179784127002</v>
      </c>
      <c r="J4614">
        <v>0.44226735638376802</v>
      </c>
      <c r="K4614">
        <v>0.64970978229352705</v>
      </c>
      <c r="L4614">
        <v>2474.7684018446298</v>
      </c>
      <c r="M4614">
        <v>40.397377126471397</v>
      </c>
      <c r="O4614">
        <v>61.111078040926301</v>
      </c>
      <c r="P4614">
        <v>-7.3592895771348796E-2</v>
      </c>
      <c r="Q4614">
        <v>0.55469066974227599</v>
      </c>
      <c r="R4614">
        <v>0.67170619891499905</v>
      </c>
      <c r="S4614" t="s">
        <v>10440</v>
      </c>
      <c r="T4614" t="s">
        <v>11650</v>
      </c>
      <c r="U4614" t="s">
        <v>11650</v>
      </c>
      <c r="V4614" t="s">
        <v>11650</v>
      </c>
      <c r="W4614" t="s">
        <v>16209</v>
      </c>
      <c r="X4614">
        <v>1</v>
      </c>
      <c r="Y4614" t="s">
        <v>21879</v>
      </c>
      <c r="Z4614" t="s">
        <v>27676</v>
      </c>
      <c r="AA4614">
        <v>0.87192400480682364</v>
      </c>
      <c r="AB4614" t="str">
        <f>HYPERLINK("Melting_Curves/meltCurve_Q96MP8_2_KCTD7.pdf", "Melting_Curves/meltCurve_Q96MP8_2_KCTD7.pdf")</f>
        <v>Melting_Curves/meltCurve_Q96MP8_2_KCTD7.pdf</v>
      </c>
    </row>
    <row r="4615" spans="1:28" x14ac:dyDescent="0.25">
      <c r="A4615" t="s">
        <v>4619</v>
      </c>
      <c r="B4615">
        <v>0.99996721820229495</v>
      </c>
      <c r="C4615">
        <v>0.92641455936189998</v>
      </c>
      <c r="D4615">
        <v>0.87685575301221697</v>
      </c>
      <c r="E4615">
        <v>0.57379640577298596</v>
      </c>
      <c r="F4615">
        <v>0.455510628085675</v>
      </c>
      <c r="G4615">
        <v>0.42338005599612999</v>
      </c>
      <c r="H4615">
        <v>0.25105069957106402</v>
      </c>
      <c r="I4615">
        <v>0.15704956253649399</v>
      </c>
      <c r="J4615">
        <v>0.19695864015481199</v>
      </c>
      <c r="K4615">
        <v>0.104416537522884</v>
      </c>
      <c r="L4615">
        <v>576.14819360722697</v>
      </c>
      <c r="M4615">
        <v>11.1065648775587</v>
      </c>
      <c r="N4615">
        <v>52.871637362733601</v>
      </c>
      <c r="O4615">
        <v>50.278051622798699</v>
      </c>
      <c r="P4615">
        <v>-5.00239280466344E-2</v>
      </c>
      <c r="Q4615">
        <v>9.4485719227917403E-2</v>
      </c>
      <c r="R4615">
        <v>0.97915200468103103</v>
      </c>
      <c r="S4615" t="s">
        <v>10441</v>
      </c>
      <c r="T4615" t="s">
        <v>11650</v>
      </c>
      <c r="U4615" t="s">
        <v>11650</v>
      </c>
      <c r="V4615" t="s">
        <v>11650</v>
      </c>
      <c r="W4615" t="s">
        <v>16210</v>
      </c>
      <c r="X4615">
        <v>1</v>
      </c>
      <c r="Y4615" t="s">
        <v>21880</v>
      </c>
      <c r="Z4615" t="s">
        <v>27677</v>
      </c>
      <c r="AA4615">
        <v>0.48371163626476033</v>
      </c>
      <c r="AB4615" t="str">
        <f>HYPERLINK("Melting_Curves/meltCurve_Q96MW5_COG8.pdf", "Melting_Curves/meltCurve_Q96MW5_COG8.pdf")</f>
        <v>Melting_Curves/meltCurve_Q96MW5_COG8.pdf</v>
      </c>
    </row>
    <row r="4616" spans="1:28" x14ac:dyDescent="0.25">
      <c r="A4616" t="s">
        <v>4620</v>
      </c>
      <c r="B4616">
        <v>0.99996721820229495</v>
      </c>
      <c r="C4616">
        <v>0.96350137075657205</v>
      </c>
      <c r="D4616">
        <v>1.2724738707418199</v>
      </c>
      <c r="E4616">
        <v>1.45933792434666</v>
      </c>
      <c r="F4616">
        <v>0.75399196595119899</v>
      </c>
      <c r="G4616">
        <v>0.66106374348848396</v>
      </c>
      <c r="H4616">
        <v>0.36471763290512998</v>
      </c>
      <c r="I4616">
        <v>0.245624237417329</v>
      </c>
      <c r="J4616">
        <v>0.13880335312537201</v>
      </c>
      <c r="K4616">
        <v>0.18792380812811399</v>
      </c>
      <c r="L4616">
        <v>1467.0314950233201</v>
      </c>
      <c r="M4616">
        <v>25.3638587028099</v>
      </c>
      <c r="N4616">
        <v>58.743543838115102</v>
      </c>
      <c r="O4616">
        <v>57.483499998073903</v>
      </c>
      <c r="P4616">
        <v>-9.2485004890025396E-2</v>
      </c>
      <c r="Q4616">
        <v>0.16159535946902001</v>
      </c>
      <c r="R4616">
        <v>0.829780495471372</v>
      </c>
      <c r="S4616" t="s">
        <v>10442</v>
      </c>
      <c r="T4616" t="s">
        <v>11650</v>
      </c>
      <c r="U4616" t="s">
        <v>11650</v>
      </c>
      <c r="V4616" t="s">
        <v>11650</v>
      </c>
      <c r="W4616" t="s">
        <v>16211</v>
      </c>
      <c r="X4616">
        <v>2</v>
      </c>
      <c r="Y4616" t="s">
        <v>21881</v>
      </c>
      <c r="Z4616" t="s">
        <v>27678</v>
      </c>
      <c r="AA4616">
        <v>0.66734484916322934</v>
      </c>
      <c r="AB4616" t="str">
        <f>HYPERLINK("Melting_Curves/meltCurve_Q96MX6_WDR92.pdf", "Melting_Curves/meltCurve_Q96MX6_WDR92.pdf")</f>
        <v>Melting_Curves/meltCurve_Q96MX6_WDR92.pdf</v>
      </c>
    </row>
    <row r="4617" spans="1:28" x14ac:dyDescent="0.25">
      <c r="A4617" t="s">
        <v>4621</v>
      </c>
      <c r="B4617">
        <v>0.99996721820229495</v>
      </c>
      <c r="C4617">
        <v>0.62041612366987098</v>
      </c>
      <c r="D4617">
        <v>1.0879201207428999</v>
      </c>
      <c r="E4617">
        <v>1.11061005637815</v>
      </c>
      <c r="F4617">
        <v>1.4455305297001899</v>
      </c>
      <c r="G4617">
        <v>1.6423570509143599</v>
      </c>
      <c r="H4617">
        <v>0.96659947450207295</v>
      </c>
      <c r="I4617">
        <v>0.36558431265805602</v>
      </c>
      <c r="J4617">
        <v>0.171889099675058</v>
      </c>
      <c r="K4617">
        <v>0.182035614413316</v>
      </c>
      <c r="L4617">
        <v>5819.8550738182103</v>
      </c>
      <c r="M4617">
        <v>92.142467762064499</v>
      </c>
      <c r="N4617">
        <v>63.458256547344902</v>
      </c>
      <c r="O4617">
        <v>63.131750891001403</v>
      </c>
      <c r="P4617">
        <v>-0.30101127149939499</v>
      </c>
      <c r="Q4617">
        <v>0.17504413942111199</v>
      </c>
      <c r="R4617">
        <v>0.66803983766685704</v>
      </c>
      <c r="S4617" t="s">
        <v>10443</v>
      </c>
      <c r="T4617" t="s">
        <v>11650</v>
      </c>
      <c r="U4617" t="s">
        <v>11650</v>
      </c>
      <c r="V4617" t="s">
        <v>11650</v>
      </c>
      <c r="W4617" t="s">
        <v>16212</v>
      </c>
      <c r="X4617">
        <v>8</v>
      </c>
      <c r="Y4617" t="s">
        <v>21882</v>
      </c>
      <c r="Z4617" t="s">
        <v>27679</v>
      </c>
      <c r="AA4617">
        <v>0.81262207712133061</v>
      </c>
      <c r="AB4617" t="str">
        <f>HYPERLINK("Melting_Curves/meltCurve_Q96N66_2_MBOAT7.pdf", "Melting_Curves/meltCurve_Q96N66_2_MBOAT7.pdf")</f>
        <v>Melting_Curves/meltCurve_Q96N66_2_MBOAT7.pdf</v>
      </c>
    </row>
    <row r="4618" spans="1:28" x14ac:dyDescent="0.25">
      <c r="A4618" t="s">
        <v>4622</v>
      </c>
      <c r="B4618">
        <v>0.99996721820229495</v>
      </c>
      <c r="C4618">
        <v>1.0099992054037801</v>
      </c>
      <c r="D4618">
        <v>1.0333664925083601</v>
      </c>
      <c r="E4618">
        <v>1.0840687054259801</v>
      </c>
      <c r="F4618">
        <v>1.2757811662916101</v>
      </c>
      <c r="G4618">
        <v>1.31389540203247</v>
      </c>
      <c r="H4618">
        <v>0.94580237332771899</v>
      </c>
      <c r="I4618">
        <v>0.77943804518367199</v>
      </c>
      <c r="J4618">
        <v>0.60605978857828202</v>
      </c>
      <c r="K4618">
        <v>0.54205463387771102</v>
      </c>
      <c r="L4618">
        <v>3058.6873687788202</v>
      </c>
      <c r="M4618">
        <v>47.7019491693327</v>
      </c>
      <c r="O4618">
        <v>64.008418401151502</v>
      </c>
      <c r="P4618">
        <v>-8.5235164086104098E-2</v>
      </c>
      <c r="Q4618">
        <v>0.542512415189634</v>
      </c>
      <c r="R4618">
        <v>0.68393242369826002</v>
      </c>
      <c r="S4618" t="s">
        <v>10444</v>
      </c>
      <c r="T4618" t="s">
        <v>11650</v>
      </c>
      <c r="U4618" t="s">
        <v>11650</v>
      </c>
      <c r="V4618" t="s">
        <v>11650</v>
      </c>
      <c r="W4618" t="s">
        <v>16213</v>
      </c>
      <c r="X4618">
        <v>3</v>
      </c>
      <c r="Y4618" t="s">
        <v>21883</v>
      </c>
      <c r="Z4618" t="s">
        <v>27680</v>
      </c>
      <c r="AA4618">
        <v>0.91130474608032463</v>
      </c>
      <c r="AB4618" t="str">
        <f>HYPERLINK("Melting_Curves/meltCurve_Q96NB3_ZNF830.pdf", "Melting_Curves/meltCurve_Q96NB3_ZNF830.pdf")</f>
        <v>Melting_Curves/meltCurve_Q96NB3_ZNF830.pdf</v>
      </c>
    </row>
    <row r="4619" spans="1:28" x14ac:dyDescent="0.25">
      <c r="A4619" t="s">
        <v>4623</v>
      </c>
      <c r="B4619">
        <v>0.99996721820229495</v>
      </c>
      <c r="C4619">
        <v>0.98397614689210899</v>
      </c>
      <c r="D4619">
        <v>0.91579735570846299</v>
      </c>
      <c r="E4619">
        <v>1.0473230201563899</v>
      </c>
      <c r="F4619">
        <v>1.2682959236395299</v>
      </c>
      <c r="G4619">
        <v>1.3813002824183001</v>
      </c>
      <c r="H4619">
        <v>0.98375490440606705</v>
      </c>
      <c r="I4619">
        <v>0.76518504548184296</v>
      </c>
      <c r="J4619">
        <v>0.67959525427912204</v>
      </c>
      <c r="K4619">
        <v>0.45301196611515698</v>
      </c>
      <c r="L4619">
        <v>2139.8400632729699</v>
      </c>
      <c r="M4619">
        <v>32.416379129831199</v>
      </c>
      <c r="N4619">
        <v>69.277992663054405</v>
      </c>
      <c r="O4619">
        <v>65.761386450687894</v>
      </c>
      <c r="P4619">
        <v>-7.4978364069044207E-2</v>
      </c>
      <c r="Q4619">
        <v>0.391584433478814</v>
      </c>
      <c r="R4619">
        <v>0.63579745315082004</v>
      </c>
      <c r="S4619" t="s">
        <v>10445</v>
      </c>
      <c r="T4619" t="s">
        <v>11650</v>
      </c>
      <c r="U4619" t="s">
        <v>11650</v>
      </c>
      <c r="V4619" t="s">
        <v>11650</v>
      </c>
      <c r="W4619" t="s">
        <v>16214</v>
      </c>
      <c r="X4619">
        <v>6</v>
      </c>
      <c r="Y4619" t="s">
        <v>21884</v>
      </c>
      <c r="Z4619" t="s">
        <v>27681</v>
      </c>
      <c r="AA4619">
        <v>0.91603640511939521</v>
      </c>
      <c r="AB4619" t="str">
        <f>HYPERLINK("Melting_Curves/meltCurve_Q96NC0_ZMAT2.pdf", "Melting_Curves/meltCurve_Q96NC0_ZMAT2.pdf")</f>
        <v>Melting_Curves/meltCurve_Q96NC0_ZMAT2.pdf</v>
      </c>
    </row>
    <row r="4620" spans="1:28" x14ac:dyDescent="0.25">
      <c r="A4620" t="s">
        <v>4624</v>
      </c>
      <c r="B4620">
        <v>0.99996721820229495</v>
      </c>
      <c r="C4620">
        <v>0.92796978989823897</v>
      </c>
      <c r="D4620">
        <v>0.90633559534582897</v>
      </c>
      <c r="E4620">
        <v>0.781293773947762</v>
      </c>
      <c r="F4620">
        <v>0.84309521131926302</v>
      </c>
      <c r="G4620">
        <v>0.83372901706067104</v>
      </c>
      <c r="H4620">
        <v>0.55322901061149399</v>
      </c>
      <c r="I4620">
        <v>0.42645559286885898</v>
      </c>
      <c r="J4620">
        <v>0.28607621732545502</v>
      </c>
      <c r="K4620">
        <v>0.19522113382984599</v>
      </c>
      <c r="L4620">
        <v>641.03197738660594</v>
      </c>
      <c r="M4620">
        <v>10.3319592043174</v>
      </c>
      <c r="N4620">
        <v>62.043609304713698</v>
      </c>
      <c r="O4620">
        <v>59.854258860309599</v>
      </c>
      <c r="P4620">
        <v>-4.3173176523487199E-2</v>
      </c>
      <c r="Q4620">
        <v>0</v>
      </c>
      <c r="R4620">
        <v>0.93857212165355597</v>
      </c>
      <c r="S4620" t="s">
        <v>10446</v>
      </c>
      <c r="T4620" t="s">
        <v>11650</v>
      </c>
      <c r="U4620" t="s">
        <v>11650</v>
      </c>
      <c r="V4620" t="s">
        <v>11650</v>
      </c>
      <c r="W4620" t="s">
        <v>16215</v>
      </c>
      <c r="X4620">
        <v>2</v>
      </c>
      <c r="Y4620" t="s">
        <v>21885</v>
      </c>
      <c r="Z4620" t="s">
        <v>27682</v>
      </c>
      <c r="AA4620">
        <v>0.71513451117764049</v>
      </c>
      <c r="AB4620" t="str">
        <f>HYPERLINK("Melting_Curves/meltCurve_Q96NT0_CCDC115.pdf", "Melting_Curves/meltCurve_Q96NT0_CCDC115.pdf")</f>
        <v>Melting_Curves/meltCurve_Q96NT0_CCDC115.pdf</v>
      </c>
    </row>
    <row r="4621" spans="1:28" x14ac:dyDescent="0.25">
      <c r="A4621" t="s">
        <v>4625</v>
      </c>
      <c r="B4621">
        <v>0.99996721820229495</v>
      </c>
      <c r="C4621">
        <v>0.97024814494919098</v>
      </c>
      <c r="D4621">
        <v>0.91040435446508405</v>
      </c>
      <c r="E4621">
        <v>1.0442671949979301</v>
      </c>
      <c r="F4621">
        <v>1.40367142770694</v>
      </c>
      <c r="G4621">
        <v>1.4965207577088699</v>
      </c>
      <c r="H4621">
        <v>1.3372785483723599</v>
      </c>
      <c r="I4621">
        <v>1.53133926625731</v>
      </c>
      <c r="J4621">
        <v>1.3465737773957001</v>
      </c>
      <c r="K4621">
        <v>1.04918454299106</v>
      </c>
      <c r="L4621">
        <v>12598.3508688536</v>
      </c>
      <c r="M4621">
        <v>250</v>
      </c>
      <c r="O4621">
        <v>50.390197797471103</v>
      </c>
      <c r="P4621">
        <v>0.44746020357066701</v>
      </c>
      <c r="Q4621">
        <v>1.3607615938089299</v>
      </c>
      <c r="R4621">
        <v>0.68925317126086705</v>
      </c>
      <c r="S4621" t="s">
        <v>10447</v>
      </c>
      <c r="T4621" t="s">
        <v>11650</v>
      </c>
      <c r="U4621" t="s">
        <v>11650</v>
      </c>
      <c r="V4621" t="s">
        <v>11650</v>
      </c>
      <c r="W4621" t="s">
        <v>16216</v>
      </c>
      <c r="X4621">
        <v>5</v>
      </c>
      <c r="Y4621" t="s">
        <v>21886</v>
      </c>
      <c r="Z4621" t="s">
        <v>27683</v>
      </c>
      <c r="AA4621">
        <v>1.2357449947542201</v>
      </c>
      <c r="AB4621" t="str">
        <f>HYPERLINK("Melting_Curves/meltCurve_Q96NT1_NAP1L5.pdf", "Melting_Curves/meltCurve_Q96NT1_NAP1L5.pdf")</f>
        <v>Melting_Curves/meltCurve_Q96NT1_NAP1L5.pdf</v>
      </c>
    </row>
    <row r="4622" spans="1:28" x14ac:dyDescent="0.25">
      <c r="A4622" t="s">
        <v>4626</v>
      </c>
      <c r="B4622">
        <v>0.99996721820229495</v>
      </c>
      <c r="C4622">
        <v>1.08665435071631</v>
      </c>
      <c r="D4622">
        <v>0.95560481087029103</v>
      </c>
      <c r="E4622">
        <v>0.68174842716233797</v>
      </c>
      <c r="F4622">
        <v>0.51474816618519303</v>
      </c>
      <c r="G4622">
        <v>0.38030258085519397</v>
      </c>
      <c r="H4622">
        <v>0.23675826896146601</v>
      </c>
      <c r="I4622">
        <v>0.16021735031748399</v>
      </c>
      <c r="J4622">
        <v>0.125116971635158</v>
      </c>
      <c r="K4622">
        <v>8.8446517651414897E-2</v>
      </c>
      <c r="L4622">
        <v>772.79770953459001</v>
      </c>
      <c r="M4622">
        <v>14.577488621438601</v>
      </c>
      <c r="N4622">
        <v>53.760998231636698</v>
      </c>
      <c r="O4622">
        <v>52.045427198484099</v>
      </c>
      <c r="P4622">
        <v>-6.3603498792708296E-2</v>
      </c>
      <c r="Q4622">
        <v>9.1778461368470093E-2</v>
      </c>
      <c r="R4622">
        <v>0.98289694159873298</v>
      </c>
      <c r="S4622" t="s">
        <v>10448</v>
      </c>
      <c r="T4622" t="s">
        <v>11650</v>
      </c>
      <c r="U4622" t="s">
        <v>11650</v>
      </c>
      <c r="V4622" t="s">
        <v>11650</v>
      </c>
      <c r="W4622" t="s">
        <v>16217</v>
      </c>
      <c r="X4622">
        <v>18</v>
      </c>
      <c r="Y4622" t="s">
        <v>21887</v>
      </c>
      <c r="Z4622" t="s">
        <v>27684</v>
      </c>
      <c r="AA4622">
        <v>0.50605161682474709</v>
      </c>
      <c r="AB4622" t="str">
        <f>HYPERLINK("Melting_Curves/meltCurve_Q96NY7_2_CLIC6.pdf", "Melting_Curves/meltCurve_Q96NY7_2_CLIC6.pdf")</f>
        <v>Melting_Curves/meltCurve_Q96NY7_2_CLIC6.pdf</v>
      </c>
    </row>
    <row r="4623" spans="1:28" x14ac:dyDescent="0.25">
      <c r="A4623" t="s">
        <v>4627</v>
      </c>
      <c r="B4623">
        <v>0.99996721820229495</v>
      </c>
      <c r="C4623">
        <v>0.98412340751492</v>
      </c>
      <c r="D4623">
        <v>0.85121900246009197</v>
      </c>
      <c r="E4623">
        <v>0.55489977427742398</v>
      </c>
      <c r="F4623">
        <v>0.39026408099047299</v>
      </c>
      <c r="G4623">
        <v>0.29218697815313099</v>
      </c>
      <c r="H4623">
        <v>0.175789294619839</v>
      </c>
      <c r="I4623">
        <v>0.14219455788124</v>
      </c>
      <c r="J4623">
        <v>0.10271689359637</v>
      </c>
      <c r="K4623">
        <v>0.10333942861528</v>
      </c>
      <c r="L4623">
        <v>770.78304716163905</v>
      </c>
      <c r="M4623">
        <v>15.2472575873251</v>
      </c>
      <c r="N4623">
        <v>51.3462557447059</v>
      </c>
      <c r="O4623">
        <v>49.706593204407397</v>
      </c>
      <c r="P4623">
        <v>-6.8638928838973406E-2</v>
      </c>
      <c r="Q4623">
        <v>0.105023569821534</v>
      </c>
      <c r="R4623">
        <v>0.99427823050334596</v>
      </c>
      <c r="S4623" t="s">
        <v>10449</v>
      </c>
      <c r="T4623" t="s">
        <v>11650</v>
      </c>
      <c r="U4623" t="s">
        <v>11650</v>
      </c>
      <c r="V4623" t="s">
        <v>11650</v>
      </c>
      <c r="W4623" t="s">
        <v>16218</v>
      </c>
      <c r="X4623">
        <v>20</v>
      </c>
      <c r="Y4623" t="s">
        <v>21888</v>
      </c>
      <c r="Z4623" t="s">
        <v>27685</v>
      </c>
      <c r="AA4623">
        <v>0.4402154789551192</v>
      </c>
      <c r="AB4623" t="str">
        <f>HYPERLINK("Melting_Curves/meltCurve_Q96P48_3_ARAP1.pdf", "Melting_Curves/meltCurve_Q96P48_3_ARAP1.pdf")</f>
        <v>Melting_Curves/meltCurve_Q96P48_3_ARAP1.pdf</v>
      </c>
    </row>
    <row r="4624" spans="1:28" x14ac:dyDescent="0.25">
      <c r="A4624" t="s">
        <v>4628</v>
      </c>
      <c r="B4624">
        <v>0.99996721820229495</v>
      </c>
      <c r="C4624">
        <v>1.0678711816356801</v>
      </c>
      <c r="D4624">
        <v>1.2544428760424899</v>
      </c>
      <c r="E4624">
        <v>0.91504917323313595</v>
      </c>
      <c r="F4624">
        <v>0.32298269200729202</v>
      </c>
      <c r="G4624">
        <v>0.24587772291183499</v>
      </c>
      <c r="H4624">
        <v>0.14990860061278699</v>
      </c>
      <c r="I4624">
        <v>0.100718765516777</v>
      </c>
      <c r="J4624">
        <v>7.2596944600066798E-2</v>
      </c>
      <c r="K4624">
        <v>4.58456581893774E-2</v>
      </c>
      <c r="L4624">
        <v>2944.1089628892901</v>
      </c>
      <c r="M4624">
        <v>56.708941370995099</v>
      </c>
      <c r="N4624">
        <v>52.170210431096898</v>
      </c>
      <c r="O4624">
        <v>51.851690178876602</v>
      </c>
      <c r="P4624">
        <v>-0.24042772820745301</v>
      </c>
      <c r="Q4624">
        <v>0.12066224747986599</v>
      </c>
      <c r="R4624">
        <v>0.95513988360101798</v>
      </c>
      <c r="S4624" t="s">
        <v>10450</v>
      </c>
      <c r="T4624" t="s">
        <v>11650</v>
      </c>
      <c r="U4624" t="s">
        <v>11650</v>
      </c>
      <c r="V4624" t="s">
        <v>11650</v>
      </c>
      <c r="W4624" t="s">
        <v>16219</v>
      </c>
      <c r="X4624">
        <v>2</v>
      </c>
      <c r="Y4624" t="s">
        <v>21889</v>
      </c>
      <c r="Z4624" t="s">
        <v>27686</v>
      </c>
      <c r="AA4624">
        <v>0.47150257103265891</v>
      </c>
      <c r="AB4624" t="str">
        <f>HYPERLINK("Melting_Curves/meltCurve_Q96P50_ACAP3.pdf", "Melting_Curves/meltCurve_Q96P50_ACAP3.pdf")</f>
        <v>Melting_Curves/meltCurve_Q96P50_ACAP3.pdf</v>
      </c>
    </row>
    <row r="4625" spans="1:28" x14ac:dyDescent="0.25">
      <c r="A4625" t="s">
        <v>4629</v>
      </c>
      <c r="B4625">
        <v>0.99996721820229495</v>
      </c>
      <c r="C4625">
        <v>1.09494047522393</v>
      </c>
      <c r="D4625">
        <v>1.2111868642943799</v>
      </c>
      <c r="E4625">
        <v>1.21410293723846</v>
      </c>
      <c r="F4625">
        <v>1.4749273868596999</v>
      </c>
      <c r="G4625">
        <v>0.80664190694111204</v>
      </c>
      <c r="H4625">
        <v>0.36579151050271302</v>
      </c>
      <c r="I4625">
        <v>0.22211214405600199</v>
      </c>
      <c r="J4625">
        <v>0.17823204730954401</v>
      </c>
      <c r="K4625">
        <v>0.14267716028967001</v>
      </c>
      <c r="L4625">
        <v>2515.7483954874101</v>
      </c>
      <c r="M4625">
        <v>42.553513637685498</v>
      </c>
      <c r="N4625">
        <v>59.708341307655502</v>
      </c>
      <c r="O4625">
        <v>58.989525201555203</v>
      </c>
      <c r="P4625">
        <v>-0.149445506530299</v>
      </c>
      <c r="Q4625">
        <v>0.17132998385616499</v>
      </c>
      <c r="R4625">
        <v>0.85137641379492801</v>
      </c>
      <c r="S4625" t="s">
        <v>10451</v>
      </c>
      <c r="T4625" t="s">
        <v>11650</v>
      </c>
      <c r="U4625" t="s">
        <v>11650</v>
      </c>
      <c r="V4625" t="s">
        <v>11650</v>
      </c>
      <c r="W4625" t="s">
        <v>16220</v>
      </c>
      <c r="X4625">
        <v>16</v>
      </c>
      <c r="Y4625" t="s">
        <v>21890</v>
      </c>
      <c r="Z4625" t="s">
        <v>27687</v>
      </c>
      <c r="AA4625">
        <v>0.70237247916209167</v>
      </c>
      <c r="AB4625" t="str">
        <f>HYPERLINK("Melting_Curves/meltCurve_Q96P70_IPO9.pdf", "Melting_Curves/meltCurve_Q96P70_IPO9.pdf")</f>
        <v>Melting_Curves/meltCurve_Q96P70_IPO9.pdf</v>
      </c>
    </row>
    <row r="4626" spans="1:28" x14ac:dyDescent="0.25">
      <c r="A4626" t="s">
        <v>4630</v>
      </c>
      <c r="B4626">
        <v>0.99996721820229495</v>
      </c>
      <c r="C4626">
        <v>1.01480349268146</v>
      </c>
      <c r="D4626">
        <v>1.01273410966671</v>
      </c>
      <c r="E4626">
        <v>1.0213656457885401</v>
      </c>
      <c r="F4626">
        <v>1.2525192829646701</v>
      </c>
      <c r="G4626">
        <v>1.49470543599897</v>
      </c>
      <c r="H4626">
        <v>1.0964538334174001</v>
      </c>
      <c r="I4626">
        <v>0.95346280741961398</v>
      </c>
      <c r="J4626">
        <v>0.89024238055476701</v>
      </c>
      <c r="K4626">
        <v>0.614492414205008</v>
      </c>
      <c r="L4626">
        <v>2997.0161389212199</v>
      </c>
      <c r="M4626">
        <v>43.162724403467998</v>
      </c>
      <c r="O4626">
        <v>69.286737094369997</v>
      </c>
      <c r="P4626">
        <v>-0.102356701895057</v>
      </c>
      <c r="Q4626">
        <v>0.34277077086079</v>
      </c>
      <c r="R4626">
        <v>0.31806507906838</v>
      </c>
      <c r="S4626" t="s">
        <v>10452</v>
      </c>
      <c r="T4626" t="s">
        <v>11650</v>
      </c>
      <c r="U4626" t="s">
        <v>11650</v>
      </c>
      <c r="V4626" t="s">
        <v>11650</v>
      </c>
      <c r="W4626" t="s">
        <v>16221</v>
      </c>
      <c r="X4626">
        <v>7</v>
      </c>
      <c r="Y4626" t="s">
        <v>21891</v>
      </c>
      <c r="Z4626" t="s">
        <v>27688</v>
      </c>
      <c r="AA4626">
        <v>0.97009843814566432</v>
      </c>
      <c r="AB4626" t="str">
        <f>HYPERLINK("Melting_Curves/meltCurve_Q96PD2_DCBLD2.pdf", "Melting_Curves/meltCurve_Q96PD2_DCBLD2.pdf")</f>
        <v>Melting_Curves/meltCurve_Q96PD2_DCBLD2.pdf</v>
      </c>
    </row>
    <row r="4627" spans="1:28" x14ac:dyDescent="0.25">
      <c r="A4627" t="s">
        <v>4631</v>
      </c>
      <c r="B4627">
        <v>0.99996721820229495</v>
      </c>
      <c r="C4627">
        <v>0.94050780154711999</v>
      </c>
      <c r="D4627">
        <v>0.88146575177776898</v>
      </c>
      <c r="E4627">
        <v>1.05277269460446</v>
      </c>
      <c r="F4627">
        <v>1.41956028610481</v>
      </c>
      <c r="G4627">
        <v>1.33109939009989</v>
      </c>
      <c r="H4627">
        <v>0.97455477010189995</v>
      </c>
      <c r="I4627">
        <v>0.70355622122553096</v>
      </c>
      <c r="J4627">
        <v>0.479895543959038</v>
      </c>
      <c r="K4627">
        <v>0.44153652894982298</v>
      </c>
      <c r="L4627">
        <v>4167.7211784884503</v>
      </c>
      <c r="M4627">
        <v>65.251763751802997</v>
      </c>
      <c r="N4627">
        <v>66.140239675997194</v>
      </c>
      <c r="O4627">
        <v>63.8114849075221</v>
      </c>
      <c r="P4627">
        <v>-0.14145130804786499</v>
      </c>
      <c r="Q4627">
        <v>0.44668374965670599</v>
      </c>
      <c r="R4627">
        <v>0.66593890758347496</v>
      </c>
      <c r="S4627" t="s">
        <v>10453</v>
      </c>
      <c r="T4627" t="s">
        <v>11650</v>
      </c>
      <c r="U4627" t="s">
        <v>11650</v>
      </c>
      <c r="V4627" t="s">
        <v>11650</v>
      </c>
      <c r="W4627" t="s">
        <v>16222</v>
      </c>
      <c r="X4627">
        <v>6</v>
      </c>
      <c r="Y4627" t="s">
        <v>21892</v>
      </c>
      <c r="Z4627" t="s">
        <v>27689</v>
      </c>
      <c r="AA4627">
        <v>0.88780394209706204</v>
      </c>
      <c r="AB4627" t="str">
        <f>HYPERLINK("Melting_Curves/meltCurve_Q96PE1_2_GPR124.pdf", "Melting_Curves/meltCurve_Q96PE1_2_GPR124.pdf")</f>
        <v>Melting_Curves/meltCurve_Q96PE1_2_GPR124.pdf</v>
      </c>
    </row>
    <row r="4628" spans="1:28" x14ac:dyDescent="0.25">
      <c r="A4628" t="s">
        <v>4632</v>
      </c>
      <c r="B4628">
        <v>0.99996721820229495</v>
      </c>
      <c r="C4628">
        <v>0.92065509326232498</v>
      </c>
      <c r="D4628">
        <v>0.77027636440088199</v>
      </c>
      <c r="E4628">
        <v>0.66102341106245699</v>
      </c>
      <c r="F4628">
        <v>0.74671471063968997</v>
      </c>
      <c r="G4628">
        <v>0.65887723078668203</v>
      </c>
      <c r="H4628">
        <v>0.45436779752907902</v>
      </c>
      <c r="I4628">
        <v>0.45861618024707701</v>
      </c>
      <c r="J4628">
        <v>0.358045122879731</v>
      </c>
      <c r="K4628">
        <v>0.28225333721728602</v>
      </c>
      <c r="L4628">
        <v>326.724758719504</v>
      </c>
      <c r="M4628">
        <v>5.4085415299713198</v>
      </c>
      <c r="N4628">
        <v>60.409038973879802</v>
      </c>
      <c r="O4628">
        <v>53.644479134768503</v>
      </c>
      <c r="P4628">
        <v>-2.53232224885949E-2</v>
      </c>
      <c r="Q4628">
        <v>0</v>
      </c>
      <c r="R4628">
        <v>0.93567890586124203</v>
      </c>
      <c r="S4628" t="s">
        <v>10454</v>
      </c>
      <c r="T4628" t="s">
        <v>11650</v>
      </c>
      <c r="U4628" t="s">
        <v>11650</v>
      </c>
      <c r="V4628" t="s">
        <v>11650</v>
      </c>
      <c r="W4628" t="s">
        <v>16223</v>
      </c>
      <c r="X4628">
        <v>10</v>
      </c>
      <c r="Y4628" t="s">
        <v>21893</v>
      </c>
      <c r="Z4628" t="s">
        <v>27690</v>
      </c>
      <c r="AA4628">
        <v>0.6328614056491223</v>
      </c>
      <c r="AB4628" t="str">
        <f>HYPERLINK("Melting_Curves/meltCurve_Q96PE2_ARHGEF17.pdf", "Melting_Curves/meltCurve_Q96PE2_ARHGEF17.pdf")</f>
        <v>Melting_Curves/meltCurve_Q96PE2_ARHGEF17.pdf</v>
      </c>
    </row>
    <row r="4629" spans="1:28" x14ac:dyDescent="0.25">
      <c r="A4629" t="s">
        <v>4633</v>
      </c>
      <c r="B4629">
        <v>0.99996721820229495</v>
      </c>
      <c r="C4629">
        <v>0.73516373744743402</v>
      </c>
      <c r="D4629">
        <v>0.60370535019273097</v>
      </c>
      <c r="E4629">
        <v>1.0521671778669299</v>
      </c>
      <c r="F4629">
        <v>1.33880922037831</v>
      </c>
      <c r="G4629">
        <v>0.79513949099415704</v>
      </c>
      <c r="H4629">
        <v>0.89737244695455398</v>
      </c>
      <c r="I4629">
        <v>0.86771029202452898</v>
      </c>
      <c r="J4629">
        <v>0.429617577601695</v>
      </c>
      <c r="K4629">
        <v>0.23767538401829799</v>
      </c>
      <c r="L4629">
        <v>3065.5844286348802</v>
      </c>
      <c r="M4629">
        <v>46.500910948339197</v>
      </c>
      <c r="N4629">
        <v>66.564894161636303</v>
      </c>
      <c r="O4629">
        <v>65.8036780974886</v>
      </c>
      <c r="P4629">
        <v>-0.144834230126799</v>
      </c>
      <c r="Q4629">
        <v>0.180178277884701</v>
      </c>
      <c r="R4629">
        <v>0.56343243841568103</v>
      </c>
      <c r="S4629" t="s">
        <v>10455</v>
      </c>
      <c r="T4629" t="s">
        <v>11650</v>
      </c>
      <c r="U4629" t="s">
        <v>11650</v>
      </c>
      <c r="V4629" t="s">
        <v>11650</v>
      </c>
      <c r="W4629" t="s">
        <v>16224</v>
      </c>
      <c r="X4629">
        <v>5</v>
      </c>
      <c r="Y4629" t="s">
        <v>21894</v>
      </c>
      <c r="Z4629" t="s">
        <v>27691</v>
      </c>
      <c r="AA4629">
        <v>0.88844332371620072</v>
      </c>
      <c r="AB4629" t="str">
        <f>HYPERLINK("Melting_Curves/meltCurve_Q96PE7_MCEE.pdf", "Melting_Curves/meltCurve_Q96PE7_MCEE.pdf")</f>
        <v>Melting_Curves/meltCurve_Q96PE7_MCEE.pdf</v>
      </c>
    </row>
    <row r="4630" spans="1:28" x14ac:dyDescent="0.25">
      <c r="A4630" t="s">
        <v>4634</v>
      </c>
      <c r="B4630">
        <v>0.99996721820229495</v>
      </c>
      <c r="C4630">
        <v>1.0309803952735099</v>
      </c>
      <c r="D4630">
        <v>0.563974723251496</v>
      </c>
      <c r="E4630">
        <v>0.455693650048697</v>
      </c>
      <c r="F4630">
        <v>0.48268927771248399</v>
      </c>
      <c r="G4630">
        <v>0.46917026957464703</v>
      </c>
      <c r="H4630">
        <v>0.353489621716018</v>
      </c>
      <c r="I4630">
        <v>0.411720311662784</v>
      </c>
      <c r="J4630">
        <v>0.35834334392690798</v>
      </c>
      <c r="K4630">
        <v>0.2565123438129</v>
      </c>
      <c r="L4630">
        <v>11455.5060877826</v>
      </c>
      <c r="M4630">
        <v>250</v>
      </c>
      <c r="N4630">
        <v>46.115671835112401</v>
      </c>
      <c r="O4630">
        <v>45.819091923856199</v>
      </c>
      <c r="P4630">
        <v>-0.82084879202410399</v>
      </c>
      <c r="Q4630">
        <v>0.39823125899020401</v>
      </c>
      <c r="R4630">
        <v>0.93637578849244796</v>
      </c>
      <c r="S4630" t="s">
        <v>10456</v>
      </c>
      <c r="T4630" t="s">
        <v>11650</v>
      </c>
      <c r="U4630" t="s">
        <v>11650</v>
      </c>
      <c r="V4630" t="s">
        <v>11650</v>
      </c>
      <c r="W4630" t="s">
        <v>16225</v>
      </c>
      <c r="X4630">
        <v>3</v>
      </c>
      <c r="Y4630" t="s">
        <v>21895</v>
      </c>
      <c r="Z4630" t="s">
        <v>27692</v>
      </c>
      <c r="AA4630">
        <v>0.51506339352096608</v>
      </c>
      <c r="AB4630" t="str">
        <f>HYPERLINK("Melting_Curves/meltCurve_Q96PK6_RBM14.pdf", "Melting_Curves/meltCurve_Q96PK6_RBM14.pdf")</f>
        <v>Melting_Curves/meltCurve_Q96PK6_RBM14.pdf</v>
      </c>
    </row>
    <row r="4631" spans="1:28" x14ac:dyDescent="0.25">
      <c r="A4631" t="s">
        <v>4635</v>
      </c>
      <c r="B4631">
        <v>0.99996721820229495</v>
      </c>
      <c r="C4631">
        <v>1.0196207287594601</v>
      </c>
      <c r="D4631">
        <v>0.98102933976020101</v>
      </c>
      <c r="E4631">
        <v>0.54785350538829303</v>
      </c>
      <c r="F4631">
        <v>0.46502389852089099</v>
      </c>
      <c r="G4631">
        <v>0.37714687374779798</v>
      </c>
      <c r="H4631">
        <v>0.25602375987791198</v>
      </c>
      <c r="I4631">
        <v>0.16611965318444999</v>
      </c>
      <c r="J4631">
        <v>0.16940432431445401</v>
      </c>
      <c r="K4631">
        <v>0.185372520586471</v>
      </c>
      <c r="L4631">
        <v>905.86655425920901</v>
      </c>
      <c r="M4631">
        <v>17.842931890835501</v>
      </c>
      <c r="N4631">
        <v>52.163151227331603</v>
      </c>
      <c r="O4631">
        <v>50.144107026829303</v>
      </c>
      <c r="P4631">
        <v>-7.2091004553421406E-2</v>
      </c>
      <c r="Q4631">
        <v>0.18965003994563101</v>
      </c>
      <c r="R4631">
        <v>0.97150878973644506</v>
      </c>
      <c r="S4631" t="s">
        <v>10457</v>
      </c>
      <c r="T4631" t="s">
        <v>11650</v>
      </c>
      <c r="U4631" t="s">
        <v>11650</v>
      </c>
      <c r="V4631" t="s">
        <v>11650</v>
      </c>
      <c r="W4631" t="s">
        <v>16226</v>
      </c>
      <c r="X4631">
        <v>9</v>
      </c>
      <c r="Y4631" t="s">
        <v>21896</v>
      </c>
      <c r="Z4631" t="s">
        <v>27693</v>
      </c>
      <c r="AA4631">
        <v>0.49444788943278062</v>
      </c>
      <c r="AB4631" t="str">
        <f>HYPERLINK("Melting_Curves/meltCurve_Q96PU5_2_NEDD4L.pdf", "Melting_Curves/meltCurve_Q96PU5_2_NEDD4L.pdf")</f>
        <v>Melting_Curves/meltCurve_Q96PU5_2_NEDD4L.pdf</v>
      </c>
    </row>
    <row r="4632" spans="1:28" x14ac:dyDescent="0.25">
      <c r="A4632" t="s">
        <v>4636</v>
      </c>
      <c r="B4632">
        <v>0.99996721820229495</v>
      </c>
      <c r="C4632">
        <v>1.0597353228503399</v>
      </c>
      <c r="D4632">
        <v>1.0808490722645201</v>
      </c>
      <c r="E4632">
        <v>1.07733979835459</v>
      </c>
      <c r="F4632">
        <v>1.2207349505372</v>
      </c>
      <c r="G4632">
        <v>1.27604937275858</v>
      </c>
      <c r="H4632">
        <v>0.95759741908542095</v>
      </c>
      <c r="I4632">
        <v>0.71638937157737903</v>
      </c>
      <c r="J4632">
        <v>0.57204294132383904</v>
      </c>
      <c r="K4632">
        <v>0.40721878215795398</v>
      </c>
      <c r="L4632">
        <v>2551.5424303156301</v>
      </c>
      <c r="M4632">
        <v>39.539209081969901</v>
      </c>
      <c r="N4632">
        <v>67.4690503457646</v>
      </c>
      <c r="O4632">
        <v>64.367543325878202</v>
      </c>
      <c r="P4632">
        <v>-9.0516631992969401E-2</v>
      </c>
      <c r="Q4632">
        <v>0.41057793698030098</v>
      </c>
      <c r="R4632">
        <v>0.79428984394846402</v>
      </c>
      <c r="S4632" t="s">
        <v>10458</v>
      </c>
      <c r="T4632" t="s">
        <v>11650</v>
      </c>
      <c r="U4632" t="s">
        <v>11650</v>
      </c>
      <c r="V4632" t="s">
        <v>11650</v>
      </c>
      <c r="W4632" t="s">
        <v>16227</v>
      </c>
      <c r="X4632">
        <v>3</v>
      </c>
      <c r="Y4632" t="s">
        <v>21897</v>
      </c>
      <c r="Z4632" t="s">
        <v>27694</v>
      </c>
      <c r="AA4632">
        <v>0.89347607293938802</v>
      </c>
      <c r="AB4632" t="str">
        <f>HYPERLINK("Melting_Curves/meltCurve_Q96PY6_4_NEK1.pdf", "Melting_Curves/meltCurve_Q96PY6_4_NEK1.pdf")</f>
        <v>Melting_Curves/meltCurve_Q96PY6_4_NEK1.pdf</v>
      </c>
    </row>
    <row r="4633" spans="1:28" x14ac:dyDescent="0.25">
      <c r="A4633" t="s">
        <v>4637</v>
      </c>
      <c r="B4633">
        <v>0.99996721820229495</v>
      </c>
      <c r="C4633">
        <v>1.1153824647447801</v>
      </c>
      <c r="D4633">
        <v>1.11612371384193</v>
      </c>
      <c r="E4633">
        <v>1.1119493164859799</v>
      </c>
      <c r="F4633">
        <v>1.31671701883822</v>
      </c>
      <c r="G4633">
        <v>1.19910587307022</v>
      </c>
      <c r="H4633">
        <v>0.494527845118787</v>
      </c>
      <c r="I4633">
        <v>0.37298165071491002</v>
      </c>
      <c r="J4633">
        <v>0.29386561246681803</v>
      </c>
      <c r="K4633">
        <v>0.21392934029872801</v>
      </c>
      <c r="L4633">
        <v>8281.2428814044706</v>
      </c>
      <c r="M4633">
        <v>136.676129990909</v>
      </c>
      <c r="N4633">
        <v>60.984457830234298</v>
      </c>
      <c r="O4633">
        <v>60.577295365672398</v>
      </c>
      <c r="P4633">
        <v>-0.39860895008335601</v>
      </c>
      <c r="Q4633">
        <v>0.29331766587450397</v>
      </c>
      <c r="R4633">
        <v>0.88246684036942602</v>
      </c>
      <c r="S4633" t="s">
        <v>10459</v>
      </c>
      <c r="T4633" t="s">
        <v>11650</v>
      </c>
      <c r="U4633" t="s">
        <v>11650</v>
      </c>
      <c r="V4633" t="s">
        <v>11650</v>
      </c>
      <c r="W4633" t="s">
        <v>16228</v>
      </c>
      <c r="X4633">
        <v>6</v>
      </c>
      <c r="Y4633" t="s">
        <v>21898</v>
      </c>
      <c r="Z4633" t="s">
        <v>27695</v>
      </c>
      <c r="AA4633">
        <v>0.77859508864372851</v>
      </c>
      <c r="AB4633" t="str">
        <f>HYPERLINK("Melting_Curves/meltCurve_Q96PZ0_PUS7.pdf", "Melting_Curves/meltCurve_Q96PZ0_PUS7.pdf")</f>
        <v>Melting_Curves/meltCurve_Q96PZ0_PUS7.pdf</v>
      </c>
    </row>
    <row r="4634" spans="1:28" x14ac:dyDescent="0.25">
      <c r="A4634" t="s">
        <v>4638</v>
      </c>
      <c r="B4634">
        <v>0.99996721820229495</v>
      </c>
      <c r="C4634">
        <v>0.88626678550802396</v>
      </c>
      <c r="D4634">
        <v>0.81444530733429799</v>
      </c>
      <c r="E4634">
        <v>0.91997721814182698</v>
      </c>
      <c r="F4634">
        <v>1.04496914153219</v>
      </c>
      <c r="G4634">
        <v>0.79663276545513895</v>
      </c>
      <c r="H4634">
        <v>0.59003337448697102</v>
      </c>
      <c r="I4634">
        <v>0.55656443739269301</v>
      </c>
      <c r="J4634">
        <v>0.46390472591314302</v>
      </c>
      <c r="K4634">
        <v>0.36120705330568897</v>
      </c>
      <c r="L4634">
        <v>908.57197872180097</v>
      </c>
      <c r="M4634">
        <v>14.943572504772799</v>
      </c>
      <c r="N4634">
        <v>64.728648633984704</v>
      </c>
      <c r="O4634">
        <v>59.742549148666903</v>
      </c>
      <c r="P4634">
        <v>-4.3895181737436603E-2</v>
      </c>
      <c r="Q4634">
        <v>0.29812199854009802</v>
      </c>
      <c r="R4634">
        <v>0.867630592116855</v>
      </c>
      <c r="S4634" t="s">
        <v>10460</v>
      </c>
      <c r="T4634" t="s">
        <v>11650</v>
      </c>
      <c r="U4634" t="s">
        <v>11650</v>
      </c>
      <c r="V4634" t="s">
        <v>11650</v>
      </c>
      <c r="W4634" t="s">
        <v>16229</v>
      </c>
      <c r="X4634">
        <v>24</v>
      </c>
      <c r="Y4634" t="s">
        <v>21899</v>
      </c>
      <c r="Z4634" t="s">
        <v>27696</v>
      </c>
      <c r="AA4634">
        <v>0.78711504317059977</v>
      </c>
      <c r="AB4634" t="str">
        <f>HYPERLINK("Melting_Curves/meltCurve_Q96Q06_2_PLIN4.pdf", "Melting_Curves/meltCurve_Q96Q06_2_PLIN4.pdf")</f>
        <v>Melting_Curves/meltCurve_Q96Q06_2_PLIN4.pdf</v>
      </c>
    </row>
    <row r="4635" spans="1:28" x14ac:dyDescent="0.25">
      <c r="A4635" t="s">
        <v>4639</v>
      </c>
      <c r="B4635">
        <v>0.99996721820229495</v>
      </c>
      <c r="C4635">
        <v>1.01855723395719</v>
      </c>
      <c r="D4635">
        <v>1.01781257203857</v>
      </c>
      <c r="E4635">
        <v>0.80717164626067295</v>
      </c>
      <c r="F4635">
        <v>0.34415395817371502</v>
      </c>
      <c r="G4635">
        <v>0.27039505921404799</v>
      </c>
      <c r="H4635">
        <v>0.15325865172924699</v>
      </c>
      <c r="I4635">
        <v>9.7383778179158706E-2</v>
      </c>
      <c r="J4635">
        <v>7.1016409306176295E-2</v>
      </c>
      <c r="K4635">
        <v>6.3438232128002203E-2</v>
      </c>
      <c r="L4635">
        <v>1668.3993881428601</v>
      </c>
      <c r="M4635">
        <v>32.252039386899298</v>
      </c>
      <c r="N4635">
        <v>52.149184211124798</v>
      </c>
      <c r="O4635">
        <v>51.5324076196965</v>
      </c>
      <c r="P4635">
        <v>-0.138601383363499</v>
      </c>
      <c r="Q4635">
        <v>0.114173865832653</v>
      </c>
      <c r="R4635">
        <v>0.98546371959383705</v>
      </c>
      <c r="S4635" t="s">
        <v>10461</v>
      </c>
      <c r="T4635" t="s">
        <v>11650</v>
      </c>
      <c r="U4635" t="s">
        <v>11650</v>
      </c>
      <c r="V4635" t="s">
        <v>11650</v>
      </c>
      <c r="W4635" t="s">
        <v>16230</v>
      </c>
      <c r="X4635">
        <v>15</v>
      </c>
      <c r="Y4635" t="s">
        <v>21900</v>
      </c>
      <c r="Z4635" t="s">
        <v>27697</v>
      </c>
      <c r="AA4635">
        <v>0.46541144240133142</v>
      </c>
      <c r="AB4635" t="str">
        <f>HYPERLINK("Melting_Curves/meltCurve_Q96Q11_2_TRNT1.pdf", "Melting_Curves/meltCurve_Q96Q11_2_TRNT1.pdf")</f>
        <v>Melting_Curves/meltCurve_Q96Q11_2_TRNT1.pdf</v>
      </c>
    </row>
    <row r="4636" spans="1:28" x14ac:dyDescent="0.25">
      <c r="A4636" t="s">
        <v>4640</v>
      </c>
      <c r="B4636">
        <v>0.99996721820229495</v>
      </c>
      <c r="C4636">
        <v>1.0939314970915699</v>
      </c>
      <c r="D4636">
        <v>1.2293508949448599</v>
      </c>
      <c r="E4636">
        <v>1.23083059377656</v>
      </c>
      <c r="F4636">
        <v>1.7331582416659199</v>
      </c>
      <c r="G4636">
        <v>1.86531071498935</v>
      </c>
      <c r="H4636">
        <v>1.33036937257902</v>
      </c>
      <c r="I4636">
        <v>0.95611067497429503</v>
      </c>
      <c r="J4636">
        <v>0.73190980822386797</v>
      </c>
      <c r="K4636">
        <v>0.59060429615169896</v>
      </c>
      <c r="L4636">
        <v>4847.9578614489101</v>
      </c>
      <c r="M4636">
        <v>72.964163766351604</v>
      </c>
      <c r="O4636">
        <v>66.393130916445301</v>
      </c>
      <c r="P4636">
        <v>-0.114932120520119</v>
      </c>
      <c r="Q4636">
        <v>0.58167393399016998</v>
      </c>
      <c r="R4636">
        <v>-4.8365626802144603E-2</v>
      </c>
      <c r="S4636" t="s">
        <v>10462</v>
      </c>
      <c r="T4636" t="s">
        <v>11650</v>
      </c>
      <c r="U4636" t="s">
        <v>11650</v>
      </c>
      <c r="V4636" t="s">
        <v>11650</v>
      </c>
      <c r="W4636" t="s">
        <v>16231</v>
      </c>
      <c r="X4636">
        <v>1</v>
      </c>
      <c r="Y4636" t="s">
        <v>21901</v>
      </c>
      <c r="Z4636" t="s">
        <v>27698</v>
      </c>
      <c r="AA4636">
        <v>0.95062247481257578</v>
      </c>
      <c r="AB4636" t="str">
        <f>HYPERLINK("Melting_Curves/meltCurve_Q96Q45_2_TMEM237.pdf", "Melting_Curves/meltCurve_Q96Q45_2_TMEM237.pdf")</f>
        <v>Melting_Curves/meltCurve_Q96Q45_2_TMEM237.pdf</v>
      </c>
    </row>
    <row r="4637" spans="1:28" x14ac:dyDescent="0.25">
      <c r="A4637" t="s">
        <v>4641</v>
      </c>
      <c r="B4637">
        <v>0.99996721820229495</v>
      </c>
      <c r="C4637">
        <v>1.0552662980149901</v>
      </c>
      <c r="D4637">
        <v>0.86692642570832801</v>
      </c>
      <c r="E4637">
        <v>0.75364439515988302</v>
      </c>
      <c r="F4637">
        <v>1.2129670689333001</v>
      </c>
      <c r="G4637">
        <v>0.83255035939083599</v>
      </c>
      <c r="H4637">
        <v>0.455618122600638</v>
      </c>
      <c r="I4637">
        <v>0.378783829054751</v>
      </c>
      <c r="J4637">
        <v>0.28206212442761602</v>
      </c>
      <c r="K4637">
        <v>0.18793475652648001</v>
      </c>
      <c r="L4637">
        <v>1925.1563875520401</v>
      </c>
      <c r="M4637">
        <v>32.330611084160097</v>
      </c>
      <c r="N4637">
        <v>60.788706344683597</v>
      </c>
      <c r="O4637">
        <v>59.319508284733402</v>
      </c>
      <c r="P4637">
        <v>-0.103306692428953</v>
      </c>
      <c r="Q4637">
        <v>0.24182411656106501</v>
      </c>
      <c r="R4637">
        <v>0.87455576357360798</v>
      </c>
      <c r="S4637" t="s">
        <v>10463</v>
      </c>
      <c r="T4637" t="s">
        <v>11650</v>
      </c>
      <c r="U4637" t="s">
        <v>11650</v>
      </c>
      <c r="V4637" t="s">
        <v>11650</v>
      </c>
      <c r="W4637" t="s">
        <v>16232</v>
      </c>
      <c r="X4637">
        <v>3</v>
      </c>
      <c r="Y4637" t="s">
        <v>21902</v>
      </c>
      <c r="Z4637" t="s">
        <v>27699</v>
      </c>
      <c r="AA4637">
        <v>0.74004562652759831</v>
      </c>
      <c r="AB4637" t="str">
        <f>HYPERLINK("Melting_Curves/meltCurve_Q96Q83_ALKBH3.pdf", "Melting_Curves/meltCurve_Q96Q83_ALKBH3.pdf")</f>
        <v>Melting_Curves/meltCurve_Q96Q83_ALKBH3.pdf</v>
      </c>
    </row>
    <row r="4638" spans="1:28" x14ac:dyDescent="0.25">
      <c r="A4638" t="s">
        <v>4642</v>
      </c>
      <c r="B4638">
        <v>0.99996721820229495</v>
      </c>
      <c r="C4638">
        <v>0.95491168490575895</v>
      </c>
      <c r="D4638">
        <v>1.84784336451209</v>
      </c>
      <c r="E4638">
        <v>4.0221855018638699</v>
      </c>
      <c r="F4638">
        <v>4.8221928110268104</v>
      </c>
      <c r="G4638">
        <v>4.37437111923541</v>
      </c>
      <c r="H4638">
        <v>3.3214103795262502</v>
      </c>
      <c r="I4638">
        <v>1.0300448690819699</v>
      </c>
      <c r="J4638">
        <v>0.25131362498054099</v>
      </c>
      <c r="K4638">
        <v>0.18021386979266499</v>
      </c>
      <c r="L4638">
        <v>15000</v>
      </c>
      <c r="M4638">
        <v>226.23175575980599</v>
      </c>
      <c r="N4638">
        <v>66.434851842822397</v>
      </c>
      <c r="O4638">
        <v>66.298507925669796</v>
      </c>
      <c r="P4638">
        <v>-0.69942662300853997</v>
      </c>
      <c r="Q4638">
        <v>0.18011613859630199</v>
      </c>
      <c r="R4638">
        <v>-0.44509003851886503</v>
      </c>
      <c r="S4638" t="s">
        <v>10464</v>
      </c>
      <c r="T4638" t="s">
        <v>11650</v>
      </c>
      <c r="U4638" t="s">
        <v>11650</v>
      </c>
      <c r="V4638" t="s">
        <v>11650</v>
      </c>
      <c r="W4638" t="s">
        <v>16233</v>
      </c>
      <c r="X4638">
        <v>4</v>
      </c>
      <c r="Y4638" t="s">
        <v>21903</v>
      </c>
      <c r="Z4638" t="s">
        <v>27700</v>
      </c>
      <c r="AA4638">
        <v>0.89909826174463903</v>
      </c>
      <c r="AB4638" t="str">
        <f>HYPERLINK("Melting_Curves/meltCurve_Q96QB1_DLC1.pdf", "Melting_Curves/meltCurve_Q96QB1_DLC1.pdf")</f>
        <v>Melting_Curves/meltCurve_Q96QB1_DLC1.pdf</v>
      </c>
    </row>
    <row r="4639" spans="1:28" x14ac:dyDescent="0.25">
      <c r="A4639" t="s">
        <v>4643</v>
      </c>
      <c r="B4639">
        <v>0.99996721820229495</v>
      </c>
      <c r="C4639">
        <v>0.80097838516896203</v>
      </c>
      <c r="D4639">
        <v>0.76420957950262602</v>
      </c>
      <c r="E4639">
        <v>1.2896359287836401</v>
      </c>
      <c r="F4639">
        <v>1.3925104629898799</v>
      </c>
      <c r="G4639">
        <v>0.94795749780431904</v>
      </c>
      <c r="H4639">
        <v>0.825632118922771</v>
      </c>
      <c r="I4639">
        <v>0.77296478831156801</v>
      </c>
      <c r="J4639">
        <v>0.64994312842263902</v>
      </c>
      <c r="K4639">
        <v>0.69312877183664301</v>
      </c>
      <c r="L4639">
        <v>2175.5746018044802</v>
      </c>
      <c r="M4639">
        <v>35.616641846595499</v>
      </c>
      <c r="O4639">
        <v>60.891489719683399</v>
      </c>
      <c r="P4639">
        <v>-4.7174911201152699E-2</v>
      </c>
      <c r="Q4639">
        <v>0.67739337397601995</v>
      </c>
      <c r="R4639">
        <v>0.39457894395752602</v>
      </c>
      <c r="S4639" t="s">
        <v>10465</v>
      </c>
      <c r="T4639" t="s">
        <v>11650</v>
      </c>
      <c r="U4639" t="s">
        <v>11650</v>
      </c>
      <c r="V4639" t="s">
        <v>11650</v>
      </c>
      <c r="W4639" t="s">
        <v>16234</v>
      </c>
      <c r="X4639">
        <v>3</v>
      </c>
      <c r="Y4639" t="s">
        <v>21904</v>
      </c>
      <c r="Z4639" t="s">
        <v>27701</v>
      </c>
      <c r="AA4639">
        <v>0.90555768597144892</v>
      </c>
      <c r="AB4639" t="str">
        <f>HYPERLINK("Melting_Curves/meltCurve_Q96QC0_PPP1R10.pdf", "Melting_Curves/meltCurve_Q96QC0_PPP1R10.pdf")</f>
        <v>Melting_Curves/meltCurve_Q96QC0_PPP1R10.pdf</v>
      </c>
    </row>
    <row r="4640" spans="1:28" x14ac:dyDescent="0.25">
      <c r="A4640" t="s">
        <v>4644</v>
      </c>
      <c r="B4640">
        <v>0.99996721820229495</v>
      </c>
      <c r="C4640">
        <v>0.91835026223223704</v>
      </c>
      <c r="D4640">
        <v>1.13056571643449</v>
      </c>
      <c r="E4640">
        <v>1.1936967617799701</v>
      </c>
      <c r="F4640">
        <v>1.46764843480148</v>
      </c>
      <c r="G4640">
        <v>1.7637498143122401</v>
      </c>
      <c r="H4640">
        <v>1.2590696005609301</v>
      </c>
      <c r="I4640">
        <v>0.87490134763694705</v>
      </c>
      <c r="J4640">
        <v>0.50562629436078699</v>
      </c>
      <c r="K4640">
        <v>0.67185447321124603</v>
      </c>
      <c r="L4640">
        <v>15000</v>
      </c>
      <c r="M4640">
        <v>233.54774925685101</v>
      </c>
      <c r="O4640">
        <v>64.221979090160403</v>
      </c>
      <c r="P4640">
        <v>-0.373899834732147</v>
      </c>
      <c r="Q4640">
        <v>0.58873352929671297</v>
      </c>
      <c r="R4640">
        <v>0.23634961245198</v>
      </c>
      <c r="S4640" t="s">
        <v>10466</v>
      </c>
      <c r="T4640" t="s">
        <v>11650</v>
      </c>
      <c r="U4640" t="s">
        <v>11650</v>
      </c>
      <c r="V4640" t="s">
        <v>11650</v>
      </c>
      <c r="W4640" t="s">
        <v>16235</v>
      </c>
      <c r="X4640">
        <v>3</v>
      </c>
      <c r="Y4640" t="s">
        <v>21905</v>
      </c>
      <c r="Z4640" t="s">
        <v>27702</v>
      </c>
      <c r="AA4640">
        <v>0.92090755703704619</v>
      </c>
      <c r="AB4640" t="str">
        <f>HYPERLINK("Melting_Curves/meltCurve_Q96QD8_SLC38A2.pdf", "Melting_Curves/meltCurve_Q96QD8_SLC38A2.pdf")</f>
        <v>Melting_Curves/meltCurve_Q96QD8_SLC38A2.pdf</v>
      </c>
    </row>
    <row r="4641" spans="1:28" x14ac:dyDescent="0.25">
      <c r="A4641" t="s">
        <v>4645</v>
      </c>
      <c r="B4641">
        <v>0.99996721820229495</v>
      </c>
      <c r="C4641">
        <v>1.02720645610896</v>
      </c>
      <c r="D4641">
        <v>1.16921513038864</v>
      </c>
      <c r="E4641">
        <v>1.3998465062652701</v>
      </c>
      <c r="F4641">
        <v>1.8250388755496401</v>
      </c>
      <c r="G4641">
        <v>2.10303225028809</v>
      </c>
      <c r="H4641">
        <v>1.66569624661752</v>
      </c>
      <c r="I4641">
        <v>1.0317383040935799</v>
      </c>
      <c r="J4641">
        <v>0.64071389900832998</v>
      </c>
      <c r="K4641">
        <v>0.82680373393678297</v>
      </c>
      <c r="L4641">
        <v>1730.99351920566</v>
      </c>
      <c r="M4641">
        <v>24.593145106298898</v>
      </c>
      <c r="O4641">
        <v>69.924776395553806</v>
      </c>
      <c r="P4641">
        <v>-3.7346386469810498E-2</v>
      </c>
      <c r="Q4641">
        <v>0.57526371625494499</v>
      </c>
      <c r="R4641">
        <v>-0.33233203420200902</v>
      </c>
      <c r="S4641" t="s">
        <v>10467</v>
      </c>
      <c r="T4641" t="s">
        <v>11650</v>
      </c>
      <c r="U4641" t="s">
        <v>11650</v>
      </c>
      <c r="V4641" t="s">
        <v>11650</v>
      </c>
      <c r="W4641" t="s">
        <v>16236</v>
      </c>
      <c r="X4641">
        <v>6</v>
      </c>
      <c r="Y4641" t="s">
        <v>21906</v>
      </c>
      <c r="Z4641" t="s">
        <v>27703</v>
      </c>
      <c r="AA4641">
        <v>0.97694804465730389</v>
      </c>
      <c r="AB4641" t="str">
        <f>HYPERLINK("Melting_Curves/meltCurve_Q96QE2_SLC2A13.pdf", "Melting_Curves/meltCurve_Q96QE2_SLC2A13.pdf")</f>
        <v>Melting_Curves/meltCurve_Q96QE2_SLC2A13.pdf</v>
      </c>
    </row>
    <row r="4642" spans="1:28" x14ac:dyDescent="0.25">
      <c r="A4642" t="s">
        <v>4646</v>
      </c>
      <c r="B4642">
        <v>0.99996721820229495</v>
      </c>
      <c r="C4642">
        <v>0.935912222385059</v>
      </c>
      <c r="D4642">
        <v>0.91932258531534095</v>
      </c>
      <c r="E4642">
        <v>1.0457311109934799</v>
      </c>
      <c r="F4642">
        <v>0.47132654717572597</v>
      </c>
      <c r="G4642">
        <v>0.36228258028131599</v>
      </c>
      <c r="H4642">
        <v>0.25842738882208499</v>
      </c>
      <c r="I4642">
        <v>0.22318875411940201</v>
      </c>
      <c r="J4642">
        <v>0.22193285713917901</v>
      </c>
      <c r="K4642">
        <v>0.21976775028581999</v>
      </c>
      <c r="L4642">
        <v>13202.1183038541</v>
      </c>
      <c r="M4642">
        <v>250</v>
      </c>
      <c r="N4642">
        <v>52.961438042674402</v>
      </c>
      <c r="O4642">
        <v>52.805091835342601</v>
      </c>
      <c r="P4642">
        <v>-0.87927141989727298</v>
      </c>
      <c r="Q4642">
        <v>0.25711984367155499</v>
      </c>
      <c r="R4642">
        <v>0.97666945165684504</v>
      </c>
      <c r="S4642" t="s">
        <v>10468</v>
      </c>
      <c r="T4642" t="s">
        <v>11650</v>
      </c>
      <c r="U4642" t="s">
        <v>11650</v>
      </c>
      <c r="V4642" t="s">
        <v>11650</v>
      </c>
      <c r="W4642" t="s">
        <v>16237</v>
      </c>
      <c r="X4642">
        <v>9</v>
      </c>
      <c r="Y4642" t="s">
        <v>21907</v>
      </c>
      <c r="Z4642" t="s">
        <v>27704</v>
      </c>
      <c r="AA4642">
        <v>0.57436071184137039</v>
      </c>
      <c r="AB4642" t="str">
        <f>HYPERLINK("Melting_Curves/meltCurve_Q96QG7_MTMR9.pdf", "Melting_Curves/meltCurve_Q96QG7_MTMR9.pdf")</f>
        <v>Melting_Curves/meltCurve_Q96QG7_MTMR9.pdf</v>
      </c>
    </row>
    <row r="4643" spans="1:28" x14ac:dyDescent="0.25">
      <c r="A4643" t="s">
        <v>4647</v>
      </c>
      <c r="B4643">
        <v>0.99996721820229495</v>
      </c>
      <c r="C4643">
        <v>0.966849186694408</v>
      </c>
      <c r="D4643">
        <v>0.97732364311137099</v>
      </c>
      <c r="E4643">
        <v>1.3686425764574099</v>
      </c>
      <c r="F4643">
        <v>0.87428962015141298</v>
      </c>
      <c r="G4643">
        <v>0.27866774334918498</v>
      </c>
      <c r="H4643">
        <v>0.156045232970626</v>
      </c>
      <c r="I4643">
        <v>0.105004605163892</v>
      </c>
      <c r="J4643">
        <v>7.5050103262791601E-2</v>
      </c>
      <c r="K4643">
        <v>6.1165537796196497E-2</v>
      </c>
      <c r="L4643">
        <v>2712.31696968698</v>
      </c>
      <c r="M4643">
        <v>48.991949367959002</v>
      </c>
      <c r="N4643">
        <v>55.606959621411598</v>
      </c>
      <c r="O4643">
        <v>55.270493803203401</v>
      </c>
      <c r="P4643">
        <v>-0.20013357422737099</v>
      </c>
      <c r="Q4643">
        <v>9.6874330836214495E-2</v>
      </c>
      <c r="R4643">
        <v>0.93380555945133503</v>
      </c>
      <c r="S4643" t="s">
        <v>10469</v>
      </c>
      <c r="T4643" t="s">
        <v>11650</v>
      </c>
      <c r="U4643" t="s">
        <v>11650</v>
      </c>
      <c r="V4643" t="s">
        <v>11650</v>
      </c>
      <c r="W4643" t="s">
        <v>16238</v>
      </c>
      <c r="X4643">
        <v>28</v>
      </c>
      <c r="Y4643" t="s">
        <v>21908</v>
      </c>
      <c r="Z4643" t="s">
        <v>27705</v>
      </c>
      <c r="AA4643">
        <v>0.56164572202312568</v>
      </c>
      <c r="AB4643" t="str">
        <f>HYPERLINK("Melting_Curves/meltCurve_Q96QK1_VPS35.pdf", "Melting_Curves/meltCurve_Q96QK1_VPS35.pdf")</f>
        <v>Melting_Curves/meltCurve_Q96QK1_VPS35.pdf</v>
      </c>
    </row>
    <row r="4644" spans="1:28" x14ac:dyDescent="0.25">
      <c r="A4644" t="s">
        <v>4648</v>
      </c>
      <c r="B4644">
        <v>0.99996721820229495</v>
      </c>
      <c r="C4644">
        <v>0.99536663618027599</v>
      </c>
      <c r="D4644">
        <v>1.1312785451079299</v>
      </c>
      <c r="E4644">
        <v>1.44054997419983</v>
      </c>
      <c r="F4644">
        <v>2.11420768297224</v>
      </c>
      <c r="G4644">
        <v>2.34755587105772</v>
      </c>
      <c r="H4644">
        <v>1.8861419840203599</v>
      </c>
      <c r="I4644">
        <v>0.78561797269730504</v>
      </c>
      <c r="J4644">
        <v>0.28198267916590097</v>
      </c>
      <c r="K4644">
        <v>0.22377110961535199</v>
      </c>
      <c r="L4644">
        <v>15000</v>
      </c>
      <c r="M4644">
        <v>233.46449351922999</v>
      </c>
      <c r="N4644">
        <v>64.444089064241794</v>
      </c>
      <c r="O4644">
        <v>64.244875763769997</v>
      </c>
      <c r="P4644">
        <v>-0.67878342217997201</v>
      </c>
      <c r="Q4644">
        <v>0.25284806141947502</v>
      </c>
      <c r="R4644">
        <v>0.14277816410358199</v>
      </c>
      <c r="S4644" t="s">
        <v>10470</v>
      </c>
      <c r="T4644" t="s">
        <v>11650</v>
      </c>
      <c r="U4644" t="s">
        <v>11650</v>
      </c>
      <c r="V4644" t="s">
        <v>11650</v>
      </c>
      <c r="W4644" t="s">
        <v>16239</v>
      </c>
      <c r="X4644">
        <v>3</v>
      </c>
      <c r="Y4644" t="s">
        <v>21909</v>
      </c>
      <c r="Z4644" t="s">
        <v>27706</v>
      </c>
      <c r="AA4644">
        <v>0.85688248814853718</v>
      </c>
      <c r="AB4644" t="str">
        <f>HYPERLINK("Melting_Curves/meltCurve_Q96QR8_PURB.pdf", "Melting_Curves/meltCurve_Q96QR8_PURB.pdf")</f>
        <v>Melting_Curves/meltCurve_Q96QR8_PURB.pdf</v>
      </c>
    </row>
    <row r="4645" spans="1:28" x14ac:dyDescent="0.25">
      <c r="A4645" t="s">
        <v>4649</v>
      </c>
      <c r="B4645">
        <v>0.99996721820229495</v>
      </c>
      <c r="C4645">
        <v>1.03185466089148</v>
      </c>
      <c r="D4645">
        <v>1.01722769700252</v>
      </c>
      <c r="E4645">
        <v>1.30429823827267</v>
      </c>
      <c r="F4645">
        <v>1.4878169647487101</v>
      </c>
      <c r="G4645">
        <v>2.2263614131851401</v>
      </c>
      <c r="H4645">
        <v>1.63800210226688</v>
      </c>
      <c r="I4645">
        <v>0</v>
      </c>
      <c r="J4645">
        <v>0</v>
      </c>
      <c r="K4645">
        <v>0.22099481510107899</v>
      </c>
      <c r="L4645">
        <v>15000</v>
      </c>
      <c r="M4645">
        <v>239.08924522095</v>
      </c>
      <c r="N4645">
        <v>62.778530853424698</v>
      </c>
      <c r="O4645">
        <v>62.733689639366503</v>
      </c>
      <c r="P4645">
        <v>-0.88478013483969398</v>
      </c>
      <c r="Q4645">
        <v>7.1384039345835801E-2</v>
      </c>
      <c r="R4645">
        <v>0.530229520525617</v>
      </c>
      <c r="S4645" t="s">
        <v>10471</v>
      </c>
      <c r="T4645" t="s">
        <v>11650</v>
      </c>
      <c r="U4645" t="s">
        <v>11650</v>
      </c>
      <c r="V4645" t="s">
        <v>11650</v>
      </c>
      <c r="W4645" t="s">
        <v>16240</v>
      </c>
      <c r="X4645">
        <v>1</v>
      </c>
      <c r="Y4645" t="s">
        <v>21910</v>
      </c>
      <c r="Z4645" t="s">
        <v>27707</v>
      </c>
      <c r="AA4645">
        <v>0.77532727270205848</v>
      </c>
      <c r="AB4645" t="str">
        <f>HYPERLINK("Melting_Curves/meltCurve_Q96QU6_ACCS.pdf", "Melting_Curves/meltCurve_Q96QU6_ACCS.pdf")</f>
        <v>Melting_Curves/meltCurve_Q96QU6_ACCS.pdf</v>
      </c>
    </row>
    <row r="4646" spans="1:28" x14ac:dyDescent="0.25">
      <c r="A4646" t="s">
        <v>4650</v>
      </c>
      <c r="B4646">
        <v>0.99996721820229495</v>
      </c>
      <c r="C4646">
        <v>0.86224906504110499</v>
      </c>
      <c r="D4646">
        <v>0.83156643756636806</v>
      </c>
      <c r="E4646">
        <v>0.67207449231893002</v>
      </c>
      <c r="F4646">
        <v>0.32013376502080099</v>
      </c>
      <c r="G4646">
        <v>0.255709092224922</v>
      </c>
      <c r="H4646">
        <v>0.183157362590633</v>
      </c>
      <c r="I4646">
        <v>0.11030495124548401</v>
      </c>
      <c r="J4646">
        <v>6.2704144686142202E-2</v>
      </c>
      <c r="K4646">
        <v>6.7310562153782796E-2</v>
      </c>
      <c r="L4646">
        <v>673.39328154506802</v>
      </c>
      <c r="M4646">
        <v>13.165722897789299</v>
      </c>
      <c r="N4646">
        <v>51.5023375920603</v>
      </c>
      <c r="O4646">
        <v>50.010652664642997</v>
      </c>
      <c r="P4646">
        <v>-6.2971314600032802E-2</v>
      </c>
      <c r="Q4646">
        <v>4.3362660383408101E-2</v>
      </c>
      <c r="R4646">
        <v>0.98150703656062899</v>
      </c>
      <c r="S4646" t="s">
        <v>10472</v>
      </c>
      <c r="T4646" t="s">
        <v>11650</v>
      </c>
      <c r="U4646" t="s">
        <v>11650</v>
      </c>
      <c r="V4646" t="s">
        <v>11650</v>
      </c>
      <c r="W4646" t="s">
        <v>16241</v>
      </c>
      <c r="X4646">
        <v>3</v>
      </c>
      <c r="Y4646" t="s">
        <v>21911</v>
      </c>
      <c r="Z4646" t="s">
        <v>27708</v>
      </c>
      <c r="AA4646">
        <v>0.42583989909011488</v>
      </c>
      <c r="AB4646" t="str">
        <f>HYPERLINK("Melting_Curves/meltCurve_Q96QU8_XPO6.pdf", "Melting_Curves/meltCurve_Q96QU8_XPO6.pdf")</f>
        <v>Melting_Curves/meltCurve_Q96QU8_XPO6.pdf</v>
      </c>
    </row>
    <row r="4647" spans="1:28" x14ac:dyDescent="0.25">
      <c r="A4647" t="s">
        <v>4651</v>
      </c>
      <c r="B4647">
        <v>0.99996721820229495</v>
      </c>
      <c r="C4647">
        <v>1.0103435885366701</v>
      </c>
      <c r="D4647">
        <v>0.80062597057788198</v>
      </c>
      <c r="E4647">
        <v>0.68368628051320202</v>
      </c>
      <c r="F4647">
        <v>0.47544806094403602</v>
      </c>
      <c r="G4647">
        <v>0.50148232300425499</v>
      </c>
      <c r="H4647">
        <v>0.31118162211414202</v>
      </c>
      <c r="I4647">
        <v>0.186812609869144</v>
      </c>
      <c r="J4647">
        <v>0.13052464645075301</v>
      </c>
      <c r="K4647">
        <v>0.10627612671065</v>
      </c>
      <c r="L4647">
        <v>494.12664778158302</v>
      </c>
      <c r="M4647">
        <v>9.0603952828908199</v>
      </c>
      <c r="N4647">
        <v>54.536985611889897</v>
      </c>
      <c r="O4647">
        <v>52.077058650965398</v>
      </c>
      <c r="P4647">
        <v>-4.3525953935897102E-2</v>
      </c>
      <c r="Q4647">
        <v>0</v>
      </c>
      <c r="R4647">
        <v>0.97035498370387596</v>
      </c>
      <c r="S4647" t="s">
        <v>10473</v>
      </c>
      <c r="T4647" t="s">
        <v>11650</v>
      </c>
      <c r="U4647" t="s">
        <v>11650</v>
      </c>
      <c r="V4647" t="s">
        <v>11650</v>
      </c>
      <c r="W4647" t="s">
        <v>16242</v>
      </c>
      <c r="X4647">
        <v>4</v>
      </c>
      <c r="Y4647" t="s">
        <v>21912</v>
      </c>
      <c r="Z4647" t="s">
        <v>27709</v>
      </c>
      <c r="AA4647">
        <v>0.51380610752246059</v>
      </c>
      <c r="AB4647" t="str">
        <f>HYPERLINK("Melting_Curves/meltCurve_Q96QZ7_4_MAGI1.pdf", "Melting_Curves/meltCurve_Q96QZ7_4_MAGI1.pdf")</f>
        <v>Melting_Curves/meltCurve_Q96QZ7_4_MAGI1.pdf</v>
      </c>
    </row>
    <row r="4648" spans="1:28" x14ac:dyDescent="0.25">
      <c r="A4648" t="s">
        <v>4652</v>
      </c>
      <c r="B4648">
        <v>0.99996721820229495</v>
      </c>
      <c r="C4648">
        <v>1.0623060849416801</v>
      </c>
      <c r="D4648">
        <v>1.2111626634561301</v>
      </c>
      <c r="E4648">
        <v>1.39134992289686</v>
      </c>
      <c r="F4648">
        <v>1.7457461118300901</v>
      </c>
      <c r="G4648">
        <v>2.3217916662296099</v>
      </c>
      <c r="H4648">
        <v>1.76162279933523</v>
      </c>
      <c r="I4648">
        <v>0.83108373664417101</v>
      </c>
      <c r="J4648">
        <v>0.489000909667763</v>
      </c>
      <c r="K4648">
        <v>0.97061340873195301</v>
      </c>
      <c r="L4648">
        <v>1720.0886895860699</v>
      </c>
      <c r="M4648">
        <v>25.6599301424259</v>
      </c>
      <c r="O4648">
        <v>66.630876755401999</v>
      </c>
      <c r="P4648">
        <v>-2.6107340915553699E-2</v>
      </c>
      <c r="Q4648">
        <v>0.72883262907837898</v>
      </c>
      <c r="R4648">
        <v>-0.27187615382096503</v>
      </c>
      <c r="S4648" t="s">
        <v>10474</v>
      </c>
      <c r="T4648" t="s">
        <v>11650</v>
      </c>
      <c r="U4648" t="s">
        <v>11650</v>
      </c>
      <c r="V4648" t="s">
        <v>11650</v>
      </c>
      <c r="W4648" t="s">
        <v>16243</v>
      </c>
      <c r="X4648">
        <v>3</v>
      </c>
      <c r="Y4648" t="s">
        <v>21913</v>
      </c>
      <c r="Z4648" t="s">
        <v>27710</v>
      </c>
      <c r="AA4648">
        <v>0.96804904341532472</v>
      </c>
      <c r="AB4648" t="str">
        <f>HYPERLINK("Melting_Curves/meltCurve_Q96RD7_PANX1.pdf", "Melting_Curves/meltCurve_Q96RD7_PANX1.pdf")</f>
        <v>Melting_Curves/meltCurve_Q96RD7_PANX1.pdf</v>
      </c>
    </row>
    <row r="4649" spans="1:28" x14ac:dyDescent="0.25">
      <c r="A4649" t="s">
        <v>4653</v>
      </c>
      <c r="B4649">
        <v>0.99996721820229495</v>
      </c>
      <c r="C4649">
        <v>0.94600561828096597</v>
      </c>
      <c r="D4649">
        <v>0.81964717152814104</v>
      </c>
      <c r="E4649">
        <v>0.65778270671108896</v>
      </c>
      <c r="F4649">
        <v>0.52335376684650903</v>
      </c>
      <c r="G4649">
        <v>0.448127298219058</v>
      </c>
      <c r="H4649">
        <v>0.32281777286353802</v>
      </c>
      <c r="I4649">
        <v>0.26158122563422898</v>
      </c>
      <c r="J4649">
        <v>0.18510309308098799</v>
      </c>
      <c r="K4649">
        <v>0.122670328244181</v>
      </c>
      <c r="L4649">
        <v>464.36851874263601</v>
      </c>
      <c r="M4649">
        <v>8.56087101469328</v>
      </c>
      <c r="N4649">
        <v>54.646974059395497</v>
      </c>
      <c r="O4649">
        <v>51.526528037177101</v>
      </c>
      <c r="P4649">
        <v>-4.0298374331655097E-2</v>
      </c>
      <c r="Q4649">
        <v>3.0652131308582301E-2</v>
      </c>
      <c r="R4649">
        <v>0.99027885253915704</v>
      </c>
      <c r="S4649" t="s">
        <v>10475</v>
      </c>
      <c r="T4649" t="s">
        <v>11650</v>
      </c>
      <c r="U4649" t="s">
        <v>11650</v>
      </c>
      <c r="V4649" t="s">
        <v>11650</v>
      </c>
      <c r="W4649" t="s">
        <v>16244</v>
      </c>
      <c r="X4649">
        <v>3</v>
      </c>
      <c r="Y4649" t="s">
        <v>21914</v>
      </c>
      <c r="Z4649" t="s">
        <v>27711</v>
      </c>
      <c r="AA4649">
        <v>0.52152356694844548</v>
      </c>
      <c r="AB4649" t="str">
        <f>HYPERLINK("Melting_Curves/meltCurve_Q96RE7_NACC1.pdf", "Melting_Curves/meltCurve_Q96RE7_NACC1.pdf")</f>
        <v>Melting_Curves/meltCurve_Q96RE7_NACC1.pdf</v>
      </c>
    </row>
    <row r="4650" spans="1:28" x14ac:dyDescent="0.25">
      <c r="A4650" t="s">
        <v>4654</v>
      </c>
      <c r="B4650">
        <v>0.99996721820229495</v>
      </c>
      <c r="C4650">
        <v>0.99994245584659502</v>
      </c>
      <c r="D4650">
        <v>0.97191164120090101</v>
      </c>
      <c r="E4650">
        <v>0.68500007881278002</v>
      </c>
      <c r="F4650">
        <v>0.51883020995575801</v>
      </c>
      <c r="G4650">
        <v>0.52383387069524801</v>
      </c>
      <c r="H4650">
        <v>0.379157346408239</v>
      </c>
      <c r="I4650">
        <v>0.21159260666292201</v>
      </c>
      <c r="J4650">
        <v>0.145343230162611</v>
      </c>
      <c r="K4650">
        <v>0.105659850867282</v>
      </c>
      <c r="L4650">
        <v>530.56302037950695</v>
      </c>
      <c r="M4650">
        <v>9.5068711966088397</v>
      </c>
      <c r="N4650">
        <v>55.8083736902285</v>
      </c>
      <c r="O4650">
        <v>53.506424817619198</v>
      </c>
      <c r="P4650">
        <v>-4.4445488054907098E-2</v>
      </c>
      <c r="Q4650">
        <v>0</v>
      </c>
      <c r="R4650">
        <v>0.96542111694037003</v>
      </c>
      <c r="S4650" t="s">
        <v>10476</v>
      </c>
      <c r="T4650" t="s">
        <v>11650</v>
      </c>
      <c r="U4650" t="s">
        <v>11650</v>
      </c>
      <c r="V4650" t="s">
        <v>11650</v>
      </c>
      <c r="W4650" t="s">
        <v>16245</v>
      </c>
      <c r="X4650">
        <v>8</v>
      </c>
      <c r="Y4650" t="s">
        <v>21915</v>
      </c>
      <c r="Z4650" t="s">
        <v>27712</v>
      </c>
      <c r="AA4650">
        <v>0.54902142141465982</v>
      </c>
      <c r="AB4650" t="str">
        <f>HYPERLINK("Melting_Curves/meltCurve_Q96RF0_2_SNX18.pdf", "Melting_Curves/meltCurve_Q96RF0_2_SNX18.pdf")</f>
        <v>Melting_Curves/meltCurve_Q96RF0_2_SNX18.pdf</v>
      </c>
    </row>
    <row r="4651" spans="1:28" x14ac:dyDescent="0.25">
      <c r="A4651" t="s">
        <v>4655</v>
      </c>
      <c r="B4651">
        <v>0.99996721820229495</v>
      </c>
      <c r="C4651">
        <v>1.24322282385088</v>
      </c>
      <c r="D4651">
        <v>1.07599217709039</v>
      </c>
      <c r="E4651">
        <v>1.2188591002331399</v>
      </c>
      <c r="F4651">
        <v>2.39405819652672</v>
      </c>
      <c r="G4651">
        <v>2.0378873838148901</v>
      </c>
      <c r="H4651">
        <v>1.75423467647906</v>
      </c>
      <c r="I4651">
        <v>1.55395549158141</v>
      </c>
      <c r="J4651">
        <v>1.7986271486688299</v>
      </c>
      <c r="K4651">
        <v>1.4491250287191</v>
      </c>
      <c r="L4651">
        <v>12512.520129788199</v>
      </c>
      <c r="M4651">
        <v>250</v>
      </c>
      <c r="O4651">
        <v>50.046854246888799</v>
      </c>
      <c r="P4651">
        <v>0.62441457688628499</v>
      </c>
      <c r="Q4651">
        <v>1.5</v>
      </c>
      <c r="R4651">
        <v>0.268617607076515</v>
      </c>
      <c r="S4651" t="s">
        <v>10477</v>
      </c>
      <c r="T4651" t="s">
        <v>11650</v>
      </c>
      <c r="U4651" t="s">
        <v>11650</v>
      </c>
      <c r="V4651" t="s">
        <v>11650</v>
      </c>
      <c r="W4651" t="s">
        <v>16246</v>
      </c>
      <c r="X4651">
        <v>1</v>
      </c>
      <c r="Y4651" t="s">
        <v>21916</v>
      </c>
      <c r="Z4651" t="s">
        <v>27713</v>
      </c>
      <c r="AA4651">
        <v>1.33245473945794</v>
      </c>
      <c r="AB4651" t="str">
        <f>HYPERLINK("Melting_Curves/meltCurve_Q96RL7_2_VPS13A.pdf", "Melting_Curves/meltCurve_Q96RL7_2_VPS13A.pdf")</f>
        <v>Melting_Curves/meltCurve_Q96RL7_2_VPS13A.pdf</v>
      </c>
    </row>
    <row r="4652" spans="1:28" x14ac:dyDescent="0.25">
      <c r="A4652" t="s">
        <v>4656</v>
      </c>
      <c r="B4652">
        <v>0.99996721820229495</v>
      </c>
      <c r="C4652">
        <v>0.93333065203892995</v>
      </c>
      <c r="D4652">
        <v>0.94085592984489297</v>
      </c>
      <c r="E4652">
        <v>0.91956267286181403</v>
      </c>
      <c r="F4652">
        <v>0.88383870731948</v>
      </c>
      <c r="G4652">
        <v>0.63842660064907597</v>
      </c>
      <c r="H4652">
        <v>0.36709343471223299</v>
      </c>
      <c r="I4652">
        <v>0.24402627835483201</v>
      </c>
      <c r="J4652">
        <v>0.162861783522432</v>
      </c>
      <c r="K4652">
        <v>0.15021928967301701</v>
      </c>
      <c r="L4652">
        <v>1011.03396674946</v>
      </c>
      <c r="M4652">
        <v>17.351845959080201</v>
      </c>
      <c r="N4652">
        <v>58.924465371480899</v>
      </c>
      <c r="O4652">
        <v>57.509259154339802</v>
      </c>
      <c r="P4652">
        <v>-6.8792771584362797E-2</v>
      </c>
      <c r="Q4652">
        <v>8.8051541712876297E-2</v>
      </c>
      <c r="R4652">
        <v>0.99238112855510296</v>
      </c>
      <c r="S4652" t="s">
        <v>10478</v>
      </c>
      <c r="T4652" t="s">
        <v>11650</v>
      </c>
      <c r="U4652" t="s">
        <v>11650</v>
      </c>
      <c r="V4652" t="s">
        <v>11650</v>
      </c>
      <c r="W4652" t="s">
        <v>16247</v>
      </c>
      <c r="X4652">
        <v>6</v>
      </c>
      <c r="Y4652" t="s">
        <v>21917</v>
      </c>
      <c r="Z4652" t="s">
        <v>27714</v>
      </c>
      <c r="AA4652">
        <v>0.65444241062410358</v>
      </c>
      <c r="AB4652" t="str">
        <f>HYPERLINK("Melting_Curves/meltCurve_Q96RN5_3_MED15.pdf", "Melting_Curves/meltCurve_Q96RN5_3_MED15.pdf")</f>
        <v>Melting_Curves/meltCurve_Q96RN5_3_MED15.pdf</v>
      </c>
    </row>
    <row r="4653" spans="1:28" x14ac:dyDescent="0.25">
      <c r="A4653" t="s">
        <v>4657</v>
      </c>
      <c r="B4653">
        <v>0.99996721820229495</v>
      </c>
      <c r="C4653">
        <v>0.96046384503909599</v>
      </c>
      <c r="D4653">
        <v>0.85430138039729597</v>
      </c>
      <c r="E4653">
        <v>0.519723885956205</v>
      </c>
      <c r="F4653">
        <v>0.21997239717122199</v>
      </c>
      <c r="G4653">
        <v>0.19434109929173199</v>
      </c>
      <c r="H4653">
        <v>0.129046928895244</v>
      </c>
      <c r="I4653">
        <v>9.3404639317570495E-2</v>
      </c>
      <c r="J4653">
        <v>7.6264617426353098E-2</v>
      </c>
      <c r="K4653">
        <v>5.8428823427731397E-2</v>
      </c>
      <c r="L4653">
        <v>1063.94271550435</v>
      </c>
      <c r="M4653">
        <v>21.469727045581799</v>
      </c>
      <c r="N4653">
        <v>50.0050761227143</v>
      </c>
      <c r="O4653">
        <v>49.131559856434301</v>
      </c>
      <c r="P4653">
        <v>-9.9659773112637698E-2</v>
      </c>
      <c r="Q4653">
        <v>8.7772118770035795E-2</v>
      </c>
      <c r="R4653">
        <v>0.994360080837283</v>
      </c>
      <c r="S4653" t="s">
        <v>10479</v>
      </c>
      <c r="T4653" t="s">
        <v>11650</v>
      </c>
      <c r="U4653" t="s">
        <v>11650</v>
      </c>
      <c r="V4653" t="s">
        <v>11650</v>
      </c>
      <c r="W4653" t="s">
        <v>16248</v>
      </c>
      <c r="X4653">
        <v>20</v>
      </c>
      <c r="Y4653" t="s">
        <v>21918</v>
      </c>
      <c r="Z4653" t="s">
        <v>27715</v>
      </c>
      <c r="AA4653">
        <v>0.38937635746984378</v>
      </c>
      <c r="AB4653" t="str">
        <f>HYPERLINK("Melting_Curves/meltCurve_Q96RP9_GFM1.pdf", "Melting_Curves/meltCurve_Q96RP9_GFM1.pdf")</f>
        <v>Melting_Curves/meltCurve_Q96RP9_GFM1.pdf</v>
      </c>
    </row>
    <row r="4654" spans="1:28" x14ac:dyDescent="0.25">
      <c r="A4654" t="s">
        <v>4658</v>
      </c>
      <c r="B4654">
        <v>0.99996721820229495</v>
      </c>
      <c r="C4654">
        <v>0.86278977190165096</v>
      </c>
      <c r="D4654">
        <v>1.0008655957884001</v>
      </c>
      <c r="E4654">
        <v>1.2975477273913301</v>
      </c>
      <c r="F4654">
        <v>1.0185574409617699</v>
      </c>
      <c r="G4654">
        <v>0.66006112561514196</v>
      </c>
      <c r="H4654">
        <v>0.25753765253930899</v>
      </c>
      <c r="I4654">
        <v>0.168520540435282</v>
      </c>
      <c r="J4654">
        <v>0.12771047010319</v>
      </c>
      <c r="K4654">
        <v>0.12736129065233601</v>
      </c>
      <c r="L4654">
        <v>2297.34169274329</v>
      </c>
      <c r="M4654">
        <v>39.786938496551002</v>
      </c>
      <c r="N4654">
        <v>58.221602226813403</v>
      </c>
      <c r="O4654">
        <v>57.595826213082297</v>
      </c>
      <c r="P4654">
        <v>-0.14853051274416099</v>
      </c>
      <c r="Q4654">
        <v>0.139947171558052</v>
      </c>
      <c r="R4654">
        <v>0.93710693747331897</v>
      </c>
      <c r="S4654" t="s">
        <v>10480</v>
      </c>
      <c r="T4654" t="s">
        <v>11650</v>
      </c>
      <c r="U4654" t="s">
        <v>11650</v>
      </c>
      <c r="V4654" t="s">
        <v>11650</v>
      </c>
      <c r="W4654" t="s">
        <v>16249</v>
      </c>
      <c r="X4654">
        <v>2</v>
      </c>
      <c r="Y4654" t="s">
        <v>21919</v>
      </c>
      <c r="Z4654" t="s">
        <v>27716</v>
      </c>
      <c r="AA4654">
        <v>0.65196611501149138</v>
      </c>
      <c r="AB4654" t="str">
        <f>HYPERLINK("Melting_Curves/meltCurve_Q96RQ1_ERGIC2.pdf", "Melting_Curves/meltCurve_Q96RQ1_ERGIC2.pdf")</f>
        <v>Melting_Curves/meltCurve_Q96RQ1_ERGIC2.pdf</v>
      </c>
    </row>
    <row r="4655" spans="1:28" x14ac:dyDescent="0.25">
      <c r="A4655" t="s">
        <v>4659</v>
      </c>
      <c r="B4655">
        <v>0.99996721820229495</v>
      </c>
      <c r="C4655">
        <v>0.89942034123150605</v>
      </c>
      <c r="D4655">
        <v>0.77181011367470997</v>
      </c>
      <c r="E4655">
        <v>0.58127833200468804</v>
      </c>
      <c r="F4655">
        <v>0.33105699251066001</v>
      </c>
      <c r="G4655">
        <v>0.31914872527437699</v>
      </c>
      <c r="H4655">
        <v>0.239956250252573</v>
      </c>
      <c r="I4655">
        <v>0.15206400496396399</v>
      </c>
      <c r="J4655">
        <v>0.11023517981155</v>
      </c>
      <c r="K4655">
        <v>8.5608057822178493E-2</v>
      </c>
      <c r="L4655">
        <v>599.53653363653495</v>
      </c>
      <c r="M4655">
        <v>11.9120530046829</v>
      </c>
      <c r="N4655">
        <v>51.135668628321397</v>
      </c>
      <c r="O4655">
        <v>48.974708809161697</v>
      </c>
      <c r="P4655">
        <v>-5.5619715799944403E-2</v>
      </c>
      <c r="Q4655">
        <v>8.5536675105728002E-2</v>
      </c>
      <c r="R4655">
        <v>0.98543781455046697</v>
      </c>
      <c r="S4655" t="s">
        <v>10481</v>
      </c>
      <c r="T4655" t="s">
        <v>11650</v>
      </c>
      <c r="U4655" t="s">
        <v>11650</v>
      </c>
      <c r="V4655" t="s">
        <v>11650</v>
      </c>
      <c r="W4655" t="s">
        <v>16250</v>
      </c>
      <c r="X4655">
        <v>9</v>
      </c>
      <c r="Y4655" t="s">
        <v>21920</v>
      </c>
      <c r="Z4655" t="s">
        <v>27717</v>
      </c>
      <c r="AA4655">
        <v>0.43181737785766788</v>
      </c>
      <c r="AB4655" t="str">
        <f>HYPERLINK("Melting_Curves/meltCurve_Q96RR4_CAMKK2.pdf", "Melting_Curves/meltCurve_Q96RR4_CAMKK2.pdf")</f>
        <v>Melting_Curves/meltCurve_Q96RR4_CAMKK2.pdf</v>
      </c>
    </row>
    <row r="4656" spans="1:28" x14ac:dyDescent="0.25">
      <c r="A4656" t="s">
        <v>4660</v>
      </c>
      <c r="B4656">
        <v>0.99996721820229495</v>
      </c>
      <c r="C4656">
        <v>1.08253606331172</v>
      </c>
      <c r="D4656">
        <v>1.03028541266234</v>
      </c>
      <c r="E4656">
        <v>1.2571807830434301</v>
      </c>
      <c r="F4656">
        <v>1.1976183542316099</v>
      </c>
      <c r="G4656">
        <v>0.74503243423955201</v>
      </c>
      <c r="H4656">
        <v>0.467534595881055</v>
      </c>
      <c r="I4656">
        <v>0.30346417027843697</v>
      </c>
      <c r="J4656">
        <v>0.21676196362438599</v>
      </c>
      <c r="K4656">
        <v>0.177968718198278</v>
      </c>
      <c r="L4656">
        <v>1801.5216424717901</v>
      </c>
      <c r="M4656">
        <v>30.342248397653002</v>
      </c>
      <c r="N4656">
        <v>60.364038752185301</v>
      </c>
      <c r="O4656">
        <v>59.117265789970602</v>
      </c>
      <c r="P4656">
        <v>-0.103150069730848</v>
      </c>
      <c r="Q4656">
        <v>0.196116014956356</v>
      </c>
      <c r="R4656">
        <v>0.91822417137618395</v>
      </c>
      <c r="S4656" t="s">
        <v>10482</v>
      </c>
      <c r="T4656" t="s">
        <v>11650</v>
      </c>
      <c r="U4656" t="s">
        <v>11650</v>
      </c>
      <c r="V4656" t="s">
        <v>11650</v>
      </c>
      <c r="W4656" t="s">
        <v>16251</v>
      </c>
      <c r="X4656">
        <v>8</v>
      </c>
      <c r="Y4656" t="s">
        <v>21921</v>
      </c>
      <c r="Z4656" t="s">
        <v>27718</v>
      </c>
      <c r="AA4656">
        <v>0.72023237357109515</v>
      </c>
      <c r="AB4656" t="str">
        <f>HYPERLINK("Melting_Curves/meltCurve_Q96RS6_NUDCD1.pdf", "Melting_Curves/meltCurve_Q96RS6_NUDCD1.pdf")</f>
        <v>Melting_Curves/meltCurve_Q96RS6_NUDCD1.pdf</v>
      </c>
    </row>
    <row r="4657" spans="1:28" x14ac:dyDescent="0.25">
      <c r="A4657" t="s">
        <v>4661</v>
      </c>
      <c r="B4657">
        <v>0.99996721820229495</v>
      </c>
      <c r="C4657">
        <v>0.89123051041522705</v>
      </c>
      <c r="D4657">
        <v>0.84523013625534305</v>
      </c>
      <c r="E4657">
        <v>0.79542811444818495</v>
      </c>
      <c r="F4657">
        <v>0.71244094639698696</v>
      </c>
      <c r="G4657">
        <v>0.58386306422087397</v>
      </c>
      <c r="H4657">
        <v>0.36643286672967201</v>
      </c>
      <c r="I4657">
        <v>0.29489866800977199</v>
      </c>
      <c r="J4657">
        <v>0.23063145193894999</v>
      </c>
      <c r="K4657">
        <v>0.18494062435332401</v>
      </c>
      <c r="L4657">
        <v>485.32852919837302</v>
      </c>
      <c r="M4657">
        <v>8.3842577864636691</v>
      </c>
      <c r="N4657">
        <v>57.885689025171899</v>
      </c>
      <c r="O4657">
        <v>54.873644369265797</v>
      </c>
      <c r="P4657">
        <v>-3.8234247125178401E-2</v>
      </c>
      <c r="Q4657">
        <v>0</v>
      </c>
      <c r="R4657">
        <v>0.98615116348113496</v>
      </c>
      <c r="S4657" t="s">
        <v>10483</v>
      </c>
      <c r="T4657" t="s">
        <v>11650</v>
      </c>
      <c r="U4657" t="s">
        <v>11650</v>
      </c>
      <c r="V4657" t="s">
        <v>11650</v>
      </c>
      <c r="W4657" t="s">
        <v>16252</v>
      </c>
      <c r="X4657">
        <v>23</v>
      </c>
      <c r="Y4657" t="s">
        <v>21922</v>
      </c>
      <c r="Z4657" t="s">
        <v>27719</v>
      </c>
      <c r="AA4657">
        <v>0.60229253160552687</v>
      </c>
      <c r="AB4657" t="str">
        <f>HYPERLINK("Melting_Curves/meltCurve_Q96RT1_5_ERBB2IP.pdf", "Melting_Curves/meltCurve_Q96RT1_5_ERBB2IP.pdf")</f>
        <v>Melting_Curves/meltCurve_Q96RT1_5_ERBB2IP.pdf</v>
      </c>
    </row>
    <row r="4658" spans="1:28" x14ac:dyDescent="0.25">
      <c r="A4658" t="s">
        <v>4662</v>
      </c>
      <c r="B4658">
        <v>0.99996721820229495</v>
      </c>
      <c r="C4658">
        <v>0.99327104489453899</v>
      </c>
      <c r="D4658">
        <v>0.86765593612648295</v>
      </c>
      <c r="E4658">
        <v>0.500129974565373</v>
      </c>
      <c r="F4658">
        <v>0.30839703147880199</v>
      </c>
      <c r="G4658">
        <v>0.25419978512021402</v>
      </c>
      <c r="H4658">
        <v>0.17266705889490899</v>
      </c>
      <c r="I4658">
        <v>0.12817837036911001</v>
      </c>
      <c r="J4658">
        <v>0.10113953314011299</v>
      </c>
      <c r="K4658">
        <v>7.8002875451139694E-2</v>
      </c>
      <c r="L4658">
        <v>967.20577535173504</v>
      </c>
      <c r="M4658">
        <v>19.475016257808601</v>
      </c>
      <c r="N4658">
        <v>50.373175255402202</v>
      </c>
      <c r="O4658">
        <v>49.149164167418</v>
      </c>
      <c r="P4658">
        <v>-8.7185369247950006E-2</v>
      </c>
      <c r="Q4658">
        <v>0.119911591412227</v>
      </c>
      <c r="R4658">
        <v>0.991521229653893</v>
      </c>
      <c r="S4658" t="s">
        <v>10484</v>
      </c>
      <c r="T4658" t="s">
        <v>11650</v>
      </c>
      <c r="U4658" t="s">
        <v>11650</v>
      </c>
      <c r="V4658" t="s">
        <v>11650</v>
      </c>
      <c r="W4658" t="s">
        <v>16253</v>
      </c>
      <c r="X4658">
        <v>19</v>
      </c>
      <c r="Y4658" t="s">
        <v>21923</v>
      </c>
      <c r="Z4658" t="s">
        <v>27720</v>
      </c>
      <c r="AA4658">
        <v>0.41634668614167852</v>
      </c>
      <c r="AB4658" t="str">
        <f>HYPERLINK("Melting_Curves/meltCurve_Q96RU3_3_FNBP1.pdf", "Melting_Curves/meltCurve_Q96RU3_3_FNBP1.pdf")</f>
        <v>Melting_Curves/meltCurve_Q96RU3_3_FNBP1.pdf</v>
      </c>
    </row>
    <row r="4659" spans="1:28" x14ac:dyDescent="0.25">
      <c r="A4659" t="s">
        <v>4663</v>
      </c>
      <c r="B4659">
        <v>0.99996721820229495</v>
      </c>
      <c r="C4659">
        <v>0.72876746239179202</v>
      </c>
      <c r="D4659">
        <v>0.87932427420590198</v>
      </c>
      <c r="E4659">
        <v>1.1880508674186001</v>
      </c>
      <c r="F4659">
        <v>1.67300898249288</v>
      </c>
      <c r="G4659">
        <v>1.8126942065371501</v>
      </c>
      <c r="H4659">
        <v>1.38271062516405</v>
      </c>
      <c r="I4659">
        <v>0.69521462370811105</v>
      </c>
      <c r="J4659">
        <v>0.30848530546735298</v>
      </c>
      <c r="K4659">
        <v>0.37520909597483199</v>
      </c>
      <c r="L4659">
        <v>15000</v>
      </c>
      <c r="M4659">
        <v>234.227016258704</v>
      </c>
      <c r="N4659">
        <v>64.356683817897604</v>
      </c>
      <c r="O4659">
        <v>64.035746149061595</v>
      </c>
      <c r="P4659">
        <v>-0.60184963494851496</v>
      </c>
      <c r="Q4659">
        <v>0.34183676673553198</v>
      </c>
      <c r="R4659">
        <v>0.409031690353719</v>
      </c>
      <c r="S4659" t="s">
        <v>10485</v>
      </c>
      <c r="T4659" t="s">
        <v>11650</v>
      </c>
      <c r="U4659" t="s">
        <v>11650</v>
      </c>
      <c r="V4659" t="s">
        <v>11650</v>
      </c>
      <c r="W4659" t="s">
        <v>16254</v>
      </c>
      <c r="X4659">
        <v>1</v>
      </c>
      <c r="Y4659" t="s">
        <v>21924</v>
      </c>
      <c r="Z4659" t="s">
        <v>27721</v>
      </c>
      <c r="AA4659">
        <v>0.86933871821561237</v>
      </c>
      <c r="AB4659" t="str">
        <f>HYPERLINK("Melting_Curves/meltCurve_Q96RW7_2_HMCN1.pdf", "Melting_Curves/meltCurve_Q96RW7_2_HMCN1.pdf")</f>
        <v>Melting_Curves/meltCurve_Q96RW7_2_HMCN1.pdf</v>
      </c>
    </row>
    <row r="4660" spans="1:28" x14ac:dyDescent="0.25">
      <c r="A4660" t="s">
        <v>4664</v>
      </c>
      <c r="B4660">
        <v>0.99996721820229495</v>
      </c>
      <c r="C4660">
        <v>0.97097543333164105</v>
      </c>
      <c r="D4660">
        <v>0.82686673369534802</v>
      </c>
      <c r="E4660">
        <v>0.38559360551952898</v>
      </c>
      <c r="F4660">
        <v>0.19307360563078399</v>
      </c>
      <c r="G4660">
        <v>0.14796923837987699</v>
      </c>
      <c r="H4660">
        <v>8.7408392601897894E-2</v>
      </c>
      <c r="I4660">
        <v>6.1322296362935201E-2</v>
      </c>
      <c r="J4660">
        <v>3.9138507835338801E-2</v>
      </c>
      <c r="K4660">
        <v>3.1740631139915799E-2</v>
      </c>
      <c r="L4660">
        <v>1124.27026285845</v>
      </c>
      <c r="M4660">
        <v>23.0389587478153</v>
      </c>
      <c r="N4660">
        <v>49.0795851254883</v>
      </c>
      <c r="O4660">
        <v>48.435491987944999</v>
      </c>
      <c r="P4660">
        <v>-0.111571938836412</v>
      </c>
      <c r="Q4660">
        <v>6.1773783473098302E-2</v>
      </c>
      <c r="R4660">
        <v>0.99634144298725502</v>
      </c>
      <c r="S4660" t="s">
        <v>10486</v>
      </c>
      <c r="T4660" t="s">
        <v>11650</v>
      </c>
      <c r="U4660" t="s">
        <v>11650</v>
      </c>
      <c r="V4660" t="s">
        <v>11650</v>
      </c>
      <c r="W4660" t="s">
        <v>16255</v>
      </c>
      <c r="X4660">
        <v>9</v>
      </c>
      <c r="Y4660" t="s">
        <v>21925</v>
      </c>
      <c r="Z4660" t="s">
        <v>27722</v>
      </c>
      <c r="AA4660">
        <v>0.34678089840409398</v>
      </c>
      <c r="AB4660" t="str">
        <f>HYPERLINK("Melting_Curves/meltCurve_Q96S19_C16orf13.pdf", "Melting_Curves/meltCurve_Q96S19_C16orf13.pdf")</f>
        <v>Melting_Curves/meltCurve_Q96S19_C16orf13.pdf</v>
      </c>
    </row>
    <row r="4661" spans="1:28" x14ac:dyDescent="0.25">
      <c r="A4661" t="s">
        <v>4665</v>
      </c>
      <c r="B4661">
        <v>0.99996721820229495</v>
      </c>
      <c r="C4661">
        <v>1.0482608632603001</v>
      </c>
      <c r="D4661">
        <v>1.0263737683030201</v>
      </c>
      <c r="E4661">
        <v>0.986097822369851</v>
      </c>
      <c r="F4661">
        <v>0.91185366965542303</v>
      </c>
      <c r="G4661">
        <v>0.572305429398281</v>
      </c>
      <c r="H4661">
        <v>0.18682845575699</v>
      </c>
      <c r="I4661">
        <v>9.7519072400529205E-2</v>
      </c>
      <c r="J4661">
        <v>9.1397103765455207E-2</v>
      </c>
      <c r="K4661">
        <v>2.4217544125883301E-2</v>
      </c>
      <c r="L4661">
        <v>1621.0624773327299</v>
      </c>
      <c r="M4661">
        <v>28.247682460957499</v>
      </c>
      <c r="N4661">
        <v>57.580145603965299</v>
      </c>
      <c r="O4661">
        <v>57.102149842077502</v>
      </c>
      <c r="P4661">
        <v>-0.11809517123895</v>
      </c>
      <c r="Q4661">
        <v>4.5099380323080598E-2</v>
      </c>
      <c r="R4661">
        <v>0.99732519868806402</v>
      </c>
      <c r="S4661" t="s">
        <v>10487</v>
      </c>
      <c r="T4661" t="s">
        <v>11650</v>
      </c>
      <c r="U4661" t="s">
        <v>11650</v>
      </c>
      <c r="V4661" t="s">
        <v>11650</v>
      </c>
      <c r="W4661" t="s">
        <v>16256</v>
      </c>
      <c r="X4661">
        <v>3</v>
      </c>
      <c r="Y4661" t="s">
        <v>21926</v>
      </c>
      <c r="Z4661" t="s">
        <v>27723</v>
      </c>
      <c r="AA4661">
        <v>0.60555950720409668</v>
      </c>
      <c r="AB4661" t="str">
        <f>HYPERLINK("Melting_Curves/meltCurve_Q96S44_TP53RK.pdf", "Melting_Curves/meltCurve_Q96S44_TP53RK.pdf")</f>
        <v>Melting_Curves/meltCurve_Q96S44_TP53RK.pdf</v>
      </c>
    </row>
    <row r="4662" spans="1:28" x14ac:dyDescent="0.25">
      <c r="A4662" t="s">
        <v>4666</v>
      </c>
      <c r="B4662">
        <v>0.99996721820229495</v>
      </c>
      <c r="C4662">
        <v>0.94871480612257297</v>
      </c>
      <c r="D4662">
        <v>1.02352648755178</v>
      </c>
      <c r="E4662">
        <v>1.5863358951620601</v>
      </c>
      <c r="F4662">
        <v>1.3040537866039199</v>
      </c>
      <c r="G4662">
        <v>0.8074576035462</v>
      </c>
      <c r="H4662">
        <v>0.46356817741284201</v>
      </c>
      <c r="I4662">
        <v>0.28829292101659298</v>
      </c>
      <c r="J4662">
        <v>0</v>
      </c>
      <c r="K4662">
        <v>6.1392589162702502E-2</v>
      </c>
      <c r="L4662">
        <v>1800.4215436622001</v>
      </c>
      <c r="M4662">
        <v>29.607303063278099</v>
      </c>
      <c r="N4662">
        <v>60.893872485162198</v>
      </c>
      <c r="O4662">
        <v>60.534681414969199</v>
      </c>
      <c r="P4662">
        <v>-0.119833392199599</v>
      </c>
      <c r="Q4662">
        <v>1.996835385259E-2</v>
      </c>
      <c r="R4662">
        <v>0.813702912985238</v>
      </c>
      <c r="S4662" t="s">
        <v>10488</v>
      </c>
      <c r="T4662" t="s">
        <v>11650</v>
      </c>
      <c r="U4662" t="s">
        <v>11650</v>
      </c>
      <c r="V4662" t="s">
        <v>11650</v>
      </c>
      <c r="W4662" t="s">
        <v>16257</v>
      </c>
      <c r="X4662">
        <v>2</v>
      </c>
      <c r="Y4662" t="s">
        <v>21927</v>
      </c>
      <c r="Z4662" t="s">
        <v>27724</v>
      </c>
      <c r="AA4662">
        <v>0.70539715396310787</v>
      </c>
      <c r="AB4662" t="str">
        <f>HYPERLINK("Melting_Curves/meltCurve_Q96S52_2_PIGS.pdf", "Melting_Curves/meltCurve_Q96S52_2_PIGS.pdf")</f>
        <v>Melting_Curves/meltCurve_Q96S52_2_PIGS.pdf</v>
      </c>
    </row>
    <row r="4663" spans="1:28" x14ac:dyDescent="0.25">
      <c r="A4663" t="s">
        <v>4667</v>
      </c>
      <c r="B4663">
        <v>0.99996721820229495</v>
      </c>
      <c r="C4663">
        <v>1.00210516327218</v>
      </c>
      <c r="D4663">
        <v>0.94267457788279196</v>
      </c>
      <c r="E4663">
        <v>1.2694642415789399</v>
      </c>
      <c r="F4663">
        <v>1.4740846360692701</v>
      </c>
      <c r="G4663">
        <v>1.1102529298247701</v>
      </c>
      <c r="H4663">
        <v>0.64840240177729902</v>
      </c>
      <c r="I4663">
        <v>0.43831484348009903</v>
      </c>
      <c r="J4663">
        <v>0.24674478498140201</v>
      </c>
      <c r="K4663">
        <v>0.183782987347611</v>
      </c>
      <c r="L4663">
        <v>2392.5558834831099</v>
      </c>
      <c r="M4663">
        <v>38.644167062669403</v>
      </c>
      <c r="N4663">
        <v>62.766087545953297</v>
      </c>
      <c r="O4663">
        <v>61.747375183996702</v>
      </c>
      <c r="P4663">
        <v>-0.12448272859736099</v>
      </c>
      <c r="Q4663">
        <v>0.20438564953566599</v>
      </c>
      <c r="R4663">
        <v>0.80645494037983001</v>
      </c>
      <c r="S4663" t="s">
        <v>10489</v>
      </c>
      <c r="T4663" t="s">
        <v>11650</v>
      </c>
      <c r="U4663" t="s">
        <v>11650</v>
      </c>
      <c r="V4663" t="s">
        <v>11650</v>
      </c>
      <c r="W4663" t="s">
        <v>16258</v>
      </c>
      <c r="X4663">
        <v>1</v>
      </c>
      <c r="Y4663" t="s">
        <v>21928</v>
      </c>
      <c r="Z4663" t="s">
        <v>27725</v>
      </c>
      <c r="AA4663">
        <v>0.7885047012202494</v>
      </c>
      <c r="AB4663" t="str">
        <f>HYPERLINK("Melting_Curves/meltCurve_Q96S59_RANBP9.pdf", "Melting_Curves/meltCurve_Q96S59_RANBP9.pdf")</f>
        <v>Melting_Curves/meltCurve_Q96S59_RANBP9.pdf</v>
      </c>
    </row>
    <row r="4664" spans="1:28" x14ac:dyDescent="0.25">
      <c r="A4664" t="s">
        <v>4668</v>
      </c>
      <c r="B4664">
        <v>0.99996721820229495</v>
      </c>
      <c r="C4664">
        <v>1.0450106754931101</v>
      </c>
      <c r="D4664">
        <v>1.0620738251858699</v>
      </c>
      <c r="E4664">
        <v>1.19526250693898</v>
      </c>
      <c r="F4664">
        <v>1.6102232681754001</v>
      </c>
      <c r="G4664">
        <v>2.0119877424632699</v>
      </c>
      <c r="H4664">
        <v>1.4857637142592699</v>
      </c>
      <c r="I4664">
        <v>0.81782234503761997</v>
      </c>
      <c r="J4664">
        <v>0.39962915895449003</v>
      </c>
      <c r="K4664">
        <v>0.31789502086659399</v>
      </c>
      <c r="L4664">
        <v>10536.557729132999</v>
      </c>
      <c r="M4664">
        <v>163.703725677835</v>
      </c>
      <c r="N4664">
        <v>64.862795106826795</v>
      </c>
      <c r="O4664">
        <v>64.353981044315304</v>
      </c>
      <c r="P4664">
        <v>-0.408175174824778</v>
      </c>
      <c r="Q4664">
        <v>0.35816501158976199</v>
      </c>
      <c r="R4664">
        <v>0.313231235840566</v>
      </c>
      <c r="S4664" t="s">
        <v>10490</v>
      </c>
      <c r="T4664" t="s">
        <v>11650</v>
      </c>
      <c r="U4664" t="s">
        <v>11650</v>
      </c>
      <c r="V4664" t="s">
        <v>11650</v>
      </c>
      <c r="W4664" t="s">
        <v>16259</v>
      </c>
      <c r="X4664">
        <v>24</v>
      </c>
      <c r="Y4664" t="s">
        <v>21929</v>
      </c>
      <c r="Z4664" t="s">
        <v>27726</v>
      </c>
      <c r="AA4664">
        <v>0.87958071325769305</v>
      </c>
      <c r="AB4664" t="str">
        <f>HYPERLINK("Melting_Curves/meltCurve_Q96S66_CLCC1.pdf", "Melting_Curves/meltCurve_Q96S66_CLCC1.pdf")</f>
        <v>Melting_Curves/meltCurve_Q96S66_CLCC1.pdf</v>
      </c>
    </row>
    <row r="4665" spans="1:28" x14ac:dyDescent="0.25">
      <c r="A4665" t="s">
        <v>4669</v>
      </c>
      <c r="B4665">
        <v>0.99996721820229495</v>
      </c>
      <c r="C4665">
        <v>1.1442662920177999</v>
      </c>
      <c r="D4665">
        <v>0.98322860557440295</v>
      </c>
      <c r="E4665">
        <v>1.0128333677812</v>
      </c>
      <c r="F4665">
        <v>1.03694191066302</v>
      </c>
      <c r="G4665">
        <v>0.82716555720779605</v>
      </c>
      <c r="H4665">
        <v>0.479881217262214</v>
      </c>
      <c r="I4665">
        <v>0.26022949267198098</v>
      </c>
      <c r="J4665">
        <v>0.18450329341600699</v>
      </c>
      <c r="K4665">
        <v>0.159315465497507</v>
      </c>
      <c r="L4665">
        <v>1747.61589870341</v>
      </c>
      <c r="M4665">
        <v>29.139315047374801</v>
      </c>
      <c r="N4665">
        <v>60.695550064085403</v>
      </c>
      <c r="O4665">
        <v>59.694168473009903</v>
      </c>
      <c r="P4665">
        <v>-0.10418245790264299</v>
      </c>
      <c r="Q4665">
        <v>0.14630256328416499</v>
      </c>
      <c r="R4665">
        <v>0.98218303317737898</v>
      </c>
      <c r="S4665" t="s">
        <v>10491</v>
      </c>
      <c r="T4665" t="s">
        <v>11650</v>
      </c>
      <c r="U4665" t="s">
        <v>11650</v>
      </c>
      <c r="V4665" t="s">
        <v>11650</v>
      </c>
      <c r="W4665" t="s">
        <v>16260</v>
      </c>
      <c r="X4665">
        <v>2</v>
      </c>
      <c r="Y4665" t="s">
        <v>21930</v>
      </c>
      <c r="Z4665" t="s">
        <v>27727</v>
      </c>
      <c r="AA4665">
        <v>0.72010137918118622</v>
      </c>
      <c r="AB4665" t="str">
        <f>HYPERLINK("Melting_Curves/meltCurve_Q96S82_UBL7.pdf", "Melting_Curves/meltCurve_Q96S82_UBL7.pdf")</f>
        <v>Melting_Curves/meltCurve_Q96S82_UBL7.pdf</v>
      </c>
    </row>
    <row r="4666" spans="1:28" x14ac:dyDescent="0.25">
      <c r="A4666" t="s">
        <v>4670</v>
      </c>
      <c r="B4666">
        <v>0.99996721820229495</v>
      </c>
      <c r="C4666">
        <v>1.04429404401687</v>
      </c>
      <c r="D4666">
        <v>0.86538711376351796</v>
      </c>
      <c r="E4666">
        <v>0.70638578549176201</v>
      </c>
      <c r="F4666">
        <v>0.613061310493068</v>
      </c>
      <c r="G4666">
        <v>0.41352106111084203</v>
      </c>
      <c r="H4666">
        <v>0.22101242990342501</v>
      </c>
      <c r="I4666">
        <v>0.20015711445770601</v>
      </c>
      <c r="J4666">
        <v>0.23050567702636399</v>
      </c>
      <c r="K4666">
        <v>0.15904146448173301</v>
      </c>
      <c r="L4666">
        <v>703.26365418790795</v>
      </c>
      <c r="M4666">
        <v>13.207603880583701</v>
      </c>
      <c r="N4666">
        <v>54.514918436349397</v>
      </c>
      <c r="O4666">
        <v>52.070603842486001</v>
      </c>
      <c r="P4666">
        <v>-5.5034669109850699E-2</v>
      </c>
      <c r="Q4666">
        <v>0.13225364128331499</v>
      </c>
      <c r="R4666">
        <v>0.98574928075923895</v>
      </c>
      <c r="S4666" t="s">
        <v>10492</v>
      </c>
      <c r="T4666" t="s">
        <v>11650</v>
      </c>
      <c r="U4666" t="s">
        <v>11650</v>
      </c>
      <c r="V4666" t="s">
        <v>11650</v>
      </c>
      <c r="W4666" t="s">
        <v>16261</v>
      </c>
      <c r="X4666">
        <v>7</v>
      </c>
      <c r="Y4666" t="s">
        <v>21931</v>
      </c>
      <c r="Z4666" t="s">
        <v>27728</v>
      </c>
      <c r="AA4666">
        <v>0.53714705143922248</v>
      </c>
      <c r="AB4666" t="str">
        <f>HYPERLINK("Melting_Curves/meltCurve_Q96S90_LYSMD1.pdf", "Melting_Curves/meltCurve_Q96S90_LYSMD1.pdf")</f>
        <v>Melting_Curves/meltCurve_Q96S90_LYSMD1.pdf</v>
      </c>
    </row>
    <row r="4667" spans="1:28" x14ac:dyDescent="0.25">
      <c r="A4667" t="s">
        <v>4671</v>
      </c>
      <c r="B4667">
        <v>0.99996721820229495</v>
      </c>
      <c r="C4667">
        <v>1.00650296101311</v>
      </c>
      <c r="D4667">
        <v>0.89274591189991304</v>
      </c>
      <c r="E4667">
        <v>0.42936001251206002</v>
      </c>
      <c r="F4667">
        <v>0.41232936668406001</v>
      </c>
      <c r="G4667">
        <v>0.29936034036250397</v>
      </c>
      <c r="H4667">
        <v>0.232583766812755</v>
      </c>
      <c r="I4667">
        <v>0.14270268313403101</v>
      </c>
      <c r="J4667">
        <v>0.11404321608220599</v>
      </c>
      <c r="K4667">
        <v>9.9858975268918904E-2</v>
      </c>
      <c r="L4667">
        <v>870.46206573339498</v>
      </c>
      <c r="M4667">
        <v>17.5180503877985</v>
      </c>
      <c r="N4667">
        <v>50.684431698073404</v>
      </c>
      <c r="O4667">
        <v>49.055501230507303</v>
      </c>
      <c r="P4667">
        <v>-7.6291195932221806E-2</v>
      </c>
      <c r="Q4667">
        <v>0.145499210986166</v>
      </c>
      <c r="R4667">
        <v>0.96924127920237702</v>
      </c>
      <c r="S4667" t="s">
        <v>10493</v>
      </c>
      <c r="T4667" t="s">
        <v>11650</v>
      </c>
      <c r="U4667" t="s">
        <v>11650</v>
      </c>
      <c r="V4667" t="s">
        <v>11650</v>
      </c>
      <c r="W4667" t="s">
        <v>16262</v>
      </c>
      <c r="X4667">
        <v>3</v>
      </c>
      <c r="Y4667" t="s">
        <v>21932</v>
      </c>
      <c r="Z4667" t="s">
        <v>27729</v>
      </c>
      <c r="AA4667">
        <v>0.43690439286509908</v>
      </c>
      <c r="AB4667" t="str">
        <f>HYPERLINK("Melting_Curves/meltCurve_Q96S99_PLEKHF1.pdf", "Melting_Curves/meltCurve_Q96S99_PLEKHF1.pdf")</f>
        <v>Melting_Curves/meltCurve_Q96S99_PLEKHF1.pdf</v>
      </c>
    </row>
    <row r="4668" spans="1:28" x14ac:dyDescent="0.25">
      <c r="A4668" t="s">
        <v>4672</v>
      </c>
      <c r="B4668">
        <v>0.99996721820229495</v>
      </c>
      <c r="C4668">
        <v>0.95211697885556301</v>
      </c>
      <c r="D4668">
        <v>0.95446012199236896</v>
      </c>
      <c r="E4668">
        <v>1.0646559506676601</v>
      </c>
      <c r="F4668">
        <v>1.22946028737888</v>
      </c>
      <c r="G4668">
        <v>1.1693306571834401</v>
      </c>
      <c r="H4668">
        <v>0.92695387461861201</v>
      </c>
      <c r="I4668">
        <v>0.89937862738334495</v>
      </c>
      <c r="J4668">
        <v>0.88790103714093804</v>
      </c>
      <c r="K4668">
        <v>0.72029892644634497</v>
      </c>
      <c r="L4668">
        <v>1430.65863888224</v>
      </c>
      <c r="M4668">
        <v>19.955970777256798</v>
      </c>
      <c r="Q4668">
        <v>0.28283484724501101</v>
      </c>
      <c r="R4668">
        <v>0.49604817853840699</v>
      </c>
      <c r="S4668" t="s">
        <v>10494</v>
      </c>
      <c r="T4668" t="s">
        <v>11650</v>
      </c>
      <c r="U4668" t="s">
        <v>11650</v>
      </c>
      <c r="V4668" t="s">
        <v>11650</v>
      </c>
      <c r="W4668" t="s">
        <v>16263</v>
      </c>
      <c r="X4668">
        <v>13</v>
      </c>
      <c r="Y4668" t="s">
        <v>21933</v>
      </c>
      <c r="Z4668" t="s">
        <v>27730</v>
      </c>
      <c r="AA4668">
        <v>0.96439842005556498</v>
      </c>
      <c r="AB4668" t="str">
        <f>HYPERLINK("Melting_Curves/meltCurve_Q96SB3_PPP1R9B.pdf", "Melting_Curves/meltCurve_Q96SB3_PPP1R9B.pdf")</f>
        <v>Melting_Curves/meltCurve_Q96SB3_PPP1R9B.pdf</v>
      </c>
    </row>
    <row r="4669" spans="1:28" x14ac:dyDescent="0.25">
      <c r="A4669" t="s">
        <v>4673</v>
      </c>
      <c r="B4669">
        <v>0.99996721820229495</v>
      </c>
      <c r="C4669">
        <v>0.94625070016344504</v>
      </c>
      <c r="D4669">
        <v>1.0472839379707499</v>
      </c>
      <c r="E4669">
        <v>1.22617304909509</v>
      </c>
      <c r="F4669">
        <v>0.33567604237023901</v>
      </c>
      <c r="G4669">
        <v>0.212794432342994</v>
      </c>
      <c r="H4669">
        <v>0.167578392986756</v>
      </c>
      <c r="I4669">
        <v>0.14506989489744199</v>
      </c>
      <c r="J4669">
        <v>0.117017984953558</v>
      </c>
      <c r="K4669">
        <v>8.9961022182348596E-2</v>
      </c>
      <c r="L4669">
        <v>13183.432151258899</v>
      </c>
      <c r="M4669">
        <v>250</v>
      </c>
      <c r="N4669">
        <v>52.8069601412002</v>
      </c>
      <c r="O4669">
        <v>52.730354008173897</v>
      </c>
      <c r="P4669">
        <v>-1.0116514852504099</v>
      </c>
      <c r="Q4669">
        <v>0.14648414599219201</v>
      </c>
      <c r="R4669">
        <v>0.96619739308288</v>
      </c>
      <c r="S4669" t="s">
        <v>10495</v>
      </c>
      <c r="T4669" t="s">
        <v>11650</v>
      </c>
      <c r="U4669" t="s">
        <v>11650</v>
      </c>
      <c r="V4669" t="s">
        <v>11650</v>
      </c>
      <c r="W4669" t="s">
        <v>16264</v>
      </c>
      <c r="X4669">
        <v>1</v>
      </c>
      <c r="Y4669" t="s">
        <v>21934</v>
      </c>
      <c r="Z4669" t="s">
        <v>27731</v>
      </c>
      <c r="AA4669">
        <v>0.50884444438320964</v>
      </c>
      <c r="AB4669" t="str">
        <f>HYPERLINK("Melting_Curves/meltCurve_Q96SK2_2_TMEM209.pdf", "Melting_Curves/meltCurve_Q96SK2_2_TMEM209.pdf")</f>
        <v>Melting_Curves/meltCurve_Q96SK2_2_TMEM209.pdf</v>
      </c>
    </row>
    <row r="4670" spans="1:28" x14ac:dyDescent="0.25">
      <c r="A4670" t="s">
        <v>4674</v>
      </c>
      <c r="B4670">
        <v>0.99996721820229495</v>
      </c>
      <c r="C4670">
        <v>1.0060999751064501</v>
      </c>
      <c r="D4670">
        <v>1.0647345475157</v>
      </c>
      <c r="E4670">
        <v>1.10476157363946</v>
      </c>
      <c r="F4670">
        <v>1.5111983840521399</v>
      </c>
      <c r="G4670">
        <v>1.43421646411185</v>
      </c>
      <c r="H4670">
        <v>0.86688472485488999</v>
      </c>
      <c r="I4670">
        <v>0.501518515848146</v>
      </c>
      <c r="J4670">
        <v>0.336830079899053</v>
      </c>
      <c r="K4670">
        <v>0.24858389512069701</v>
      </c>
      <c r="L4670">
        <v>3328.2686875855702</v>
      </c>
      <c r="M4670">
        <v>52.807732349964503</v>
      </c>
      <c r="N4670">
        <v>63.9928677027684</v>
      </c>
      <c r="O4670">
        <v>62.935982779922298</v>
      </c>
      <c r="P4670">
        <v>-0.15211730708318999</v>
      </c>
      <c r="Q4670">
        <v>0.27483011427151</v>
      </c>
      <c r="R4670">
        <v>0.71512911315031003</v>
      </c>
      <c r="S4670" t="s">
        <v>10496</v>
      </c>
      <c r="T4670" t="s">
        <v>11650</v>
      </c>
      <c r="U4670" t="s">
        <v>11650</v>
      </c>
      <c r="V4670" t="s">
        <v>11650</v>
      </c>
      <c r="W4670" t="s">
        <v>16265</v>
      </c>
      <c r="X4670">
        <v>2</v>
      </c>
      <c r="Y4670" t="s">
        <v>21935</v>
      </c>
      <c r="Z4670" t="s">
        <v>27732</v>
      </c>
      <c r="AA4670">
        <v>0.83303989024085534</v>
      </c>
      <c r="AB4670" t="str">
        <f>HYPERLINK("Melting_Curves/meltCurve_Q96SL1_2_DIRC2.pdf", "Melting_Curves/meltCurve_Q96SL1_2_DIRC2.pdf")</f>
        <v>Melting_Curves/meltCurve_Q96SL1_2_DIRC2.pdf</v>
      </c>
    </row>
    <row r="4671" spans="1:28" x14ac:dyDescent="0.25">
      <c r="A4671" t="s">
        <v>4675</v>
      </c>
      <c r="B4671">
        <v>0.99996721820229495</v>
      </c>
      <c r="C4671">
        <v>0.974985196536999</v>
      </c>
      <c r="D4671">
        <v>0.72877031817985405</v>
      </c>
      <c r="E4671">
        <v>0.40300658406642198</v>
      </c>
      <c r="F4671">
        <v>0.34420081778529599</v>
      </c>
      <c r="G4671">
        <v>0.28740758260966598</v>
      </c>
      <c r="H4671">
        <v>0.16668963627668601</v>
      </c>
      <c r="I4671">
        <v>0.12526869118645001</v>
      </c>
      <c r="J4671">
        <v>8.6724271188888397E-2</v>
      </c>
      <c r="K4671">
        <v>7.36948358976319E-2</v>
      </c>
      <c r="L4671">
        <v>733.87680863358003</v>
      </c>
      <c r="M4671">
        <v>15.0249398630786</v>
      </c>
      <c r="N4671">
        <v>49.628449955257501</v>
      </c>
      <c r="O4671">
        <v>48.003196711557102</v>
      </c>
      <c r="P4671">
        <v>-6.9985065001851296E-2</v>
      </c>
      <c r="Q4671">
        <v>0.10570876212857</v>
      </c>
      <c r="R4671">
        <v>0.97909449238488599</v>
      </c>
      <c r="S4671" t="s">
        <v>10497</v>
      </c>
      <c r="T4671" t="s">
        <v>11650</v>
      </c>
      <c r="U4671" t="s">
        <v>11650</v>
      </c>
      <c r="V4671" t="s">
        <v>11650</v>
      </c>
      <c r="W4671" t="s">
        <v>16266</v>
      </c>
      <c r="X4671">
        <v>6</v>
      </c>
      <c r="Y4671" t="s">
        <v>21936</v>
      </c>
      <c r="Z4671" t="s">
        <v>27733</v>
      </c>
      <c r="AA4671">
        <v>0.39147560610989629</v>
      </c>
      <c r="AB4671" t="str">
        <f>HYPERLINK("Melting_Curves/meltCurve_Q96SL4_GPX7.pdf", "Melting_Curves/meltCurve_Q96SL4_GPX7.pdf")</f>
        <v>Melting_Curves/meltCurve_Q96SL4_GPX7.pdf</v>
      </c>
    </row>
    <row r="4672" spans="1:28" x14ac:dyDescent="0.25">
      <c r="A4672" t="s">
        <v>4676</v>
      </c>
      <c r="B4672">
        <v>0.99996721820229495</v>
      </c>
      <c r="C4672">
        <v>1.0274261961147599</v>
      </c>
      <c r="D4672">
        <v>1.11986365560125</v>
      </c>
      <c r="E4672">
        <v>1.2637110496236199</v>
      </c>
      <c r="F4672">
        <v>1.99213796433763</v>
      </c>
      <c r="G4672">
        <v>2.0127534347739102</v>
      </c>
      <c r="H4672">
        <v>1.1334427425408</v>
      </c>
      <c r="I4672">
        <v>0.69959786325791595</v>
      </c>
      <c r="J4672">
        <v>0.474762923219675</v>
      </c>
      <c r="K4672">
        <v>0.42016243482655502</v>
      </c>
      <c r="L4672">
        <v>15000</v>
      </c>
      <c r="M4672">
        <v>234.55005869439901</v>
      </c>
      <c r="N4672">
        <v>64.572468757155406</v>
      </c>
      <c r="O4672">
        <v>63.9476086016602</v>
      </c>
      <c r="P4672">
        <v>-0.50666349052510895</v>
      </c>
      <c r="Q4672">
        <v>0.44745431099636501</v>
      </c>
      <c r="R4672">
        <v>0.21237256531408499</v>
      </c>
      <c r="S4672" t="s">
        <v>10498</v>
      </c>
      <c r="T4672" t="s">
        <v>11650</v>
      </c>
      <c r="U4672" t="s">
        <v>11650</v>
      </c>
      <c r="V4672" t="s">
        <v>11650</v>
      </c>
      <c r="W4672" t="s">
        <v>16267</v>
      </c>
      <c r="X4672">
        <v>4</v>
      </c>
      <c r="Y4672" t="s">
        <v>21937</v>
      </c>
      <c r="Z4672" t="s">
        <v>27734</v>
      </c>
      <c r="AA4672">
        <v>0.88868153642200232</v>
      </c>
      <c r="AB4672" t="str">
        <f>HYPERLINK("Melting_Curves/meltCurve_Q96SQ9_CYP2S1.pdf", "Melting_Curves/meltCurve_Q96SQ9_CYP2S1.pdf")</f>
        <v>Melting_Curves/meltCurve_Q96SQ9_CYP2S1.pdf</v>
      </c>
    </row>
    <row r="4673" spans="1:28" x14ac:dyDescent="0.25">
      <c r="A4673" t="s">
        <v>4677</v>
      </c>
      <c r="B4673">
        <v>0.99996721820229495</v>
      </c>
      <c r="C4673">
        <v>0.95520739972522095</v>
      </c>
      <c r="D4673">
        <v>0.81551349925137895</v>
      </c>
      <c r="E4673">
        <v>0.70051473812724097</v>
      </c>
      <c r="F4673">
        <v>0.77095922833418296</v>
      </c>
      <c r="G4673">
        <v>0.78631068850293795</v>
      </c>
      <c r="H4673">
        <v>0.62050615950353305</v>
      </c>
      <c r="I4673">
        <v>0.53281759223608105</v>
      </c>
      <c r="J4673">
        <v>0.39209077149580601</v>
      </c>
      <c r="K4673">
        <v>0.47270341898507601</v>
      </c>
      <c r="L4673">
        <v>295.58943610073698</v>
      </c>
      <c r="M4673">
        <v>4.46581797656901</v>
      </c>
      <c r="N4673">
        <v>66.189315752869902</v>
      </c>
      <c r="O4673">
        <v>56.136629307690399</v>
      </c>
      <c r="P4673">
        <v>-2.0066575190731201E-2</v>
      </c>
      <c r="Q4673">
        <v>0</v>
      </c>
      <c r="R4673">
        <v>0.87956288530716897</v>
      </c>
      <c r="S4673" t="s">
        <v>10499</v>
      </c>
      <c r="T4673" t="s">
        <v>11650</v>
      </c>
      <c r="U4673" t="s">
        <v>11650</v>
      </c>
      <c r="V4673" t="s">
        <v>11650</v>
      </c>
      <c r="W4673" t="s">
        <v>16268</v>
      </c>
      <c r="X4673">
        <v>8</v>
      </c>
      <c r="Y4673" t="s">
        <v>21938</v>
      </c>
      <c r="Z4673" t="s">
        <v>27735</v>
      </c>
      <c r="AA4673">
        <v>0.70726444637419017</v>
      </c>
      <c r="AB4673" t="str">
        <f>HYPERLINK("Melting_Curves/meltCurve_Q96ST2_IWS1.pdf", "Melting_Curves/meltCurve_Q96ST2_IWS1.pdf")</f>
        <v>Melting_Curves/meltCurve_Q96ST2_IWS1.pdf</v>
      </c>
    </row>
    <row r="4674" spans="1:28" x14ac:dyDescent="0.25">
      <c r="A4674" t="s">
        <v>4678</v>
      </c>
      <c r="B4674">
        <v>0.99996721820229495</v>
      </c>
      <c r="C4674">
        <v>0.92888351021647897</v>
      </c>
      <c r="D4674">
        <v>0.84459641535562202</v>
      </c>
      <c r="E4674">
        <v>0.72351450598967204</v>
      </c>
      <c r="F4674">
        <v>0.78511599796776499</v>
      </c>
      <c r="G4674">
        <v>0.66697602178909199</v>
      </c>
      <c r="H4674">
        <v>0.40953642715466498</v>
      </c>
      <c r="I4674">
        <v>0.23262884423806399</v>
      </c>
      <c r="J4674">
        <v>0.103048533172186</v>
      </c>
      <c r="K4674">
        <v>9.1191643930776806E-2</v>
      </c>
      <c r="L4674">
        <v>628.11322494548699</v>
      </c>
      <c r="M4674">
        <v>10.8242242580578</v>
      </c>
      <c r="N4674">
        <v>58.028470011678003</v>
      </c>
      <c r="O4674">
        <v>56.153172564974497</v>
      </c>
      <c r="P4674">
        <v>-4.8207902566438698E-2</v>
      </c>
      <c r="Q4674">
        <v>0</v>
      </c>
      <c r="R4674">
        <v>0.94579430263777398</v>
      </c>
      <c r="S4674" t="s">
        <v>10500</v>
      </c>
      <c r="T4674" t="s">
        <v>11650</v>
      </c>
      <c r="U4674" t="s">
        <v>11650</v>
      </c>
      <c r="V4674" t="s">
        <v>11650</v>
      </c>
      <c r="W4674" t="s">
        <v>16269</v>
      </c>
      <c r="X4674">
        <v>12</v>
      </c>
      <c r="Y4674" t="s">
        <v>21939</v>
      </c>
      <c r="Z4674" t="s">
        <v>27736</v>
      </c>
      <c r="AA4674">
        <v>0.61218264797362154</v>
      </c>
      <c r="AB4674" t="str">
        <f>HYPERLINK("Melting_Curves/meltCurve_Q96SZ5_ADO.pdf", "Melting_Curves/meltCurve_Q96SZ5_ADO.pdf")</f>
        <v>Melting_Curves/meltCurve_Q96SZ5_ADO.pdf</v>
      </c>
    </row>
    <row r="4675" spans="1:28" x14ac:dyDescent="0.25">
      <c r="A4675" t="s">
        <v>4679</v>
      </c>
      <c r="B4675">
        <v>0.99996721820229495</v>
      </c>
      <c r="C4675">
        <v>1.1944673300345801</v>
      </c>
      <c r="D4675">
        <v>1.2978244697057599</v>
      </c>
      <c r="E4675">
        <v>1.27782202657413</v>
      </c>
      <c r="F4675">
        <v>1.5326068587000401</v>
      </c>
      <c r="G4675">
        <v>1.4958683256238099</v>
      </c>
      <c r="H4675">
        <v>0.93961728097628805</v>
      </c>
      <c r="I4675">
        <v>0.72976926186131597</v>
      </c>
      <c r="J4675">
        <v>0.49679595611152499</v>
      </c>
      <c r="K4675">
        <v>0.35192086967029601</v>
      </c>
      <c r="L4675">
        <v>2778.5856866273798</v>
      </c>
      <c r="M4675">
        <v>42.945831645758901</v>
      </c>
      <c r="N4675">
        <v>66.518849277759102</v>
      </c>
      <c r="O4675">
        <v>64.559962607718703</v>
      </c>
      <c r="P4675">
        <v>-0.108844544441893</v>
      </c>
      <c r="Q4675">
        <v>0.34550215628283198</v>
      </c>
      <c r="R4675">
        <v>0.49967925674598301</v>
      </c>
      <c r="S4675" t="s">
        <v>10501</v>
      </c>
      <c r="T4675" t="s">
        <v>11650</v>
      </c>
      <c r="U4675" t="s">
        <v>11650</v>
      </c>
      <c r="V4675" t="s">
        <v>11650</v>
      </c>
      <c r="W4675" t="s">
        <v>16270</v>
      </c>
      <c r="X4675">
        <v>2</v>
      </c>
      <c r="Y4675" t="s">
        <v>21940</v>
      </c>
      <c r="Z4675" t="s">
        <v>27737</v>
      </c>
      <c r="AA4675">
        <v>0.88536249979823478</v>
      </c>
      <c r="AB4675" t="str">
        <f>HYPERLINK("Melting_Curves/meltCurve_Q96T23_2_RSF1.pdf", "Melting_Curves/meltCurve_Q96T23_2_RSF1.pdf")</f>
        <v>Melting_Curves/meltCurve_Q96T23_2_RSF1.pdf</v>
      </c>
    </row>
    <row r="4676" spans="1:28" x14ac:dyDescent="0.25">
      <c r="A4676" t="s">
        <v>4680</v>
      </c>
      <c r="B4676">
        <v>0.99996721820229495</v>
      </c>
      <c r="C4676">
        <v>0.93455754692640602</v>
      </c>
      <c r="D4676">
        <v>0.75268744762555995</v>
      </c>
      <c r="E4676">
        <v>0.62617506946409796</v>
      </c>
      <c r="F4676">
        <v>0.50601525625891397</v>
      </c>
      <c r="G4676">
        <v>0.35927528017604599</v>
      </c>
      <c r="H4676">
        <v>0.20948286223202001</v>
      </c>
      <c r="I4676">
        <v>0.17567384920686399</v>
      </c>
      <c r="J4676">
        <v>0.13862690868758601</v>
      </c>
      <c r="K4676">
        <v>0.113286425861837</v>
      </c>
      <c r="L4676">
        <v>515.64725080727806</v>
      </c>
      <c r="M4676">
        <v>9.8361435129402093</v>
      </c>
      <c r="N4676">
        <v>52.833487372615501</v>
      </c>
      <c r="O4676">
        <v>50.394745029453397</v>
      </c>
      <c r="P4676">
        <v>-4.7027780932853203E-2</v>
      </c>
      <c r="Q4676">
        <v>3.6725817346920001E-2</v>
      </c>
      <c r="R4676">
        <v>0.99325419369433798</v>
      </c>
      <c r="S4676" t="s">
        <v>10502</v>
      </c>
      <c r="T4676" t="s">
        <v>11650</v>
      </c>
      <c r="U4676" t="s">
        <v>11650</v>
      </c>
      <c r="V4676" t="s">
        <v>11650</v>
      </c>
      <c r="W4676" t="s">
        <v>16271</v>
      </c>
      <c r="X4676">
        <v>32</v>
      </c>
      <c r="Y4676" t="s">
        <v>21941</v>
      </c>
      <c r="Z4676" t="s">
        <v>27738</v>
      </c>
      <c r="AA4676">
        <v>0.47128580845993162</v>
      </c>
      <c r="AB4676" t="str">
        <f>HYPERLINK("Melting_Curves/meltCurve_Q96T51_RUFY1.pdf", "Melting_Curves/meltCurve_Q96T51_RUFY1.pdf")</f>
        <v>Melting_Curves/meltCurve_Q96T51_RUFY1.pdf</v>
      </c>
    </row>
    <row r="4677" spans="1:28" x14ac:dyDescent="0.25">
      <c r="A4677" t="s">
        <v>4681</v>
      </c>
      <c r="B4677">
        <v>0.99996721820229495</v>
      </c>
      <c r="C4677">
        <v>0.96017970972104305</v>
      </c>
      <c r="D4677">
        <v>0.73254113883020799</v>
      </c>
      <c r="E4677">
        <v>0.37742149999107599</v>
      </c>
      <c r="F4677">
        <v>0.30571853974561303</v>
      </c>
      <c r="G4677">
        <v>0.19780680037502399</v>
      </c>
      <c r="H4677">
        <v>0.127501336576753</v>
      </c>
      <c r="I4677">
        <v>8.3836398911618495E-2</v>
      </c>
      <c r="J4677">
        <v>4.0318259444046198E-2</v>
      </c>
      <c r="K4677">
        <v>3.7528316080816103E-2</v>
      </c>
      <c r="L4677">
        <v>781.18379019316706</v>
      </c>
      <c r="M4677">
        <v>16.022350855081999</v>
      </c>
      <c r="N4677">
        <v>49.176040356019001</v>
      </c>
      <c r="O4677">
        <v>48.015348717677398</v>
      </c>
      <c r="P4677">
        <v>-7.8092641191373199E-2</v>
      </c>
      <c r="Q4677">
        <v>6.3969344690295804E-2</v>
      </c>
      <c r="R4677">
        <v>0.98831328643868099</v>
      </c>
      <c r="S4677" t="s">
        <v>10503</v>
      </c>
      <c r="T4677" t="s">
        <v>11650</v>
      </c>
      <c r="U4677" t="s">
        <v>11650</v>
      </c>
      <c r="V4677" t="s">
        <v>11650</v>
      </c>
      <c r="W4677" t="s">
        <v>16272</v>
      </c>
      <c r="X4677">
        <v>4</v>
      </c>
      <c r="Y4677" t="s">
        <v>21942</v>
      </c>
      <c r="Z4677" t="s">
        <v>27739</v>
      </c>
      <c r="AA4677">
        <v>0.35769318538966738</v>
      </c>
      <c r="AB4677" t="str">
        <f>HYPERLINK("Melting_Curves/meltCurve_Q96T76_MMS19.pdf", "Melting_Curves/meltCurve_Q96T76_MMS19.pdf")</f>
        <v>Melting_Curves/meltCurve_Q96T76_MMS19.pdf</v>
      </c>
    </row>
    <row r="4678" spans="1:28" x14ac:dyDescent="0.25">
      <c r="A4678" t="s">
        <v>4682</v>
      </c>
      <c r="B4678">
        <v>0.99996721820229495</v>
      </c>
      <c r="C4678">
        <v>0.66794493264830201</v>
      </c>
      <c r="D4678">
        <v>0.84425495746183699</v>
      </c>
      <c r="E4678">
        <v>1.11187715391961</v>
      </c>
      <c r="F4678">
        <v>1.4403333521589401</v>
      </c>
      <c r="G4678">
        <v>1.2087317312207499</v>
      </c>
      <c r="H4678">
        <v>0.93396618053194902</v>
      </c>
      <c r="I4678">
        <v>0.65522059759761397</v>
      </c>
      <c r="J4678">
        <v>0.38540226775363101</v>
      </c>
      <c r="K4678">
        <v>0.65188104731533003</v>
      </c>
      <c r="L4678">
        <v>4494.0129101089096</v>
      </c>
      <c r="M4678">
        <v>71.386458374008896</v>
      </c>
      <c r="O4678">
        <v>62.903947836474103</v>
      </c>
      <c r="P4678">
        <v>-0.13543953066703801</v>
      </c>
      <c r="Q4678">
        <v>0.52261649510970998</v>
      </c>
      <c r="R4678">
        <v>0.52268823017362898</v>
      </c>
      <c r="S4678" t="s">
        <v>10504</v>
      </c>
      <c r="T4678" t="s">
        <v>11650</v>
      </c>
      <c r="U4678" t="s">
        <v>11650</v>
      </c>
      <c r="V4678" t="s">
        <v>11650</v>
      </c>
      <c r="W4678" t="s">
        <v>16273</v>
      </c>
      <c r="X4678">
        <v>7</v>
      </c>
      <c r="Y4678" t="s">
        <v>21943</v>
      </c>
      <c r="Z4678" t="s">
        <v>27740</v>
      </c>
      <c r="AA4678">
        <v>0.88850225967509455</v>
      </c>
      <c r="AB4678" t="str">
        <f>HYPERLINK("Melting_Curves/meltCurve_Q96T83_SLC9A7.pdf", "Melting_Curves/meltCurve_Q96T83_SLC9A7.pdf")</f>
        <v>Melting_Curves/meltCurve_Q96T83_SLC9A7.pdf</v>
      </c>
    </row>
    <row r="4679" spans="1:28" x14ac:dyDescent="0.25">
      <c r="A4679" t="s">
        <v>4683</v>
      </c>
      <c r="B4679">
        <v>0.99996721820229495</v>
      </c>
      <c r="C4679">
        <v>0.94022189400940903</v>
      </c>
      <c r="D4679">
        <v>0.90397465966913204</v>
      </c>
      <c r="E4679">
        <v>0.91557983548263699</v>
      </c>
      <c r="F4679">
        <v>0.36366437705842902</v>
      </c>
      <c r="G4679">
        <v>0.243573347416143</v>
      </c>
      <c r="H4679">
        <v>0.14646823892379199</v>
      </c>
      <c r="I4679">
        <v>9.7732415778473997E-2</v>
      </c>
      <c r="J4679">
        <v>7.5506696102170298E-2</v>
      </c>
      <c r="K4679">
        <v>7.7532890048696304E-2</v>
      </c>
      <c r="L4679">
        <v>2531.8653500997998</v>
      </c>
      <c r="M4679">
        <v>48.646890567595598</v>
      </c>
      <c r="N4679">
        <v>52.350184695020303</v>
      </c>
      <c r="O4679">
        <v>51.958057606943697</v>
      </c>
      <c r="P4679">
        <v>-0.20523306963048399</v>
      </c>
      <c r="Q4679">
        <v>0.123191537633096</v>
      </c>
      <c r="R4679">
        <v>0.97979023195773995</v>
      </c>
      <c r="S4679" t="s">
        <v>10505</v>
      </c>
      <c r="T4679" t="s">
        <v>11650</v>
      </c>
      <c r="U4679" t="s">
        <v>11650</v>
      </c>
      <c r="V4679" t="s">
        <v>11650</v>
      </c>
      <c r="W4679" t="s">
        <v>16274</v>
      </c>
      <c r="X4679">
        <v>37</v>
      </c>
      <c r="Y4679" t="s">
        <v>21944</v>
      </c>
      <c r="Z4679" t="s">
        <v>27741</v>
      </c>
      <c r="AA4679">
        <v>0.47737986096929519</v>
      </c>
      <c r="AB4679" t="str">
        <f>HYPERLINK("Melting_Curves/meltCurve_Q96TA1_FAM129B.pdf", "Melting_Curves/meltCurve_Q96TA1_FAM129B.pdf")</f>
        <v>Melting_Curves/meltCurve_Q96TA1_FAM129B.pdf</v>
      </c>
    </row>
    <row r="4680" spans="1:28" x14ac:dyDescent="0.25">
      <c r="A4680" t="s">
        <v>4684</v>
      </c>
      <c r="B4680">
        <v>0.99996721820229495</v>
      </c>
      <c r="C4680">
        <v>0.87877312173550004</v>
      </c>
      <c r="D4680">
        <v>0.63553870407837698</v>
      </c>
      <c r="E4680">
        <v>0.53339730588085699</v>
      </c>
      <c r="F4680">
        <v>0.50867671374412704</v>
      </c>
      <c r="G4680">
        <v>0.39919135524332799</v>
      </c>
      <c r="H4680">
        <v>0.330622985985638</v>
      </c>
      <c r="I4680">
        <v>0.256336395575471</v>
      </c>
      <c r="J4680">
        <v>0.218968775529883</v>
      </c>
      <c r="K4680">
        <v>0.16929288055630301</v>
      </c>
      <c r="L4680">
        <v>430.49195422938902</v>
      </c>
      <c r="M4680">
        <v>8.5752514689613193</v>
      </c>
      <c r="N4680">
        <v>52.167544887719401</v>
      </c>
      <c r="O4680">
        <v>47.695207614131</v>
      </c>
      <c r="P4680">
        <v>-3.8776101341033903E-2</v>
      </c>
      <c r="Q4680">
        <v>0.13806677727109801</v>
      </c>
      <c r="R4680">
        <v>0.96373309766369897</v>
      </c>
      <c r="S4680" t="s">
        <v>10506</v>
      </c>
      <c r="T4680" t="s">
        <v>11650</v>
      </c>
      <c r="U4680" t="s">
        <v>11650</v>
      </c>
      <c r="V4680" t="s">
        <v>11650</v>
      </c>
      <c r="W4680" t="s">
        <v>16275</v>
      </c>
      <c r="X4680">
        <v>3</v>
      </c>
      <c r="Y4680" t="s">
        <v>21945</v>
      </c>
      <c r="Z4680" t="s">
        <v>27742</v>
      </c>
      <c r="AA4680">
        <v>0.47766938912930113</v>
      </c>
      <c r="AB4680" t="str">
        <f>HYPERLINK("Melting_Curves/meltCurve_Q96TA2_3_YME1L1.pdf", "Melting_Curves/meltCurve_Q96TA2_3_YME1L1.pdf")</f>
        <v>Melting_Curves/meltCurve_Q96TA2_3_YME1L1.pdf</v>
      </c>
    </row>
    <row r="4681" spans="1:28" x14ac:dyDescent="0.25">
      <c r="A4681" t="s">
        <v>4685</v>
      </c>
      <c r="B4681">
        <v>0.99996721820229495</v>
      </c>
      <c r="C4681">
        <v>1.0303237592381</v>
      </c>
      <c r="D4681">
        <v>1.1094651061737</v>
      </c>
      <c r="E4681">
        <v>1.4230106357910099</v>
      </c>
      <c r="F4681">
        <v>0.87215689359225002</v>
      </c>
      <c r="G4681">
        <v>0.69166102915819605</v>
      </c>
      <c r="H4681">
        <v>0.43506052677401902</v>
      </c>
      <c r="I4681">
        <v>0.124348915549676</v>
      </c>
      <c r="J4681">
        <v>8.2088321817198801E-2</v>
      </c>
      <c r="K4681">
        <v>5.7341483380202701E-2</v>
      </c>
      <c r="L4681">
        <v>1426.72676263885</v>
      </c>
      <c r="M4681">
        <v>23.988152645514301</v>
      </c>
      <c r="N4681">
        <v>59.580249218392701</v>
      </c>
      <c r="O4681">
        <v>59.067583643552403</v>
      </c>
      <c r="P4681">
        <v>-9.9449406328245907E-2</v>
      </c>
      <c r="Q4681">
        <v>2.04924073505484E-2</v>
      </c>
      <c r="R4681">
        <v>0.89741310995966606</v>
      </c>
      <c r="S4681" t="s">
        <v>10507</v>
      </c>
      <c r="T4681" t="s">
        <v>11650</v>
      </c>
      <c r="U4681" t="s">
        <v>11650</v>
      </c>
      <c r="V4681" t="s">
        <v>11650</v>
      </c>
      <c r="W4681" t="s">
        <v>16276</v>
      </c>
      <c r="X4681">
        <v>2</v>
      </c>
      <c r="Y4681" t="s">
        <v>21946</v>
      </c>
      <c r="Z4681" t="s">
        <v>27743</v>
      </c>
      <c r="AA4681">
        <v>0.66442795172316893</v>
      </c>
      <c r="AB4681" t="str">
        <f>HYPERLINK("Melting_Curves/meltCurve_Q96TC7_RMDN3.pdf", "Melting_Curves/meltCurve_Q96TC7_RMDN3.pdf")</f>
        <v>Melting_Curves/meltCurve_Q96TC7_RMDN3.pdf</v>
      </c>
    </row>
    <row r="4682" spans="1:28" x14ac:dyDescent="0.25">
      <c r="A4682" t="s">
        <v>4686</v>
      </c>
      <c r="B4682">
        <v>0.99996721820229495</v>
      </c>
      <c r="C4682">
        <v>1.0032822965157999</v>
      </c>
      <c r="D4682">
        <v>0.83369336091138502</v>
      </c>
      <c r="E4682">
        <v>0.72450627983634297</v>
      </c>
      <c r="F4682">
        <v>0.74655904830715503</v>
      </c>
      <c r="G4682">
        <v>0.82559857842414597</v>
      </c>
      <c r="H4682">
        <v>0.52748477847500397</v>
      </c>
      <c r="I4682">
        <v>0.55368109417070599</v>
      </c>
      <c r="J4682">
        <v>0.53208517485797602</v>
      </c>
      <c r="K4682">
        <v>0.50498886096516005</v>
      </c>
      <c r="L4682">
        <v>367.42647070941803</v>
      </c>
      <c r="M4682">
        <v>6.4362738946785996</v>
      </c>
      <c r="N4682">
        <v>69.943951298615701</v>
      </c>
      <c r="O4682">
        <v>52.324287208740699</v>
      </c>
      <c r="P4682">
        <v>-2.0136462937272701E-2</v>
      </c>
      <c r="Q4682">
        <v>0.34683895504907603</v>
      </c>
      <c r="R4682">
        <v>0.85876579987450796</v>
      </c>
      <c r="S4682" t="s">
        <v>10508</v>
      </c>
      <c r="T4682" t="s">
        <v>11650</v>
      </c>
      <c r="U4682" t="s">
        <v>11650</v>
      </c>
      <c r="V4682" t="s">
        <v>11650</v>
      </c>
      <c r="W4682" t="s">
        <v>16277</v>
      </c>
      <c r="X4682">
        <v>2</v>
      </c>
      <c r="Y4682" t="s">
        <v>21947</v>
      </c>
      <c r="Z4682" t="s">
        <v>27744</v>
      </c>
      <c r="AA4682">
        <v>0.72202887431662266</v>
      </c>
      <c r="AB4682" t="str">
        <f>HYPERLINK("Melting_Curves/meltCurve_Q99081_TCF12.pdf", "Melting_Curves/meltCurve_Q99081_TCF12.pdf")</f>
        <v>Melting_Curves/meltCurve_Q99081_TCF12.pdf</v>
      </c>
    </row>
    <row r="4683" spans="1:28" x14ac:dyDescent="0.25">
      <c r="A4683" t="s">
        <v>4687</v>
      </c>
      <c r="B4683">
        <v>0.99996721820229495</v>
      </c>
      <c r="C4683">
        <v>1.01413812388727</v>
      </c>
      <c r="D4683">
        <v>1.02018348028151</v>
      </c>
      <c r="E4683">
        <v>1.02430946246301</v>
      </c>
      <c r="F4683">
        <v>1.5289348041273501</v>
      </c>
      <c r="G4683">
        <v>1.63696125366861</v>
      </c>
      <c r="H4683">
        <v>1.2260561406363299</v>
      </c>
      <c r="I4683">
        <v>1.0286252607549999</v>
      </c>
      <c r="J4683">
        <v>0.85337021391469203</v>
      </c>
      <c r="K4683">
        <v>0.62494561396554504</v>
      </c>
      <c r="L4683">
        <v>15000</v>
      </c>
      <c r="M4683">
        <v>223.437102275483</v>
      </c>
      <c r="O4683">
        <v>67.127607787621798</v>
      </c>
      <c r="P4683">
        <v>-0.31212949946111201</v>
      </c>
      <c r="Q4683">
        <v>0.62490550408216805</v>
      </c>
      <c r="R4683">
        <v>8.7117650654566198E-2</v>
      </c>
      <c r="S4683" t="s">
        <v>10509</v>
      </c>
      <c r="T4683" t="s">
        <v>11650</v>
      </c>
      <c r="U4683" t="s">
        <v>11650</v>
      </c>
      <c r="V4683" t="s">
        <v>11650</v>
      </c>
      <c r="W4683" t="s">
        <v>16278</v>
      </c>
      <c r="X4683">
        <v>9</v>
      </c>
      <c r="Y4683" t="s">
        <v>21948</v>
      </c>
      <c r="Z4683" t="s">
        <v>27745</v>
      </c>
      <c r="AA4683">
        <v>0.96420819269469982</v>
      </c>
      <c r="AB4683" t="str">
        <f>HYPERLINK("Melting_Curves/meltCurve_Q99417_MYCBP.pdf", "Melting_Curves/meltCurve_Q99417_MYCBP.pdf")</f>
        <v>Melting_Curves/meltCurve_Q99417_MYCBP.pdf</v>
      </c>
    </row>
    <row r="4684" spans="1:28" x14ac:dyDescent="0.25">
      <c r="A4684" t="s">
        <v>4688</v>
      </c>
      <c r="B4684">
        <v>0.99996721820229495</v>
      </c>
      <c r="C4684">
        <v>0.95652437045094096</v>
      </c>
      <c r="D4684">
        <v>1.0386677261295201</v>
      </c>
      <c r="E4684">
        <v>1.2505117628132301</v>
      </c>
      <c r="F4684">
        <v>1.4009132541318201</v>
      </c>
      <c r="G4684">
        <v>1.4049088646618499</v>
      </c>
      <c r="H4684">
        <v>0.80526536680720695</v>
      </c>
      <c r="I4684">
        <v>0.42245573286312899</v>
      </c>
      <c r="J4684">
        <v>0.17506487577994601</v>
      </c>
      <c r="K4684">
        <v>0.17172499479912101</v>
      </c>
      <c r="L4684">
        <v>3181.4451705944002</v>
      </c>
      <c r="M4684">
        <v>50.635483607249498</v>
      </c>
      <c r="N4684">
        <v>63.312634463933001</v>
      </c>
      <c r="O4684">
        <v>62.732583319766597</v>
      </c>
      <c r="P4684">
        <v>-0.16950116926221601</v>
      </c>
      <c r="Q4684">
        <v>0.16001690011059999</v>
      </c>
      <c r="R4684">
        <v>0.79503671895427397</v>
      </c>
      <c r="S4684" t="s">
        <v>10510</v>
      </c>
      <c r="T4684" t="s">
        <v>11650</v>
      </c>
      <c r="U4684" t="s">
        <v>11650</v>
      </c>
      <c r="V4684" t="s">
        <v>11650</v>
      </c>
      <c r="W4684" t="s">
        <v>16279</v>
      </c>
      <c r="X4684">
        <v>14</v>
      </c>
      <c r="Y4684" t="s">
        <v>21949</v>
      </c>
      <c r="Z4684" t="s">
        <v>27746</v>
      </c>
      <c r="AA4684">
        <v>0.80127156918161857</v>
      </c>
      <c r="AB4684" t="str">
        <f>HYPERLINK("Melting_Curves/meltCurve_Q99424_ACOX2.pdf", "Melting_Curves/meltCurve_Q99424_ACOX2.pdf")</f>
        <v>Melting_Curves/meltCurve_Q99424_ACOX2.pdf</v>
      </c>
    </row>
    <row r="4685" spans="1:28" x14ac:dyDescent="0.25">
      <c r="A4685" t="s">
        <v>4689</v>
      </c>
      <c r="B4685">
        <v>0.99996721820229495</v>
      </c>
      <c r="C4685">
        <v>0.997020361603705</v>
      </c>
      <c r="D4685">
        <v>0.99952201520169903</v>
      </c>
      <c r="E4685">
        <v>0.90515144859478902</v>
      </c>
      <c r="F4685">
        <v>0.39669872104903298</v>
      </c>
      <c r="G4685">
        <v>0.31371438010853497</v>
      </c>
      <c r="H4685">
        <v>0.18338514769324901</v>
      </c>
      <c r="I4685">
        <v>0.13331979941896499</v>
      </c>
      <c r="J4685">
        <v>0.104497282009627</v>
      </c>
      <c r="K4685">
        <v>8.1659515856250905E-2</v>
      </c>
      <c r="L4685">
        <v>2122.36197471478</v>
      </c>
      <c r="M4685">
        <v>40.739852374462203</v>
      </c>
      <c r="N4685">
        <v>52.566802285357703</v>
      </c>
      <c r="O4685">
        <v>51.970426463328501</v>
      </c>
      <c r="P4685">
        <v>-0.16599209654754399</v>
      </c>
      <c r="Q4685">
        <v>0.15300003601291301</v>
      </c>
      <c r="R4685">
        <v>0.98035828305825701</v>
      </c>
      <c r="S4685" t="s">
        <v>10511</v>
      </c>
      <c r="T4685" t="s">
        <v>11650</v>
      </c>
      <c r="U4685" t="s">
        <v>11650</v>
      </c>
      <c r="V4685" t="s">
        <v>11650</v>
      </c>
      <c r="W4685" t="s">
        <v>16280</v>
      </c>
      <c r="X4685">
        <v>20</v>
      </c>
      <c r="Y4685" t="s">
        <v>21950</v>
      </c>
      <c r="Z4685" t="s">
        <v>27747</v>
      </c>
      <c r="AA4685">
        <v>0.49743378193637128</v>
      </c>
      <c r="AB4685" t="str">
        <f>HYPERLINK("Melting_Curves/meltCurve_Q99426_TBCB.pdf", "Melting_Curves/meltCurve_Q99426_TBCB.pdf")</f>
        <v>Melting_Curves/meltCurve_Q99426_TBCB.pdf</v>
      </c>
    </row>
    <row r="4686" spans="1:28" x14ac:dyDescent="0.25">
      <c r="A4686" t="s">
        <v>4690</v>
      </c>
      <c r="B4686">
        <v>0.99996721820229495</v>
      </c>
      <c r="C4686">
        <v>0.86607196647878204</v>
      </c>
      <c r="D4686">
        <v>0.99347413009551</v>
      </c>
      <c r="E4686">
        <v>1.2494143849339401</v>
      </c>
      <c r="F4686">
        <v>2.6382832460518899</v>
      </c>
      <c r="G4686">
        <v>5.8578146040664496</v>
      </c>
      <c r="H4686">
        <v>6.9751674207130803</v>
      </c>
      <c r="I4686">
        <v>3.7541877705162898</v>
      </c>
      <c r="J4686">
        <v>0.79055111216993701</v>
      </c>
      <c r="K4686">
        <v>5.0254293429274401</v>
      </c>
      <c r="L4686">
        <v>12500.2330125878</v>
      </c>
      <c r="M4686">
        <v>250</v>
      </c>
      <c r="O4686">
        <v>49.997755024544901</v>
      </c>
      <c r="P4686">
        <v>0.62502834597684498</v>
      </c>
      <c r="Q4686">
        <v>1.5</v>
      </c>
      <c r="R4686">
        <v>-0.387404522266036</v>
      </c>
      <c r="S4686" t="s">
        <v>10512</v>
      </c>
      <c r="T4686" t="s">
        <v>11650</v>
      </c>
      <c r="U4686" t="s">
        <v>11650</v>
      </c>
      <c r="V4686" t="s">
        <v>11650</v>
      </c>
      <c r="W4686" t="s">
        <v>16281</v>
      </c>
      <c r="X4686">
        <v>2</v>
      </c>
      <c r="Y4686" t="s">
        <v>21951</v>
      </c>
      <c r="Z4686" t="s">
        <v>27748</v>
      </c>
      <c r="AA4686">
        <v>1.333273923732033</v>
      </c>
      <c r="AB4686" t="str">
        <f>HYPERLINK("Melting_Curves/meltCurve_Q99436_PSMB7.pdf", "Melting_Curves/meltCurve_Q99436_PSMB7.pdf")</f>
        <v>Melting_Curves/meltCurve_Q99436_PSMB7.pdf</v>
      </c>
    </row>
    <row r="4687" spans="1:28" x14ac:dyDescent="0.25">
      <c r="A4687" t="s">
        <v>4691</v>
      </c>
      <c r="B4687">
        <v>0.99996721820229495</v>
      </c>
      <c r="C4687">
        <v>1.02809176969059</v>
      </c>
      <c r="D4687">
        <v>1.0022215428260799</v>
      </c>
      <c r="E4687">
        <v>1.0052527614340101</v>
      </c>
      <c r="F4687">
        <v>0.84259401643487797</v>
      </c>
      <c r="G4687">
        <v>0.46298457065548598</v>
      </c>
      <c r="H4687">
        <v>0.25147304296281497</v>
      </c>
      <c r="I4687">
        <v>0.163600911640809</v>
      </c>
      <c r="J4687">
        <v>0.123978753584764</v>
      </c>
      <c r="K4687">
        <v>0.107847054330761</v>
      </c>
      <c r="L4687">
        <v>1439.24597452271</v>
      </c>
      <c r="M4687">
        <v>25.6086057740883</v>
      </c>
      <c r="N4687">
        <v>56.800604845367999</v>
      </c>
      <c r="O4687">
        <v>55.862300138852198</v>
      </c>
      <c r="P4687">
        <v>-0.101046596084625</v>
      </c>
      <c r="Q4687">
        <v>0.118323527119492</v>
      </c>
      <c r="R4687">
        <v>0.99733818584432998</v>
      </c>
      <c r="S4687" t="s">
        <v>10513</v>
      </c>
      <c r="T4687" t="s">
        <v>11650</v>
      </c>
      <c r="U4687" t="s">
        <v>11650</v>
      </c>
      <c r="V4687" t="s">
        <v>11650</v>
      </c>
      <c r="W4687" t="s">
        <v>16282</v>
      </c>
      <c r="X4687">
        <v>26</v>
      </c>
      <c r="Y4687" t="s">
        <v>21952</v>
      </c>
      <c r="Z4687" t="s">
        <v>27749</v>
      </c>
      <c r="AA4687">
        <v>0.60223359425329748</v>
      </c>
      <c r="AB4687" t="str">
        <f>HYPERLINK("Melting_Curves/meltCurve_Q99447_PCYT2.pdf", "Melting_Curves/meltCurve_Q99447_PCYT2.pdf")</f>
        <v>Melting_Curves/meltCurve_Q99447_PCYT2.pdf</v>
      </c>
    </row>
    <row r="4688" spans="1:28" x14ac:dyDescent="0.25">
      <c r="A4688" t="s">
        <v>4692</v>
      </c>
      <c r="B4688">
        <v>0.99996721820229495</v>
      </c>
      <c r="C4688">
        <v>0.90236309654248303</v>
      </c>
      <c r="D4688">
        <v>1.0147128588512899</v>
      </c>
      <c r="E4688">
        <v>1.5089735057225599</v>
      </c>
      <c r="F4688">
        <v>1.50761134910705</v>
      </c>
      <c r="G4688">
        <v>1.1127362574781801</v>
      </c>
      <c r="H4688">
        <v>0.71280060225403596</v>
      </c>
      <c r="I4688">
        <v>0.39043404745122301</v>
      </c>
      <c r="J4688">
        <v>0.23053196500549999</v>
      </c>
      <c r="K4688">
        <v>0.217656892970326</v>
      </c>
      <c r="L4688">
        <v>2905.76518941721</v>
      </c>
      <c r="M4688">
        <v>46.931556600059999</v>
      </c>
      <c r="N4688">
        <v>62.693309748919198</v>
      </c>
      <c r="O4688">
        <v>61.802848399679</v>
      </c>
      <c r="P4688">
        <v>-0.14792693969852799</v>
      </c>
      <c r="Q4688">
        <v>0.22079747868321301</v>
      </c>
      <c r="R4688">
        <v>0.727764341762835</v>
      </c>
      <c r="S4688" t="s">
        <v>10514</v>
      </c>
      <c r="T4688" t="s">
        <v>11650</v>
      </c>
      <c r="U4688" t="s">
        <v>11650</v>
      </c>
      <c r="V4688" t="s">
        <v>11650</v>
      </c>
      <c r="W4688" t="s">
        <v>16283</v>
      </c>
      <c r="X4688">
        <v>21</v>
      </c>
      <c r="Y4688" t="s">
        <v>21953</v>
      </c>
      <c r="Z4688" t="s">
        <v>27750</v>
      </c>
      <c r="AA4688">
        <v>0.7922175956966746</v>
      </c>
      <c r="AB4688" t="str">
        <f>HYPERLINK("Melting_Curves/meltCurve_Q99460_PSMD1.pdf", "Melting_Curves/meltCurve_Q99460_PSMD1.pdf")</f>
        <v>Melting_Curves/meltCurve_Q99460_PSMD1.pdf</v>
      </c>
    </row>
    <row r="4689" spans="1:28" x14ac:dyDescent="0.25">
      <c r="A4689" t="s">
        <v>4693</v>
      </c>
      <c r="B4689">
        <v>0.99996721820229495</v>
      </c>
      <c r="C4689">
        <v>0.98263211760372104</v>
      </c>
      <c r="D4689">
        <v>0.99775581454628803</v>
      </c>
      <c r="E4689">
        <v>1.25865836959083</v>
      </c>
      <c r="F4689">
        <v>1.3072818430616799</v>
      </c>
      <c r="G4689">
        <v>1.47257221260253</v>
      </c>
      <c r="H4689">
        <v>0.79778590173793196</v>
      </c>
      <c r="I4689">
        <v>0.42465773707128801</v>
      </c>
      <c r="J4689">
        <v>0.29558641468015201</v>
      </c>
      <c r="K4689">
        <v>0.25454944148785302</v>
      </c>
      <c r="L4689">
        <v>3579.65673714991</v>
      </c>
      <c r="M4689">
        <v>57.497024350549701</v>
      </c>
      <c r="N4689">
        <v>63.137537365582702</v>
      </c>
      <c r="O4689">
        <v>62.182937434876997</v>
      </c>
      <c r="P4689">
        <v>-0.16747008425246099</v>
      </c>
      <c r="Q4689">
        <v>0.27552579503243302</v>
      </c>
      <c r="R4689">
        <v>0.765098871558345</v>
      </c>
      <c r="S4689" t="s">
        <v>10515</v>
      </c>
      <c r="T4689" t="s">
        <v>11650</v>
      </c>
      <c r="U4689" t="s">
        <v>11650</v>
      </c>
      <c r="V4689" t="s">
        <v>11650</v>
      </c>
      <c r="W4689" t="s">
        <v>16284</v>
      </c>
      <c r="X4689">
        <v>2</v>
      </c>
      <c r="Y4689" t="s">
        <v>21954</v>
      </c>
      <c r="Z4689" t="s">
        <v>27751</v>
      </c>
      <c r="AA4689">
        <v>0.81448324394323945</v>
      </c>
      <c r="AB4689" t="str">
        <f>HYPERLINK("Melting_Curves/meltCurve_Q99470_SDF2.pdf", "Melting_Curves/meltCurve_Q99470_SDF2.pdf")</f>
        <v>Melting_Curves/meltCurve_Q99470_SDF2.pdf</v>
      </c>
    </row>
    <row r="4690" spans="1:28" x14ac:dyDescent="0.25">
      <c r="A4690" t="s">
        <v>4694</v>
      </c>
      <c r="B4690">
        <v>0.99996721820229495</v>
      </c>
      <c r="C4690">
        <v>0.99950875762110403</v>
      </c>
      <c r="D4690">
        <v>1.09539899488176</v>
      </c>
      <c r="E4690">
        <v>1.2377652575010401</v>
      </c>
      <c r="F4690">
        <v>1.6315816872808599</v>
      </c>
      <c r="G4690">
        <v>1.9428876472613601</v>
      </c>
      <c r="H4690">
        <v>1.1073269137353701</v>
      </c>
      <c r="I4690">
        <v>0.45110677323880799</v>
      </c>
      <c r="J4690">
        <v>0.26498055728298803</v>
      </c>
      <c r="K4690">
        <v>0.18059719203334701</v>
      </c>
      <c r="L4690">
        <v>15000</v>
      </c>
      <c r="M4690">
        <v>235.25203670560001</v>
      </c>
      <c r="N4690">
        <v>63.921660469420701</v>
      </c>
      <c r="O4690">
        <v>63.756798451461201</v>
      </c>
      <c r="P4690">
        <v>-0.71695308391896595</v>
      </c>
      <c r="Q4690">
        <v>0.22278027073944001</v>
      </c>
      <c r="R4690">
        <v>0.52432115864261097</v>
      </c>
      <c r="S4690" t="s">
        <v>10516</v>
      </c>
      <c r="T4690" t="s">
        <v>11650</v>
      </c>
      <c r="U4690" t="s">
        <v>11650</v>
      </c>
      <c r="V4690" t="s">
        <v>11650</v>
      </c>
      <c r="W4690" t="s">
        <v>16285</v>
      </c>
      <c r="X4690">
        <v>14</v>
      </c>
      <c r="Y4690" t="s">
        <v>21955</v>
      </c>
      <c r="Z4690" t="s">
        <v>27752</v>
      </c>
      <c r="AA4690">
        <v>0.8384728733623501</v>
      </c>
      <c r="AB4690" t="str">
        <f>HYPERLINK("Melting_Curves/meltCurve_Q99471_PFDN5.pdf", "Melting_Curves/meltCurve_Q99471_PFDN5.pdf")</f>
        <v>Melting_Curves/meltCurve_Q99471_PFDN5.pdf</v>
      </c>
    </row>
    <row r="4691" spans="1:28" x14ac:dyDescent="0.25">
      <c r="A4691" t="s">
        <v>4695</v>
      </c>
      <c r="B4691">
        <v>0.99996721820229495</v>
      </c>
      <c r="C4691">
        <v>1.0545492371515699</v>
      </c>
      <c r="D4691">
        <v>0.96011733384753895</v>
      </c>
      <c r="E4691">
        <v>0.84529666870231301</v>
      </c>
      <c r="F4691">
        <v>0.78676631807687503</v>
      </c>
      <c r="G4691">
        <v>0.61955137104092795</v>
      </c>
      <c r="H4691">
        <v>0.24890063454847999</v>
      </c>
      <c r="I4691">
        <v>0.105519924681061</v>
      </c>
      <c r="J4691">
        <v>6.2324602638201103E-2</v>
      </c>
      <c r="K4691">
        <v>5.5117436641913001E-2</v>
      </c>
      <c r="L4691">
        <v>980.83431145838699</v>
      </c>
      <c r="M4691">
        <v>17.060405269001301</v>
      </c>
      <c r="N4691">
        <v>57.491853467776899</v>
      </c>
      <c r="O4691">
        <v>56.719365422143802</v>
      </c>
      <c r="P4691">
        <v>-7.5201131469622595E-2</v>
      </c>
      <c r="Q4691">
        <v>0</v>
      </c>
      <c r="R4691">
        <v>0.98621884855042397</v>
      </c>
      <c r="S4691" t="s">
        <v>10517</v>
      </c>
      <c r="T4691" t="s">
        <v>11650</v>
      </c>
      <c r="U4691" t="s">
        <v>11650</v>
      </c>
      <c r="V4691" t="s">
        <v>11650</v>
      </c>
      <c r="W4691" t="s">
        <v>16286</v>
      </c>
      <c r="X4691">
        <v>11</v>
      </c>
      <c r="Y4691" t="s">
        <v>21956</v>
      </c>
      <c r="Z4691" t="s">
        <v>27753</v>
      </c>
      <c r="AA4691">
        <v>0.59673571395575753</v>
      </c>
      <c r="AB4691" t="str">
        <f>HYPERLINK("Melting_Curves/meltCurve_Q99487_PAFAH2.pdf", "Melting_Curves/meltCurve_Q99487_PAFAH2.pdf")</f>
        <v>Melting_Curves/meltCurve_Q99487_PAFAH2.pdf</v>
      </c>
    </row>
    <row r="4692" spans="1:28" x14ac:dyDescent="0.25">
      <c r="A4692" t="s">
        <v>4696</v>
      </c>
      <c r="B4692">
        <v>0.99996721820229495</v>
      </c>
      <c r="C4692">
        <v>1.0229512625348001</v>
      </c>
      <c r="D4692">
        <v>0.95153478842870998</v>
      </c>
      <c r="E4692">
        <v>0.93043434719020002</v>
      </c>
      <c r="F4692">
        <v>1.1443393844966301</v>
      </c>
      <c r="G4692">
        <v>1.0593151557543199</v>
      </c>
      <c r="H4692">
        <v>0.63634072188106605</v>
      </c>
      <c r="I4692">
        <v>0.36412240151907799</v>
      </c>
      <c r="J4692">
        <v>0.23640281792624701</v>
      </c>
      <c r="K4692">
        <v>0.135853325990452</v>
      </c>
      <c r="L4692">
        <v>2385.4625874385201</v>
      </c>
      <c r="M4692">
        <v>38.660478149563303</v>
      </c>
      <c r="N4692">
        <v>62.367290968141099</v>
      </c>
      <c r="O4692">
        <v>61.538495046799703</v>
      </c>
      <c r="P4692">
        <v>-0.13054829868914999</v>
      </c>
      <c r="Q4692">
        <v>0.16879206391023099</v>
      </c>
      <c r="R4692">
        <v>0.96640334341952505</v>
      </c>
      <c r="S4692" t="s">
        <v>10518</v>
      </c>
      <c r="T4692" t="s">
        <v>11650</v>
      </c>
      <c r="U4692" t="s">
        <v>11650</v>
      </c>
      <c r="V4692" t="s">
        <v>11650</v>
      </c>
      <c r="W4692" t="s">
        <v>16287</v>
      </c>
      <c r="X4692">
        <v>18</v>
      </c>
      <c r="Y4692" t="s">
        <v>21957</v>
      </c>
      <c r="Z4692" t="s">
        <v>27754</v>
      </c>
      <c r="AA4692">
        <v>0.77329389930337555</v>
      </c>
      <c r="AB4692" t="str">
        <f>HYPERLINK("Melting_Curves/meltCurve_Q99497_PARK7.pdf", "Melting_Curves/meltCurve_Q99497_PARK7.pdf")</f>
        <v>Melting_Curves/meltCurve_Q99497_PARK7.pdf</v>
      </c>
    </row>
    <row r="4693" spans="1:28" x14ac:dyDescent="0.25">
      <c r="A4693" t="s">
        <v>4697</v>
      </c>
      <c r="B4693">
        <v>0.99996721820229495</v>
      </c>
      <c r="C4693">
        <v>0.96084354972628605</v>
      </c>
      <c r="D4693">
        <v>0.89391242354413702</v>
      </c>
      <c r="E4693">
        <v>0.76735887513626</v>
      </c>
      <c r="F4693">
        <v>1.06778617121568</v>
      </c>
      <c r="G4693">
        <v>1.1409147047291801</v>
      </c>
      <c r="H4693">
        <v>0.79399777434290497</v>
      </c>
      <c r="I4693">
        <v>0.56135001656795502</v>
      </c>
      <c r="J4693">
        <v>0.38554674954196999</v>
      </c>
      <c r="K4693">
        <v>0.31234070696720501</v>
      </c>
      <c r="L4693">
        <v>2380.13773382826</v>
      </c>
      <c r="M4693">
        <v>37.869558248041301</v>
      </c>
      <c r="N4693">
        <v>64.534171800349299</v>
      </c>
      <c r="O4693">
        <v>62.676466502110799</v>
      </c>
      <c r="P4693">
        <v>-0.103653362108218</v>
      </c>
      <c r="Q4693">
        <v>0.313790908024288</v>
      </c>
      <c r="R4693">
        <v>0.86578448655583895</v>
      </c>
      <c r="S4693" t="s">
        <v>10519</v>
      </c>
      <c r="T4693" t="s">
        <v>11650</v>
      </c>
      <c r="U4693" t="s">
        <v>11650</v>
      </c>
      <c r="V4693" t="s">
        <v>11650</v>
      </c>
      <c r="W4693" t="s">
        <v>16288</v>
      </c>
      <c r="X4693">
        <v>2</v>
      </c>
      <c r="Y4693" t="s">
        <v>21958</v>
      </c>
      <c r="Z4693" t="s">
        <v>27755</v>
      </c>
      <c r="AA4693">
        <v>0.83876783902271634</v>
      </c>
      <c r="AB4693" t="str">
        <f>HYPERLINK("Melting_Curves/meltCurve_Q99501_GAS2L1.pdf", "Melting_Curves/meltCurve_Q99501_GAS2L1.pdf")</f>
        <v>Melting_Curves/meltCurve_Q99501_GAS2L1.pdf</v>
      </c>
    </row>
    <row r="4694" spans="1:28" x14ac:dyDescent="0.25">
      <c r="A4694" t="s">
        <v>4698</v>
      </c>
      <c r="B4694">
        <v>0.99996721820229495</v>
      </c>
      <c r="C4694">
        <v>1.0402271766626101</v>
      </c>
      <c r="D4694">
        <v>0.98077802833559302</v>
      </c>
      <c r="E4694">
        <v>0.98836205927863696</v>
      </c>
      <c r="F4694">
        <v>1.10480037305868</v>
      </c>
      <c r="G4694">
        <v>0.95111237545205596</v>
      </c>
      <c r="H4694">
        <v>0.60816217917781401</v>
      </c>
      <c r="I4694">
        <v>0.35895903522263001</v>
      </c>
      <c r="J4694">
        <v>0.24311836425696701</v>
      </c>
      <c r="K4694">
        <v>0.21171785353984501</v>
      </c>
      <c r="L4694">
        <v>2191.68626037168</v>
      </c>
      <c r="M4694">
        <v>35.856562124363897</v>
      </c>
      <c r="N4694">
        <v>62.0753070769385</v>
      </c>
      <c r="O4694">
        <v>60.934531338943401</v>
      </c>
      <c r="P4694">
        <v>-0.11600820237654901</v>
      </c>
      <c r="Q4694">
        <v>0.211426630513393</v>
      </c>
      <c r="R4694">
        <v>0.98749313080613199</v>
      </c>
      <c r="S4694" t="s">
        <v>10520</v>
      </c>
      <c r="T4694" t="s">
        <v>11650</v>
      </c>
      <c r="U4694" t="s">
        <v>11650</v>
      </c>
      <c r="V4694" t="s">
        <v>11650</v>
      </c>
      <c r="W4694" t="s">
        <v>16289</v>
      </c>
      <c r="X4694">
        <v>6</v>
      </c>
      <c r="Y4694" t="s">
        <v>21959</v>
      </c>
      <c r="Z4694" t="s">
        <v>27756</v>
      </c>
      <c r="AA4694">
        <v>0.77017262273565668</v>
      </c>
      <c r="AB4694" t="str">
        <f>HYPERLINK("Melting_Curves/meltCurve_Q99519_NEU1.pdf", "Melting_Curves/meltCurve_Q99519_NEU1.pdf")</f>
        <v>Melting_Curves/meltCurve_Q99519_NEU1.pdf</v>
      </c>
    </row>
    <row r="4695" spans="1:28" x14ac:dyDescent="0.25">
      <c r="A4695" t="s">
        <v>4699</v>
      </c>
      <c r="B4695">
        <v>0.99996721820229495</v>
      </c>
      <c r="C4695">
        <v>0.85043257249785997</v>
      </c>
      <c r="D4695">
        <v>1.0714732115704799</v>
      </c>
      <c r="E4695">
        <v>1.41369846180771</v>
      </c>
      <c r="F4695">
        <v>1.7117701811327599</v>
      </c>
      <c r="G4695">
        <v>1.5775516842853601</v>
      </c>
      <c r="H4695">
        <v>0.67593855330615804</v>
      </c>
      <c r="I4695">
        <v>0.25180611413672099</v>
      </c>
      <c r="J4695">
        <v>0.10963902939188799</v>
      </c>
      <c r="K4695">
        <v>0.192138161150926</v>
      </c>
      <c r="L4695">
        <v>5137.2785635337004</v>
      </c>
      <c r="M4695">
        <v>83.727723871262498</v>
      </c>
      <c r="N4695">
        <v>61.672834082016898</v>
      </c>
      <c r="O4695">
        <v>61.321978640454802</v>
      </c>
      <c r="P4695">
        <v>-0.281825602191008</v>
      </c>
      <c r="Q4695">
        <v>0.174366520185367</v>
      </c>
      <c r="R4695">
        <v>0.65278034520969697</v>
      </c>
      <c r="S4695" t="s">
        <v>10521</v>
      </c>
      <c r="T4695" t="s">
        <v>11650</v>
      </c>
      <c r="U4695" t="s">
        <v>11650</v>
      </c>
      <c r="V4695" t="s">
        <v>11650</v>
      </c>
      <c r="W4695" t="s">
        <v>16290</v>
      </c>
      <c r="X4695">
        <v>14</v>
      </c>
      <c r="Y4695" t="s">
        <v>21960</v>
      </c>
      <c r="Z4695" t="s">
        <v>27757</v>
      </c>
      <c r="AA4695">
        <v>0.76292702123680556</v>
      </c>
      <c r="AB4695" t="str">
        <f>HYPERLINK("Melting_Curves/meltCurve_Q99523_SORT1.pdf", "Melting_Curves/meltCurve_Q99523_SORT1.pdf")</f>
        <v>Melting_Curves/meltCurve_Q99523_SORT1.pdf</v>
      </c>
    </row>
    <row r="4696" spans="1:28" x14ac:dyDescent="0.25">
      <c r="A4696" t="s">
        <v>4700</v>
      </c>
      <c r="B4696">
        <v>0.99996721820229495</v>
      </c>
      <c r="C4696">
        <v>1.0120138779979999</v>
      </c>
      <c r="D4696">
        <v>1.07774551596696</v>
      </c>
      <c r="E4696">
        <v>1.08479463429651</v>
      </c>
      <c r="F4696">
        <v>1.23398441874802</v>
      </c>
      <c r="G4696">
        <v>1.2656526126584999</v>
      </c>
      <c r="H4696">
        <v>0.68138068118573403</v>
      </c>
      <c r="I4696">
        <v>0.30341998556702698</v>
      </c>
      <c r="J4696">
        <v>0.185999200765295</v>
      </c>
      <c r="K4696">
        <v>0.14468700239336499</v>
      </c>
      <c r="L4696">
        <v>3542.6849761298399</v>
      </c>
      <c r="M4696">
        <v>57.469367338330301</v>
      </c>
      <c r="N4696">
        <v>62.1099352191005</v>
      </c>
      <c r="O4696">
        <v>61.570240715309602</v>
      </c>
      <c r="P4696">
        <v>-0.19253996222669301</v>
      </c>
      <c r="Q4696">
        <v>0.17488378056991799</v>
      </c>
      <c r="R4696">
        <v>0.91482009000428</v>
      </c>
      <c r="S4696" t="s">
        <v>10522</v>
      </c>
      <c r="T4696" t="s">
        <v>11650</v>
      </c>
      <c r="U4696" t="s">
        <v>11650</v>
      </c>
      <c r="V4696" t="s">
        <v>11650</v>
      </c>
      <c r="W4696" t="s">
        <v>16291</v>
      </c>
      <c r="X4696">
        <v>21</v>
      </c>
      <c r="Y4696" t="s">
        <v>21961</v>
      </c>
      <c r="Z4696" t="s">
        <v>27758</v>
      </c>
      <c r="AA4696">
        <v>0.77185277426102028</v>
      </c>
      <c r="AB4696" t="str">
        <f>HYPERLINK("Melting_Curves/meltCurve_Q99536_VAT1.pdf", "Melting_Curves/meltCurve_Q99536_VAT1.pdf")</f>
        <v>Melting_Curves/meltCurve_Q99536_VAT1.pdf</v>
      </c>
    </row>
    <row r="4697" spans="1:28" x14ac:dyDescent="0.25">
      <c r="A4697" t="s">
        <v>4701</v>
      </c>
      <c r="B4697">
        <v>0.99996721820229495</v>
      </c>
      <c r="C4697">
        <v>0.85603380187795397</v>
      </c>
      <c r="D4697">
        <v>0.73002217226117005</v>
      </c>
      <c r="E4697">
        <v>0.81569183290798697</v>
      </c>
      <c r="F4697">
        <v>0.60671193737259399</v>
      </c>
      <c r="G4697">
        <v>0.44533446924879599</v>
      </c>
      <c r="H4697">
        <v>0.28244903920268399</v>
      </c>
      <c r="I4697">
        <v>0.194358473036011</v>
      </c>
      <c r="J4697">
        <v>0.14396536798501999</v>
      </c>
      <c r="K4697">
        <v>0.12588997293715701</v>
      </c>
      <c r="L4697">
        <v>489.85731234773101</v>
      </c>
      <c r="M4697">
        <v>8.8953560079182399</v>
      </c>
      <c r="N4697">
        <v>55.0688822052349</v>
      </c>
      <c r="O4697">
        <v>52.498983153781197</v>
      </c>
      <c r="P4697">
        <v>-4.2391812893177297E-2</v>
      </c>
      <c r="Q4697">
        <v>0</v>
      </c>
      <c r="R4697">
        <v>0.96356416411791102</v>
      </c>
      <c r="S4697" t="s">
        <v>10523</v>
      </c>
      <c r="T4697" t="s">
        <v>11650</v>
      </c>
      <c r="U4697" t="s">
        <v>11650</v>
      </c>
      <c r="V4697" t="s">
        <v>11650</v>
      </c>
      <c r="W4697" t="s">
        <v>16292</v>
      </c>
      <c r="X4697">
        <v>13</v>
      </c>
      <c r="Y4697" t="s">
        <v>21962</v>
      </c>
      <c r="Z4697" t="s">
        <v>27759</v>
      </c>
      <c r="AA4697">
        <v>0.52868318346837417</v>
      </c>
      <c r="AB4697" t="str">
        <f>HYPERLINK("Melting_Curves/meltCurve_Q99541_PLIN2.pdf", "Melting_Curves/meltCurve_Q99541_PLIN2.pdf")</f>
        <v>Melting_Curves/meltCurve_Q99541_PLIN2.pdf</v>
      </c>
    </row>
    <row r="4698" spans="1:28" x14ac:dyDescent="0.25">
      <c r="A4698" t="s">
        <v>4702</v>
      </c>
      <c r="B4698">
        <v>0.99996721820229495</v>
      </c>
      <c r="C4698">
        <v>0.96412418841726499</v>
      </c>
      <c r="D4698">
        <v>1.0014997408636801</v>
      </c>
      <c r="E4698">
        <v>0.88250141568681395</v>
      </c>
      <c r="F4698">
        <v>0.59397124671839296</v>
      </c>
      <c r="G4698">
        <v>0.54284936557649199</v>
      </c>
      <c r="H4698">
        <v>0.320994279807998</v>
      </c>
      <c r="I4698">
        <v>0.20490262257293201</v>
      </c>
      <c r="J4698">
        <v>0.129474838099608</v>
      </c>
      <c r="K4698">
        <v>0.110915950368591</v>
      </c>
      <c r="L4698">
        <v>685.07347070466005</v>
      </c>
      <c r="M4698">
        <v>12.0922242788397</v>
      </c>
      <c r="N4698">
        <v>56.799644155204497</v>
      </c>
      <c r="O4698">
        <v>55.171384567690303</v>
      </c>
      <c r="P4698">
        <v>-5.3970368550588302E-2</v>
      </c>
      <c r="Q4698">
        <v>1.5260307144723199E-2</v>
      </c>
      <c r="R4698">
        <v>0.98297895543041502</v>
      </c>
      <c r="S4698" t="s">
        <v>10524</v>
      </c>
      <c r="T4698" t="s">
        <v>11650</v>
      </c>
      <c r="U4698" t="s">
        <v>11650</v>
      </c>
      <c r="V4698" t="s">
        <v>11650</v>
      </c>
      <c r="W4698" t="s">
        <v>16293</v>
      </c>
      <c r="X4698">
        <v>11</v>
      </c>
      <c r="Y4698" t="s">
        <v>21963</v>
      </c>
      <c r="Z4698" t="s">
        <v>27760</v>
      </c>
      <c r="AA4698">
        <v>0.57974872665613764</v>
      </c>
      <c r="AB4698" t="str">
        <f>HYPERLINK("Melting_Curves/meltCurve_Q99567_NUP88.pdf", "Melting_Curves/meltCurve_Q99567_NUP88.pdf")</f>
        <v>Melting_Curves/meltCurve_Q99567_NUP88.pdf</v>
      </c>
    </row>
    <row r="4699" spans="1:28" x14ac:dyDescent="0.25">
      <c r="A4699" t="s">
        <v>4703</v>
      </c>
      <c r="B4699">
        <v>0.99996721820229495</v>
      </c>
      <c r="C4699">
        <v>0.97124241912421605</v>
      </c>
      <c r="D4699">
        <v>0.93040043082854895</v>
      </c>
      <c r="E4699">
        <v>0.99212406450756596</v>
      </c>
      <c r="F4699">
        <v>0.98184686865943505</v>
      </c>
      <c r="G4699">
        <v>0.97060322666795096</v>
      </c>
      <c r="H4699">
        <v>0.62937639108182197</v>
      </c>
      <c r="I4699">
        <v>0.54098065464993506</v>
      </c>
      <c r="J4699">
        <v>0.51059330143104897</v>
      </c>
      <c r="K4699">
        <v>0.30402512694602801</v>
      </c>
      <c r="L4699">
        <v>1364.63336012593</v>
      </c>
      <c r="M4699">
        <v>22.153058152776801</v>
      </c>
      <c r="N4699">
        <v>64.674020394860904</v>
      </c>
      <c r="O4699">
        <v>61.104860043000798</v>
      </c>
      <c r="P4699">
        <v>-6.1131820693712501E-2</v>
      </c>
      <c r="Q4699">
        <v>0.32553418789461602</v>
      </c>
      <c r="R4699">
        <v>0.95519573292626403</v>
      </c>
      <c r="S4699" t="s">
        <v>10525</v>
      </c>
      <c r="T4699" t="s">
        <v>11650</v>
      </c>
      <c r="U4699" t="s">
        <v>11650</v>
      </c>
      <c r="V4699" t="s">
        <v>11650</v>
      </c>
      <c r="W4699" t="s">
        <v>16294</v>
      </c>
      <c r="X4699">
        <v>3</v>
      </c>
      <c r="Y4699" t="s">
        <v>21964</v>
      </c>
      <c r="Z4699" t="s">
        <v>27761</v>
      </c>
      <c r="AA4699">
        <v>0.81456789176263933</v>
      </c>
      <c r="AB4699" t="str">
        <f>HYPERLINK("Melting_Curves/meltCurve_Q99569_2_PKP4.pdf", "Melting_Curves/meltCurve_Q99569_2_PKP4.pdf")</f>
        <v>Melting_Curves/meltCurve_Q99569_2_PKP4.pdf</v>
      </c>
    </row>
    <row r="4700" spans="1:28" x14ac:dyDescent="0.25">
      <c r="A4700" t="s">
        <v>4704</v>
      </c>
      <c r="B4700">
        <v>0.99996721820229495</v>
      </c>
      <c r="C4700">
        <v>0.91723992967887602</v>
      </c>
      <c r="D4700">
        <v>0.86518458284550503</v>
      </c>
      <c r="E4700">
        <v>1.00142521811866</v>
      </c>
      <c r="F4700">
        <v>1.16229193060238</v>
      </c>
      <c r="G4700">
        <v>0.77257767513632103</v>
      </c>
      <c r="H4700">
        <v>0.34166669205963701</v>
      </c>
      <c r="I4700">
        <v>0.15113667299660399</v>
      </c>
      <c r="J4700">
        <v>9.8813505669750099E-2</v>
      </c>
      <c r="K4700">
        <v>0.108910932468111</v>
      </c>
      <c r="L4700">
        <v>2120.3700848818798</v>
      </c>
      <c r="M4700">
        <v>35.880573379112498</v>
      </c>
      <c r="N4700">
        <v>59.463997721140998</v>
      </c>
      <c r="O4700">
        <v>58.9125528538464</v>
      </c>
      <c r="P4700">
        <v>-0.13707475507817601</v>
      </c>
      <c r="Q4700">
        <v>9.9747126756058097E-2</v>
      </c>
      <c r="R4700">
        <v>0.96314811992201799</v>
      </c>
      <c r="S4700" t="s">
        <v>10526</v>
      </c>
      <c r="T4700" t="s">
        <v>11650</v>
      </c>
      <c r="U4700" t="s">
        <v>11650</v>
      </c>
      <c r="V4700" t="s">
        <v>11650</v>
      </c>
      <c r="W4700" t="s">
        <v>16295</v>
      </c>
      <c r="X4700">
        <v>6</v>
      </c>
      <c r="Y4700" t="s">
        <v>21965</v>
      </c>
      <c r="Z4700" t="s">
        <v>27762</v>
      </c>
      <c r="AA4700">
        <v>0.6770682516032156</v>
      </c>
      <c r="AB4700" t="str">
        <f>HYPERLINK("Melting_Curves/meltCurve_Q99574_SERPINI1.pdf", "Melting_Curves/meltCurve_Q99574_SERPINI1.pdf")</f>
        <v>Melting_Curves/meltCurve_Q99574_SERPINI1.pdf</v>
      </c>
    </row>
    <row r="4701" spans="1:28" x14ac:dyDescent="0.25">
      <c r="A4701" t="s">
        <v>4705</v>
      </c>
      <c r="B4701">
        <v>0.99996721820229495</v>
      </c>
      <c r="C4701">
        <v>1.13350672108207</v>
      </c>
      <c r="D4701">
        <v>0.84770729463000805</v>
      </c>
      <c r="E4701">
        <v>0.77326780458616995</v>
      </c>
      <c r="F4701">
        <v>0.65992749831738695</v>
      </c>
      <c r="G4701">
        <v>0.44033651776435501</v>
      </c>
      <c r="H4701">
        <v>0.29613238708232498</v>
      </c>
      <c r="I4701">
        <v>0.167655291817603</v>
      </c>
      <c r="J4701">
        <v>0.163728876860089</v>
      </c>
      <c r="K4701">
        <v>6.6384679176888298E-2</v>
      </c>
      <c r="L4701">
        <v>638.85132275805802</v>
      </c>
      <c r="M4701">
        <v>11.433567622523899</v>
      </c>
      <c r="N4701">
        <v>55.875079115346203</v>
      </c>
      <c r="O4701">
        <v>54.247758897030302</v>
      </c>
      <c r="P4701">
        <v>-5.2706748192868101E-2</v>
      </c>
      <c r="Q4701">
        <v>0</v>
      </c>
      <c r="R4701">
        <v>0.97271945562306505</v>
      </c>
      <c r="S4701" t="s">
        <v>10527</v>
      </c>
      <c r="T4701" t="s">
        <v>11650</v>
      </c>
      <c r="U4701" t="s">
        <v>11650</v>
      </c>
      <c r="V4701" t="s">
        <v>11650</v>
      </c>
      <c r="W4701" t="s">
        <v>16296</v>
      </c>
      <c r="X4701">
        <v>7</v>
      </c>
      <c r="Y4701" t="s">
        <v>21966</v>
      </c>
      <c r="Z4701" t="s">
        <v>27763</v>
      </c>
      <c r="AA4701">
        <v>0.55034845847852942</v>
      </c>
      <c r="AB4701" t="str">
        <f>HYPERLINK("Melting_Curves/meltCurve_Q99576_3_TSC22D3.pdf", "Melting_Curves/meltCurve_Q99576_3_TSC22D3.pdf")</f>
        <v>Melting_Curves/meltCurve_Q99576_3_TSC22D3.pdf</v>
      </c>
    </row>
    <row r="4702" spans="1:28" x14ac:dyDescent="0.25">
      <c r="A4702" t="s">
        <v>4706</v>
      </c>
      <c r="B4702">
        <v>0.99996721820229495</v>
      </c>
      <c r="C4702">
        <v>1.07641912555242</v>
      </c>
      <c r="D4702">
        <v>1.0236548434827699</v>
      </c>
      <c r="E4702">
        <v>0.98357115371697401</v>
      </c>
      <c r="F4702">
        <v>1.2688403068248699</v>
      </c>
      <c r="G4702">
        <v>1.50867911671496</v>
      </c>
      <c r="H4702">
        <v>1.06973823372012</v>
      </c>
      <c r="I4702">
        <v>0.841553048576825</v>
      </c>
      <c r="J4702">
        <v>0.66317055803628699</v>
      </c>
      <c r="K4702">
        <v>0.39151046122771499</v>
      </c>
      <c r="L4702">
        <v>2571.6270037228401</v>
      </c>
      <c r="M4702">
        <v>38.369237767605597</v>
      </c>
      <c r="N4702">
        <v>68.484483049417705</v>
      </c>
      <c r="O4702">
        <v>66.841866146249501</v>
      </c>
      <c r="P4702">
        <v>-0.103397006186135</v>
      </c>
      <c r="Q4702">
        <v>0.27950285708702799</v>
      </c>
      <c r="R4702">
        <v>0.58783322527642701</v>
      </c>
      <c r="S4702" t="s">
        <v>10528</v>
      </c>
      <c r="T4702" t="s">
        <v>11650</v>
      </c>
      <c r="U4702" t="s">
        <v>11650</v>
      </c>
      <c r="V4702" t="s">
        <v>11650</v>
      </c>
      <c r="W4702" t="s">
        <v>16297</v>
      </c>
      <c r="X4702">
        <v>11</v>
      </c>
      <c r="Y4702" t="s">
        <v>21967</v>
      </c>
      <c r="Z4702" t="s">
        <v>27764</v>
      </c>
      <c r="AA4702">
        <v>0.92345355690126174</v>
      </c>
      <c r="AB4702" t="str">
        <f>HYPERLINK("Melting_Curves/meltCurve_Q99584_S100A13.pdf", "Melting_Curves/meltCurve_Q99584_S100A13.pdf")</f>
        <v>Melting_Curves/meltCurve_Q99584_S100A13.pdf</v>
      </c>
    </row>
    <row r="4703" spans="1:28" x14ac:dyDescent="0.25">
      <c r="A4703" t="s">
        <v>4707</v>
      </c>
      <c r="B4703">
        <v>0.99996721820229495</v>
      </c>
      <c r="C4703">
        <v>0.85761930513925599</v>
      </c>
      <c r="D4703">
        <v>0.94060399195996403</v>
      </c>
      <c r="E4703">
        <v>1.1248500087316999</v>
      </c>
      <c r="F4703">
        <v>1.4948604340238301</v>
      </c>
      <c r="G4703">
        <v>1.62685749419359</v>
      </c>
      <c r="H4703">
        <v>1.01294956960024</v>
      </c>
      <c r="I4703">
        <v>0.32465888928854703</v>
      </c>
      <c r="J4703">
        <v>6.5519772830280307E-2</v>
      </c>
      <c r="K4703">
        <v>0</v>
      </c>
      <c r="L4703">
        <v>12431.2544195144</v>
      </c>
      <c r="M4703">
        <v>195.076910394408</v>
      </c>
      <c r="N4703">
        <v>63.7469880499808</v>
      </c>
      <c r="O4703">
        <v>63.718192062129297</v>
      </c>
      <c r="P4703">
        <v>-0.74034782024957002</v>
      </c>
      <c r="Q4703">
        <v>3.2717421686052302E-2</v>
      </c>
      <c r="R4703">
        <v>0.75430900127733103</v>
      </c>
      <c r="S4703" t="s">
        <v>10529</v>
      </c>
      <c r="T4703" t="s">
        <v>11650</v>
      </c>
      <c r="U4703" t="s">
        <v>11650</v>
      </c>
      <c r="V4703" t="s">
        <v>11650</v>
      </c>
      <c r="W4703" t="s">
        <v>16298</v>
      </c>
      <c r="X4703">
        <v>2</v>
      </c>
      <c r="Y4703" t="s">
        <v>21968</v>
      </c>
      <c r="Z4703" t="s">
        <v>27765</v>
      </c>
      <c r="AA4703">
        <v>0.79785083230913323</v>
      </c>
      <c r="AB4703" t="str">
        <f>HYPERLINK("Melting_Curves/meltCurve_Q99595_TIMM17A.pdf", "Melting_Curves/meltCurve_Q99595_TIMM17A.pdf")</f>
        <v>Melting_Curves/meltCurve_Q99595_TIMM17A.pdf</v>
      </c>
    </row>
    <row r="4704" spans="1:28" x14ac:dyDescent="0.25">
      <c r="A4704" t="s">
        <v>4708</v>
      </c>
      <c r="B4704">
        <v>0.99996721820229495</v>
      </c>
      <c r="C4704">
        <v>1.0356714138909799</v>
      </c>
      <c r="D4704">
        <v>1.2092352067849099</v>
      </c>
      <c r="E4704">
        <v>1.60718393514742</v>
      </c>
      <c r="F4704">
        <v>2.1883566015518099</v>
      </c>
      <c r="G4704">
        <v>2.94557614983405</v>
      </c>
      <c r="H4704">
        <v>2.00813538984697</v>
      </c>
      <c r="I4704">
        <v>0.91727864602145104</v>
      </c>
      <c r="J4704">
        <v>0.28064977028744598</v>
      </c>
      <c r="K4704">
        <v>0.20313285032874401</v>
      </c>
      <c r="L4704">
        <v>6820.4270046281499</v>
      </c>
      <c r="M4704">
        <v>104.22364754231501</v>
      </c>
      <c r="N4704">
        <v>65.781229339480504</v>
      </c>
      <c r="O4704">
        <v>65.416220680723896</v>
      </c>
      <c r="P4704">
        <v>-0.31519307668818403</v>
      </c>
      <c r="Q4704">
        <v>0.20867330729084599</v>
      </c>
      <c r="R4704">
        <v>8.2622027162360101E-4</v>
      </c>
      <c r="S4704" t="s">
        <v>10530</v>
      </c>
      <c r="T4704" t="s">
        <v>11650</v>
      </c>
      <c r="U4704" t="s">
        <v>11650</v>
      </c>
      <c r="V4704" t="s">
        <v>11650</v>
      </c>
      <c r="W4704" t="s">
        <v>16299</v>
      </c>
      <c r="X4704">
        <v>16</v>
      </c>
      <c r="Y4704" t="s">
        <v>21969</v>
      </c>
      <c r="Z4704" t="s">
        <v>27766</v>
      </c>
      <c r="AA4704">
        <v>0.88022799200849466</v>
      </c>
      <c r="AB4704" t="str">
        <f>HYPERLINK("Melting_Curves/meltCurve_Q99598_TSNAX.pdf", "Melting_Curves/meltCurve_Q99598_TSNAX.pdf")</f>
        <v>Melting_Curves/meltCurve_Q99598_TSNAX.pdf</v>
      </c>
    </row>
    <row r="4705" spans="1:28" x14ac:dyDescent="0.25">
      <c r="A4705" t="s">
        <v>4709</v>
      </c>
      <c r="B4705">
        <v>0.99996721820229495</v>
      </c>
      <c r="C4705">
        <v>0.801108964976878</v>
      </c>
      <c r="D4705">
        <v>0.71184669797616795</v>
      </c>
      <c r="E4705">
        <v>0.91471993588234801</v>
      </c>
      <c r="F4705">
        <v>0.70172686247684601</v>
      </c>
      <c r="G4705">
        <v>0.42512779529643502</v>
      </c>
      <c r="H4705">
        <v>0.32301069211054101</v>
      </c>
      <c r="I4705">
        <v>0.13073257717134901</v>
      </c>
      <c r="J4705">
        <v>5.3167254950152898E-2</v>
      </c>
      <c r="K4705">
        <v>0.17054211792551699</v>
      </c>
      <c r="L4705">
        <v>597.09580883690705</v>
      </c>
      <c r="M4705">
        <v>10.687781682124699</v>
      </c>
      <c r="N4705">
        <v>55.867126166349699</v>
      </c>
      <c r="O4705">
        <v>54.017827918845903</v>
      </c>
      <c r="P4705">
        <v>-4.9482783879235E-2</v>
      </c>
      <c r="Q4705">
        <v>0</v>
      </c>
      <c r="R4705">
        <v>0.90037650937380298</v>
      </c>
      <c r="S4705" t="s">
        <v>10531</v>
      </c>
      <c r="T4705" t="s">
        <v>11650</v>
      </c>
      <c r="U4705" t="s">
        <v>11650</v>
      </c>
      <c r="V4705" t="s">
        <v>11650</v>
      </c>
      <c r="W4705" t="s">
        <v>16300</v>
      </c>
      <c r="X4705">
        <v>1</v>
      </c>
      <c r="Y4705" t="s">
        <v>21970</v>
      </c>
      <c r="Z4705" t="s">
        <v>27767</v>
      </c>
      <c r="AA4705">
        <v>0.55049261994721899</v>
      </c>
      <c r="AB4705" t="str">
        <f>HYPERLINK("Melting_Curves/meltCurve_Q99608_NDN.pdf", "Melting_Curves/meltCurve_Q99608_NDN.pdf")</f>
        <v>Melting_Curves/meltCurve_Q99608_NDN.pdf</v>
      </c>
    </row>
    <row r="4706" spans="1:28" x14ac:dyDescent="0.25">
      <c r="A4706" t="s">
        <v>4710</v>
      </c>
      <c r="B4706">
        <v>0.99996721820229495</v>
      </c>
      <c r="C4706">
        <v>0.96453754892672705</v>
      </c>
      <c r="D4706">
        <v>0.94929603015933595</v>
      </c>
      <c r="E4706">
        <v>1.0146244151741699</v>
      </c>
      <c r="F4706">
        <v>1.3536960081070399</v>
      </c>
      <c r="G4706">
        <v>1.4202607217132499</v>
      </c>
      <c r="H4706">
        <v>1.0403137240312501</v>
      </c>
      <c r="I4706">
        <v>1.0131358947044</v>
      </c>
      <c r="J4706">
        <v>0.92631783135701695</v>
      </c>
      <c r="K4706">
        <v>0.72574465390418097</v>
      </c>
      <c r="L4706">
        <v>15000</v>
      </c>
      <c r="M4706">
        <v>222.87891239398701</v>
      </c>
      <c r="O4706">
        <v>67.295699619734606</v>
      </c>
      <c r="P4706">
        <v>-0.22712103147051099</v>
      </c>
      <c r="Q4706">
        <v>0.725693768250113</v>
      </c>
      <c r="R4706">
        <v>0.17226279305980199</v>
      </c>
      <c r="S4706" t="s">
        <v>10532</v>
      </c>
      <c r="T4706" t="s">
        <v>11650</v>
      </c>
      <c r="U4706" t="s">
        <v>11650</v>
      </c>
      <c r="V4706" t="s">
        <v>11650</v>
      </c>
      <c r="W4706" t="s">
        <v>16301</v>
      </c>
      <c r="X4706">
        <v>16</v>
      </c>
      <c r="Y4706" t="s">
        <v>21971</v>
      </c>
      <c r="Z4706" t="s">
        <v>27768</v>
      </c>
      <c r="AA4706">
        <v>0.97536286948210782</v>
      </c>
      <c r="AB4706" t="str">
        <f>HYPERLINK("Melting_Curves/meltCurve_Q99614_TTC1.pdf", "Melting_Curves/meltCurve_Q99614_TTC1.pdf")</f>
        <v>Melting_Curves/meltCurve_Q99614_TTC1.pdf</v>
      </c>
    </row>
    <row r="4707" spans="1:28" x14ac:dyDescent="0.25">
      <c r="A4707" t="s">
        <v>4711</v>
      </c>
      <c r="B4707">
        <v>0.99996721820229495</v>
      </c>
      <c r="C4707">
        <v>0.98803269341891298</v>
      </c>
      <c r="D4707">
        <v>0.89681490782742301</v>
      </c>
      <c r="E4707">
        <v>0.42719331410466999</v>
      </c>
      <c r="F4707">
        <v>0.29220955279720101</v>
      </c>
      <c r="G4707">
        <v>0.235509827510682</v>
      </c>
      <c r="H4707">
        <v>0.162371133973642</v>
      </c>
      <c r="I4707">
        <v>0.117841251935592</v>
      </c>
      <c r="J4707">
        <v>9.8080978271967795E-2</v>
      </c>
      <c r="K4707">
        <v>6.8372649661166296E-2</v>
      </c>
      <c r="L4707">
        <v>1149.9692793199799</v>
      </c>
      <c r="M4707">
        <v>23.378646931786299</v>
      </c>
      <c r="N4707">
        <v>49.806451401144798</v>
      </c>
      <c r="O4707">
        <v>48.8332003256332</v>
      </c>
      <c r="P4707">
        <v>-0.104628619506502</v>
      </c>
      <c r="Q4707">
        <v>0.12582414469276901</v>
      </c>
      <c r="R4707">
        <v>0.98746645343299799</v>
      </c>
      <c r="S4707" t="s">
        <v>10533</v>
      </c>
      <c r="T4707" t="s">
        <v>11650</v>
      </c>
      <c r="U4707" t="s">
        <v>11650</v>
      </c>
      <c r="V4707" t="s">
        <v>11650</v>
      </c>
      <c r="W4707" t="s">
        <v>16302</v>
      </c>
      <c r="X4707">
        <v>26</v>
      </c>
      <c r="Y4707" t="s">
        <v>21972</v>
      </c>
      <c r="Z4707" t="s">
        <v>27769</v>
      </c>
      <c r="AA4707">
        <v>0.40247936126502187</v>
      </c>
      <c r="AB4707" t="str">
        <f>HYPERLINK("Melting_Curves/meltCurve_Q99615_DNAJC7.pdf", "Melting_Curves/meltCurve_Q99615_DNAJC7.pdf")</f>
        <v>Melting_Curves/meltCurve_Q99615_DNAJC7.pdf</v>
      </c>
    </row>
    <row r="4708" spans="1:28" x14ac:dyDescent="0.25">
      <c r="A4708" t="s">
        <v>4712</v>
      </c>
      <c r="B4708">
        <v>0.99996721820229495</v>
      </c>
      <c r="C4708">
        <v>0.921331587987965</v>
      </c>
      <c r="D4708">
        <v>0.75932407252518996</v>
      </c>
      <c r="E4708">
        <v>0.59503928229683301</v>
      </c>
      <c r="F4708">
        <v>0.45361909499542702</v>
      </c>
      <c r="G4708">
        <v>0.37569338936382501</v>
      </c>
      <c r="H4708">
        <v>0.26681889142098703</v>
      </c>
      <c r="I4708">
        <v>0.23945872638145299</v>
      </c>
      <c r="J4708">
        <v>0.22390150504943801</v>
      </c>
      <c r="K4708">
        <v>0.16401451466556999</v>
      </c>
      <c r="L4708">
        <v>568.83693974912296</v>
      </c>
      <c r="M4708">
        <v>11.2848635288463</v>
      </c>
      <c r="N4708">
        <v>52.229950146168697</v>
      </c>
      <c r="O4708">
        <v>48.901977681909699</v>
      </c>
      <c r="P4708">
        <v>-4.8315423413925099E-2</v>
      </c>
      <c r="Q4708">
        <v>0.16277316769473699</v>
      </c>
      <c r="R4708">
        <v>0.99294416959939602</v>
      </c>
      <c r="S4708" t="s">
        <v>10534</v>
      </c>
      <c r="T4708" t="s">
        <v>11650</v>
      </c>
      <c r="U4708" t="s">
        <v>11650</v>
      </c>
      <c r="V4708" t="s">
        <v>11650</v>
      </c>
      <c r="W4708" t="s">
        <v>16303</v>
      </c>
      <c r="X4708">
        <v>6</v>
      </c>
      <c r="Y4708" t="s">
        <v>21973</v>
      </c>
      <c r="Z4708" t="s">
        <v>27770</v>
      </c>
      <c r="AA4708">
        <v>0.48419273350160952</v>
      </c>
      <c r="AB4708" t="str">
        <f>HYPERLINK("Melting_Curves/meltCurve_Q99622_C12orf57.pdf", "Melting_Curves/meltCurve_Q99622_C12orf57.pdf")</f>
        <v>Melting_Curves/meltCurve_Q99622_C12orf57.pdf</v>
      </c>
    </row>
    <row r="4709" spans="1:28" x14ac:dyDescent="0.25">
      <c r="A4709" t="s">
        <v>4713</v>
      </c>
      <c r="B4709">
        <v>0.99996721820229495</v>
      </c>
      <c r="C4709">
        <v>0.92446578091958198</v>
      </c>
      <c r="D4709">
        <v>0.89335254648584395</v>
      </c>
      <c r="E4709">
        <v>0.90442969153279096</v>
      </c>
      <c r="F4709">
        <v>1.2984809042183001</v>
      </c>
      <c r="G4709">
        <v>1.52908985712479</v>
      </c>
      <c r="H4709">
        <v>0.94932795478661702</v>
      </c>
      <c r="I4709">
        <v>0.62882657899113603</v>
      </c>
      <c r="J4709">
        <v>0.37164705903179102</v>
      </c>
      <c r="K4709">
        <v>0.40559989321161899</v>
      </c>
      <c r="L4709">
        <v>4477.6745536063499</v>
      </c>
      <c r="M4709">
        <v>70.411806939897303</v>
      </c>
      <c r="N4709">
        <v>64.920551325346807</v>
      </c>
      <c r="O4709">
        <v>63.541418880435501</v>
      </c>
      <c r="P4709">
        <v>-0.17132710945054899</v>
      </c>
      <c r="Q4709">
        <v>0.38156014587891002</v>
      </c>
      <c r="R4709">
        <v>0.65875603223534895</v>
      </c>
      <c r="S4709" t="s">
        <v>10535</v>
      </c>
      <c r="T4709" t="s">
        <v>11650</v>
      </c>
      <c r="U4709" t="s">
        <v>11650</v>
      </c>
      <c r="V4709" t="s">
        <v>11650</v>
      </c>
      <c r="W4709" t="s">
        <v>16304</v>
      </c>
      <c r="X4709">
        <v>5</v>
      </c>
      <c r="Y4709" t="s">
        <v>21974</v>
      </c>
      <c r="Z4709" t="s">
        <v>27771</v>
      </c>
      <c r="AA4709">
        <v>0.86875034843493226</v>
      </c>
      <c r="AB4709" t="str">
        <f>HYPERLINK("Melting_Curves/meltCurve_Q99650_OSMR.pdf", "Melting_Curves/meltCurve_Q99650_OSMR.pdf")</f>
        <v>Melting_Curves/meltCurve_Q99650_OSMR.pdf</v>
      </c>
    </row>
    <row r="4710" spans="1:28" x14ac:dyDescent="0.25">
      <c r="A4710" t="s">
        <v>4714</v>
      </c>
      <c r="B4710">
        <v>0.99996721820229495</v>
      </c>
      <c r="C4710">
        <v>0.98559254328137602</v>
      </c>
      <c r="D4710">
        <v>1.1396025367188201</v>
      </c>
      <c r="E4710">
        <v>1.2344675275594601</v>
      </c>
      <c r="F4710">
        <v>1.3484141679197901</v>
      </c>
      <c r="G4710">
        <v>1.14588359647536</v>
      </c>
      <c r="H4710">
        <v>0.66982602074698405</v>
      </c>
      <c r="I4710">
        <v>0.44659681547169799</v>
      </c>
      <c r="J4710">
        <v>0.32505536442630001</v>
      </c>
      <c r="K4710">
        <v>0.21821674726325899</v>
      </c>
      <c r="L4710">
        <v>2635.6275000630799</v>
      </c>
      <c r="M4710">
        <v>42.710659390738599</v>
      </c>
      <c r="N4710">
        <v>62.8438306988837</v>
      </c>
      <c r="O4710">
        <v>61.574073779054203</v>
      </c>
      <c r="P4710">
        <v>-0.126798243181098</v>
      </c>
      <c r="Q4710">
        <v>0.26880343084991598</v>
      </c>
      <c r="R4710">
        <v>0.84204168885277897</v>
      </c>
      <c r="S4710" t="s">
        <v>10536</v>
      </c>
      <c r="T4710" t="s">
        <v>11650</v>
      </c>
      <c r="U4710" t="s">
        <v>11650</v>
      </c>
      <c r="V4710" t="s">
        <v>11650</v>
      </c>
      <c r="W4710" t="s">
        <v>16305</v>
      </c>
      <c r="X4710">
        <v>13</v>
      </c>
      <c r="Y4710" t="s">
        <v>21975</v>
      </c>
      <c r="Z4710" t="s">
        <v>27772</v>
      </c>
      <c r="AA4710">
        <v>0.80034882090662784</v>
      </c>
      <c r="AB4710" t="str">
        <f>HYPERLINK("Melting_Curves/meltCurve_Q99653_CHP1.pdf", "Melting_Curves/meltCurve_Q99653_CHP1.pdf")</f>
        <v>Melting_Curves/meltCurve_Q99653_CHP1.pdf</v>
      </c>
    </row>
    <row r="4711" spans="1:28" x14ac:dyDescent="0.25">
      <c r="A4711" t="s">
        <v>4715</v>
      </c>
      <c r="B4711">
        <v>0.99996721820229495</v>
      </c>
      <c r="C4711">
        <v>0.91091106848471104</v>
      </c>
      <c r="D4711">
        <v>0.87761244710304498</v>
      </c>
      <c r="E4711">
        <v>0.88788950033178204</v>
      </c>
      <c r="F4711">
        <v>1.0883156917476899</v>
      </c>
      <c r="G4711">
        <v>1.03334658739622</v>
      </c>
      <c r="H4711">
        <v>0.83204819690609599</v>
      </c>
      <c r="I4711">
        <v>0.66937045710980503</v>
      </c>
      <c r="J4711">
        <v>0.60405436957085301</v>
      </c>
      <c r="K4711">
        <v>0.427056165665123</v>
      </c>
      <c r="L4711">
        <v>1524.0224229221701</v>
      </c>
      <c r="M4711">
        <v>23.781493274711899</v>
      </c>
      <c r="N4711">
        <v>68.298713608896094</v>
      </c>
      <c r="O4711">
        <v>63.636401012949896</v>
      </c>
      <c r="P4711">
        <v>-5.7482869769779101E-2</v>
      </c>
      <c r="Q4711">
        <v>0.384741136091864</v>
      </c>
      <c r="R4711">
        <v>0.861780048001624</v>
      </c>
      <c r="S4711" t="s">
        <v>10537</v>
      </c>
      <c r="T4711" t="s">
        <v>11650</v>
      </c>
      <c r="U4711" t="s">
        <v>11650</v>
      </c>
      <c r="V4711" t="s">
        <v>11650</v>
      </c>
      <c r="W4711" t="s">
        <v>16306</v>
      </c>
      <c r="X4711">
        <v>7</v>
      </c>
      <c r="Y4711" t="s">
        <v>21976</v>
      </c>
      <c r="Z4711" t="s">
        <v>27773</v>
      </c>
      <c r="AA4711">
        <v>0.87730597351043194</v>
      </c>
      <c r="AB4711" t="str">
        <f>HYPERLINK("Melting_Curves/meltCurve_Q99674_CGREF1.pdf", "Melting_Curves/meltCurve_Q99674_CGREF1.pdf")</f>
        <v>Melting_Curves/meltCurve_Q99674_CGREF1.pdf</v>
      </c>
    </row>
    <row r="4712" spans="1:28" x14ac:dyDescent="0.25">
      <c r="A4712" t="s">
        <v>4716</v>
      </c>
      <c r="B4712">
        <v>0.99996721820229495</v>
      </c>
      <c r="C4712">
        <v>1.02388443291617</v>
      </c>
      <c r="D4712">
        <v>1.02594762010962</v>
      </c>
      <c r="E4712">
        <v>0.93172318966839196</v>
      </c>
      <c r="F4712">
        <v>0.80814699168097004</v>
      </c>
      <c r="G4712">
        <v>0.421095275583447</v>
      </c>
      <c r="H4712">
        <v>0.18876576159934899</v>
      </c>
      <c r="I4712">
        <v>0.122215390288854</v>
      </c>
      <c r="J4712">
        <v>8.8145866370955506E-2</v>
      </c>
      <c r="K4712">
        <v>6.8980174112937304E-2</v>
      </c>
      <c r="L4712">
        <v>1320.8689069087</v>
      </c>
      <c r="M4712">
        <v>23.635993238576599</v>
      </c>
      <c r="N4712">
        <v>56.243740769041501</v>
      </c>
      <c r="O4712">
        <v>55.488376627189098</v>
      </c>
      <c r="P4712">
        <v>-9.9017642009703005E-2</v>
      </c>
      <c r="Q4712">
        <v>7.0191704810635705E-2</v>
      </c>
      <c r="R4712">
        <v>0.99868982622493996</v>
      </c>
      <c r="S4712" t="s">
        <v>10538</v>
      </c>
      <c r="T4712" t="s">
        <v>11650</v>
      </c>
      <c r="U4712" t="s">
        <v>11650</v>
      </c>
      <c r="V4712" t="s">
        <v>11650</v>
      </c>
      <c r="W4712" t="s">
        <v>16307</v>
      </c>
      <c r="X4712">
        <v>10</v>
      </c>
      <c r="Y4712" t="s">
        <v>21977</v>
      </c>
      <c r="Z4712" t="s">
        <v>27774</v>
      </c>
      <c r="AA4712">
        <v>0.57185927894346777</v>
      </c>
      <c r="AB4712" t="str">
        <f>HYPERLINK("Melting_Curves/meltCurve_Q99685_MGLL.pdf", "Melting_Curves/meltCurve_Q99685_MGLL.pdf")</f>
        <v>Melting_Curves/meltCurve_Q99685_MGLL.pdf</v>
      </c>
    </row>
    <row r="4713" spans="1:28" x14ac:dyDescent="0.25">
      <c r="A4713" t="s">
        <v>4717</v>
      </c>
      <c r="B4713">
        <v>0.99996721820229495</v>
      </c>
      <c r="C4713">
        <v>1.0611118436778899</v>
      </c>
      <c r="D4713">
        <v>0.96276233053614801</v>
      </c>
      <c r="E4713">
        <v>0.84511700903613796</v>
      </c>
      <c r="F4713">
        <v>0.58368616179910604</v>
      </c>
      <c r="G4713">
        <v>0.39857800361205598</v>
      </c>
      <c r="H4713">
        <v>0.22253938723896599</v>
      </c>
      <c r="I4713">
        <v>0.192000176330369</v>
      </c>
      <c r="J4713">
        <v>0.20000351883668299</v>
      </c>
      <c r="K4713">
        <v>0.12852901874345399</v>
      </c>
      <c r="L4713">
        <v>987.173464721453</v>
      </c>
      <c r="M4713">
        <v>18.397003548099399</v>
      </c>
      <c r="N4713">
        <v>54.716243546813899</v>
      </c>
      <c r="O4713">
        <v>53.037491460557902</v>
      </c>
      <c r="P4713">
        <v>-7.3754099829362901E-2</v>
      </c>
      <c r="Q4713">
        <v>0.149523148650059</v>
      </c>
      <c r="R4713">
        <v>0.99223281037111999</v>
      </c>
      <c r="S4713" t="s">
        <v>10539</v>
      </c>
      <c r="T4713" t="s">
        <v>11650</v>
      </c>
      <c r="U4713" t="s">
        <v>11650</v>
      </c>
      <c r="V4713" t="s">
        <v>11650</v>
      </c>
      <c r="W4713" t="s">
        <v>16308</v>
      </c>
      <c r="X4713">
        <v>17</v>
      </c>
      <c r="Y4713" t="s">
        <v>21978</v>
      </c>
      <c r="Z4713" t="s">
        <v>27775</v>
      </c>
      <c r="AA4713">
        <v>0.55003401702143462</v>
      </c>
      <c r="AB4713" t="str">
        <f>HYPERLINK("Melting_Curves/meltCurve_Q99700_4_ATXN2.pdf", "Melting_Curves/meltCurve_Q99700_4_ATXN2.pdf")</f>
        <v>Melting_Curves/meltCurve_Q99700_4_ATXN2.pdf</v>
      </c>
    </row>
    <row r="4714" spans="1:28" x14ac:dyDescent="0.25">
      <c r="A4714" t="s">
        <v>4718</v>
      </c>
      <c r="B4714">
        <v>0.99996721820229495</v>
      </c>
      <c r="C4714">
        <v>1.0455324988272301</v>
      </c>
      <c r="D4714">
        <v>0.85462123160091297</v>
      </c>
      <c r="E4714">
        <v>0.51303971853047503</v>
      </c>
      <c r="F4714">
        <v>0.43985803567395698</v>
      </c>
      <c r="G4714">
        <v>0.36272066353651</v>
      </c>
      <c r="H4714">
        <v>0.22215307515248001</v>
      </c>
      <c r="I4714">
        <v>0.15609395680111601</v>
      </c>
      <c r="J4714">
        <v>0.137571452680501</v>
      </c>
      <c r="K4714">
        <v>0.15147575125214999</v>
      </c>
      <c r="L4714">
        <v>767.80451499691503</v>
      </c>
      <c r="M4714">
        <v>15.2302073901594</v>
      </c>
      <c r="N4714">
        <v>51.626653834179599</v>
      </c>
      <c r="O4714">
        <v>49.568106804474297</v>
      </c>
      <c r="P4714">
        <v>-6.5264181814051997E-2</v>
      </c>
      <c r="Q4714">
        <v>0.150447794945475</v>
      </c>
      <c r="R4714">
        <v>0.97506884230012003</v>
      </c>
      <c r="S4714" t="s">
        <v>10540</v>
      </c>
      <c r="T4714" t="s">
        <v>11650</v>
      </c>
      <c r="U4714" t="s">
        <v>11650</v>
      </c>
      <c r="V4714" t="s">
        <v>11650</v>
      </c>
      <c r="W4714" t="s">
        <v>16309</v>
      </c>
      <c r="X4714">
        <v>7</v>
      </c>
      <c r="Y4714" t="s">
        <v>21979</v>
      </c>
      <c r="Z4714" t="s">
        <v>27776</v>
      </c>
      <c r="AA4714">
        <v>0.46480901665385621</v>
      </c>
      <c r="AB4714" t="str">
        <f>HYPERLINK("Melting_Curves/meltCurve_Q99704_DOK1.pdf", "Melting_Curves/meltCurve_Q99704_DOK1.pdf")</f>
        <v>Melting_Curves/meltCurve_Q99704_DOK1.pdf</v>
      </c>
    </row>
    <row r="4715" spans="1:28" x14ac:dyDescent="0.25">
      <c r="A4715" t="s">
        <v>4719</v>
      </c>
      <c r="B4715">
        <v>0.99996721820229495</v>
      </c>
      <c r="C4715">
        <v>0.89298689835699396</v>
      </c>
      <c r="D4715">
        <v>0.77018762288424603</v>
      </c>
      <c r="E4715">
        <v>0.55174852284757003</v>
      </c>
      <c r="F4715">
        <v>0.30604246986799599</v>
      </c>
      <c r="G4715">
        <v>0.30118607895633998</v>
      </c>
      <c r="H4715">
        <v>0.158044442343342</v>
      </c>
      <c r="I4715">
        <v>8.4127051958436894E-2</v>
      </c>
      <c r="J4715">
        <v>5.11841990877204E-2</v>
      </c>
      <c r="K4715">
        <v>3.6946528045179998E-2</v>
      </c>
      <c r="L4715">
        <v>591.02739814265101</v>
      </c>
      <c r="M4715">
        <v>11.6753828936109</v>
      </c>
      <c r="N4715">
        <v>50.7544003106308</v>
      </c>
      <c r="O4715">
        <v>49.205007793734602</v>
      </c>
      <c r="P4715">
        <v>-5.8443869759231402E-2</v>
      </c>
      <c r="Q4715">
        <v>1.5034899679635399E-2</v>
      </c>
      <c r="R4715">
        <v>0.98774050711467798</v>
      </c>
      <c r="S4715" t="s">
        <v>10541</v>
      </c>
      <c r="T4715" t="s">
        <v>11650</v>
      </c>
      <c r="U4715" t="s">
        <v>11650</v>
      </c>
      <c r="V4715" t="s">
        <v>11650</v>
      </c>
      <c r="W4715" t="s">
        <v>16310</v>
      </c>
      <c r="X4715">
        <v>23</v>
      </c>
      <c r="Y4715" t="s">
        <v>21980</v>
      </c>
      <c r="Z4715" t="s">
        <v>27777</v>
      </c>
      <c r="AA4715">
        <v>0.39798208891195719</v>
      </c>
      <c r="AB4715" t="str">
        <f>HYPERLINK("Melting_Curves/meltCurve_Q99707_MTR.pdf", "Melting_Curves/meltCurve_Q99707_MTR.pdf")</f>
        <v>Melting_Curves/meltCurve_Q99707_MTR.pdf</v>
      </c>
    </row>
    <row r="4716" spans="1:28" x14ac:dyDescent="0.25">
      <c r="A4716" t="s">
        <v>4720</v>
      </c>
      <c r="B4716">
        <v>0.99996721820229495</v>
      </c>
      <c r="C4716">
        <v>1.0796387738081501</v>
      </c>
      <c r="D4716">
        <v>1.2027554477045199</v>
      </c>
      <c r="E4716">
        <v>1.5500259728944901</v>
      </c>
      <c r="F4716">
        <v>1.97299655703315</v>
      </c>
      <c r="G4716">
        <v>0.48747065495473701</v>
      </c>
      <c r="H4716">
        <v>0.214221452323651</v>
      </c>
      <c r="I4716">
        <v>0.12904581499586701</v>
      </c>
      <c r="J4716">
        <v>9.1554651213257301E-2</v>
      </c>
      <c r="K4716">
        <v>7.9249459418707494E-2</v>
      </c>
      <c r="L4716">
        <v>14229.698498251601</v>
      </c>
      <c r="M4716">
        <v>250</v>
      </c>
      <c r="N4716">
        <v>56.986520897816902</v>
      </c>
      <c r="O4716">
        <v>56.9151560799639</v>
      </c>
      <c r="P4716">
        <v>-0.95699712000878501</v>
      </c>
      <c r="Q4716">
        <v>0.12851782277349499</v>
      </c>
      <c r="R4716">
        <v>0.683139085450298</v>
      </c>
      <c r="S4716" t="s">
        <v>10542</v>
      </c>
      <c r="T4716" t="s">
        <v>11650</v>
      </c>
      <c r="U4716" t="s">
        <v>11650</v>
      </c>
      <c r="V4716" t="s">
        <v>11650</v>
      </c>
      <c r="W4716" t="s">
        <v>16311</v>
      </c>
      <c r="X4716">
        <v>13</v>
      </c>
      <c r="Y4716" t="s">
        <v>21981</v>
      </c>
      <c r="Z4716" t="s">
        <v>27778</v>
      </c>
      <c r="AA4716">
        <v>0.62008579068952752</v>
      </c>
      <c r="AB4716" t="str">
        <f>HYPERLINK("Melting_Curves/meltCurve_Q99714_HSD17B10.pdf", "Melting_Curves/meltCurve_Q99714_HSD17B10.pdf")</f>
        <v>Melting_Curves/meltCurve_Q99714_HSD17B10.pdf</v>
      </c>
    </row>
    <row r="4717" spans="1:28" x14ac:dyDescent="0.25">
      <c r="A4717" t="s">
        <v>4721</v>
      </c>
      <c r="B4717">
        <v>0.99996721820229495</v>
      </c>
      <c r="C4717">
        <v>1.0684837657316899</v>
      </c>
      <c r="D4717">
        <v>1.08287141659472</v>
      </c>
      <c r="E4717">
        <v>1.1422773264736601</v>
      </c>
      <c r="F4717">
        <v>1.47431658022112</v>
      </c>
      <c r="G4717">
        <v>1.49895885600748</v>
      </c>
      <c r="H4717">
        <v>1.12628248918621</v>
      </c>
      <c r="I4717">
        <v>1.1098720907983299</v>
      </c>
      <c r="J4717">
        <v>0.88216860689743404</v>
      </c>
      <c r="K4717">
        <v>0.97278006813201601</v>
      </c>
      <c r="L4717">
        <v>2207.40849201012</v>
      </c>
      <c r="M4717">
        <v>32.465922300669099</v>
      </c>
      <c r="O4717">
        <v>67.735150673281098</v>
      </c>
      <c r="P4717">
        <v>-8.2677526431538407E-3</v>
      </c>
      <c r="Q4717">
        <v>0.93100275466094196</v>
      </c>
      <c r="R4717">
        <v>-0.49738400792375798</v>
      </c>
      <c r="S4717" t="s">
        <v>10543</v>
      </c>
      <c r="T4717" t="s">
        <v>11650</v>
      </c>
      <c r="U4717" t="s">
        <v>11650</v>
      </c>
      <c r="V4717" t="s">
        <v>11650</v>
      </c>
      <c r="W4717" t="s">
        <v>16312</v>
      </c>
      <c r="X4717">
        <v>3</v>
      </c>
      <c r="Y4717" t="s">
        <v>21982</v>
      </c>
      <c r="Z4717" t="s">
        <v>27779</v>
      </c>
      <c r="AA4717">
        <v>0.99404950870441644</v>
      </c>
      <c r="AB4717" t="str">
        <f>HYPERLINK("Melting_Curves/meltCurve_Q99720_SIGMAR1.pdf", "Melting_Curves/meltCurve_Q99720_SIGMAR1.pdf")</f>
        <v>Melting_Curves/meltCurve_Q99720_SIGMAR1.pdf</v>
      </c>
    </row>
    <row r="4718" spans="1:28" x14ac:dyDescent="0.25">
      <c r="A4718" t="s">
        <v>4722</v>
      </c>
      <c r="B4718">
        <v>0.99996721820229495</v>
      </c>
      <c r="C4718">
        <v>1.0505877221489099</v>
      </c>
      <c r="D4718">
        <v>1.1227226220545701</v>
      </c>
      <c r="E4718">
        <v>1.3395811257102199</v>
      </c>
      <c r="F4718">
        <v>1.8724280417989601</v>
      </c>
      <c r="G4718">
        <v>2.2947454218099099</v>
      </c>
      <c r="H4718">
        <v>2.1951258078034401</v>
      </c>
      <c r="I4718">
        <v>2.4225193768735598</v>
      </c>
      <c r="J4718">
        <v>1.1580300536088599</v>
      </c>
      <c r="K4718">
        <v>1.29383610374606</v>
      </c>
      <c r="L4718">
        <v>1972.8057622379799</v>
      </c>
      <c r="M4718">
        <v>41.466724902878298</v>
      </c>
      <c r="O4718">
        <v>47.465388340332701</v>
      </c>
      <c r="P4718">
        <v>0.109202728804625</v>
      </c>
      <c r="Q4718">
        <v>1.5</v>
      </c>
      <c r="R4718">
        <v>0.19260857287183</v>
      </c>
      <c r="S4718" t="s">
        <v>10544</v>
      </c>
      <c r="T4718" t="s">
        <v>11650</v>
      </c>
      <c r="U4718" t="s">
        <v>11650</v>
      </c>
      <c r="V4718" t="s">
        <v>11650</v>
      </c>
      <c r="W4718" t="s">
        <v>16313</v>
      </c>
      <c r="X4718">
        <v>8</v>
      </c>
      <c r="Y4718" t="s">
        <v>21983</v>
      </c>
      <c r="Z4718" t="s">
        <v>27780</v>
      </c>
      <c r="AA4718">
        <v>1.37220493324051</v>
      </c>
      <c r="AB4718" t="str">
        <f>HYPERLINK("Melting_Curves/meltCurve_Q99729_3_HNRNPAB.pdf", "Melting_Curves/meltCurve_Q99729_3_HNRNPAB.pdf")</f>
        <v>Melting_Curves/meltCurve_Q99729_3_HNRNPAB.pdf</v>
      </c>
    </row>
    <row r="4719" spans="1:28" x14ac:dyDescent="0.25">
      <c r="A4719" t="s">
        <v>4723</v>
      </c>
      <c r="B4719">
        <v>0.99996721820229495</v>
      </c>
      <c r="C4719">
        <v>0.95004596765814897</v>
      </c>
      <c r="D4719">
        <v>1.0247448740482701</v>
      </c>
      <c r="E4719">
        <v>1.2334531362027701</v>
      </c>
      <c r="F4719">
        <v>0.90603214231493101</v>
      </c>
      <c r="G4719">
        <v>0.55574540158564201</v>
      </c>
      <c r="H4719">
        <v>0.34766517467440899</v>
      </c>
      <c r="I4719">
        <v>0.269597680067864</v>
      </c>
      <c r="J4719">
        <v>0.19929999584702801</v>
      </c>
      <c r="K4719">
        <v>0.16145972593848101</v>
      </c>
      <c r="L4719">
        <v>1737.97898559497</v>
      </c>
      <c r="M4719">
        <v>30.572822987351799</v>
      </c>
      <c r="N4719">
        <v>57.867963937115</v>
      </c>
      <c r="O4719">
        <v>56.605633579880802</v>
      </c>
      <c r="P4719">
        <v>-0.106884020280349</v>
      </c>
      <c r="Q4719">
        <v>0.20842101534729801</v>
      </c>
      <c r="R4719">
        <v>0.95061527437043902</v>
      </c>
      <c r="S4719" t="s">
        <v>10545</v>
      </c>
      <c r="T4719" t="s">
        <v>11650</v>
      </c>
      <c r="U4719" t="s">
        <v>11650</v>
      </c>
      <c r="V4719" t="s">
        <v>11650</v>
      </c>
      <c r="W4719" t="s">
        <v>16314</v>
      </c>
      <c r="X4719">
        <v>11</v>
      </c>
      <c r="Y4719" t="s">
        <v>21984</v>
      </c>
      <c r="Z4719" t="s">
        <v>27781</v>
      </c>
      <c r="AA4719">
        <v>0.65805102906463764</v>
      </c>
      <c r="AB4719" t="str">
        <f>HYPERLINK("Melting_Curves/meltCurve_Q99733_NAP1L4.pdf", "Melting_Curves/meltCurve_Q99733_NAP1L4.pdf")</f>
        <v>Melting_Curves/meltCurve_Q99733_NAP1L4.pdf</v>
      </c>
    </row>
    <row r="4720" spans="1:28" x14ac:dyDescent="0.25">
      <c r="A4720" t="s">
        <v>4724</v>
      </c>
      <c r="B4720">
        <v>0.99996721820229495</v>
      </c>
      <c r="C4720">
        <v>0.94007080920430397</v>
      </c>
      <c r="D4720">
        <v>0.89310926869307505</v>
      </c>
      <c r="E4720">
        <v>0.57355720650290698</v>
      </c>
      <c r="F4720">
        <v>0.43567251469291501</v>
      </c>
      <c r="G4720">
        <v>0.42242196315828101</v>
      </c>
      <c r="H4720">
        <v>0.29764124088438898</v>
      </c>
      <c r="I4720">
        <v>0.24591220270541</v>
      </c>
      <c r="J4720">
        <v>0.20803576872954099</v>
      </c>
      <c r="K4720">
        <v>0.17241530289613399</v>
      </c>
      <c r="L4720">
        <v>690.05787825901098</v>
      </c>
      <c r="M4720">
        <v>13.6469839979718</v>
      </c>
      <c r="N4720">
        <v>52.503762828270098</v>
      </c>
      <c r="O4720">
        <v>49.516185985251298</v>
      </c>
      <c r="P4720">
        <v>-5.5271768524955502E-2</v>
      </c>
      <c r="Q4720">
        <v>0.19793348241550501</v>
      </c>
      <c r="R4720">
        <v>0.97952813982534004</v>
      </c>
      <c r="S4720" t="s">
        <v>10546</v>
      </c>
      <c r="T4720" t="s">
        <v>11650</v>
      </c>
      <c r="U4720" t="s">
        <v>11650</v>
      </c>
      <c r="V4720" t="s">
        <v>11650</v>
      </c>
      <c r="W4720" t="s">
        <v>16315</v>
      </c>
      <c r="X4720">
        <v>19</v>
      </c>
      <c r="Y4720" t="s">
        <v>21985</v>
      </c>
      <c r="Z4720" t="s">
        <v>27782</v>
      </c>
      <c r="AA4720">
        <v>0.50237590799357323</v>
      </c>
      <c r="AB4720" t="str">
        <f>HYPERLINK("Melting_Curves/meltCurve_Q99747_NAPG.pdf", "Melting_Curves/meltCurve_Q99747_NAPG.pdf")</f>
        <v>Melting_Curves/meltCurve_Q99747_NAPG.pdf</v>
      </c>
    </row>
    <row r="4721" spans="1:28" x14ac:dyDescent="0.25">
      <c r="A4721" t="s">
        <v>4725</v>
      </c>
      <c r="B4721">
        <v>0.99996721820229495</v>
      </c>
      <c r="C4721">
        <v>0.90781488735549998</v>
      </c>
      <c r="D4721">
        <v>0.83352394547531306</v>
      </c>
      <c r="E4721">
        <v>0.72174554019361004</v>
      </c>
      <c r="F4721">
        <v>0.95659091437404598</v>
      </c>
      <c r="G4721">
        <v>1.0990885327561</v>
      </c>
      <c r="H4721">
        <v>0.91721436369975196</v>
      </c>
      <c r="I4721">
        <v>1.05089468790255</v>
      </c>
      <c r="J4721">
        <v>0.812166664065337</v>
      </c>
      <c r="K4721">
        <v>0.28347811873175799</v>
      </c>
      <c r="L4721">
        <v>15000</v>
      </c>
      <c r="M4721">
        <v>222.84547383592701</v>
      </c>
      <c r="N4721">
        <v>67.564770371274804</v>
      </c>
      <c r="O4721">
        <v>67.305795859414999</v>
      </c>
      <c r="P4721">
        <v>-0.59320412248495802</v>
      </c>
      <c r="Q4721">
        <v>0.28334060834959102</v>
      </c>
      <c r="R4721">
        <v>0.72067235243989602</v>
      </c>
      <c r="S4721" t="s">
        <v>10547</v>
      </c>
      <c r="T4721" t="s">
        <v>11650</v>
      </c>
      <c r="U4721" t="s">
        <v>11650</v>
      </c>
      <c r="V4721" t="s">
        <v>11650</v>
      </c>
      <c r="W4721" t="s">
        <v>16316</v>
      </c>
      <c r="X4721">
        <v>2</v>
      </c>
      <c r="Y4721" t="s">
        <v>21986</v>
      </c>
      <c r="Z4721" t="s">
        <v>27783</v>
      </c>
      <c r="AA4721">
        <v>0.93587365321761817</v>
      </c>
      <c r="AB4721" t="str">
        <f>HYPERLINK("Melting_Curves/meltCurve_Q99757_TXN2.pdf", "Melting_Curves/meltCurve_Q99757_TXN2.pdf")</f>
        <v>Melting_Curves/meltCurve_Q99757_TXN2.pdf</v>
      </c>
    </row>
    <row r="4722" spans="1:28" x14ac:dyDescent="0.25">
      <c r="A4722" t="s">
        <v>4726</v>
      </c>
      <c r="B4722">
        <v>0.99996721820229495</v>
      </c>
      <c r="C4722">
        <v>1.04588623167293</v>
      </c>
      <c r="D4722">
        <v>0.98422509793541701</v>
      </c>
      <c r="E4722">
        <v>0.91270429477744897</v>
      </c>
      <c r="F4722">
        <v>0.53644563646200505</v>
      </c>
      <c r="G4722">
        <v>0.42741754979794</v>
      </c>
      <c r="H4722">
        <v>0.26302858709457499</v>
      </c>
      <c r="I4722">
        <v>0.18278402303011199</v>
      </c>
      <c r="J4722">
        <v>0.14682010990981301</v>
      </c>
      <c r="K4722">
        <v>8.0195461546729199E-2</v>
      </c>
      <c r="L4722">
        <v>910.51128130376901</v>
      </c>
      <c r="M4722">
        <v>16.7466815187869</v>
      </c>
      <c r="N4722">
        <v>55.145397654594802</v>
      </c>
      <c r="O4722">
        <v>53.612140889690998</v>
      </c>
      <c r="P4722">
        <v>-6.9901100373653505E-2</v>
      </c>
      <c r="Q4722">
        <v>0.104944641142419</v>
      </c>
      <c r="R4722">
        <v>0.980037829487866</v>
      </c>
      <c r="S4722" t="s">
        <v>10548</v>
      </c>
      <c r="T4722" t="s">
        <v>11650</v>
      </c>
      <c r="U4722" t="s">
        <v>11650</v>
      </c>
      <c r="V4722" t="s">
        <v>11650</v>
      </c>
      <c r="W4722" t="s">
        <v>16317</v>
      </c>
      <c r="X4722">
        <v>6</v>
      </c>
      <c r="Y4722" t="s">
        <v>21987</v>
      </c>
      <c r="Z4722" t="s">
        <v>27784</v>
      </c>
      <c r="AA4722">
        <v>0.54932186775127789</v>
      </c>
      <c r="AB4722" t="str">
        <f>HYPERLINK("Melting_Curves/meltCurve_Q99766_ATP5S.pdf", "Melting_Curves/meltCurve_Q99766_ATP5S.pdf")</f>
        <v>Melting_Curves/meltCurve_Q99766_ATP5S.pdf</v>
      </c>
    </row>
    <row r="4723" spans="1:28" x14ac:dyDescent="0.25">
      <c r="A4723" t="s">
        <v>4727</v>
      </c>
      <c r="B4723">
        <v>0.99996721820229495</v>
      </c>
      <c r="C4723">
        <v>1.05140583677844</v>
      </c>
      <c r="D4723">
        <v>0.99417729287527401</v>
      </c>
      <c r="E4723">
        <v>0.76098001197528997</v>
      </c>
      <c r="F4723">
        <v>0.37862315263870699</v>
      </c>
      <c r="G4723">
        <v>0.30127130755572001</v>
      </c>
      <c r="H4723">
        <v>0.175230459473809</v>
      </c>
      <c r="I4723">
        <v>0.110860229600066</v>
      </c>
      <c r="J4723">
        <v>8.7165392260358396E-2</v>
      </c>
      <c r="K4723">
        <v>6.9092567505890698E-2</v>
      </c>
      <c r="L4723">
        <v>1182.6340580574399</v>
      </c>
      <c r="M4723">
        <v>22.7840089302974</v>
      </c>
      <c r="N4723">
        <v>52.473711127746498</v>
      </c>
      <c r="O4723">
        <v>51.511420731284304</v>
      </c>
      <c r="P4723">
        <v>-9.8506559728740603E-2</v>
      </c>
      <c r="Q4723">
        <v>0.109179767866226</v>
      </c>
      <c r="R4723">
        <v>0.98502382985607995</v>
      </c>
      <c r="S4723" t="s">
        <v>10549</v>
      </c>
      <c r="T4723" t="s">
        <v>11650</v>
      </c>
      <c r="U4723" t="s">
        <v>11650</v>
      </c>
      <c r="V4723" t="s">
        <v>11650</v>
      </c>
      <c r="W4723" t="s">
        <v>16318</v>
      </c>
      <c r="X4723">
        <v>19</v>
      </c>
      <c r="Y4723" t="s">
        <v>21988</v>
      </c>
      <c r="Z4723" t="s">
        <v>27785</v>
      </c>
      <c r="AA4723">
        <v>0.4724244515842001</v>
      </c>
      <c r="AB4723" t="str">
        <f>HYPERLINK("Melting_Curves/meltCurve_Q99797_MIPEP.pdf", "Melting_Curves/meltCurve_Q99797_MIPEP.pdf")</f>
        <v>Melting_Curves/meltCurve_Q99797_MIPEP.pdf</v>
      </c>
    </row>
    <row r="4724" spans="1:28" x14ac:dyDescent="0.25">
      <c r="A4724" t="s">
        <v>4728</v>
      </c>
      <c r="B4724">
        <v>0.99996721820229495</v>
      </c>
      <c r="C4724">
        <v>0.80684203914449104</v>
      </c>
      <c r="D4724">
        <v>1.02693423996043</v>
      </c>
      <c r="E4724">
        <v>1.2827171578018199</v>
      </c>
      <c r="F4724">
        <v>1.33876651781851</v>
      </c>
      <c r="G4724">
        <v>0.72573521728339896</v>
      </c>
      <c r="H4724">
        <v>0.253718141155718</v>
      </c>
      <c r="I4724">
        <v>0.17067623184837599</v>
      </c>
      <c r="J4724">
        <v>0.12381082793225601</v>
      </c>
      <c r="K4724">
        <v>9.15364103521418E-2</v>
      </c>
      <c r="L4724">
        <v>2840.5342309955399</v>
      </c>
      <c r="M4724">
        <v>48.881196681058803</v>
      </c>
      <c r="N4724">
        <v>58.488267895937703</v>
      </c>
      <c r="O4724">
        <v>58.0139852208981</v>
      </c>
      <c r="P4724">
        <v>-0.18216103239720099</v>
      </c>
      <c r="Q4724">
        <v>0.135219661949251</v>
      </c>
      <c r="R4724">
        <v>0.88583817391235797</v>
      </c>
      <c r="S4724" t="s">
        <v>10550</v>
      </c>
      <c r="T4724" t="s">
        <v>11650</v>
      </c>
      <c r="U4724" t="s">
        <v>11650</v>
      </c>
      <c r="V4724" t="s">
        <v>11650</v>
      </c>
      <c r="W4724" t="s">
        <v>16319</v>
      </c>
      <c r="X4724">
        <v>12</v>
      </c>
      <c r="Y4724" t="s">
        <v>21989</v>
      </c>
      <c r="Z4724" t="s">
        <v>27786</v>
      </c>
      <c r="AA4724">
        <v>0.65959391307855597</v>
      </c>
      <c r="AB4724" t="str">
        <f>HYPERLINK("Melting_Curves/meltCurve_Q99805_TM9SF2.pdf", "Melting_Curves/meltCurve_Q99805_TM9SF2.pdf")</f>
        <v>Melting_Curves/meltCurve_Q99805_TM9SF2.pdf</v>
      </c>
    </row>
    <row r="4725" spans="1:28" x14ac:dyDescent="0.25">
      <c r="A4725" t="s">
        <v>4729</v>
      </c>
      <c r="B4725">
        <v>0.99996721820229495</v>
      </c>
      <c r="C4725">
        <v>0.93840042840568705</v>
      </c>
      <c r="D4725">
        <v>1.2074406708168599</v>
      </c>
      <c r="E4725">
        <v>1.1998343153878099</v>
      </c>
      <c r="F4725">
        <v>1.59401437781243</v>
      </c>
      <c r="G4725">
        <v>1.5897864738111001</v>
      </c>
      <c r="H4725">
        <v>1.1794911768490901</v>
      </c>
      <c r="I4725">
        <v>0.80995341328393</v>
      </c>
      <c r="J4725">
        <v>0.44198623418842498</v>
      </c>
      <c r="K4725">
        <v>0.52823308361203603</v>
      </c>
      <c r="L4725">
        <v>15000</v>
      </c>
      <c r="M4725">
        <v>233.838930620474</v>
      </c>
      <c r="N4725">
        <v>65.125169914200001</v>
      </c>
      <c r="O4725">
        <v>64.142026623350205</v>
      </c>
      <c r="P4725">
        <v>-0.46928557241534702</v>
      </c>
      <c r="Q4725">
        <v>0.48509980907397598</v>
      </c>
      <c r="R4725">
        <v>0.39713680986240502</v>
      </c>
      <c r="S4725" t="s">
        <v>10551</v>
      </c>
      <c r="T4725" t="s">
        <v>11650</v>
      </c>
      <c r="U4725" t="s">
        <v>11650</v>
      </c>
      <c r="V4725" t="s">
        <v>11650</v>
      </c>
      <c r="W4725" t="s">
        <v>16320</v>
      </c>
      <c r="X4725">
        <v>1</v>
      </c>
      <c r="Y4725" t="s">
        <v>21990</v>
      </c>
      <c r="Z4725" t="s">
        <v>27787</v>
      </c>
      <c r="AA4725">
        <v>0.89960439394536806</v>
      </c>
      <c r="AB4725" t="str">
        <f>HYPERLINK("Melting_Curves/meltCurve_Q99808_SLC29A1.pdf", "Melting_Curves/meltCurve_Q99808_SLC29A1.pdf")</f>
        <v>Melting_Curves/meltCurve_Q99808_SLC29A1.pdf</v>
      </c>
    </row>
    <row r="4726" spans="1:28" x14ac:dyDescent="0.25">
      <c r="A4726" t="s">
        <v>4730</v>
      </c>
      <c r="B4726">
        <v>0.99996721820229495</v>
      </c>
      <c r="C4726">
        <v>0.960209831910526</v>
      </c>
      <c r="D4726">
        <v>0.98823604217479</v>
      </c>
      <c r="E4726">
        <v>1.2014391495338901</v>
      </c>
      <c r="F4726">
        <v>1.55096967876307</v>
      </c>
      <c r="G4726">
        <v>2.7633166231272601</v>
      </c>
      <c r="H4726">
        <v>2.1820916106297599</v>
      </c>
      <c r="I4726">
        <v>0.72037419677724801</v>
      </c>
      <c r="J4726">
        <v>0.136270585447929</v>
      </c>
      <c r="K4726">
        <v>0.101304790441193</v>
      </c>
      <c r="L4726">
        <v>15000</v>
      </c>
      <c r="M4726">
        <v>233.608677876662</v>
      </c>
      <c r="N4726">
        <v>64.284590258239405</v>
      </c>
      <c r="O4726">
        <v>64.205234148745802</v>
      </c>
      <c r="P4726">
        <v>-0.80159181125957402</v>
      </c>
      <c r="Q4726">
        <v>0.118758889420957</v>
      </c>
      <c r="R4726">
        <v>0.220637250994309</v>
      </c>
      <c r="S4726" t="s">
        <v>10552</v>
      </c>
      <c r="T4726" t="s">
        <v>11650</v>
      </c>
      <c r="U4726" t="s">
        <v>11650</v>
      </c>
      <c r="V4726" t="s">
        <v>11650</v>
      </c>
      <c r="W4726" t="s">
        <v>16321</v>
      </c>
      <c r="X4726">
        <v>33</v>
      </c>
      <c r="Y4726" t="s">
        <v>21991</v>
      </c>
      <c r="Z4726" t="s">
        <v>27788</v>
      </c>
      <c r="AA4726">
        <v>0.83003253795533161</v>
      </c>
      <c r="AB4726" t="str">
        <f>HYPERLINK("Melting_Curves/meltCurve_Q99832_CCT7.pdf", "Melting_Curves/meltCurve_Q99832_CCT7.pdf")</f>
        <v>Melting_Curves/meltCurve_Q99832_CCT7.pdf</v>
      </c>
    </row>
    <row r="4727" spans="1:28" x14ac:dyDescent="0.25">
      <c r="A4727" t="s">
        <v>4731</v>
      </c>
      <c r="B4727">
        <v>0.99996721820229495</v>
      </c>
      <c r="C4727">
        <v>1.03887473336375</v>
      </c>
      <c r="D4727">
        <v>1.40117150702106</v>
      </c>
      <c r="E4727">
        <v>1.9712234557942301</v>
      </c>
      <c r="F4727">
        <v>2.7997637567751799</v>
      </c>
      <c r="G4727">
        <v>5.8973090866832703</v>
      </c>
      <c r="H4727">
        <v>4.8592998216953696</v>
      </c>
      <c r="I4727">
        <v>0.98929253927969196</v>
      </c>
      <c r="J4727">
        <v>0.39109917512237702</v>
      </c>
      <c r="K4727">
        <v>0.249071698100997</v>
      </c>
      <c r="L4727">
        <v>9358.9855506869608</v>
      </c>
      <c r="M4727">
        <v>141.14055954664801</v>
      </c>
      <c r="N4727">
        <v>66.634503503005305</v>
      </c>
      <c r="O4727">
        <v>66.296374227050705</v>
      </c>
      <c r="P4727">
        <v>-0.399859554843565</v>
      </c>
      <c r="Q4727">
        <v>0.24871384370500499</v>
      </c>
      <c r="R4727">
        <v>-0.312657686627969</v>
      </c>
      <c r="S4727" t="s">
        <v>10553</v>
      </c>
      <c r="T4727" t="s">
        <v>11650</v>
      </c>
      <c r="U4727" t="s">
        <v>11650</v>
      </c>
      <c r="V4727" t="s">
        <v>11650</v>
      </c>
      <c r="W4727" t="s">
        <v>16322</v>
      </c>
      <c r="X4727">
        <v>33</v>
      </c>
      <c r="Y4727" t="s">
        <v>21991</v>
      </c>
      <c r="Z4727" t="s">
        <v>27789</v>
      </c>
      <c r="AA4727">
        <v>0.90785045066828907</v>
      </c>
      <c r="AB4727" t="str">
        <f>HYPERLINK("Melting_Curves/meltCurve_Q99832_3_CCT7.pdf", "Melting_Curves/meltCurve_Q99832_3_CCT7.pdf")</f>
        <v>Melting_Curves/meltCurve_Q99832_3_CCT7.pdf</v>
      </c>
    </row>
    <row r="4728" spans="1:28" x14ac:dyDescent="0.25">
      <c r="A4728" t="s">
        <v>4732</v>
      </c>
      <c r="B4728">
        <v>0.99996721820229495</v>
      </c>
      <c r="C4728">
        <v>0.51706875922256401</v>
      </c>
      <c r="D4728">
        <v>0.27251152729600597</v>
      </c>
      <c r="E4728">
        <v>0.35326597080408401</v>
      </c>
      <c r="F4728">
        <v>0.201775326006113</v>
      </c>
      <c r="G4728">
        <v>0.28427943944732798</v>
      </c>
      <c r="H4728">
        <v>0.25650003261561499</v>
      </c>
      <c r="I4728">
        <v>0.266746987196879</v>
      </c>
      <c r="J4728">
        <v>9.8415659966791399E-2</v>
      </c>
      <c r="K4728">
        <v>0.10479268049196</v>
      </c>
      <c r="L4728">
        <v>2491.2742575759098</v>
      </c>
      <c r="M4728">
        <v>58.565843225380199</v>
      </c>
      <c r="N4728">
        <v>42.985743120986001</v>
      </c>
      <c r="O4728">
        <v>42.488495901357503</v>
      </c>
      <c r="P4728">
        <v>-0.26591814370726002</v>
      </c>
      <c r="Q4728">
        <v>0.228324485035308</v>
      </c>
      <c r="R4728">
        <v>0.91061728341720805</v>
      </c>
      <c r="S4728" t="s">
        <v>10554</v>
      </c>
      <c r="T4728" t="s">
        <v>11650</v>
      </c>
      <c r="U4728" t="s">
        <v>11650</v>
      </c>
      <c r="V4728" t="s">
        <v>11650</v>
      </c>
      <c r="W4728" t="s">
        <v>16323</v>
      </c>
      <c r="X4728">
        <v>1</v>
      </c>
      <c r="Y4728" t="s">
        <v>21992</v>
      </c>
      <c r="Z4728" t="s">
        <v>27790</v>
      </c>
      <c r="AA4728">
        <v>0.29504706663869679</v>
      </c>
      <c r="AB4728" t="str">
        <f>HYPERLINK("Melting_Curves/meltCurve_Q99856_ARID3A.pdf", "Melting_Curves/meltCurve_Q99856_ARID3A.pdf")</f>
        <v>Melting_Curves/meltCurve_Q99856_ARID3A.pdf</v>
      </c>
    </row>
    <row r="4729" spans="1:28" x14ac:dyDescent="0.25">
      <c r="A4729" t="s">
        <v>4733</v>
      </c>
      <c r="B4729">
        <v>0.99996721820229495</v>
      </c>
      <c r="C4729">
        <v>1.0677467862446</v>
      </c>
      <c r="D4729">
        <v>1.03098101278425</v>
      </c>
      <c r="E4729">
        <v>1.0877817769526299</v>
      </c>
      <c r="F4729">
        <v>1.6627599524907</v>
      </c>
      <c r="G4729">
        <v>2.1568732119944301</v>
      </c>
      <c r="H4729">
        <v>1.6454632936537901</v>
      </c>
      <c r="I4729">
        <v>1.9117280221122499</v>
      </c>
      <c r="J4729">
        <v>1.93377982156548</v>
      </c>
      <c r="K4729">
        <v>1.10765055239775</v>
      </c>
      <c r="L4729">
        <v>12577.3326930168</v>
      </c>
      <c r="M4729">
        <v>250</v>
      </c>
      <c r="O4729">
        <v>50.306135955470701</v>
      </c>
      <c r="P4729">
        <v>0.62119689052893501</v>
      </c>
      <c r="Q4729">
        <v>1.5</v>
      </c>
      <c r="R4729">
        <v>0.44708363622286901</v>
      </c>
      <c r="S4729" t="s">
        <v>10555</v>
      </c>
      <c r="T4729" t="s">
        <v>11650</v>
      </c>
      <c r="U4729" t="s">
        <v>11650</v>
      </c>
      <c r="V4729" t="s">
        <v>11650</v>
      </c>
      <c r="W4729" t="s">
        <v>16324</v>
      </c>
      <c r="X4729">
        <v>6</v>
      </c>
      <c r="Y4729" t="s">
        <v>21993</v>
      </c>
      <c r="Z4729" t="s">
        <v>27791</v>
      </c>
      <c r="AA4729">
        <v>1.3281336744192871</v>
      </c>
      <c r="AB4729" t="str">
        <f>HYPERLINK("Melting_Curves/meltCurve_Q99952_2_PTPN18.pdf", "Melting_Curves/meltCurve_Q99952_2_PTPN18.pdf")</f>
        <v>Melting_Curves/meltCurve_Q99952_2_PTPN18.pdf</v>
      </c>
    </row>
    <row r="4730" spans="1:28" x14ac:dyDescent="0.25">
      <c r="A4730" t="s">
        <v>4734</v>
      </c>
      <c r="B4730">
        <v>0.99996721820229495</v>
      </c>
      <c r="C4730">
        <v>1.0228524836111601</v>
      </c>
      <c r="D4730">
        <v>0.96210793142975803</v>
      </c>
      <c r="E4730">
        <v>0.55813814084979396</v>
      </c>
      <c r="F4730">
        <v>0.340396145398702</v>
      </c>
      <c r="G4730">
        <v>0.288117356646865</v>
      </c>
      <c r="H4730">
        <v>0.180793003979134</v>
      </c>
      <c r="I4730">
        <v>0.13776817194678101</v>
      </c>
      <c r="J4730">
        <v>0.120409503994672</v>
      </c>
      <c r="K4730">
        <v>0.103376692042143</v>
      </c>
      <c r="L4730">
        <v>1147.60206089453</v>
      </c>
      <c r="M4730">
        <v>22.8305239933952</v>
      </c>
      <c r="N4730">
        <v>51.035300696839997</v>
      </c>
      <c r="O4730">
        <v>49.885242609986001</v>
      </c>
      <c r="P4730">
        <v>-9.7762030382058093E-2</v>
      </c>
      <c r="Q4730">
        <v>0.145566934858509</v>
      </c>
      <c r="R4730">
        <v>0.98706741237332096</v>
      </c>
      <c r="S4730" t="s">
        <v>10556</v>
      </c>
      <c r="T4730" t="s">
        <v>11650</v>
      </c>
      <c r="U4730" t="s">
        <v>11650</v>
      </c>
      <c r="V4730" t="s">
        <v>11650</v>
      </c>
      <c r="W4730" t="s">
        <v>16325</v>
      </c>
      <c r="X4730">
        <v>27</v>
      </c>
      <c r="Y4730" t="s">
        <v>21994</v>
      </c>
      <c r="Z4730" t="s">
        <v>27792</v>
      </c>
      <c r="AA4730">
        <v>0.44713098589489242</v>
      </c>
      <c r="AB4730" t="str">
        <f>HYPERLINK("Melting_Curves/meltCurve_Q99961_SH3GL1.pdf", "Melting_Curves/meltCurve_Q99961_SH3GL1.pdf")</f>
        <v>Melting_Curves/meltCurve_Q99961_SH3GL1.pdf</v>
      </c>
    </row>
    <row r="4731" spans="1:28" x14ac:dyDescent="0.25">
      <c r="A4731" t="s">
        <v>4735</v>
      </c>
      <c r="B4731">
        <v>0.99996721820229495</v>
      </c>
      <c r="C4731">
        <v>0.97331517696282299</v>
      </c>
      <c r="D4731">
        <v>0.57375650098002495</v>
      </c>
      <c r="E4731">
        <v>0.99705389709249503</v>
      </c>
      <c r="F4731">
        <v>1.5099161237784899</v>
      </c>
      <c r="G4731">
        <v>1.2015267604826101</v>
      </c>
      <c r="H4731">
        <v>0.67393928467758701</v>
      </c>
      <c r="I4731">
        <v>0.34679268817780101</v>
      </c>
      <c r="J4731">
        <v>0.34019408420978597</v>
      </c>
      <c r="K4731">
        <v>0.63562019151428595</v>
      </c>
      <c r="L4731">
        <v>15000</v>
      </c>
      <c r="M4731">
        <v>246.23740020923199</v>
      </c>
      <c r="N4731">
        <v>61.449563667238799</v>
      </c>
      <c r="O4731">
        <v>60.9128042504164</v>
      </c>
      <c r="P4731">
        <v>-0.56506636226543505</v>
      </c>
      <c r="Q4731">
        <v>0.44086842036151402</v>
      </c>
      <c r="R4731">
        <v>0.577712265206066</v>
      </c>
      <c r="S4731" t="s">
        <v>10557</v>
      </c>
      <c r="T4731" t="s">
        <v>11650</v>
      </c>
      <c r="U4731" t="s">
        <v>11650</v>
      </c>
      <c r="V4731" t="s">
        <v>11650</v>
      </c>
      <c r="W4731" t="s">
        <v>16326</v>
      </c>
      <c r="X4731">
        <v>1</v>
      </c>
      <c r="Y4731" t="s">
        <v>21995</v>
      </c>
      <c r="Z4731" t="s">
        <v>27793</v>
      </c>
      <c r="AA4731">
        <v>0.83077190395063438</v>
      </c>
      <c r="AB4731" t="str">
        <f>HYPERLINK("Melting_Curves/meltCurve_Q99969_RARRES2.pdf", "Melting_Curves/meltCurve_Q99969_RARRES2.pdf")</f>
        <v>Melting_Curves/meltCurve_Q99969_RARRES2.pdf</v>
      </c>
    </row>
    <row r="4732" spans="1:28" x14ac:dyDescent="0.25">
      <c r="A4732" t="s">
        <v>4736</v>
      </c>
      <c r="B4732">
        <v>0.99996721820229495</v>
      </c>
      <c r="C4732">
        <v>0.63368016260265103</v>
      </c>
      <c r="D4732">
        <v>0.46514252082712099</v>
      </c>
      <c r="E4732">
        <v>0.77796234652490204</v>
      </c>
      <c r="F4732">
        <v>0.54512107467909099</v>
      </c>
      <c r="G4732">
        <v>0.19761866264553499</v>
      </c>
      <c r="H4732">
        <v>0.112955310036678</v>
      </c>
      <c r="I4732">
        <v>4.6265963882114902E-2</v>
      </c>
      <c r="J4732">
        <v>3.3418147662711603E-2</v>
      </c>
      <c r="K4732">
        <v>2.9377803581328198E-2</v>
      </c>
      <c r="L4732">
        <v>427.57585562140002</v>
      </c>
      <c r="M4732">
        <v>8.5385588138574402</v>
      </c>
      <c r="N4732">
        <v>50.075875785815398</v>
      </c>
      <c r="O4732">
        <v>47.555924424529003</v>
      </c>
      <c r="P4732">
        <v>-4.49266980666546E-2</v>
      </c>
      <c r="Q4732">
        <v>0</v>
      </c>
      <c r="R4732">
        <v>0.80705150709379803</v>
      </c>
      <c r="S4732" t="s">
        <v>10558</v>
      </c>
      <c r="T4732" t="s">
        <v>11650</v>
      </c>
      <c r="U4732" t="s">
        <v>11650</v>
      </c>
      <c r="V4732" t="s">
        <v>11650</v>
      </c>
      <c r="W4732" t="s">
        <v>16327</v>
      </c>
      <c r="X4732">
        <v>4</v>
      </c>
      <c r="Y4732" t="s">
        <v>21996</v>
      </c>
      <c r="Z4732" t="s">
        <v>27794</v>
      </c>
      <c r="AA4732">
        <v>0.39076411581469822</v>
      </c>
      <c r="AB4732" t="str">
        <f>HYPERLINK("Melting_Curves/meltCurve_Q99972_MYOC.pdf", "Melting_Curves/meltCurve_Q99972_MYOC.pdf")</f>
        <v>Melting_Curves/meltCurve_Q99972_MYOC.pdf</v>
      </c>
    </row>
    <row r="4733" spans="1:28" x14ac:dyDescent="0.25">
      <c r="A4733" t="s">
        <v>4737</v>
      </c>
      <c r="B4733">
        <v>0.99996721820229495</v>
      </c>
      <c r="C4733">
        <v>0.86110495053402403</v>
      </c>
      <c r="D4733">
        <v>1.3081869176705101</v>
      </c>
      <c r="E4733">
        <v>2.4131161271972901</v>
      </c>
      <c r="F4733">
        <v>2.8955599613704401</v>
      </c>
      <c r="G4733">
        <v>5.9683038749075799</v>
      </c>
      <c r="H4733">
        <v>3.9620305770397501</v>
      </c>
      <c r="I4733">
        <v>0.86451867677562899</v>
      </c>
      <c r="J4733">
        <v>0.32290660214058697</v>
      </c>
      <c r="K4733">
        <v>0.50875540824548404</v>
      </c>
      <c r="L4733">
        <v>15000</v>
      </c>
      <c r="M4733">
        <v>233.17744970059499</v>
      </c>
      <c r="N4733">
        <v>64.823970413643295</v>
      </c>
      <c r="O4733">
        <v>64.323958536564007</v>
      </c>
      <c r="P4733">
        <v>-0.52942679052909802</v>
      </c>
      <c r="Q4733">
        <v>0.41581268794360599</v>
      </c>
      <c r="R4733">
        <v>-0.32049578461523198</v>
      </c>
      <c r="S4733" t="s">
        <v>10559</v>
      </c>
      <c r="T4733" t="s">
        <v>11650</v>
      </c>
      <c r="U4733" t="s">
        <v>11650</v>
      </c>
      <c r="V4733" t="s">
        <v>11650</v>
      </c>
      <c r="W4733" t="s">
        <v>16328</v>
      </c>
      <c r="X4733">
        <v>6</v>
      </c>
      <c r="Y4733" t="s">
        <v>21997</v>
      </c>
      <c r="Z4733" t="s">
        <v>27795</v>
      </c>
      <c r="AA4733">
        <v>0.88963891310390342</v>
      </c>
      <c r="AB4733" t="str">
        <f>HYPERLINK("Melting_Curves/meltCurve_Q99996_5_AKAP9.pdf", "Melting_Curves/meltCurve_Q99996_5_AKAP9.pdf")</f>
        <v>Melting_Curves/meltCurve_Q99996_5_AKAP9.pdf</v>
      </c>
    </row>
    <row r="4734" spans="1:28" x14ac:dyDescent="0.25">
      <c r="A4734" t="s">
        <v>4738</v>
      </c>
      <c r="B4734">
        <v>0.99996721820229495</v>
      </c>
      <c r="C4734">
        <v>0.903604229082968</v>
      </c>
      <c r="D4734">
        <v>1.02972006548063</v>
      </c>
      <c r="E4734">
        <v>1.2558622249001701</v>
      </c>
      <c r="F4734">
        <v>1.14004922350598</v>
      </c>
      <c r="G4734">
        <v>0.43664921789675998</v>
      </c>
      <c r="H4734">
        <v>0.20737684041528401</v>
      </c>
      <c r="I4734">
        <v>0.115949697354082</v>
      </c>
      <c r="J4734">
        <v>7.1338355057021893E-2</v>
      </c>
      <c r="K4734">
        <v>7.4763776393511006E-2</v>
      </c>
      <c r="L4734">
        <v>9895.1917648320195</v>
      </c>
      <c r="M4734">
        <v>174.167621727213</v>
      </c>
      <c r="N4734">
        <v>56.901556074669898</v>
      </c>
      <c r="O4734">
        <v>56.806691582939202</v>
      </c>
      <c r="P4734">
        <v>-0.67654078063137701</v>
      </c>
      <c r="Q4734">
        <v>0.117354965902423</v>
      </c>
      <c r="R4734">
        <v>0.94947585067026596</v>
      </c>
      <c r="S4734" t="s">
        <v>10560</v>
      </c>
      <c r="T4734" t="s">
        <v>11650</v>
      </c>
      <c r="U4734" t="s">
        <v>11650</v>
      </c>
      <c r="V4734" t="s">
        <v>11650</v>
      </c>
      <c r="W4734" t="s">
        <v>16329</v>
      </c>
      <c r="X4734">
        <v>11</v>
      </c>
      <c r="Y4734" t="s">
        <v>21998</v>
      </c>
      <c r="Z4734" t="s">
        <v>27796</v>
      </c>
      <c r="AA4734">
        <v>0.61223494587911476</v>
      </c>
      <c r="AB4734" t="str">
        <f>HYPERLINK("Melting_Curves/meltCurve_Q9BPW8_NIPSNAP1.pdf", "Melting_Curves/meltCurve_Q9BPW8_NIPSNAP1.pdf")</f>
        <v>Melting_Curves/meltCurve_Q9BPW8_NIPSNAP1.pdf</v>
      </c>
    </row>
    <row r="4735" spans="1:28" x14ac:dyDescent="0.25">
      <c r="A4735" t="s">
        <v>4739</v>
      </c>
      <c r="B4735">
        <v>0.99996721820229495</v>
      </c>
      <c r="C4735">
        <v>0.950822196588192</v>
      </c>
      <c r="D4735">
        <v>1.04085761445661</v>
      </c>
      <c r="E4735">
        <v>1.7195467486388301</v>
      </c>
      <c r="F4735">
        <v>1.85541121865332</v>
      </c>
      <c r="G4735">
        <v>2.25922461805962</v>
      </c>
      <c r="H4735">
        <v>1.84499394371954</v>
      </c>
      <c r="I4735">
        <v>1.24718611691304</v>
      </c>
      <c r="J4735">
        <v>0.65215213703060004</v>
      </c>
      <c r="K4735">
        <v>0.53702580356461005</v>
      </c>
      <c r="L4735">
        <v>15000</v>
      </c>
      <c r="M4735">
        <v>224.984425876149</v>
      </c>
      <c r="O4735">
        <v>66.666015339849693</v>
      </c>
      <c r="P4735">
        <v>-0.390672600102067</v>
      </c>
      <c r="Q4735">
        <v>0.53695310710993305</v>
      </c>
      <c r="R4735">
        <v>-0.21115733825717301</v>
      </c>
      <c r="S4735" t="s">
        <v>10561</v>
      </c>
      <c r="T4735" t="s">
        <v>11650</v>
      </c>
      <c r="U4735" t="s">
        <v>11650</v>
      </c>
      <c r="V4735" t="s">
        <v>11650</v>
      </c>
      <c r="W4735" t="s">
        <v>16330</v>
      </c>
      <c r="X4735">
        <v>6</v>
      </c>
      <c r="Y4735" t="s">
        <v>21999</v>
      </c>
      <c r="Z4735" t="s">
        <v>27797</v>
      </c>
      <c r="AA4735">
        <v>0.94868836177448113</v>
      </c>
      <c r="AB4735" t="str">
        <f>HYPERLINK("Melting_Curves/meltCurve_Q9BPX5_ARPC5L.pdf", "Melting_Curves/meltCurve_Q9BPX5_ARPC5L.pdf")</f>
        <v>Melting_Curves/meltCurve_Q9BPX5_ARPC5L.pdf</v>
      </c>
    </row>
    <row r="4736" spans="1:28" x14ac:dyDescent="0.25">
      <c r="A4736" t="s">
        <v>4740</v>
      </c>
      <c r="B4736">
        <v>0.99996721820229495</v>
      </c>
      <c r="C4736">
        <v>0.96673452776440205</v>
      </c>
      <c r="D4736">
        <v>0.809936946229597</v>
      </c>
      <c r="E4736">
        <v>0.50740907052794004</v>
      </c>
      <c r="F4736">
        <v>0.40093417462555597</v>
      </c>
      <c r="G4736">
        <v>0.35116545400771598</v>
      </c>
      <c r="H4736">
        <v>0.26482917457089999</v>
      </c>
      <c r="I4736">
        <v>0.159826201353267</v>
      </c>
      <c r="J4736">
        <v>9.3191300387391304E-2</v>
      </c>
      <c r="K4736">
        <v>9.4218967889024396E-2</v>
      </c>
      <c r="L4736">
        <v>617.44188064650302</v>
      </c>
      <c r="M4736">
        <v>12.203854467938299</v>
      </c>
      <c r="N4736">
        <v>51.502470750841397</v>
      </c>
      <c r="O4736">
        <v>49.293038098562</v>
      </c>
      <c r="P4736">
        <v>-5.5913387767894597E-2</v>
      </c>
      <c r="Q4736">
        <v>9.6836858910236301E-2</v>
      </c>
      <c r="R4736">
        <v>0.97804098752477897</v>
      </c>
      <c r="S4736" t="s">
        <v>10562</v>
      </c>
      <c r="T4736" t="s">
        <v>11650</v>
      </c>
      <c r="U4736" t="s">
        <v>11650</v>
      </c>
      <c r="V4736" t="s">
        <v>11650</v>
      </c>
      <c r="W4736" t="s">
        <v>16331</v>
      </c>
      <c r="X4736">
        <v>5</v>
      </c>
      <c r="Y4736" t="s">
        <v>22000</v>
      </c>
      <c r="Z4736" t="s">
        <v>27798</v>
      </c>
      <c r="AA4736">
        <v>0.44520868892816362</v>
      </c>
      <c r="AB4736" t="str">
        <f>HYPERLINK("Melting_Curves/meltCurve_Q9BPX7_C7orf25.pdf", "Melting_Curves/meltCurve_Q9BPX7_C7orf25.pdf")</f>
        <v>Melting_Curves/meltCurve_Q9BPX7_C7orf25.pdf</v>
      </c>
    </row>
    <row r="4737" spans="1:28" x14ac:dyDescent="0.25">
      <c r="A4737" t="s">
        <v>4741</v>
      </c>
      <c r="B4737">
        <v>0.99996721820229495</v>
      </c>
      <c r="C4737">
        <v>1.03344353162882</v>
      </c>
      <c r="D4737">
        <v>0.90019786937509205</v>
      </c>
      <c r="E4737">
        <v>0.64153507935575205</v>
      </c>
      <c r="F4737">
        <v>0.36142457590348998</v>
      </c>
      <c r="G4737">
        <v>0.31475934184256699</v>
      </c>
      <c r="H4737">
        <v>0.18316534745828</v>
      </c>
      <c r="I4737">
        <v>0.119936282562489</v>
      </c>
      <c r="J4737">
        <v>9.3982308023007402E-2</v>
      </c>
      <c r="K4737">
        <v>6.2824604983353696E-2</v>
      </c>
      <c r="L4737">
        <v>859.88372614790603</v>
      </c>
      <c r="M4737">
        <v>16.7630958613667</v>
      </c>
      <c r="N4737">
        <v>51.929844674400101</v>
      </c>
      <c r="O4737">
        <v>50.582907906317899</v>
      </c>
      <c r="P4737">
        <v>-7.5192261931358903E-2</v>
      </c>
      <c r="Q4737">
        <v>9.2483891696333198E-2</v>
      </c>
      <c r="R4737">
        <v>0.98666347359804196</v>
      </c>
      <c r="S4737" t="s">
        <v>10563</v>
      </c>
      <c r="T4737" t="s">
        <v>11650</v>
      </c>
      <c r="U4737" t="s">
        <v>11650</v>
      </c>
      <c r="V4737" t="s">
        <v>11650</v>
      </c>
      <c r="W4737" t="s">
        <v>16332</v>
      </c>
      <c r="X4737">
        <v>8</v>
      </c>
      <c r="Y4737" t="s">
        <v>22001</v>
      </c>
      <c r="Z4737" t="s">
        <v>27799</v>
      </c>
      <c r="AA4737">
        <v>0.45145679085463941</v>
      </c>
      <c r="AB4737" t="str">
        <f>HYPERLINK("Melting_Curves/meltCurve_Q9BQ24_ZFYVE21.pdf", "Melting_Curves/meltCurve_Q9BQ24_ZFYVE21.pdf")</f>
        <v>Melting_Curves/meltCurve_Q9BQ24_ZFYVE21.pdf</v>
      </c>
    </row>
    <row r="4738" spans="1:28" x14ac:dyDescent="0.25">
      <c r="A4738" t="s">
        <v>4742</v>
      </c>
      <c r="B4738">
        <v>0.99996721820229495</v>
      </c>
      <c r="C4738">
        <v>0.83272467850198695</v>
      </c>
      <c r="D4738">
        <v>0.95747853074952005</v>
      </c>
      <c r="E4738">
        <v>1.02926550580131</v>
      </c>
      <c r="F4738">
        <v>1.3721748248610199</v>
      </c>
      <c r="G4738">
        <v>1.43101299451206</v>
      </c>
      <c r="H4738">
        <v>0.90571404442961001</v>
      </c>
      <c r="I4738">
        <v>0.647476430169032</v>
      </c>
      <c r="J4738">
        <v>0.392748911803109</v>
      </c>
      <c r="K4738">
        <v>0.28890770093460399</v>
      </c>
      <c r="L4738">
        <v>2941.2947042579299</v>
      </c>
      <c r="M4738">
        <v>45.925062500334199</v>
      </c>
      <c r="N4738">
        <v>65.278774172086599</v>
      </c>
      <c r="O4738">
        <v>63.924443758717999</v>
      </c>
      <c r="P4738">
        <v>-0.12751663222190601</v>
      </c>
      <c r="Q4738">
        <v>0.29002427611392501</v>
      </c>
      <c r="R4738">
        <v>0.70895868248923999</v>
      </c>
      <c r="S4738" t="s">
        <v>10564</v>
      </c>
      <c r="T4738" t="s">
        <v>11650</v>
      </c>
      <c r="U4738" t="s">
        <v>11650</v>
      </c>
      <c r="V4738" t="s">
        <v>11650</v>
      </c>
      <c r="W4738" t="s">
        <v>16333</v>
      </c>
      <c r="X4738">
        <v>3</v>
      </c>
      <c r="Y4738" t="s">
        <v>22002</v>
      </c>
      <c r="Z4738" t="s">
        <v>27800</v>
      </c>
      <c r="AA4738">
        <v>0.8606366907963614</v>
      </c>
      <c r="AB4738" t="str">
        <f>HYPERLINK("Melting_Curves/meltCurve_Q9BQ51_PDCD1LG2.pdf", "Melting_Curves/meltCurve_Q9BQ51_PDCD1LG2.pdf")</f>
        <v>Melting_Curves/meltCurve_Q9BQ51_PDCD1LG2.pdf</v>
      </c>
    </row>
    <row r="4739" spans="1:28" x14ac:dyDescent="0.25">
      <c r="A4739" t="s">
        <v>4743</v>
      </c>
      <c r="B4739">
        <v>0.99996721820229495</v>
      </c>
      <c r="C4739">
        <v>0.95341986586982697</v>
      </c>
      <c r="D4739">
        <v>1.0461360176932599</v>
      </c>
      <c r="E4739">
        <v>1.26133687335703</v>
      </c>
      <c r="F4739">
        <v>1.7717518663754399</v>
      </c>
      <c r="G4739">
        <v>1.9967656246983001</v>
      </c>
      <c r="H4739">
        <v>1.29699220995466</v>
      </c>
      <c r="I4739">
        <v>0.62644419259198103</v>
      </c>
      <c r="J4739">
        <v>0.21037183045604799</v>
      </c>
      <c r="K4739">
        <v>0.140181730420496</v>
      </c>
      <c r="L4739">
        <v>15000</v>
      </c>
      <c r="M4739">
        <v>234.186121348016</v>
      </c>
      <c r="N4739">
        <v>64.169891389645102</v>
      </c>
      <c r="O4739">
        <v>64.046943856243402</v>
      </c>
      <c r="P4739">
        <v>-0.75391021849909801</v>
      </c>
      <c r="Q4739">
        <v>0.17526030235901899</v>
      </c>
      <c r="R4739">
        <v>0.45964763494182598</v>
      </c>
      <c r="S4739" t="s">
        <v>10565</v>
      </c>
      <c r="T4739" t="s">
        <v>11650</v>
      </c>
      <c r="U4739" t="s">
        <v>11650</v>
      </c>
      <c r="V4739" t="s">
        <v>11650</v>
      </c>
      <c r="W4739" t="s">
        <v>16334</v>
      </c>
      <c r="X4739">
        <v>18</v>
      </c>
      <c r="Y4739" t="s">
        <v>22003</v>
      </c>
      <c r="Z4739" t="s">
        <v>27801</v>
      </c>
      <c r="AA4739">
        <v>0.83657676460618446</v>
      </c>
      <c r="AB4739" t="str">
        <f>HYPERLINK("Melting_Curves/meltCurve_Q9BQ52_4_ELAC2.pdf", "Melting_Curves/meltCurve_Q9BQ52_4_ELAC2.pdf")</f>
        <v>Melting_Curves/meltCurve_Q9BQ52_4_ELAC2.pdf</v>
      </c>
    </row>
    <row r="4740" spans="1:28" x14ac:dyDescent="0.25">
      <c r="A4740" t="s">
        <v>4744</v>
      </c>
      <c r="B4740">
        <v>0.99996721820229495</v>
      </c>
      <c r="C4740">
        <v>0.83816816467202304</v>
      </c>
      <c r="D4740">
        <v>0.73801350216266504</v>
      </c>
      <c r="E4740">
        <v>1.0998149633510601</v>
      </c>
      <c r="F4740">
        <v>1.2682503340047699</v>
      </c>
      <c r="G4740">
        <v>1.1718167298276301</v>
      </c>
      <c r="H4740">
        <v>1.1618655168098999</v>
      </c>
      <c r="I4740">
        <v>1.19951832397584</v>
      </c>
      <c r="J4740">
        <v>1.11604434529192</v>
      </c>
      <c r="K4740">
        <v>1.1731798617520299</v>
      </c>
      <c r="L4740">
        <v>12490.148014333799</v>
      </c>
      <c r="M4740">
        <v>250</v>
      </c>
      <c r="O4740">
        <v>49.957405378978201</v>
      </c>
      <c r="P4740">
        <v>0.22741775424963601</v>
      </c>
      <c r="Q4740">
        <v>1.1817791768519399</v>
      </c>
      <c r="R4740">
        <v>0.58161219929156605</v>
      </c>
      <c r="S4740" t="s">
        <v>10566</v>
      </c>
      <c r="T4740" t="s">
        <v>11650</v>
      </c>
      <c r="U4740" t="s">
        <v>11650</v>
      </c>
      <c r="V4740" t="s">
        <v>11650</v>
      </c>
      <c r="W4740" t="s">
        <v>16335</v>
      </c>
      <c r="X4740">
        <v>11</v>
      </c>
      <c r="Y4740" t="s">
        <v>22004</v>
      </c>
      <c r="Z4740" t="s">
        <v>27802</v>
      </c>
      <c r="AA4740">
        <v>1.121408964271188</v>
      </c>
      <c r="AB4740" t="str">
        <f>HYPERLINK("Melting_Curves/meltCurve_Q9BQ61_C19orf43.pdf", "Melting_Curves/meltCurve_Q9BQ61_C19orf43.pdf")</f>
        <v>Melting_Curves/meltCurve_Q9BQ61_C19orf43.pdf</v>
      </c>
    </row>
    <row r="4741" spans="1:28" x14ac:dyDescent="0.25">
      <c r="A4741" t="s">
        <v>4745</v>
      </c>
      <c r="B4741">
        <v>0.99996721820229495</v>
      </c>
      <c r="C4741">
        <v>0.99486560337673902</v>
      </c>
      <c r="D4741">
        <v>0.806096282480955</v>
      </c>
      <c r="E4741">
        <v>0.39479188295793299</v>
      </c>
      <c r="F4741">
        <v>0.31484730526176402</v>
      </c>
      <c r="G4741">
        <v>0.26076475117033099</v>
      </c>
      <c r="H4741">
        <v>0.196325992668758</v>
      </c>
      <c r="I4741">
        <v>0.116041382272878</v>
      </c>
      <c r="J4741">
        <v>7.5239075967986402E-2</v>
      </c>
      <c r="K4741">
        <v>5.6632985174789E-2</v>
      </c>
      <c r="L4741">
        <v>901.06319365198999</v>
      </c>
      <c r="M4741">
        <v>18.433791252972998</v>
      </c>
      <c r="N4741">
        <v>49.595619191637198</v>
      </c>
      <c r="O4741">
        <v>48.316696462878703</v>
      </c>
      <c r="P4741">
        <v>-8.4260294397891303E-2</v>
      </c>
      <c r="Q4741">
        <v>0.11662316524718901</v>
      </c>
      <c r="R4741">
        <v>0.97839540572913597</v>
      </c>
      <c r="S4741" t="s">
        <v>10567</v>
      </c>
      <c r="T4741" t="s">
        <v>11650</v>
      </c>
      <c r="U4741" t="s">
        <v>11650</v>
      </c>
      <c r="V4741" t="s">
        <v>11650</v>
      </c>
      <c r="W4741" t="s">
        <v>16336</v>
      </c>
      <c r="X4741">
        <v>8</v>
      </c>
      <c r="Y4741" t="s">
        <v>22005</v>
      </c>
      <c r="Z4741" t="s">
        <v>27803</v>
      </c>
      <c r="AA4741">
        <v>0.39275296253536918</v>
      </c>
      <c r="AB4741" t="str">
        <f>HYPERLINK("Melting_Curves/meltCurve_Q9BQ69_MACROD1.pdf", "Melting_Curves/meltCurve_Q9BQ69_MACROD1.pdf")</f>
        <v>Melting_Curves/meltCurve_Q9BQ69_MACROD1.pdf</v>
      </c>
    </row>
    <row r="4742" spans="1:28" x14ac:dyDescent="0.25">
      <c r="A4742" t="s">
        <v>4746</v>
      </c>
      <c r="B4742">
        <v>0.99996721820229495</v>
      </c>
      <c r="C4742">
        <v>1.0848462131707299</v>
      </c>
      <c r="D4742">
        <v>1.4792921510258401</v>
      </c>
      <c r="E4742">
        <v>1.5426131335909701</v>
      </c>
      <c r="F4742">
        <v>1.9602509255513001</v>
      </c>
      <c r="G4742">
        <v>2.3421772528017302</v>
      </c>
      <c r="H4742">
        <v>0.75360098229686001</v>
      </c>
      <c r="I4742">
        <v>0.24629488587405499</v>
      </c>
      <c r="J4742">
        <v>0.219542579943103</v>
      </c>
      <c r="K4742">
        <v>8.5526909106830598E-2</v>
      </c>
      <c r="L4742">
        <v>5309.7316994215798</v>
      </c>
      <c r="M4742">
        <v>86.100021196699302</v>
      </c>
      <c r="N4742">
        <v>61.969361650232997</v>
      </c>
      <c r="O4742">
        <v>61.636097088487702</v>
      </c>
      <c r="P4742">
        <v>-0.28970528909493698</v>
      </c>
      <c r="Q4742">
        <v>0.17043915482197</v>
      </c>
      <c r="R4742">
        <v>0.38078405807670201</v>
      </c>
      <c r="S4742" t="s">
        <v>10568</v>
      </c>
      <c r="T4742" t="s">
        <v>11650</v>
      </c>
      <c r="U4742" t="s">
        <v>11650</v>
      </c>
      <c r="V4742" t="s">
        <v>11650</v>
      </c>
      <c r="W4742" t="s">
        <v>16337</v>
      </c>
      <c r="X4742">
        <v>2</v>
      </c>
      <c r="Y4742" t="s">
        <v>22006</v>
      </c>
      <c r="Z4742" t="s">
        <v>27804</v>
      </c>
      <c r="AA4742">
        <v>0.77039768915488449</v>
      </c>
      <c r="AB4742" t="str">
        <f>HYPERLINK("Melting_Curves/meltCurve_Q9BQ95_ECSIT.pdf", "Melting_Curves/meltCurve_Q9BQ95_ECSIT.pdf")</f>
        <v>Melting_Curves/meltCurve_Q9BQ95_ECSIT.pdf</v>
      </c>
    </row>
    <row r="4743" spans="1:28" x14ac:dyDescent="0.25">
      <c r="A4743" t="s">
        <v>4747</v>
      </c>
      <c r="B4743">
        <v>0.99996721820229495</v>
      </c>
      <c r="C4743">
        <v>1.0651354245856499</v>
      </c>
      <c r="D4743">
        <v>1.26092661598266</v>
      </c>
      <c r="E4743">
        <v>1.2382933928342399</v>
      </c>
      <c r="F4743">
        <v>1.49965794542957</v>
      </c>
      <c r="G4743">
        <v>0.96130590995452203</v>
      </c>
      <c r="H4743">
        <v>0.57227807090404603</v>
      </c>
      <c r="I4743">
        <v>0.20585875046490401</v>
      </c>
      <c r="J4743">
        <v>0.151182441809183</v>
      </c>
      <c r="K4743">
        <v>6.2324830240803E-2</v>
      </c>
      <c r="L4743">
        <v>2766.1510825209998</v>
      </c>
      <c r="M4743">
        <v>45.221421804978498</v>
      </c>
      <c r="N4743">
        <v>61.459725583890197</v>
      </c>
      <c r="O4743">
        <v>61.049783504598899</v>
      </c>
      <c r="P4743">
        <v>-0.16735378262200301</v>
      </c>
      <c r="Q4743">
        <v>9.6277923939148399E-2</v>
      </c>
      <c r="R4743">
        <v>0.84065658382000297</v>
      </c>
      <c r="S4743" t="s">
        <v>10569</v>
      </c>
      <c r="T4743" t="s">
        <v>11650</v>
      </c>
      <c r="U4743" t="s">
        <v>11650</v>
      </c>
      <c r="V4743" t="s">
        <v>11650</v>
      </c>
      <c r="W4743" t="s">
        <v>16338</v>
      </c>
      <c r="X4743">
        <v>3</v>
      </c>
      <c r="Y4743" t="s">
        <v>22007</v>
      </c>
      <c r="Z4743" t="s">
        <v>27805</v>
      </c>
      <c r="AA4743">
        <v>0.73677325407278571</v>
      </c>
      <c r="AB4743" t="str">
        <f>HYPERLINK("Melting_Curves/meltCurve_Q9BQA9_2_C17orf62.pdf", "Melting_Curves/meltCurve_Q9BQA9_2_C17orf62.pdf")</f>
        <v>Melting_Curves/meltCurve_Q9BQA9_2_C17orf62.pdf</v>
      </c>
    </row>
    <row r="4744" spans="1:28" x14ac:dyDescent="0.25">
      <c r="A4744" t="s">
        <v>4748</v>
      </c>
      <c r="B4744">
        <v>0.99996721820229495</v>
      </c>
      <c r="C4744">
        <v>0.891000777704816</v>
      </c>
      <c r="D4744">
        <v>0.98479191519224496</v>
      </c>
      <c r="E4744">
        <v>1.00762794265431</v>
      </c>
      <c r="F4744">
        <v>0.93653464210389004</v>
      </c>
      <c r="G4744">
        <v>0.45356311328423898</v>
      </c>
      <c r="H4744">
        <v>0.17132559820801699</v>
      </c>
      <c r="I4744">
        <v>9.6664436525056296E-2</v>
      </c>
      <c r="J4744">
        <v>6.1609160571911799E-2</v>
      </c>
      <c r="K4744">
        <v>2.1868161264760499E-2</v>
      </c>
      <c r="L4744">
        <v>1874.70022934094</v>
      </c>
      <c r="M4744">
        <v>33.118101150012201</v>
      </c>
      <c r="N4744">
        <v>56.818202693437797</v>
      </c>
      <c r="O4744">
        <v>56.401320308772</v>
      </c>
      <c r="P4744">
        <v>-0.13827699322800199</v>
      </c>
      <c r="Q4744">
        <v>5.8041350974124002E-2</v>
      </c>
      <c r="R4744">
        <v>0.99049259993406302</v>
      </c>
      <c r="S4744" t="s">
        <v>10570</v>
      </c>
      <c r="T4744" t="s">
        <v>11650</v>
      </c>
      <c r="U4744" t="s">
        <v>11650</v>
      </c>
      <c r="V4744" t="s">
        <v>11650</v>
      </c>
      <c r="W4744" t="s">
        <v>16339</v>
      </c>
      <c r="X4744">
        <v>1</v>
      </c>
      <c r="Y4744" t="s">
        <v>22008</v>
      </c>
      <c r="Z4744" t="s">
        <v>27806</v>
      </c>
      <c r="AA4744">
        <v>0.58470594675518017</v>
      </c>
      <c r="AB4744" t="str">
        <f>HYPERLINK("Melting_Curves/meltCurve_Q9BQB6_VKORC1.pdf", "Melting_Curves/meltCurve_Q9BQB6_VKORC1.pdf")</f>
        <v>Melting_Curves/meltCurve_Q9BQB6_VKORC1.pdf</v>
      </c>
    </row>
    <row r="4745" spans="1:28" x14ac:dyDescent="0.25">
      <c r="A4745" t="s">
        <v>4749</v>
      </c>
      <c r="B4745">
        <v>0.99996721820229495</v>
      </c>
      <c r="C4745">
        <v>1.0440647235509499</v>
      </c>
      <c r="D4745">
        <v>1.00149652149781</v>
      </c>
      <c r="E4745">
        <v>0.928957830611153</v>
      </c>
      <c r="F4745">
        <v>0.72988550138477104</v>
      </c>
      <c r="G4745">
        <v>0.50828982966783598</v>
      </c>
      <c r="H4745">
        <v>0.26344653719421102</v>
      </c>
      <c r="I4745">
        <v>0.179520236444764</v>
      </c>
      <c r="J4745">
        <v>0.145987866729268</v>
      </c>
      <c r="K4745">
        <v>0.123064256754688</v>
      </c>
      <c r="L4745">
        <v>1003.48039973871</v>
      </c>
      <c r="M4745">
        <v>17.8874031781009</v>
      </c>
      <c r="N4745">
        <v>56.779961848672798</v>
      </c>
      <c r="O4745">
        <v>55.412770841696698</v>
      </c>
      <c r="P4745">
        <v>-7.2922344374645898E-2</v>
      </c>
      <c r="Q4745">
        <v>9.6431218591016596E-2</v>
      </c>
      <c r="R4745">
        <v>0.99640402178846099</v>
      </c>
      <c r="S4745" t="s">
        <v>10571</v>
      </c>
      <c r="T4745" t="s">
        <v>11650</v>
      </c>
      <c r="U4745" t="s">
        <v>11650</v>
      </c>
      <c r="V4745" t="s">
        <v>11650</v>
      </c>
      <c r="W4745" t="s">
        <v>16340</v>
      </c>
      <c r="X4745">
        <v>5</v>
      </c>
      <c r="Y4745" t="s">
        <v>22009</v>
      </c>
      <c r="Z4745" t="s">
        <v>27807</v>
      </c>
      <c r="AA4745">
        <v>0.59466997219052609</v>
      </c>
      <c r="AB4745" t="str">
        <f>HYPERLINK("Melting_Curves/meltCurve_Q9BQC3_DPH2.pdf", "Melting_Curves/meltCurve_Q9BQC3_DPH2.pdf")</f>
        <v>Melting_Curves/meltCurve_Q9BQC3_DPH2.pdf</v>
      </c>
    </row>
    <row r="4746" spans="1:28" x14ac:dyDescent="0.25">
      <c r="A4746" t="s">
        <v>4750</v>
      </c>
      <c r="B4746">
        <v>0.99996721820229495</v>
      </c>
      <c r="C4746">
        <v>0.86088160418202098</v>
      </c>
      <c r="D4746">
        <v>0.78960760344087799</v>
      </c>
      <c r="E4746">
        <v>0.979794711912225</v>
      </c>
      <c r="F4746">
        <v>1.4178366608475199</v>
      </c>
      <c r="G4746">
        <v>0.73264933806348398</v>
      </c>
      <c r="H4746">
        <v>0.72535696891295098</v>
      </c>
      <c r="I4746">
        <v>0.66760221889248506</v>
      </c>
      <c r="J4746">
        <v>0.33587455996626397</v>
      </c>
      <c r="K4746">
        <v>0.53448535721614798</v>
      </c>
      <c r="L4746">
        <v>1494.3294841101099</v>
      </c>
      <c r="M4746">
        <v>24.6369279230111</v>
      </c>
      <c r="N4746">
        <v>66.573282405400207</v>
      </c>
      <c r="O4746">
        <v>60.258687054722401</v>
      </c>
      <c r="P4746">
        <v>-5.68239874494526E-2</v>
      </c>
      <c r="Q4746">
        <v>0.44407202056425199</v>
      </c>
      <c r="R4746">
        <v>0.582296560381939</v>
      </c>
      <c r="S4746" t="s">
        <v>10572</v>
      </c>
      <c r="T4746" t="s">
        <v>11650</v>
      </c>
      <c r="U4746" t="s">
        <v>11650</v>
      </c>
      <c r="V4746" t="s">
        <v>11650</v>
      </c>
      <c r="W4746" t="s">
        <v>16341</v>
      </c>
      <c r="X4746">
        <v>4</v>
      </c>
      <c r="Y4746" t="s">
        <v>22010</v>
      </c>
      <c r="Z4746" t="s">
        <v>27808</v>
      </c>
      <c r="AA4746">
        <v>0.83057820471460198</v>
      </c>
      <c r="AB4746" t="str">
        <f>HYPERLINK("Melting_Curves/meltCurve_Q9BQG0_MYBBP1A.pdf", "Melting_Curves/meltCurve_Q9BQG0_MYBBP1A.pdf")</f>
        <v>Melting_Curves/meltCurve_Q9BQG0_MYBBP1A.pdf</v>
      </c>
    </row>
    <row r="4747" spans="1:28" x14ac:dyDescent="0.25">
      <c r="A4747" t="s">
        <v>4751</v>
      </c>
      <c r="B4747">
        <v>0.99996721820229495</v>
      </c>
      <c r="C4747">
        <v>0.94315858966402499</v>
      </c>
      <c r="D4747">
        <v>0.85963847598083298</v>
      </c>
      <c r="E4747">
        <v>0.93472165361451598</v>
      </c>
      <c r="F4747">
        <v>1.79624158569781</v>
      </c>
      <c r="G4747">
        <v>1.1735338622571501</v>
      </c>
      <c r="H4747">
        <v>0.86223430953921598</v>
      </c>
      <c r="I4747">
        <v>0.85324352400375703</v>
      </c>
      <c r="J4747">
        <v>0.73544140322973095</v>
      </c>
      <c r="K4747">
        <v>0.53800634555929205</v>
      </c>
      <c r="L4747">
        <v>1662.5377160483299</v>
      </c>
      <c r="M4747">
        <v>24.6780173743993</v>
      </c>
      <c r="O4747">
        <v>66.931462390028699</v>
      </c>
      <c r="P4747">
        <v>-5.8089480779857101E-2</v>
      </c>
      <c r="Q4747">
        <v>0.36981007410350297</v>
      </c>
      <c r="R4747">
        <v>0.29941727448957201</v>
      </c>
      <c r="S4747" t="s">
        <v>10573</v>
      </c>
      <c r="T4747" t="s">
        <v>11650</v>
      </c>
      <c r="U4747" t="s">
        <v>11650</v>
      </c>
      <c r="V4747" t="s">
        <v>11650</v>
      </c>
      <c r="W4747" t="s">
        <v>16342</v>
      </c>
      <c r="X4747">
        <v>1</v>
      </c>
      <c r="Y4747" t="s">
        <v>22011</v>
      </c>
      <c r="Z4747" t="s">
        <v>27809</v>
      </c>
      <c r="AA4747">
        <v>0.92973766153754822</v>
      </c>
      <c r="AB4747" t="str">
        <f>HYPERLINK("Melting_Curves/meltCurve_Q9BQJ4_TMEM47.pdf", "Melting_Curves/meltCurve_Q9BQJ4_TMEM47.pdf")</f>
        <v>Melting_Curves/meltCurve_Q9BQJ4_TMEM47.pdf</v>
      </c>
    </row>
    <row r="4748" spans="1:28" x14ac:dyDescent="0.25">
      <c r="A4748" t="s">
        <v>4752</v>
      </c>
      <c r="B4748">
        <v>0.99996721820229495</v>
      </c>
      <c r="C4748">
        <v>1.0444649760357501</v>
      </c>
      <c r="D4748">
        <v>0.96688094152367599</v>
      </c>
      <c r="E4748">
        <v>0.75251867776690096</v>
      </c>
      <c r="F4748">
        <v>0.419217885377415</v>
      </c>
      <c r="G4748">
        <v>0.359225103554001</v>
      </c>
      <c r="H4748">
        <v>0.25354578635145503</v>
      </c>
      <c r="I4748">
        <v>0.158816914446512</v>
      </c>
      <c r="J4748">
        <v>0.143274209602921</v>
      </c>
      <c r="K4748">
        <v>0.104559701645036</v>
      </c>
      <c r="L4748">
        <v>972.22677862799003</v>
      </c>
      <c r="M4748">
        <v>18.670583976318799</v>
      </c>
      <c r="N4748">
        <v>53.0489142017774</v>
      </c>
      <c r="O4748">
        <v>51.486309224498001</v>
      </c>
      <c r="P4748">
        <v>-7.7480316075633604E-2</v>
      </c>
      <c r="Q4748">
        <v>0.145392531536396</v>
      </c>
      <c r="R4748">
        <v>0.98220394925971999</v>
      </c>
      <c r="S4748" t="s">
        <v>10574</v>
      </c>
      <c r="T4748" t="s">
        <v>11650</v>
      </c>
      <c r="U4748" t="s">
        <v>11650</v>
      </c>
      <c r="V4748" t="s">
        <v>11650</v>
      </c>
      <c r="W4748" t="s">
        <v>16343</v>
      </c>
      <c r="X4748">
        <v>7</v>
      </c>
      <c r="Y4748" t="s">
        <v>22012</v>
      </c>
      <c r="Z4748" t="s">
        <v>27810</v>
      </c>
      <c r="AA4748">
        <v>0.50264850107813641</v>
      </c>
      <c r="AB4748" t="str">
        <f>HYPERLINK("Melting_Curves/meltCurve_Q9BQL6_FERMT1.pdf", "Melting_Curves/meltCurve_Q9BQL6_FERMT1.pdf")</f>
        <v>Melting_Curves/meltCurve_Q9BQL6_FERMT1.pdf</v>
      </c>
    </row>
    <row r="4749" spans="1:28" x14ac:dyDescent="0.25">
      <c r="A4749" t="s">
        <v>4753</v>
      </c>
      <c r="B4749">
        <v>0.99996721820229495</v>
      </c>
      <c r="C4749">
        <v>0.88588412081068102</v>
      </c>
      <c r="D4749">
        <v>0.84789780995793196</v>
      </c>
      <c r="E4749">
        <v>0.84283359771412902</v>
      </c>
      <c r="F4749">
        <v>0.79361262583671</v>
      </c>
      <c r="G4749">
        <v>0.43670262133031801</v>
      </c>
      <c r="H4749">
        <v>0.22783043233463299</v>
      </c>
      <c r="I4749">
        <v>0.162681327242547</v>
      </c>
      <c r="J4749">
        <v>0.13487771179861099</v>
      </c>
      <c r="K4749">
        <v>8.9535032911000803E-2</v>
      </c>
      <c r="L4749">
        <v>766.81846425002902</v>
      </c>
      <c r="M4749">
        <v>13.6320367459635</v>
      </c>
      <c r="N4749">
        <v>56.3658515423108</v>
      </c>
      <c r="O4749">
        <v>55.082104343910501</v>
      </c>
      <c r="P4749">
        <v>-6.1034383693587303E-2</v>
      </c>
      <c r="Q4749">
        <v>1.3673414063555701E-2</v>
      </c>
      <c r="R4749">
        <v>0.97257244291786105</v>
      </c>
      <c r="S4749" t="s">
        <v>10575</v>
      </c>
      <c r="T4749" t="s">
        <v>11650</v>
      </c>
      <c r="U4749" t="s">
        <v>11650</v>
      </c>
      <c r="V4749" t="s">
        <v>11650</v>
      </c>
      <c r="W4749" t="s">
        <v>16344</v>
      </c>
      <c r="X4749">
        <v>6</v>
      </c>
      <c r="Y4749" t="s">
        <v>22013</v>
      </c>
      <c r="Z4749" t="s">
        <v>27811</v>
      </c>
      <c r="AA4749">
        <v>0.56619075875145419</v>
      </c>
      <c r="AB4749" t="str">
        <f>HYPERLINK("Melting_Curves/meltCurve_Q9BQP7_MGME1.pdf", "Melting_Curves/meltCurve_Q9BQP7_MGME1.pdf")</f>
        <v>Melting_Curves/meltCurve_Q9BQP7_MGME1.pdf</v>
      </c>
    </row>
    <row r="4750" spans="1:28" x14ac:dyDescent="0.25">
      <c r="A4750" t="s">
        <v>4754</v>
      </c>
      <c r="B4750">
        <v>0.99996721820229495</v>
      </c>
      <c r="C4750">
        <v>0.99012142554425997</v>
      </c>
      <c r="D4750">
        <v>0.95170597375021204</v>
      </c>
      <c r="E4750">
        <v>0.73862060452977096</v>
      </c>
      <c r="F4750">
        <v>0.443019469271555</v>
      </c>
      <c r="G4750">
        <v>0.39440496286134802</v>
      </c>
      <c r="H4750">
        <v>0.242098878964387</v>
      </c>
      <c r="I4750">
        <v>0.15699318369835599</v>
      </c>
      <c r="J4750">
        <v>0.120141099640832</v>
      </c>
      <c r="K4750">
        <v>0.106998866477359</v>
      </c>
      <c r="L4750">
        <v>778.67801770847598</v>
      </c>
      <c r="M4750">
        <v>14.767800984829201</v>
      </c>
      <c r="N4750">
        <v>53.560324073443297</v>
      </c>
      <c r="O4750">
        <v>51.789557232241997</v>
      </c>
      <c r="P4750">
        <v>-6.3985993842354705E-2</v>
      </c>
      <c r="Q4750">
        <v>0.102520290839588</v>
      </c>
      <c r="R4750">
        <v>0.98587954508995002</v>
      </c>
      <c r="S4750" t="s">
        <v>10576</v>
      </c>
      <c r="T4750" t="s">
        <v>11650</v>
      </c>
      <c r="U4750" t="s">
        <v>11650</v>
      </c>
      <c r="V4750" t="s">
        <v>11650</v>
      </c>
      <c r="W4750" t="s">
        <v>16345</v>
      </c>
      <c r="X4750">
        <v>52</v>
      </c>
      <c r="Y4750" t="s">
        <v>22014</v>
      </c>
      <c r="Z4750" t="s">
        <v>27812</v>
      </c>
      <c r="AA4750">
        <v>0.50326057745298192</v>
      </c>
      <c r="AB4750" t="str">
        <f>HYPERLINK("Melting_Curves/meltCurve_Q9BQS8_FYCO1.pdf", "Melting_Curves/meltCurve_Q9BQS8_FYCO1.pdf")</f>
        <v>Melting_Curves/meltCurve_Q9BQS8_FYCO1.pdf</v>
      </c>
    </row>
    <row r="4751" spans="1:28" x14ac:dyDescent="0.25">
      <c r="A4751" t="s">
        <v>4755</v>
      </c>
      <c r="B4751">
        <v>0.99996721820229495</v>
      </c>
      <c r="C4751">
        <v>0.91040422870067905</v>
      </c>
      <c r="D4751">
        <v>1.0623304867835599</v>
      </c>
      <c r="E4751">
        <v>1.1807061606959699</v>
      </c>
      <c r="F4751">
        <v>1.3834141466802099</v>
      </c>
      <c r="G4751">
        <v>1.8950818514202701</v>
      </c>
      <c r="H4751">
        <v>1.4517635133131399</v>
      </c>
      <c r="I4751">
        <v>0.994484357342864</v>
      </c>
      <c r="J4751">
        <v>0.84140428414416701</v>
      </c>
      <c r="K4751">
        <v>0.72910064361572002</v>
      </c>
      <c r="L4751">
        <v>7372.2114233700604</v>
      </c>
      <c r="M4751">
        <v>110.363801383908</v>
      </c>
      <c r="O4751">
        <v>66.7772754090511</v>
      </c>
      <c r="P4751">
        <v>-0.11264169553563901</v>
      </c>
      <c r="Q4751">
        <v>0.72737789566171895</v>
      </c>
      <c r="R4751">
        <v>-0.10253774291687601</v>
      </c>
      <c r="S4751" t="s">
        <v>10577</v>
      </c>
      <c r="T4751" t="s">
        <v>11650</v>
      </c>
      <c r="U4751" t="s">
        <v>11650</v>
      </c>
      <c r="V4751" t="s">
        <v>11650</v>
      </c>
      <c r="W4751" t="s">
        <v>16346</v>
      </c>
      <c r="X4751">
        <v>2</v>
      </c>
      <c r="Y4751" t="s">
        <v>22015</v>
      </c>
      <c r="Z4751" t="s">
        <v>27813</v>
      </c>
      <c r="AA4751">
        <v>0.97103751973666408</v>
      </c>
      <c r="AB4751" t="str">
        <f>HYPERLINK("Melting_Curves/meltCurve_Q9BQT8_2_SLC25A21.pdf", "Melting_Curves/meltCurve_Q9BQT8_2_SLC25A21.pdf")</f>
        <v>Melting_Curves/meltCurve_Q9BQT8_2_SLC25A21.pdf</v>
      </c>
    </row>
    <row r="4752" spans="1:28" x14ac:dyDescent="0.25">
      <c r="A4752" t="s">
        <v>4756</v>
      </c>
      <c r="B4752">
        <v>0.99996721820229495</v>
      </c>
      <c r="C4752">
        <v>1.0196184262074199</v>
      </c>
      <c r="D4752">
        <v>0.828652826806488</v>
      </c>
      <c r="E4752">
        <v>0.35007136591881999</v>
      </c>
      <c r="F4752">
        <v>0.29738649188094601</v>
      </c>
      <c r="G4752">
        <v>0.26302661130455002</v>
      </c>
      <c r="H4752">
        <v>0.16527016350113599</v>
      </c>
      <c r="I4752">
        <v>0.12186135497671199</v>
      </c>
      <c r="J4752">
        <v>0.105641457148372</v>
      </c>
      <c r="K4752">
        <v>7.0726548479536494E-2</v>
      </c>
      <c r="L4752">
        <v>1180.4207023434601</v>
      </c>
      <c r="M4752">
        <v>24.387956068959699</v>
      </c>
      <c r="N4752">
        <v>49.077371568200597</v>
      </c>
      <c r="O4752">
        <v>48.079871756722603</v>
      </c>
      <c r="P4752">
        <v>-0.10872978315183</v>
      </c>
      <c r="Q4752">
        <v>0.14258710999860999</v>
      </c>
      <c r="R4752">
        <v>0.97776397672682702</v>
      </c>
      <c r="S4752" t="s">
        <v>10578</v>
      </c>
      <c r="T4752" t="s">
        <v>11650</v>
      </c>
      <c r="U4752" t="s">
        <v>11650</v>
      </c>
      <c r="V4752" t="s">
        <v>11650</v>
      </c>
      <c r="W4752" t="s">
        <v>16347</v>
      </c>
      <c r="X4752">
        <v>9</v>
      </c>
      <c r="Y4752" t="s">
        <v>22016</v>
      </c>
      <c r="Z4752" t="s">
        <v>27814</v>
      </c>
      <c r="AA4752">
        <v>0.39069630108646158</v>
      </c>
      <c r="AB4752" t="str">
        <f>HYPERLINK("Melting_Curves/meltCurve_Q9BR61_ACBD6.pdf", "Melting_Curves/meltCurve_Q9BR61_ACBD6.pdf")</f>
        <v>Melting_Curves/meltCurve_Q9BR61_ACBD6.pdf</v>
      </c>
    </row>
    <row r="4753" spans="1:28" x14ac:dyDescent="0.25">
      <c r="A4753" t="s">
        <v>4757</v>
      </c>
      <c r="B4753">
        <v>0.99996721820229495</v>
      </c>
      <c r="C4753">
        <v>0.91558603395827898</v>
      </c>
      <c r="D4753">
        <v>0.91771799644581598</v>
      </c>
      <c r="E4753">
        <v>1.0698567057567501</v>
      </c>
      <c r="F4753">
        <v>0.34585841088423402</v>
      </c>
      <c r="G4753">
        <v>0.22889771400568601</v>
      </c>
      <c r="H4753">
        <v>0.123937956590426</v>
      </c>
      <c r="I4753">
        <v>8.9818609561544499E-2</v>
      </c>
      <c r="J4753">
        <v>7.4432212046676494E-2</v>
      </c>
      <c r="K4753">
        <v>6.4063194286444206E-2</v>
      </c>
      <c r="L4753">
        <v>13194.5164814522</v>
      </c>
      <c r="M4753">
        <v>250</v>
      </c>
      <c r="N4753">
        <v>52.833979716013502</v>
      </c>
      <c r="O4753">
        <v>52.774688483462597</v>
      </c>
      <c r="P4753">
        <v>-1.0466311256056799</v>
      </c>
      <c r="Q4753">
        <v>0.11622989532462601</v>
      </c>
      <c r="R4753">
        <v>0.97837743973446401</v>
      </c>
      <c r="S4753" t="s">
        <v>10579</v>
      </c>
      <c r="T4753" t="s">
        <v>11650</v>
      </c>
      <c r="U4753" t="s">
        <v>11650</v>
      </c>
      <c r="V4753" t="s">
        <v>11650</v>
      </c>
      <c r="W4753" t="s">
        <v>16348</v>
      </c>
      <c r="X4753">
        <v>23</v>
      </c>
      <c r="Y4753" t="s">
        <v>22017</v>
      </c>
      <c r="Z4753" t="s">
        <v>27815</v>
      </c>
      <c r="AA4753">
        <v>0.49274084294492032</v>
      </c>
      <c r="AB4753" t="str">
        <f>HYPERLINK("Melting_Curves/meltCurve_Q9BR76_CORO1B.pdf", "Melting_Curves/meltCurve_Q9BR76_CORO1B.pdf")</f>
        <v>Melting_Curves/meltCurve_Q9BR76_CORO1B.pdf</v>
      </c>
    </row>
    <row r="4754" spans="1:28" x14ac:dyDescent="0.25">
      <c r="A4754" t="s">
        <v>4758</v>
      </c>
      <c r="B4754">
        <v>0.99996721820229495</v>
      </c>
      <c r="C4754">
        <v>1.01030827566131</v>
      </c>
      <c r="D4754">
        <v>0.97683946069713601</v>
      </c>
      <c r="E4754">
        <v>0.81132286893136296</v>
      </c>
      <c r="F4754">
        <v>0.71263859718222</v>
      </c>
      <c r="G4754">
        <v>0.56145980133569295</v>
      </c>
      <c r="H4754">
        <v>0.32715298711079099</v>
      </c>
      <c r="I4754">
        <v>0.27566490411179401</v>
      </c>
      <c r="J4754">
        <v>0.202758019073429</v>
      </c>
      <c r="K4754">
        <v>0.122513870505072</v>
      </c>
      <c r="L4754">
        <v>641.68052431639501</v>
      </c>
      <c r="M4754">
        <v>11.1723489499905</v>
      </c>
      <c r="N4754">
        <v>57.6744121406281</v>
      </c>
      <c r="O4754">
        <v>55.686780927980699</v>
      </c>
      <c r="P4754">
        <v>-4.90347571047672E-2</v>
      </c>
      <c r="Q4754">
        <v>2.2686919514067299E-2</v>
      </c>
      <c r="R4754">
        <v>0.99451635865977805</v>
      </c>
      <c r="S4754" t="s">
        <v>10580</v>
      </c>
      <c r="T4754" t="s">
        <v>11650</v>
      </c>
      <c r="U4754" t="s">
        <v>11650</v>
      </c>
      <c r="V4754" t="s">
        <v>11650</v>
      </c>
      <c r="W4754" t="s">
        <v>16349</v>
      </c>
      <c r="X4754">
        <v>9</v>
      </c>
      <c r="Y4754" t="s">
        <v>22018</v>
      </c>
      <c r="Z4754" t="s">
        <v>27816</v>
      </c>
      <c r="AA4754">
        <v>0.60497348992619504</v>
      </c>
      <c r="AB4754" t="str">
        <f>HYPERLINK("Melting_Curves/meltCurve_Q9BRA2_TXNDC17.pdf", "Melting_Curves/meltCurve_Q9BRA2_TXNDC17.pdf")</f>
        <v>Melting_Curves/meltCurve_Q9BRA2_TXNDC17.pdf</v>
      </c>
    </row>
    <row r="4755" spans="1:28" x14ac:dyDescent="0.25">
      <c r="A4755" t="s">
        <v>4759</v>
      </c>
      <c r="B4755">
        <v>0.99996721820229495</v>
      </c>
      <c r="C4755">
        <v>0.95347924352415603</v>
      </c>
      <c r="D4755">
        <v>0.89808046522570695</v>
      </c>
      <c r="E4755">
        <v>0.88117247884199101</v>
      </c>
      <c r="F4755">
        <v>0.951998835137567</v>
      </c>
      <c r="G4755">
        <v>0.81720603386951995</v>
      </c>
      <c r="H4755">
        <v>0.59357243174267404</v>
      </c>
      <c r="I4755">
        <v>0.491082188191094</v>
      </c>
      <c r="J4755">
        <v>0.34326014696470603</v>
      </c>
      <c r="K4755">
        <v>0.27432502320257002</v>
      </c>
      <c r="L4755">
        <v>703.73968326043905</v>
      </c>
      <c r="M4755">
        <v>11.0672792212142</v>
      </c>
      <c r="N4755">
        <v>63.587421544730503</v>
      </c>
      <c r="O4755">
        <v>61.617204691174699</v>
      </c>
      <c r="P4755">
        <v>-4.4918155195124897E-2</v>
      </c>
      <c r="Q4755">
        <v>0</v>
      </c>
      <c r="R4755">
        <v>0.97079955153262898</v>
      </c>
      <c r="S4755" t="s">
        <v>10581</v>
      </c>
      <c r="T4755" t="s">
        <v>11650</v>
      </c>
      <c r="U4755" t="s">
        <v>11650</v>
      </c>
      <c r="V4755" t="s">
        <v>11650</v>
      </c>
      <c r="W4755" t="s">
        <v>16350</v>
      </c>
      <c r="X4755">
        <v>11</v>
      </c>
      <c r="Y4755" t="s">
        <v>22019</v>
      </c>
      <c r="Z4755" t="s">
        <v>27817</v>
      </c>
      <c r="AA4755">
        <v>0.75590569912951233</v>
      </c>
      <c r="AB4755" t="str">
        <f>HYPERLINK("Melting_Curves/meltCurve_Q9BRF8_CPPED1.pdf", "Melting_Curves/meltCurve_Q9BRF8_CPPED1.pdf")</f>
        <v>Melting_Curves/meltCurve_Q9BRF8_CPPED1.pdf</v>
      </c>
    </row>
    <row r="4756" spans="1:28" x14ac:dyDescent="0.25">
      <c r="A4756" t="s">
        <v>4760</v>
      </c>
      <c r="B4756">
        <v>0.99996721820229495</v>
      </c>
      <c r="C4756">
        <v>0.90318358010439703</v>
      </c>
      <c r="D4756">
        <v>0.73630945662954095</v>
      </c>
      <c r="E4756">
        <v>0.97521737310338297</v>
      </c>
      <c r="F4756">
        <v>0.62664066223747095</v>
      </c>
      <c r="G4756">
        <v>0.47993820895721701</v>
      </c>
      <c r="H4756">
        <v>0.330941242853316</v>
      </c>
      <c r="I4756">
        <v>0.23564948697732099</v>
      </c>
      <c r="J4756">
        <v>0.15466653370247599</v>
      </c>
      <c r="K4756">
        <v>0.16818998167427601</v>
      </c>
      <c r="L4756">
        <v>552.03306002804197</v>
      </c>
      <c r="M4756">
        <v>9.7300395127493804</v>
      </c>
      <c r="N4756">
        <v>56.734929832958699</v>
      </c>
      <c r="O4756">
        <v>54.494043872990503</v>
      </c>
      <c r="P4756">
        <v>-4.4662189860900398E-2</v>
      </c>
      <c r="Q4756">
        <v>0</v>
      </c>
      <c r="R4756">
        <v>0.929019699473288</v>
      </c>
      <c r="S4756" t="s">
        <v>10582</v>
      </c>
      <c r="T4756" t="s">
        <v>11650</v>
      </c>
      <c r="U4756" t="s">
        <v>11650</v>
      </c>
      <c r="V4756" t="s">
        <v>11650</v>
      </c>
      <c r="W4756" t="s">
        <v>16351</v>
      </c>
      <c r="X4756">
        <v>4</v>
      </c>
      <c r="Y4756" t="s">
        <v>22020</v>
      </c>
      <c r="Z4756" t="s">
        <v>27818</v>
      </c>
      <c r="AA4756">
        <v>0.57485580238828971</v>
      </c>
      <c r="AB4756" t="str">
        <f>HYPERLINK("Melting_Curves/meltCurve_Q9BRG1_VPS25.pdf", "Melting_Curves/meltCurve_Q9BRG1_VPS25.pdf")</f>
        <v>Melting_Curves/meltCurve_Q9BRG1_VPS25.pdf</v>
      </c>
    </row>
    <row r="4757" spans="1:28" x14ac:dyDescent="0.25">
      <c r="A4757" t="s">
        <v>4761</v>
      </c>
      <c r="B4757">
        <v>0.99996721820229495</v>
      </c>
      <c r="C4757">
        <v>1.02489954626743</v>
      </c>
      <c r="D4757">
        <v>1.07920567872691</v>
      </c>
      <c r="E4757">
        <v>1.1130724245350401</v>
      </c>
      <c r="F4757">
        <v>1.5993591446433999</v>
      </c>
      <c r="G4757">
        <v>1.49775291279082</v>
      </c>
      <c r="H4757">
        <v>1.13912245690949</v>
      </c>
      <c r="I4757">
        <v>0.678245847960808</v>
      </c>
      <c r="J4757">
        <v>0.53788165319220205</v>
      </c>
      <c r="K4757">
        <v>0.44118356186464802</v>
      </c>
      <c r="L4757">
        <v>15000</v>
      </c>
      <c r="M4757">
        <v>234.908406145686</v>
      </c>
      <c r="N4757">
        <v>64.923043915537406</v>
      </c>
      <c r="O4757">
        <v>63.850047201621699</v>
      </c>
      <c r="P4757">
        <v>-0.46951753341747299</v>
      </c>
      <c r="Q4757">
        <v>0.489525009205385</v>
      </c>
      <c r="R4757">
        <v>0.48930767110754197</v>
      </c>
      <c r="S4757" t="s">
        <v>10583</v>
      </c>
      <c r="T4757" t="s">
        <v>11650</v>
      </c>
      <c r="U4757" t="s">
        <v>11650</v>
      </c>
      <c r="V4757" t="s">
        <v>11650</v>
      </c>
      <c r="W4757" t="s">
        <v>16352</v>
      </c>
      <c r="X4757">
        <v>8</v>
      </c>
      <c r="Y4757" t="s">
        <v>22021</v>
      </c>
      <c r="Z4757" t="s">
        <v>27819</v>
      </c>
      <c r="AA4757">
        <v>0.89549697522165606</v>
      </c>
      <c r="AB4757" t="str">
        <f>HYPERLINK("Melting_Curves/meltCurve_Q9BRK0_2_REEP2.pdf", "Melting_Curves/meltCurve_Q9BRK0_2_REEP2.pdf")</f>
        <v>Melting_Curves/meltCurve_Q9BRK0_2_REEP2.pdf</v>
      </c>
    </row>
    <row r="4758" spans="1:28" x14ac:dyDescent="0.25">
      <c r="A4758" t="s">
        <v>4762</v>
      </c>
      <c r="B4758">
        <v>0.99996721820229495</v>
      </c>
      <c r="C4758">
        <v>1.0318766511920701</v>
      </c>
      <c r="D4758">
        <v>0.94464169291914502</v>
      </c>
      <c r="E4758">
        <v>0.87099555692159303</v>
      </c>
      <c r="F4758">
        <v>0.90953904607074298</v>
      </c>
      <c r="G4758">
        <v>1.02244915434475</v>
      </c>
      <c r="H4758">
        <v>0.84716414507554905</v>
      </c>
      <c r="I4758">
        <v>0.74300770378120595</v>
      </c>
      <c r="J4758">
        <v>0.68909701429986803</v>
      </c>
      <c r="K4758">
        <v>0.58778698483369896</v>
      </c>
      <c r="L4758">
        <v>618.92808140831698</v>
      </c>
      <c r="M4758">
        <v>8.4680711566451592</v>
      </c>
      <c r="O4758">
        <v>69.355161957090999</v>
      </c>
      <c r="P4758">
        <v>-3.05521964662504E-2</v>
      </c>
      <c r="Q4758">
        <v>0</v>
      </c>
      <c r="R4758">
        <v>0.85045069639692406</v>
      </c>
      <c r="S4758" t="s">
        <v>10584</v>
      </c>
      <c r="T4758" t="s">
        <v>11650</v>
      </c>
      <c r="U4758" t="s">
        <v>11650</v>
      </c>
      <c r="V4758" t="s">
        <v>11650</v>
      </c>
      <c r="W4758" t="s">
        <v>16353</v>
      </c>
      <c r="X4758">
        <v>22</v>
      </c>
      <c r="Y4758" t="s">
        <v>22022</v>
      </c>
      <c r="Z4758" t="s">
        <v>27820</v>
      </c>
      <c r="AA4758">
        <v>0.88847997287791669</v>
      </c>
      <c r="AB4758" t="str">
        <f>HYPERLINK("Melting_Curves/meltCurve_Q9BRK5_SDF4.pdf", "Melting_Curves/meltCurve_Q9BRK5_SDF4.pdf")</f>
        <v>Melting_Curves/meltCurve_Q9BRK5_SDF4.pdf</v>
      </c>
    </row>
    <row r="4759" spans="1:28" x14ac:dyDescent="0.25">
      <c r="A4759" t="s">
        <v>4763</v>
      </c>
      <c r="B4759">
        <v>0.99996721820229495</v>
      </c>
      <c r="C4759">
        <v>0.81980113939163402</v>
      </c>
      <c r="D4759">
        <v>0.92310976205598405</v>
      </c>
      <c r="E4759">
        <v>0.69781171374932005</v>
      </c>
      <c r="F4759">
        <v>0.36606460289862602</v>
      </c>
      <c r="G4759">
        <v>0.236579735839994</v>
      </c>
      <c r="H4759">
        <v>0.13170044152841201</v>
      </c>
      <c r="I4759">
        <v>0.142004034336223</v>
      </c>
      <c r="J4759">
        <v>3.1427862259198198E-2</v>
      </c>
      <c r="K4759">
        <v>2.5348491565771701E-2</v>
      </c>
      <c r="L4759">
        <v>759.37772399730295</v>
      </c>
      <c r="M4759">
        <v>14.6452259464889</v>
      </c>
      <c r="N4759">
        <v>52.040239881799003</v>
      </c>
      <c r="O4759">
        <v>50.913566602348602</v>
      </c>
      <c r="P4759">
        <v>-7.0060500144293103E-2</v>
      </c>
      <c r="Q4759">
        <v>2.58574989515808E-2</v>
      </c>
      <c r="R4759">
        <v>0.97388902878722805</v>
      </c>
      <c r="S4759" t="s">
        <v>10585</v>
      </c>
      <c r="T4759" t="s">
        <v>11650</v>
      </c>
      <c r="U4759" t="s">
        <v>11650</v>
      </c>
      <c r="V4759" t="s">
        <v>11650</v>
      </c>
      <c r="W4759" t="s">
        <v>16354</v>
      </c>
      <c r="X4759">
        <v>5</v>
      </c>
      <c r="Y4759" t="s">
        <v>22023</v>
      </c>
      <c r="Z4759" t="s">
        <v>27821</v>
      </c>
      <c r="AA4759">
        <v>0.43340386491473842</v>
      </c>
      <c r="AB4759" t="str">
        <f>HYPERLINK("Melting_Curves/meltCurve_Q9BRP1_PDCD2L.pdf", "Melting_Curves/meltCurve_Q9BRP1_PDCD2L.pdf")</f>
        <v>Melting_Curves/meltCurve_Q9BRP1_PDCD2L.pdf</v>
      </c>
    </row>
    <row r="4760" spans="1:28" x14ac:dyDescent="0.25">
      <c r="A4760" t="s">
        <v>4764</v>
      </c>
      <c r="B4760">
        <v>0.99996721820229495</v>
      </c>
      <c r="C4760">
        <v>0.98602130547046396</v>
      </c>
      <c r="D4760">
        <v>1.0695110283171101</v>
      </c>
      <c r="E4760">
        <v>1.58078165035338</v>
      </c>
      <c r="F4760">
        <v>2.15042319565966</v>
      </c>
      <c r="G4760">
        <v>2.2239007513937299</v>
      </c>
      <c r="H4760">
        <v>1.71431485863158</v>
      </c>
      <c r="I4760">
        <v>0.67000239626845204</v>
      </c>
      <c r="J4760">
        <v>0.352641379358623</v>
      </c>
      <c r="K4760">
        <v>0.35138665581982897</v>
      </c>
      <c r="L4760">
        <v>15000</v>
      </c>
      <c r="M4760">
        <v>234.41185033607599</v>
      </c>
      <c r="N4760">
        <v>64.324002732230497</v>
      </c>
      <c r="O4760">
        <v>63.9852654153948</v>
      </c>
      <c r="P4760">
        <v>-0.59349006130072401</v>
      </c>
      <c r="Q4760">
        <v>0.35200155629660301</v>
      </c>
      <c r="R4760">
        <v>0.12149435285247399</v>
      </c>
      <c r="S4760" t="s">
        <v>10586</v>
      </c>
      <c r="T4760" t="s">
        <v>11650</v>
      </c>
      <c r="U4760" t="s">
        <v>11650</v>
      </c>
      <c r="V4760" t="s">
        <v>11650</v>
      </c>
      <c r="W4760" t="s">
        <v>16355</v>
      </c>
      <c r="X4760">
        <v>4</v>
      </c>
      <c r="Y4760" t="s">
        <v>22024</v>
      </c>
      <c r="Z4760" t="s">
        <v>27822</v>
      </c>
      <c r="AA4760">
        <v>0.87026576763560037</v>
      </c>
      <c r="AB4760" t="str">
        <f>HYPERLINK("Melting_Curves/meltCurve_Q9BRP4_PAAF1.pdf", "Melting_Curves/meltCurve_Q9BRP4_PAAF1.pdf")</f>
        <v>Melting_Curves/meltCurve_Q9BRP4_PAAF1.pdf</v>
      </c>
    </row>
    <row r="4761" spans="1:28" x14ac:dyDescent="0.25">
      <c r="A4761" t="s">
        <v>4765</v>
      </c>
      <c r="B4761">
        <v>0.99996721820229495</v>
      </c>
      <c r="C4761">
        <v>0.99807369810936097</v>
      </c>
      <c r="D4761">
        <v>0.95271457037443397</v>
      </c>
      <c r="E4761">
        <v>1.05636256200909</v>
      </c>
      <c r="F4761">
        <v>1.49261666427557</v>
      </c>
      <c r="G4761">
        <v>1.7972670583231101</v>
      </c>
      <c r="H4761">
        <v>1.9028885930696799</v>
      </c>
      <c r="I4761">
        <v>1.45762324088231</v>
      </c>
      <c r="J4761">
        <v>1.12361740894246</v>
      </c>
      <c r="K4761">
        <v>0.99190896725238298</v>
      </c>
      <c r="L4761">
        <v>12598.556454788501</v>
      </c>
      <c r="M4761">
        <v>250</v>
      </c>
      <c r="O4761">
        <v>50.391020590079897</v>
      </c>
      <c r="P4761">
        <v>0.571762916891142</v>
      </c>
      <c r="Q4761">
        <v>1.4609872913203199</v>
      </c>
      <c r="R4761">
        <v>0.44102050823427402</v>
      </c>
      <c r="S4761" t="s">
        <v>10587</v>
      </c>
      <c r="T4761" t="s">
        <v>11650</v>
      </c>
      <c r="U4761" t="s">
        <v>11650</v>
      </c>
      <c r="V4761" t="s">
        <v>11650</v>
      </c>
      <c r="W4761" t="s">
        <v>16356</v>
      </c>
      <c r="X4761">
        <v>10</v>
      </c>
      <c r="Y4761" t="s">
        <v>22025</v>
      </c>
      <c r="Z4761" t="s">
        <v>27823</v>
      </c>
      <c r="AA4761">
        <v>1.301226320914034</v>
      </c>
      <c r="AB4761" t="str">
        <f>HYPERLINK("Melting_Curves/meltCurve_Q9BRP8_2_WIBG.pdf", "Melting_Curves/meltCurve_Q9BRP8_2_WIBG.pdf")</f>
        <v>Melting_Curves/meltCurve_Q9BRP8_2_WIBG.pdf</v>
      </c>
    </row>
    <row r="4762" spans="1:28" x14ac:dyDescent="0.25">
      <c r="A4762" t="s">
        <v>4766</v>
      </c>
      <c r="B4762">
        <v>0.99996721820229495</v>
      </c>
      <c r="C4762">
        <v>1.0258770331083</v>
      </c>
      <c r="D4762">
        <v>1.02428715321827</v>
      </c>
      <c r="E4762">
        <v>0.92854425190576495</v>
      </c>
      <c r="F4762">
        <v>0.75579760919816197</v>
      </c>
      <c r="G4762">
        <v>0.37635822307962102</v>
      </c>
      <c r="H4762">
        <v>0.18401351471772201</v>
      </c>
      <c r="I4762">
        <v>0.11238962236371799</v>
      </c>
      <c r="J4762">
        <v>8.1884398888373996E-2</v>
      </c>
      <c r="K4762">
        <v>5.6503762262628598E-2</v>
      </c>
      <c r="L4762">
        <v>1264.2799395657701</v>
      </c>
      <c r="M4762">
        <v>22.818909667436301</v>
      </c>
      <c r="N4762">
        <v>55.739578865435099</v>
      </c>
      <c r="O4762">
        <v>54.984678364578102</v>
      </c>
      <c r="P4762">
        <v>-9.7111350948804201E-2</v>
      </c>
      <c r="Q4762">
        <v>6.4016082253353701E-2</v>
      </c>
      <c r="R4762">
        <v>0.99847220580301999</v>
      </c>
      <c r="S4762" t="s">
        <v>10588</v>
      </c>
      <c r="T4762" t="s">
        <v>11650</v>
      </c>
      <c r="U4762" t="s">
        <v>11650</v>
      </c>
      <c r="V4762" t="s">
        <v>11650</v>
      </c>
      <c r="W4762" t="s">
        <v>16357</v>
      </c>
      <c r="X4762">
        <v>8</v>
      </c>
      <c r="Y4762" t="s">
        <v>22026</v>
      </c>
      <c r="Z4762" t="s">
        <v>27824</v>
      </c>
      <c r="AA4762">
        <v>0.55470469087529983</v>
      </c>
      <c r="AB4762" t="str">
        <f>HYPERLINK("Melting_Curves/meltCurve_Q9BRQ8_AIFM2.pdf", "Melting_Curves/meltCurve_Q9BRQ8_AIFM2.pdf")</f>
        <v>Melting_Curves/meltCurve_Q9BRQ8_AIFM2.pdf</v>
      </c>
    </row>
    <row r="4763" spans="1:28" x14ac:dyDescent="0.25">
      <c r="A4763" t="s">
        <v>4767</v>
      </c>
      <c r="B4763">
        <v>0.99996721820229495</v>
      </c>
      <c r="C4763">
        <v>0.89580697418806599</v>
      </c>
      <c r="D4763">
        <v>1.0079361511232099</v>
      </c>
      <c r="E4763">
        <v>0.97436460386349399</v>
      </c>
      <c r="F4763">
        <v>1.2411715411770099</v>
      </c>
      <c r="G4763">
        <v>1.0228086219501</v>
      </c>
      <c r="H4763">
        <v>0.47260781198086999</v>
      </c>
      <c r="I4763">
        <v>0.168751181203357</v>
      </c>
      <c r="J4763">
        <v>0.13650754819681499</v>
      </c>
      <c r="K4763">
        <v>0.100785061455162</v>
      </c>
      <c r="L4763">
        <v>4361.2437491385299</v>
      </c>
      <c r="M4763">
        <v>71.904552655478099</v>
      </c>
      <c r="N4763">
        <v>60.902965577458502</v>
      </c>
      <c r="O4763">
        <v>60.606371625377001</v>
      </c>
      <c r="P4763">
        <v>-0.25873639369724799</v>
      </c>
      <c r="Q4763">
        <v>0.12767299589022099</v>
      </c>
      <c r="R4763">
        <v>0.95780102701380299</v>
      </c>
      <c r="S4763" t="s">
        <v>10589</v>
      </c>
      <c r="T4763" t="s">
        <v>11650</v>
      </c>
      <c r="U4763" t="s">
        <v>11650</v>
      </c>
      <c r="V4763" t="s">
        <v>11650</v>
      </c>
      <c r="W4763" t="s">
        <v>16358</v>
      </c>
      <c r="X4763">
        <v>8</v>
      </c>
      <c r="Y4763" t="s">
        <v>22027</v>
      </c>
      <c r="Z4763" t="s">
        <v>27825</v>
      </c>
      <c r="AA4763">
        <v>0.72934177606479866</v>
      </c>
      <c r="AB4763" t="str">
        <f>HYPERLINK("Melting_Curves/meltCurve_Q9BRR6_2_ADPGK.pdf", "Melting_Curves/meltCurve_Q9BRR6_2_ADPGK.pdf")</f>
        <v>Melting_Curves/meltCurve_Q9BRR6_2_ADPGK.pdf</v>
      </c>
    </row>
    <row r="4764" spans="1:28" x14ac:dyDescent="0.25">
      <c r="A4764" t="s">
        <v>4768</v>
      </c>
      <c r="B4764">
        <v>0.99996721820229495</v>
      </c>
      <c r="C4764">
        <v>1.0317818947316399</v>
      </c>
      <c r="D4764">
        <v>0.97930165472226904</v>
      </c>
      <c r="E4764">
        <v>0.85204729919019095</v>
      </c>
      <c r="F4764">
        <v>1.2106135508221301</v>
      </c>
      <c r="G4764">
        <v>1.26119123552602</v>
      </c>
      <c r="H4764">
        <v>0.69868883881135802</v>
      </c>
      <c r="I4764">
        <v>0.42373135779026799</v>
      </c>
      <c r="J4764">
        <v>0.46419505864886401</v>
      </c>
      <c r="K4764">
        <v>0.27735716664038201</v>
      </c>
      <c r="L4764">
        <v>6190.22902249048</v>
      </c>
      <c r="M4764">
        <v>101.429924119462</v>
      </c>
      <c r="N4764">
        <v>61.933518285814102</v>
      </c>
      <c r="O4764">
        <v>61.005900038525603</v>
      </c>
      <c r="P4764">
        <v>-0.25512135866754299</v>
      </c>
      <c r="Q4764">
        <v>0.38622029129069602</v>
      </c>
      <c r="R4764">
        <v>0.85138735737974203</v>
      </c>
      <c r="S4764" t="s">
        <v>10590</v>
      </c>
      <c r="T4764" t="s">
        <v>11650</v>
      </c>
      <c r="U4764" t="s">
        <v>11650</v>
      </c>
      <c r="V4764" t="s">
        <v>11650</v>
      </c>
      <c r="W4764" t="s">
        <v>16359</v>
      </c>
      <c r="X4764">
        <v>1</v>
      </c>
      <c r="Y4764" t="s">
        <v>22028</v>
      </c>
      <c r="Z4764" t="s">
        <v>27826</v>
      </c>
      <c r="AA4764">
        <v>0.81687173165163973</v>
      </c>
      <c r="AB4764" t="str">
        <f>HYPERLINK("Melting_Curves/meltCurve_Q9BRS2_RIOK1.pdf", "Melting_Curves/meltCurve_Q9BRS2_RIOK1.pdf")</f>
        <v>Melting_Curves/meltCurve_Q9BRS2_RIOK1.pdf</v>
      </c>
    </row>
    <row r="4765" spans="1:28" x14ac:dyDescent="0.25">
      <c r="A4765" t="s">
        <v>4769</v>
      </c>
      <c r="B4765">
        <v>0.99996721820229495</v>
      </c>
      <c r="C4765">
        <v>0.95178844718094102</v>
      </c>
      <c r="D4765">
        <v>1.0454278651193201</v>
      </c>
      <c r="E4765">
        <v>1.0734772308334299</v>
      </c>
      <c r="F4765">
        <v>0.71715660255472502</v>
      </c>
      <c r="G4765">
        <v>0.52313222360862599</v>
      </c>
      <c r="H4765">
        <v>0.288860576004147</v>
      </c>
      <c r="I4765">
        <v>0.163502140206123</v>
      </c>
      <c r="J4765">
        <v>0.126517979480746</v>
      </c>
      <c r="K4765">
        <v>0.10819897394328599</v>
      </c>
      <c r="L4765">
        <v>1138.0667064281099</v>
      </c>
      <c r="M4765">
        <v>20.140040244922002</v>
      </c>
      <c r="N4765">
        <v>57.106103374615699</v>
      </c>
      <c r="O4765">
        <v>55.959411022290098</v>
      </c>
      <c r="P4765">
        <v>-8.1418970522170606E-2</v>
      </c>
      <c r="Q4765">
        <v>9.5133214818994699E-2</v>
      </c>
      <c r="R4765">
        <v>0.97753902874171805</v>
      </c>
      <c r="S4765" t="s">
        <v>10591</v>
      </c>
      <c r="T4765" t="s">
        <v>11650</v>
      </c>
      <c r="U4765" t="s">
        <v>11650</v>
      </c>
      <c r="V4765" t="s">
        <v>11650</v>
      </c>
      <c r="W4765" t="s">
        <v>16360</v>
      </c>
      <c r="X4765">
        <v>4</v>
      </c>
      <c r="Y4765" t="s">
        <v>22029</v>
      </c>
      <c r="Z4765" t="s">
        <v>27827</v>
      </c>
      <c r="AA4765">
        <v>0.60432838201045713</v>
      </c>
      <c r="AB4765" t="str">
        <f>HYPERLINK("Melting_Curves/meltCurve_Q9BRS8_LARP6.pdf", "Melting_Curves/meltCurve_Q9BRS8_LARP6.pdf")</f>
        <v>Melting_Curves/meltCurve_Q9BRS8_LARP6.pdf</v>
      </c>
    </row>
    <row r="4766" spans="1:28" x14ac:dyDescent="0.25">
      <c r="A4766" t="s">
        <v>4770</v>
      </c>
      <c r="B4766">
        <v>0.99996721820229495</v>
      </c>
      <c r="C4766">
        <v>0.91962079374322103</v>
      </c>
      <c r="D4766">
        <v>0.90646655574183599</v>
      </c>
      <c r="E4766">
        <v>1.1296541513177101</v>
      </c>
      <c r="F4766">
        <v>1.2867519189878001</v>
      </c>
      <c r="G4766">
        <v>1.3023262230968</v>
      </c>
      <c r="H4766">
        <v>0.70983609725671404</v>
      </c>
      <c r="I4766">
        <v>0.476352553059391</v>
      </c>
      <c r="J4766">
        <v>0.347058265036364</v>
      </c>
      <c r="K4766">
        <v>0.27937145125951102</v>
      </c>
      <c r="L4766">
        <v>3140.05916394312</v>
      </c>
      <c r="M4766">
        <v>50.878452882178102</v>
      </c>
      <c r="N4766">
        <v>63.012738627869801</v>
      </c>
      <c r="O4766">
        <v>61.621746741804301</v>
      </c>
      <c r="P4766">
        <v>-0.13945680419407999</v>
      </c>
      <c r="Q4766">
        <v>0.324384637151517</v>
      </c>
      <c r="R4766">
        <v>0.82261514727314999</v>
      </c>
      <c r="S4766" t="s">
        <v>10592</v>
      </c>
      <c r="T4766" t="s">
        <v>11650</v>
      </c>
      <c r="U4766" t="s">
        <v>11650</v>
      </c>
      <c r="V4766" t="s">
        <v>11650</v>
      </c>
      <c r="W4766" t="s">
        <v>16361</v>
      </c>
      <c r="X4766">
        <v>8</v>
      </c>
      <c r="Y4766" t="s">
        <v>22030</v>
      </c>
      <c r="Z4766" t="s">
        <v>27828</v>
      </c>
      <c r="AA4766">
        <v>0.81514643963339717</v>
      </c>
      <c r="AB4766" t="str">
        <f>HYPERLINK("Melting_Curves/meltCurve_Q9BRT2_MNF1.pdf", "Melting_Curves/meltCurve_Q9BRT2_MNF1.pdf")</f>
        <v>Melting_Curves/meltCurve_Q9BRT2_MNF1.pdf</v>
      </c>
    </row>
    <row r="4767" spans="1:28" x14ac:dyDescent="0.25">
      <c r="A4767" t="s">
        <v>4771</v>
      </c>
      <c r="B4767">
        <v>0.99996721820229495</v>
      </c>
      <c r="C4767">
        <v>1.29480194776575</v>
      </c>
      <c r="D4767">
        <v>1.0126622249058701</v>
      </c>
      <c r="E4767">
        <v>0.98450243406811899</v>
      </c>
      <c r="F4767">
        <v>1.0672056137864201</v>
      </c>
      <c r="G4767">
        <v>0.82308163678134405</v>
      </c>
      <c r="H4767">
        <v>0.49694874722473098</v>
      </c>
      <c r="I4767">
        <v>0.377660260982629</v>
      </c>
      <c r="J4767">
        <v>0.26905457077999101</v>
      </c>
      <c r="K4767">
        <v>0.20779711477179499</v>
      </c>
      <c r="L4767">
        <v>1596.3605256542</v>
      </c>
      <c r="M4767">
        <v>26.6498103520867</v>
      </c>
      <c r="N4767">
        <v>61.220200346547898</v>
      </c>
      <c r="O4767">
        <v>59.5671455542047</v>
      </c>
      <c r="P4767">
        <v>-8.7421942368092698E-2</v>
      </c>
      <c r="Q4767">
        <v>0.21839275258422899</v>
      </c>
      <c r="R4767">
        <v>0.92523908419051404</v>
      </c>
      <c r="S4767" t="s">
        <v>10593</v>
      </c>
      <c r="T4767" t="s">
        <v>11650</v>
      </c>
      <c r="U4767" t="s">
        <v>11650</v>
      </c>
      <c r="V4767" t="s">
        <v>11650</v>
      </c>
      <c r="W4767" t="s">
        <v>16362</v>
      </c>
      <c r="X4767">
        <v>3</v>
      </c>
      <c r="Y4767" t="s">
        <v>22031</v>
      </c>
      <c r="Z4767" t="s">
        <v>27829</v>
      </c>
      <c r="AA4767">
        <v>0.74240539230013414</v>
      </c>
      <c r="AB4767" t="str">
        <f>HYPERLINK("Melting_Curves/meltCurve_Q9BRT3_MIEN1.pdf", "Melting_Curves/meltCurve_Q9BRT3_MIEN1.pdf")</f>
        <v>Melting_Curves/meltCurve_Q9BRT3_MIEN1.pdf</v>
      </c>
    </row>
    <row r="4768" spans="1:28" x14ac:dyDescent="0.25">
      <c r="A4768" t="s">
        <v>4772</v>
      </c>
      <c r="B4768">
        <v>0.99996721820229495</v>
      </c>
      <c r="C4768">
        <v>1.0513463181670799</v>
      </c>
      <c r="D4768">
        <v>1.0343761393961599</v>
      </c>
      <c r="E4768">
        <v>0.972499847161996</v>
      </c>
      <c r="F4768">
        <v>1.1340347883583799</v>
      </c>
      <c r="G4768">
        <v>1.1367688529423901</v>
      </c>
      <c r="H4768">
        <v>0.79288218486407702</v>
      </c>
      <c r="I4768">
        <v>0.62251280716403801</v>
      </c>
      <c r="J4768">
        <v>0.50192035250552403</v>
      </c>
      <c r="K4768">
        <v>0.39782203408008798</v>
      </c>
      <c r="L4768">
        <v>2241.7011064417602</v>
      </c>
      <c r="M4768">
        <v>35.754544036474599</v>
      </c>
      <c r="N4768">
        <v>65.993846436992001</v>
      </c>
      <c r="O4768">
        <v>62.5018044726285</v>
      </c>
      <c r="P4768">
        <v>-8.3491480265789203E-2</v>
      </c>
      <c r="Q4768">
        <v>0.41620278710139003</v>
      </c>
      <c r="R4768">
        <v>0.92216441911873603</v>
      </c>
      <c r="S4768" t="s">
        <v>10594</v>
      </c>
      <c r="T4768" t="s">
        <v>11650</v>
      </c>
      <c r="U4768" t="s">
        <v>11650</v>
      </c>
      <c r="V4768" t="s">
        <v>11650</v>
      </c>
      <c r="W4768" t="s">
        <v>16363</v>
      </c>
      <c r="X4768">
        <v>8</v>
      </c>
      <c r="Y4768" t="s">
        <v>22032</v>
      </c>
      <c r="Z4768" t="s">
        <v>27830</v>
      </c>
      <c r="AA4768">
        <v>0.85997961705950809</v>
      </c>
      <c r="AB4768" t="str">
        <f>HYPERLINK("Melting_Curves/meltCurve_Q9BRV8_SIKE1.pdf", "Melting_Curves/meltCurve_Q9BRV8_SIKE1.pdf")</f>
        <v>Melting_Curves/meltCurve_Q9BRV8_SIKE1.pdf</v>
      </c>
    </row>
    <row r="4769" spans="1:28" x14ac:dyDescent="0.25">
      <c r="A4769" t="s">
        <v>4773</v>
      </c>
      <c r="B4769">
        <v>0.99996721820229495</v>
      </c>
      <c r="C4769">
        <v>0.907709377858963</v>
      </c>
      <c r="D4769">
        <v>0.54148856150804103</v>
      </c>
      <c r="E4769">
        <v>0.240120660529696</v>
      </c>
      <c r="F4769">
        <v>0.27830933332176599</v>
      </c>
      <c r="G4769">
        <v>0.210610683657906</v>
      </c>
      <c r="H4769">
        <v>0.13460682995502199</v>
      </c>
      <c r="I4769">
        <v>9.4792234189630495E-2</v>
      </c>
      <c r="J4769">
        <v>7.52935602028805E-2</v>
      </c>
      <c r="K4769">
        <v>5.3793216788310103E-2</v>
      </c>
      <c r="L4769">
        <v>967.69503045738395</v>
      </c>
      <c r="M4769">
        <v>20.919581578590002</v>
      </c>
      <c r="N4769">
        <v>46.870286583756297</v>
      </c>
      <c r="O4769">
        <v>45.841380181392601</v>
      </c>
      <c r="P4769">
        <v>-0.100446001901788</v>
      </c>
      <c r="Q4769">
        <v>0.1195888524199</v>
      </c>
      <c r="R4769">
        <v>0.97253816368253698</v>
      </c>
      <c r="S4769" t="s">
        <v>10595</v>
      </c>
      <c r="T4769" t="s">
        <v>11650</v>
      </c>
      <c r="U4769" t="s">
        <v>11650</v>
      </c>
      <c r="V4769" t="s">
        <v>11650</v>
      </c>
      <c r="W4769" t="s">
        <v>16364</v>
      </c>
      <c r="X4769">
        <v>15</v>
      </c>
      <c r="Y4769" t="s">
        <v>22033</v>
      </c>
      <c r="Z4769" t="s">
        <v>27831</v>
      </c>
      <c r="AA4769">
        <v>0.31531663772188467</v>
      </c>
      <c r="AB4769" t="str">
        <f>HYPERLINK("Melting_Curves/meltCurve_Q9BRX2_PELO.pdf", "Melting_Curves/meltCurve_Q9BRX2_PELO.pdf")</f>
        <v>Melting_Curves/meltCurve_Q9BRX2_PELO.pdf</v>
      </c>
    </row>
    <row r="4770" spans="1:28" x14ac:dyDescent="0.25">
      <c r="A4770" t="s">
        <v>4774</v>
      </c>
      <c r="B4770">
        <v>0.99996721820229495</v>
      </c>
      <c r="C4770">
        <v>1.1663936087462601</v>
      </c>
      <c r="D4770">
        <v>1.0410185730317001</v>
      </c>
      <c r="E4770">
        <v>1.00418242824111</v>
      </c>
      <c r="F4770">
        <v>1.0826977174391299</v>
      </c>
      <c r="G4770">
        <v>0.85666010498756195</v>
      </c>
      <c r="H4770">
        <v>0.33220114640999199</v>
      </c>
      <c r="I4770">
        <v>0.17510703958413501</v>
      </c>
      <c r="J4770">
        <v>0.118301240664393</v>
      </c>
      <c r="K4770">
        <v>8.6558246441189493E-2</v>
      </c>
      <c r="L4770">
        <v>2392.6497613797001</v>
      </c>
      <c r="M4770">
        <v>40.271374417719201</v>
      </c>
      <c r="N4770">
        <v>59.764224483011397</v>
      </c>
      <c r="O4770">
        <v>59.267225699797102</v>
      </c>
      <c r="P4770">
        <v>-0.15197972580164401</v>
      </c>
      <c r="Q4770">
        <v>0.105329913255334</v>
      </c>
      <c r="R4770">
        <v>0.97878697982445295</v>
      </c>
      <c r="S4770" t="s">
        <v>10596</v>
      </c>
      <c r="T4770" t="s">
        <v>11650</v>
      </c>
      <c r="U4770" t="s">
        <v>11650</v>
      </c>
      <c r="V4770" t="s">
        <v>11650</v>
      </c>
      <c r="W4770" t="s">
        <v>16365</v>
      </c>
      <c r="X4770">
        <v>3</v>
      </c>
      <c r="Y4770" t="s">
        <v>22034</v>
      </c>
      <c r="Z4770" t="s">
        <v>27832</v>
      </c>
      <c r="AA4770">
        <v>0.68775430279319427</v>
      </c>
      <c r="AB4770" t="str">
        <f>HYPERLINK("Melting_Curves/meltCurve_Q9BRX8_2_FAM213A.pdf", "Melting_Curves/meltCurve_Q9BRX8_2_FAM213A.pdf")</f>
        <v>Melting_Curves/meltCurve_Q9BRX8_2_FAM213A.pdf</v>
      </c>
    </row>
    <row r="4771" spans="1:28" x14ac:dyDescent="0.25">
      <c r="A4771" t="s">
        <v>4775</v>
      </c>
      <c r="B4771">
        <v>0.99996721820229495</v>
      </c>
      <c r="C4771">
        <v>0.95903745437336996</v>
      </c>
      <c r="D4771">
        <v>0.92466347975719598</v>
      </c>
      <c r="E4771">
        <v>0.77824911726558998</v>
      </c>
      <c r="F4771">
        <v>0.52479012277668202</v>
      </c>
      <c r="G4771">
        <v>0.27497075134118298</v>
      </c>
      <c r="H4771">
        <v>0.16117425848880501</v>
      </c>
      <c r="I4771">
        <v>9.6455369633907204E-2</v>
      </c>
      <c r="J4771">
        <v>6.1797842094241502E-2</v>
      </c>
      <c r="K4771">
        <v>5.6757662657924299E-2</v>
      </c>
      <c r="L4771">
        <v>879.68609805073697</v>
      </c>
      <c r="M4771">
        <v>16.5185418285776</v>
      </c>
      <c r="N4771">
        <v>53.518623114757503</v>
      </c>
      <c r="O4771">
        <v>52.492337892357199</v>
      </c>
      <c r="P4771">
        <v>-7.5596795742591802E-2</v>
      </c>
      <c r="Q4771">
        <v>3.9145699970433101E-2</v>
      </c>
      <c r="R4771">
        <v>0.99876614150827803</v>
      </c>
      <c r="S4771" t="s">
        <v>10597</v>
      </c>
      <c r="T4771" t="s">
        <v>11650</v>
      </c>
      <c r="U4771" t="s">
        <v>11650</v>
      </c>
      <c r="V4771" t="s">
        <v>11650</v>
      </c>
      <c r="W4771" t="s">
        <v>16366</v>
      </c>
      <c r="X4771">
        <v>26</v>
      </c>
      <c r="Y4771" t="s">
        <v>22035</v>
      </c>
      <c r="Z4771" t="s">
        <v>27833</v>
      </c>
      <c r="AA4771">
        <v>0.48150751237004341</v>
      </c>
      <c r="AB4771" t="str">
        <f>HYPERLINK("Melting_Curves/meltCurve_Q9BS26_ERP44.pdf", "Melting_Curves/meltCurve_Q9BS26_ERP44.pdf")</f>
        <v>Melting_Curves/meltCurve_Q9BS26_ERP44.pdf</v>
      </c>
    </row>
    <row r="4772" spans="1:28" x14ac:dyDescent="0.25">
      <c r="A4772" t="s">
        <v>4776</v>
      </c>
      <c r="B4772">
        <v>0.99996721820229495</v>
      </c>
      <c r="C4772">
        <v>1.10219850522616</v>
      </c>
      <c r="D4772">
        <v>1.03810361758114</v>
      </c>
      <c r="E4772">
        <v>0.95940918648945295</v>
      </c>
      <c r="F4772">
        <v>0.88598985516920103</v>
      </c>
      <c r="G4772">
        <v>0.53648811391356799</v>
      </c>
      <c r="H4772">
        <v>0.237376159002883</v>
      </c>
      <c r="I4772">
        <v>0.14710726670074101</v>
      </c>
      <c r="J4772">
        <v>9.0122910611128496E-2</v>
      </c>
      <c r="K4772">
        <v>7.4630433852261605E-2</v>
      </c>
      <c r="L4772">
        <v>1376.88680023079</v>
      </c>
      <c r="M4772">
        <v>24.113149568734801</v>
      </c>
      <c r="N4772">
        <v>57.460873313015902</v>
      </c>
      <c r="O4772">
        <v>56.712699395275898</v>
      </c>
      <c r="P4772">
        <v>-9.8848532773897907E-2</v>
      </c>
      <c r="Q4772">
        <v>7.0070857742833795E-2</v>
      </c>
      <c r="R4772">
        <v>0.99247090997583398</v>
      </c>
      <c r="S4772" t="s">
        <v>10598</v>
      </c>
      <c r="T4772" t="s">
        <v>11650</v>
      </c>
      <c r="U4772" t="s">
        <v>11650</v>
      </c>
      <c r="V4772" t="s">
        <v>11650</v>
      </c>
      <c r="W4772" t="s">
        <v>16367</v>
      </c>
      <c r="X4772">
        <v>6</v>
      </c>
      <c r="Y4772" t="s">
        <v>22036</v>
      </c>
      <c r="Z4772" t="s">
        <v>27834</v>
      </c>
      <c r="AA4772">
        <v>0.60898552294914199</v>
      </c>
      <c r="AB4772" t="str">
        <f>HYPERLINK("Melting_Curves/meltCurve_Q9BS40_LXN.pdf", "Melting_Curves/meltCurve_Q9BS40_LXN.pdf")</f>
        <v>Melting_Curves/meltCurve_Q9BS40_LXN.pdf</v>
      </c>
    </row>
    <row r="4773" spans="1:28" x14ac:dyDescent="0.25">
      <c r="A4773" t="s">
        <v>4777</v>
      </c>
      <c r="B4773">
        <v>0.99996721820229495</v>
      </c>
      <c r="C4773">
        <v>0.98726978109418695</v>
      </c>
      <c r="D4773">
        <v>1.1033189574506701</v>
      </c>
      <c r="E4773">
        <v>1.4272264049569201</v>
      </c>
      <c r="F4773">
        <v>1.81956982442698</v>
      </c>
      <c r="G4773">
        <v>1.889216710511</v>
      </c>
      <c r="H4773">
        <v>1.6450094927202299</v>
      </c>
      <c r="I4773">
        <v>0.98548214466875905</v>
      </c>
      <c r="J4773">
        <v>0.69984252014965997</v>
      </c>
      <c r="K4773">
        <v>0.85690728079780198</v>
      </c>
      <c r="L4773">
        <v>15000</v>
      </c>
      <c r="M4773">
        <v>231.75116697392599</v>
      </c>
      <c r="O4773">
        <v>64.719772200838094</v>
      </c>
      <c r="P4773">
        <v>-0.19841104629866599</v>
      </c>
      <c r="Q4773">
        <v>0.77836369775820302</v>
      </c>
      <c r="R4773">
        <v>-0.30264793325101702</v>
      </c>
      <c r="S4773" t="s">
        <v>10599</v>
      </c>
      <c r="T4773" t="s">
        <v>11650</v>
      </c>
      <c r="U4773" t="s">
        <v>11650</v>
      </c>
      <c r="V4773" t="s">
        <v>11650</v>
      </c>
      <c r="W4773" t="s">
        <v>16368</v>
      </c>
      <c r="X4773">
        <v>4</v>
      </c>
      <c r="Y4773" t="s">
        <v>22037</v>
      </c>
      <c r="Z4773" t="s">
        <v>27835</v>
      </c>
      <c r="AA4773">
        <v>0.96105524237098894</v>
      </c>
      <c r="AB4773" t="str">
        <f>HYPERLINK("Melting_Curves/meltCurve_Q9BSA9_TMEM175.pdf", "Melting_Curves/meltCurve_Q9BSA9_TMEM175.pdf")</f>
        <v>Melting_Curves/meltCurve_Q9BSA9_TMEM175.pdf</v>
      </c>
    </row>
    <row r="4774" spans="1:28" x14ac:dyDescent="0.25">
      <c r="A4774" t="s">
        <v>4778</v>
      </c>
      <c r="B4774">
        <v>0.99996721820229495</v>
      </c>
      <c r="C4774">
        <v>0.87691292304373103</v>
      </c>
      <c r="D4774">
        <v>0.71541944070242203</v>
      </c>
      <c r="E4774">
        <v>0.68625932592966699</v>
      </c>
      <c r="F4774">
        <v>0.78394227220224599</v>
      </c>
      <c r="G4774">
        <v>0.81512305398388496</v>
      </c>
      <c r="H4774">
        <v>0.64696435632857197</v>
      </c>
      <c r="I4774">
        <v>0.44437239844182702</v>
      </c>
      <c r="J4774">
        <v>0.31124356879312098</v>
      </c>
      <c r="K4774">
        <v>0.184299554695664</v>
      </c>
      <c r="L4774">
        <v>371.45572091483598</v>
      </c>
      <c r="M4774">
        <v>6.0160902791323698</v>
      </c>
      <c r="N4774">
        <v>61.743707959040201</v>
      </c>
      <c r="O4774">
        <v>55.9591495226367</v>
      </c>
      <c r="P4774">
        <v>-2.6963361696247402E-2</v>
      </c>
      <c r="Q4774">
        <v>0</v>
      </c>
      <c r="R4774">
        <v>0.78134698072985498</v>
      </c>
      <c r="S4774" t="s">
        <v>10600</v>
      </c>
      <c r="T4774" t="s">
        <v>11650</v>
      </c>
      <c r="U4774" t="s">
        <v>11650</v>
      </c>
      <c r="V4774" t="s">
        <v>11650</v>
      </c>
      <c r="W4774" t="s">
        <v>16369</v>
      </c>
      <c r="X4774">
        <v>5</v>
      </c>
      <c r="Y4774" t="s">
        <v>22038</v>
      </c>
      <c r="Z4774" t="s">
        <v>27836</v>
      </c>
      <c r="AA4774">
        <v>0.66722039225423202</v>
      </c>
      <c r="AB4774" t="str">
        <f>HYPERLINK("Melting_Curves/meltCurve_Q9BSB4_ATG101.pdf", "Melting_Curves/meltCurve_Q9BSB4_ATG101.pdf")</f>
        <v>Melting_Curves/meltCurve_Q9BSB4_ATG101.pdf</v>
      </c>
    </row>
    <row r="4775" spans="1:28" x14ac:dyDescent="0.25">
      <c r="A4775" t="s">
        <v>4779</v>
      </c>
      <c r="B4775">
        <v>0.99996721820229495</v>
      </c>
      <c r="C4775">
        <v>0.95330938589308301</v>
      </c>
      <c r="D4775">
        <v>0.89249532467882997</v>
      </c>
      <c r="E4775">
        <v>0.76632435633348395</v>
      </c>
      <c r="F4775">
        <v>0.605641592606465</v>
      </c>
      <c r="G4775">
        <v>0.38336379478287702</v>
      </c>
      <c r="H4775">
        <v>0.23012368863712801</v>
      </c>
      <c r="I4775">
        <v>0.16558029682199299</v>
      </c>
      <c r="J4775">
        <v>0.109431681267291</v>
      </c>
      <c r="K4775">
        <v>6.8747945692344603E-2</v>
      </c>
      <c r="L4775">
        <v>642.30109436986595</v>
      </c>
      <c r="M4775">
        <v>11.710928610733699</v>
      </c>
      <c r="N4775">
        <v>54.846299171497201</v>
      </c>
      <c r="O4775">
        <v>53.320300546945298</v>
      </c>
      <c r="P4775">
        <v>-5.4922942730442702E-2</v>
      </c>
      <c r="Q4775">
        <v>0</v>
      </c>
      <c r="R4775">
        <v>0.99942921125793005</v>
      </c>
      <c r="S4775" t="s">
        <v>10601</v>
      </c>
      <c r="T4775" t="s">
        <v>11650</v>
      </c>
      <c r="U4775" t="s">
        <v>11650</v>
      </c>
      <c r="V4775" t="s">
        <v>11650</v>
      </c>
      <c r="W4775" t="s">
        <v>16370</v>
      </c>
      <c r="X4775">
        <v>5</v>
      </c>
      <c r="Y4775" t="s">
        <v>22039</v>
      </c>
      <c r="Z4775" t="s">
        <v>27837</v>
      </c>
      <c r="AA4775">
        <v>0.51917840337029075</v>
      </c>
      <c r="AB4775" t="str">
        <f>HYPERLINK("Melting_Curves/meltCurve_Q9BSD7_NTPCR.pdf", "Melting_Curves/meltCurve_Q9BSD7_NTPCR.pdf")</f>
        <v>Melting_Curves/meltCurve_Q9BSD7_NTPCR.pdf</v>
      </c>
    </row>
    <row r="4776" spans="1:28" x14ac:dyDescent="0.25">
      <c r="A4776" t="s">
        <v>4780</v>
      </c>
      <c r="B4776">
        <v>0.99996721820229495</v>
      </c>
      <c r="C4776">
        <v>1.1082603597737799</v>
      </c>
      <c r="D4776">
        <v>1.0456234043183801</v>
      </c>
      <c r="E4776">
        <v>0.84804999935923897</v>
      </c>
      <c r="F4776">
        <v>0.72686533107422502</v>
      </c>
      <c r="G4776">
        <v>0.54790254093270496</v>
      </c>
      <c r="H4776">
        <v>0.20235992583346801</v>
      </c>
      <c r="I4776">
        <v>0.116893744767525</v>
      </c>
      <c r="J4776">
        <v>5.0120147735902197E-2</v>
      </c>
      <c r="K4776">
        <v>5.5540453049611999E-2</v>
      </c>
      <c r="L4776">
        <v>944.43904836128297</v>
      </c>
      <c r="M4776">
        <v>16.658987378783401</v>
      </c>
      <c r="N4776">
        <v>56.692464424060603</v>
      </c>
      <c r="O4776">
        <v>55.894442637483102</v>
      </c>
      <c r="P4776">
        <v>-7.4515917307075505E-2</v>
      </c>
      <c r="Q4776">
        <v>0</v>
      </c>
      <c r="R4776">
        <v>0.98317677576509499</v>
      </c>
      <c r="S4776" t="s">
        <v>10602</v>
      </c>
      <c r="T4776" t="s">
        <v>11650</v>
      </c>
      <c r="U4776" t="s">
        <v>11650</v>
      </c>
      <c r="V4776" t="s">
        <v>11650</v>
      </c>
      <c r="W4776" t="s">
        <v>16371</v>
      </c>
      <c r="X4776">
        <v>1</v>
      </c>
      <c r="Y4776" t="s">
        <v>22040</v>
      </c>
      <c r="Z4776" t="s">
        <v>27838</v>
      </c>
      <c r="AA4776">
        <v>0.57157915324262776</v>
      </c>
      <c r="AB4776" t="str">
        <f>HYPERLINK("Melting_Curves/meltCurve_Q9BSE4_HERPUD2.pdf", "Melting_Curves/meltCurve_Q9BSE4_HERPUD2.pdf")</f>
        <v>Melting_Curves/meltCurve_Q9BSE4_HERPUD2.pdf</v>
      </c>
    </row>
    <row r="4777" spans="1:28" x14ac:dyDescent="0.25">
      <c r="A4777" t="s">
        <v>4781</v>
      </c>
      <c r="B4777">
        <v>0.99996721820229495</v>
      </c>
      <c r="C4777">
        <v>0.86106094589402904</v>
      </c>
      <c r="D4777">
        <v>0.80969330940006801</v>
      </c>
      <c r="E4777">
        <v>0.83613640275407997</v>
      </c>
      <c r="F4777">
        <v>0.86128007072252799</v>
      </c>
      <c r="G4777">
        <v>1.10606621171187</v>
      </c>
      <c r="H4777">
        <v>0.77879825302085504</v>
      </c>
      <c r="I4777">
        <v>0.68147896385416695</v>
      </c>
      <c r="J4777">
        <v>0.42479099037287399</v>
      </c>
      <c r="K4777">
        <v>0.51834242721381296</v>
      </c>
      <c r="L4777">
        <v>2277.6029152894598</v>
      </c>
      <c r="M4777">
        <v>36.533874333125702</v>
      </c>
      <c r="N4777">
        <v>67.330320884980395</v>
      </c>
      <c r="O4777">
        <v>62.1563269303265</v>
      </c>
      <c r="P4777">
        <v>-7.8377322651663098E-2</v>
      </c>
      <c r="Q4777">
        <v>0.46661760608032798</v>
      </c>
      <c r="R4777">
        <v>0.64794436683880796</v>
      </c>
      <c r="S4777" t="s">
        <v>10603</v>
      </c>
      <c r="T4777" t="s">
        <v>11650</v>
      </c>
      <c r="U4777" t="s">
        <v>11650</v>
      </c>
      <c r="V4777" t="s">
        <v>11650</v>
      </c>
      <c r="W4777" t="s">
        <v>16372</v>
      </c>
      <c r="X4777">
        <v>3</v>
      </c>
      <c r="Y4777" t="s">
        <v>22041</v>
      </c>
      <c r="Z4777" t="s">
        <v>27839</v>
      </c>
      <c r="AA4777">
        <v>0.86586613086734354</v>
      </c>
      <c r="AB4777" t="str">
        <f>HYPERLINK("Melting_Curves/meltCurve_Q9BSE5_AGMAT.pdf", "Melting_Curves/meltCurve_Q9BSE5_AGMAT.pdf")</f>
        <v>Melting_Curves/meltCurve_Q9BSE5_AGMAT.pdf</v>
      </c>
    </row>
    <row r="4778" spans="1:28" x14ac:dyDescent="0.25">
      <c r="A4778" t="s">
        <v>4782</v>
      </c>
      <c r="B4778">
        <v>0.99996721820229495</v>
      </c>
      <c r="C4778">
        <v>0.92944521742643904</v>
      </c>
      <c r="D4778">
        <v>1.0206643003224001</v>
      </c>
      <c r="E4778">
        <v>1.3202249906936301</v>
      </c>
      <c r="F4778">
        <v>1.74830980318882</v>
      </c>
      <c r="G4778">
        <v>1.3734377940775999</v>
      </c>
      <c r="H4778">
        <v>0.63600865219745595</v>
      </c>
      <c r="I4778">
        <v>0.435081627651007</v>
      </c>
      <c r="J4778">
        <v>0.30036144127295</v>
      </c>
      <c r="K4778">
        <v>0.23542631581322401</v>
      </c>
      <c r="L4778">
        <v>4755.2861039486697</v>
      </c>
      <c r="M4778">
        <v>77.9847972693331</v>
      </c>
      <c r="N4778">
        <v>61.763443444239002</v>
      </c>
      <c r="O4778">
        <v>60.937029611943998</v>
      </c>
      <c r="P4778">
        <v>-0.21924065740790799</v>
      </c>
      <c r="Q4778">
        <v>0.31474477372569398</v>
      </c>
      <c r="R4778">
        <v>0.62957356221782601</v>
      </c>
      <c r="S4778" t="s">
        <v>10604</v>
      </c>
      <c r="T4778" t="s">
        <v>11650</v>
      </c>
      <c r="U4778" t="s">
        <v>11650</v>
      </c>
      <c r="V4778" t="s">
        <v>11650</v>
      </c>
      <c r="W4778" t="s">
        <v>16373</v>
      </c>
      <c r="X4778">
        <v>4</v>
      </c>
      <c r="Y4778" t="s">
        <v>22042</v>
      </c>
      <c r="Z4778" t="s">
        <v>27840</v>
      </c>
      <c r="AA4778">
        <v>0.79465428407591399</v>
      </c>
      <c r="AB4778" t="str">
        <f>HYPERLINK("Melting_Curves/meltCurve_Q9BSF4_C19orf52.pdf", "Melting_Curves/meltCurve_Q9BSF4_C19orf52.pdf")</f>
        <v>Melting_Curves/meltCurve_Q9BSF4_C19orf52.pdf</v>
      </c>
    </row>
    <row r="4779" spans="1:28" x14ac:dyDescent="0.25">
      <c r="A4779" t="s">
        <v>4783</v>
      </c>
      <c r="B4779">
        <v>0.99996721820229495</v>
      </c>
      <c r="C4779">
        <v>1.0698647614683101</v>
      </c>
      <c r="D4779">
        <v>1.0168994964935301</v>
      </c>
      <c r="E4779">
        <v>0.94807686234250999</v>
      </c>
      <c r="F4779">
        <v>0.65969913225042098</v>
      </c>
      <c r="G4779">
        <v>0.78738991540974002</v>
      </c>
      <c r="H4779">
        <v>0.56426529653837598</v>
      </c>
      <c r="I4779">
        <v>0.50738921152035099</v>
      </c>
      <c r="J4779">
        <v>0.215807786711737</v>
      </c>
      <c r="K4779">
        <v>0.39862894694123302</v>
      </c>
      <c r="L4779">
        <v>616.93153391611997</v>
      </c>
      <c r="M4779">
        <v>10.253347878411599</v>
      </c>
      <c r="N4779">
        <v>62.432307607758098</v>
      </c>
      <c r="O4779">
        <v>58.014836944952101</v>
      </c>
      <c r="P4779">
        <v>-3.7341794741432802E-2</v>
      </c>
      <c r="Q4779">
        <v>0.15523356006408101</v>
      </c>
      <c r="R4779">
        <v>0.89099272493116199</v>
      </c>
      <c r="S4779" t="s">
        <v>10605</v>
      </c>
      <c r="T4779" t="s">
        <v>11650</v>
      </c>
      <c r="U4779" t="s">
        <v>11650</v>
      </c>
      <c r="V4779" t="s">
        <v>11650</v>
      </c>
      <c r="W4779" t="s">
        <v>16374</v>
      </c>
      <c r="X4779">
        <v>1</v>
      </c>
      <c r="Y4779" t="s">
        <v>22043</v>
      </c>
      <c r="Z4779" t="s">
        <v>27841</v>
      </c>
      <c r="AA4779">
        <v>0.71957830912198939</v>
      </c>
      <c r="AB4779" t="str">
        <f>HYPERLINK("Melting_Curves/meltCurve_Q9BSG0_PRADC1.pdf", "Melting_Curves/meltCurve_Q9BSG0_PRADC1.pdf")</f>
        <v>Melting_Curves/meltCurve_Q9BSG0_PRADC1.pdf</v>
      </c>
    </row>
    <row r="4780" spans="1:28" x14ac:dyDescent="0.25">
      <c r="A4780" t="s">
        <v>4784</v>
      </c>
      <c r="B4780">
        <v>0.99996721820229495</v>
      </c>
      <c r="C4780">
        <v>1.0325650802445001</v>
      </c>
      <c r="D4780">
        <v>0.66361026332105799</v>
      </c>
      <c r="E4780">
        <v>0.27979963948243902</v>
      </c>
      <c r="F4780">
        <v>0.36622934577608801</v>
      </c>
      <c r="G4780">
        <v>0.29626275097427801</v>
      </c>
      <c r="H4780">
        <v>0.196254473240036</v>
      </c>
      <c r="I4780">
        <v>0.188667085013805</v>
      </c>
      <c r="J4780">
        <v>0.17157804161930501</v>
      </c>
      <c r="K4780">
        <v>0.173230665507001</v>
      </c>
      <c r="L4780">
        <v>1938.26834916651</v>
      </c>
      <c r="M4780">
        <v>41.820195309581898</v>
      </c>
      <c r="N4780">
        <v>47.051939191431302</v>
      </c>
      <c r="O4780">
        <v>46.242063651219802</v>
      </c>
      <c r="P4780">
        <v>-0.173498475699462</v>
      </c>
      <c r="Q4780">
        <v>0.23262781733315399</v>
      </c>
      <c r="R4780">
        <v>0.96604891356202605</v>
      </c>
      <c r="S4780" t="s">
        <v>10606</v>
      </c>
      <c r="T4780" t="s">
        <v>11650</v>
      </c>
      <c r="U4780" t="s">
        <v>11650</v>
      </c>
      <c r="V4780" t="s">
        <v>11650</v>
      </c>
      <c r="W4780" t="s">
        <v>16375</v>
      </c>
      <c r="X4780">
        <v>6</v>
      </c>
      <c r="Y4780" t="s">
        <v>22044</v>
      </c>
      <c r="Z4780" t="s">
        <v>27842</v>
      </c>
      <c r="AA4780">
        <v>0.39726973416579608</v>
      </c>
      <c r="AB4780" t="str">
        <f>HYPERLINK("Melting_Curves/meltCurve_Q9BSH4_TACO1.pdf", "Melting_Curves/meltCurve_Q9BSH4_TACO1.pdf")</f>
        <v>Melting_Curves/meltCurve_Q9BSH4_TACO1.pdf</v>
      </c>
    </row>
    <row r="4781" spans="1:28" x14ac:dyDescent="0.25">
      <c r="A4781" t="s">
        <v>4785</v>
      </c>
      <c r="B4781">
        <v>0.99996721820229495</v>
      </c>
      <c r="C4781">
        <v>1.0012494510450201</v>
      </c>
      <c r="D4781">
        <v>0.91965912477246603</v>
      </c>
      <c r="E4781">
        <v>0.83305570032139298</v>
      </c>
      <c r="F4781">
        <v>1.1312783847105901</v>
      </c>
      <c r="G4781">
        <v>0.94147778143458904</v>
      </c>
      <c r="H4781">
        <v>0.558129147996135</v>
      </c>
      <c r="I4781">
        <v>0.26278324569184702</v>
      </c>
      <c r="J4781">
        <v>0.12419291838416099</v>
      </c>
      <c r="K4781">
        <v>0.12487968158542299</v>
      </c>
      <c r="L4781">
        <v>2288.40047526748</v>
      </c>
      <c r="M4781">
        <v>37.468592931282302</v>
      </c>
      <c r="N4781">
        <v>61.485720519563898</v>
      </c>
      <c r="O4781">
        <v>60.901963877692403</v>
      </c>
      <c r="P4781">
        <v>-0.13678528834731801</v>
      </c>
      <c r="Q4781">
        <v>0.110671579401918</v>
      </c>
      <c r="R4781">
        <v>0.96117040031760304</v>
      </c>
      <c r="S4781" t="s">
        <v>10607</v>
      </c>
      <c r="T4781" t="s">
        <v>11650</v>
      </c>
      <c r="U4781" t="s">
        <v>11650</v>
      </c>
      <c r="V4781" t="s">
        <v>11650</v>
      </c>
      <c r="W4781" t="s">
        <v>16376</v>
      </c>
      <c r="X4781">
        <v>9</v>
      </c>
      <c r="Y4781" t="s">
        <v>22045</v>
      </c>
      <c r="Z4781" t="s">
        <v>27843</v>
      </c>
      <c r="AA4781">
        <v>0.73914688469040091</v>
      </c>
      <c r="AB4781" t="str">
        <f>HYPERLINK("Melting_Curves/meltCurve_Q9BSH5_HDHD3.pdf", "Melting_Curves/meltCurve_Q9BSH5_HDHD3.pdf")</f>
        <v>Melting_Curves/meltCurve_Q9BSH5_HDHD3.pdf</v>
      </c>
    </row>
    <row r="4782" spans="1:28" x14ac:dyDescent="0.25">
      <c r="A4782" t="s">
        <v>4786</v>
      </c>
      <c r="B4782">
        <v>0.99996721820229495</v>
      </c>
      <c r="C4782">
        <v>0.78402763910185302</v>
      </c>
      <c r="D4782">
        <v>0.72623348161870405</v>
      </c>
      <c r="E4782">
        <v>0.65649132296776302</v>
      </c>
      <c r="F4782">
        <v>0.204809036209156</v>
      </c>
      <c r="G4782">
        <v>0.142315094153042</v>
      </c>
      <c r="H4782">
        <v>8.7475800832857803E-2</v>
      </c>
      <c r="I4782">
        <v>5.7744093209707199E-2</v>
      </c>
      <c r="J4782">
        <v>3.8653788752705802E-2</v>
      </c>
      <c r="K4782">
        <v>3.3965116874702897E-2</v>
      </c>
      <c r="L4782">
        <v>643.10522120651001</v>
      </c>
      <c r="M4782">
        <v>12.890531598548399</v>
      </c>
      <c r="N4782">
        <v>49.8897360531234</v>
      </c>
      <c r="O4782">
        <v>48.734834989703799</v>
      </c>
      <c r="P4782">
        <v>-6.6137934218102296E-2</v>
      </c>
      <c r="Q4782">
        <v>0</v>
      </c>
      <c r="R4782">
        <v>0.95693541611912403</v>
      </c>
      <c r="S4782" t="s">
        <v>10608</v>
      </c>
      <c r="T4782" t="s">
        <v>11650</v>
      </c>
      <c r="U4782" t="s">
        <v>11650</v>
      </c>
      <c r="V4782" t="s">
        <v>11650</v>
      </c>
      <c r="W4782" t="s">
        <v>16377</v>
      </c>
      <c r="X4782">
        <v>3</v>
      </c>
      <c r="Y4782" t="s">
        <v>22046</v>
      </c>
      <c r="Z4782" t="s">
        <v>27844</v>
      </c>
      <c r="AA4782">
        <v>0.36070448238972119</v>
      </c>
      <c r="AB4782" t="str">
        <f>HYPERLINK("Melting_Curves/meltCurve_Q9BSJ5_3_C17orf80.pdf", "Melting_Curves/meltCurve_Q9BSJ5_3_C17orf80.pdf")</f>
        <v>Melting_Curves/meltCurve_Q9BSJ5_3_C17orf80.pdf</v>
      </c>
    </row>
    <row r="4783" spans="1:28" x14ac:dyDescent="0.25">
      <c r="A4783" t="s">
        <v>4787</v>
      </c>
      <c r="B4783">
        <v>0.99996721820229495</v>
      </c>
      <c r="C4783">
        <v>0.87348423679056897</v>
      </c>
      <c r="D4783">
        <v>0.67149144802622596</v>
      </c>
      <c r="E4783">
        <v>0.28158237334650699</v>
      </c>
      <c r="F4783">
        <v>0.45787657972222101</v>
      </c>
      <c r="G4783">
        <v>0.363792472820263</v>
      </c>
      <c r="H4783">
        <v>0.183632354064165</v>
      </c>
      <c r="I4783">
        <v>8.4222617015275406E-2</v>
      </c>
      <c r="J4783">
        <v>3.3755787831291198E-2</v>
      </c>
      <c r="K4783">
        <v>2.62230368178091E-2</v>
      </c>
      <c r="L4783">
        <v>470.32483505890201</v>
      </c>
      <c r="M4783">
        <v>9.4370378825546499</v>
      </c>
      <c r="N4783">
        <v>49.838192401562097</v>
      </c>
      <c r="O4783">
        <v>47.754049748655603</v>
      </c>
      <c r="P4783">
        <v>-4.9434356476889298E-2</v>
      </c>
      <c r="Q4783">
        <v>0</v>
      </c>
      <c r="R4783">
        <v>0.92107474401388301</v>
      </c>
      <c r="S4783" t="s">
        <v>10609</v>
      </c>
      <c r="T4783" t="s">
        <v>11650</v>
      </c>
      <c r="U4783" t="s">
        <v>11650</v>
      </c>
      <c r="V4783" t="s">
        <v>11650</v>
      </c>
      <c r="W4783" t="s">
        <v>16378</v>
      </c>
      <c r="X4783">
        <v>35</v>
      </c>
      <c r="Y4783" t="s">
        <v>22047</v>
      </c>
      <c r="Z4783" t="s">
        <v>27845</v>
      </c>
      <c r="AA4783">
        <v>0.37746751746254309</v>
      </c>
      <c r="AB4783" t="str">
        <f>HYPERLINK("Melting_Curves/meltCurve_Q9BSJ8_2_ESYT1.pdf", "Melting_Curves/meltCurve_Q9BSJ8_2_ESYT1.pdf")</f>
        <v>Melting_Curves/meltCurve_Q9BSJ8_2_ESYT1.pdf</v>
      </c>
    </row>
    <row r="4784" spans="1:28" x14ac:dyDescent="0.25">
      <c r="A4784" t="s">
        <v>4788</v>
      </c>
      <c r="B4784">
        <v>0.99996721820229495</v>
      </c>
      <c r="C4784">
        <v>0.98853471491184397</v>
      </c>
      <c r="D4784">
        <v>1.0068930870974599</v>
      </c>
      <c r="E4784">
        <v>1.3564431020358001</v>
      </c>
      <c r="F4784">
        <v>1.78558780339314</v>
      </c>
      <c r="G4784">
        <v>1.32014986434424</v>
      </c>
      <c r="H4784">
        <v>0.92163510803516502</v>
      </c>
      <c r="I4784">
        <v>0.65270190075491596</v>
      </c>
      <c r="J4784">
        <v>0.488381361558544</v>
      </c>
      <c r="K4784">
        <v>0.36870477317921302</v>
      </c>
      <c r="L4784">
        <v>2972.3374355820802</v>
      </c>
      <c r="M4784">
        <v>46.634406410357002</v>
      </c>
      <c r="N4784">
        <v>65.8775612492867</v>
      </c>
      <c r="O4784">
        <v>63.620136939558002</v>
      </c>
      <c r="P4784">
        <v>-0.111761372228457</v>
      </c>
      <c r="Q4784">
        <v>0.39012707223905202</v>
      </c>
      <c r="R4784">
        <v>0.47848410084366799</v>
      </c>
      <c r="S4784" t="s">
        <v>10610</v>
      </c>
      <c r="T4784" t="s">
        <v>11650</v>
      </c>
      <c r="U4784" t="s">
        <v>11650</v>
      </c>
      <c r="V4784" t="s">
        <v>11650</v>
      </c>
      <c r="W4784" t="s">
        <v>16379</v>
      </c>
      <c r="X4784">
        <v>6</v>
      </c>
      <c r="Y4784" t="s">
        <v>22048</v>
      </c>
      <c r="Z4784" t="s">
        <v>27846</v>
      </c>
      <c r="AA4784">
        <v>0.87411291646084588</v>
      </c>
      <c r="AB4784" t="str">
        <f>HYPERLINK("Melting_Curves/meltCurve_Q9BSL1_UBAC1.pdf", "Melting_Curves/meltCurve_Q9BSL1_UBAC1.pdf")</f>
        <v>Melting_Curves/meltCurve_Q9BSL1_UBAC1.pdf</v>
      </c>
    </row>
    <row r="4785" spans="1:28" x14ac:dyDescent="0.25">
      <c r="A4785" t="s">
        <v>4789</v>
      </c>
      <c r="B4785">
        <v>0.99996721820229495</v>
      </c>
      <c r="C4785">
        <v>1.0341366432135599</v>
      </c>
      <c r="D4785">
        <v>1.1725135861635201</v>
      </c>
      <c r="E4785">
        <v>1.13382353386588</v>
      </c>
      <c r="F4785">
        <v>0.89431221978347997</v>
      </c>
      <c r="G4785">
        <v>1.0086697143307799</v>
      </c>
      <c r="H4785">
        <v>0.68674114580716705</v>
      </c>
      <c r="I4785">
        <v>0.43813527526067803</v>
      </c>
      <c r="J4785">
        <v>0.33458641127794198</v>
      </c>
      <c r="K4785">
        <v>0.33028438851684599</v>
      </c>
      <c r="L4785">
        <v>2629.28706803966</v>
      </c>
      <c r="M4785">
        <v>42.896767104614398</v>
      </c>
      <c r="N4785">
        <v>62.852668607590303</v>
      </c>
      <c r="O4785">
        <v>61.160614693391501</v>
      </c>
      <c r="P4785">
        <v>-0.11791886560451199</v>
      </c>
      <c r="Q4785">
        <v>0.32750382544756601</v>
      </c>
      <c r="R4785">
        <v>0.93712224791140097</v>
      </c>
      <c r="S4785" t="s">
        <v>10611</v>
      </c>
      <c r="T4785" t="s">
        <v>11650</v>
      </c>
      <c r="U4785" t="s">
        <v>11650</v>
      </c>
      <c r="V4785" t="s">
        <v>11650</v>
      </c>
      <c r="W4785" t="s">
        <v>16380</v>
      </c>
      <c r="X4785">
        <v>1</v>
      </c>
      <c r="Y4785" t="s">
        <v>22049</v>
      </c>
      <c r="Z4785" t="s">
        <v>27847</v>
      </c>
      <c r="AA4785">
        <v>0.8070901109656442</v>
      </c>
      <c r="AB4785" t="str">
        <f>HYPERLINK("Melting_Curves/meltCurve_Q9BSN7_TMEM204.pdf", "Melting_Curves/meltCurve_Q9BSN7_TMEM204.pdf")</f>
        <v>Melting_Curves/meltCurve_Q9BSN7_TMEM204.pdf</v>
      </c>
    </row>
    <row r="4786" spans="1:28" x14ac:dyDescent="0.25">
      <c r="A4786" t="s">
        <v>4790</v>
      </c>
      <c r="B4786">
        <v>0.99996721820229495</v>
      </c>
      <c r="C4786">
        <v>0.9964514160986</v>
      </c>
      <c r="D4786">
        <v>1.12025640810821</v>
      </c>
      <c r="E4786">
        <v>1.2455133000868199</v>
      </c>
      <c r="F4786">
        <v>0.80599871131204304</v>
      </c>
      <c r="G4786">
        <v>0.74094245291693295</v>
      </c>
      <c r="H4786">
        <v>0.4186513370646</v>
      </c>
      <c r="I4786">
        <v>0.26452686989157798</v>
      </c>
      <c r="J4786">
        <v>0.17396042779719501</v>
      </c>
      <c r="K4786">
        <v>0.13327064003233899</v>
      </c>
      <c r="L4786">
        <v>1266.4716140990099</v>
      </c>
      <c r="M4786">
        <v>21.390247355494601</v>
      </c>
      <c r="N4786">
        <v>59.881437676410499</v>
      </c>
      <c r="O4786">
        <v>58.6976959973099</v>
      </c>
      <c r="P4786">
        <v>-8.1364673208373206E-2</v>
      </c>
      <c r="Q4786">
        <v>0.106920086608187</v>
      </c>
      <c r="R4786">
        <v>0.934570124515538</v>
      </c>
      <c r="S4786" t="s">
        <v>10612</v>
      </c>
      <c r="T4786" t="s">
        <v>11650</v>
      </c>
      <c r="U4786" t="s">
        <v>11650</v>
      </c>
      <c r="V4786" t="s">
        <v>11650</v>
      </c>
      <c r="W4786" t="s">
        <v>16381</v>
      </c>
      <c r="X4786">
        <v>4</v>
      </c>
      <c r="Y4786" t="s">
        <v>22050</v>
      </c>
      <c r="Z4786" t="s">
        <v>27848</v>
      </c>
      <c r="AA4786">
        <v>0.68706459874501846</v>
      </c>
      <c r="AB4786" t="str">
        <f>HYPERLINK("Melting_Curves/meltCurve_Q9BSQ5_4_CCM2.pdf", "Melting_Curves/meltCurve_Q9BSQ5_4_CCM2.pdf")</f>
        <v>Melting_Curves/meltCurve_Q9BSQ5_4_CCM2.pdf</v>
      </c>
    </row>
    <row r="4787" spans="1:28" x14ac:dyDescent="0.25">
      <c r="A4787" t="s">
        <v>4791</v>
      </c>
      <c r="B4787">
        <v>0.99996721820229495</v>
      </c>
      <c r="C4787">
        <v>0.81805442100861603</v>
      </c>
      <c r="D4787">
        <v>1.0327328180559401</v>
      </c>
      <c r="E4787">
        <v>1.00569657056146</v>
      </c>
      <c r="F4787">
        <v>1.1949260864631199</v>
      </c>
      <c r="G4787">
        <v>0.99970102176687403</v>
      </c>
      <c r="H4787">
        <v>0.69151801487964504</v>
      </c>
      <c r="I4787">
        <v>0.45105304671450003</v>
      </c>
      <c r="J4787">
        <v>0.20768180733783201</v>
      </c>
      <c r="K4787">
        <v>0.15570282967117699</v>
      </c>
      <c r="L4787">
        <v>1956.26925695049</v>
      </c>
      <c r="M4787">
        <v>31.255711056658701</v>
      </c>
      <c r="N4787">
        <v>63.165325131656601</v>
      </c>
      <c r="O4787">
        <v>62.334642324788398</v>
      </c>
      <c r="P4787">
        <v>-0.109807437634514</v>
      </c>
      <c r="Q4787">
        <v>0.12402960726503701</v>
      </c>
      <c r="R4787">
        <v>0.93575946155758105</v>
      </c>
      <c r="S4787" t="s">
        <v>10613</v>
      </c>
      <c r="T4787" t="s">
        <v>11650</v>
      </c>
      <c r="U4787" t="s">
        <v>11650</v>
      </c>
      <c r="V4787" t="s">
        <v>11650</v>
      </c>
      <c r="W4787" t="s">
        <v>16382</v>
      </c>
      <c r="X4787">
        <v>4</v>
      </c>
      <c r="Y4787" t="s">
        <v>22051</v>
      </c>
      <c r="Z4787" t="s">
        <v>27849</v>
      </c>
      <c r="AA4787">
        <v>0.78701645602371506</v>
      </c>
      <c r="AB4787" t="str">
        <f>HYPERLINK("Melting_Curves/meltCurve_Q9BSR8_YIPF4.pdf", "Melting_Curves/meltCurve_Q9BSR8_YIPF4.pdf")</f>
        <v>Melting_Curves/meltCurve_Q9BSR8_YIPF4.pdf</v>
      </c>
    </row>
    <row r="4788" spans="1:28" x14ac:dyDescent="0.25">
      <c r="A4788" t="s">
        <v>4792</v>
      </c>
      <c r="B4788">
        <v>0.99996721820229495</v>
      </c>
      <c r="C4788">
        <v>0.939859967269013</v>
      </c>
      <c r="D4788">
        <v>0.681536200703725</v>
      </c>
      <c r="E4788">
        <v>0.37303763516358801</v>
      </c>
      <c r="F4788">
        <v>0.39175827810084302</v>
      </c>
      <c r="G4788">
        <v>0.31878722937124399</v>
      </c>
      <c r="H4788">
        <v>0.15033317945375499</v>
      </c>
      <c r="I4788">
        <v>8.2178296559999794E-2</v>
      </c>
      <c r="J4788">
        <v>2.1386087003194498E-2</v>
      </c>
      <c r="K4788">
        <v>4.5895046531324001E-2</v>
      </c>
      <c r="L4788">
        <v>554.06536014066796</v>
      </c>
      <c r="M4788">
        <v>11.1420892367133</v>
      </c>
      <c r="N4788">
        <v>49.918994612258402</v>
      </c>
      <c r="O4788">
        <v>48.206072975151102</v>
      </c>
      <c r="P4788">
        <v>-5.6591441490490599E-2</v>
      </c>
      <c r="Q4788">
        <v>2.09465044193036E-2</v>
      </c>
      <c r="R4788">
        <v>0.96273490477628298</v>
      </c>
      <c r="S4788" t="s">
        <v>10614</v>
      </c>
      <c r="T4788" t="s">
        <v>11650</v>
      </c>
      <c r="U4788" t="s">
        <v>11650</v>
      </c>
      <c r="V4788" t="s">
        <v>11650</v>
      </c>
      <c r="W4788" t="s">
        <v>16383</v>
      </c>
      <c r="X4788">
        <v>1</v>
      </c>
      <c r="Y4788" t="s">
        <v>22052</v>
      </c>
      <c r="Z4788" t="s">
        <v>27850</v>
      </c>
      <c r="AA4788">
        <v>0.37704623409747462</v>
      </c>
      <c r="AB4788" t="str">
        <f>HYPERLINK("Melting_Curves/meltCurve_Q9BST9_2_RTKN.pdf", "Melting_Curves/meltCurve_Q9BST9_2_RTKN.pdf")</f>
        <v>Melting_Curves/meltCurve_Q9BST9_2_RTKN.pdf</v>
      </c>
    </row>
    <row r="4789" spans="1:28" x14ac:dyDescent="0.25">
      <c r="A4789" t="s">
        <v>4793</v>
      </c>
      <c r="B4789">
        <v>0.99996721820229495</v>
      </c>
      <c r="C4789">
        <v>1.0717978178985701</v>
      </c>
      <c r="D4789">
        <v>1.1238609176693</v>
      </c>
      <c r="E4789">
        <v>1.2390190070607401</v>
      </c>
      <c r="F4789">
        <v>0.662212609069039</v>
      </c>
      <c r="G4789">
        <v>0.34138718740604002</v>
      </c>
      <c r="H4789">
        <v>7.0777610668932303E-2</v>
      </c>
      <c r="I4789">
        <v>3.7408578939492503E-2</v>
      </c>
      <c r="J4789">
        <v>0</v>
      </c>
      <c r="K4789">
        <v>0</v>
      </c>
      <c r="L4789">
        <v>1661.36088427602</v>
      </c>
      <c r="M4789">
        <v>30.062794338596198</v>
      </c>
      <c r="N4789">
        <v>55.307997893713598</v>
      </c>
      <c r="O4789">
        <v>55.020201046789097</v>
      </c>
      <c r="P4789">
        <v>-0.13495032862810899</v>
      </c>
      <c r="Q4789">
        <v>1.20746396728314E-2</v>
      </c>
      <c r="R4789">
        <v>0.95188832699151205</v>
      </c>
      <c r="S4789" t="s">
        <v>10615</v>
      </c>
      <c r="T4789" t="s">
        <v>11650</v>
      </c>
      <c r="U4789" t="s">
        <v>11650</v>
      </c>
      <c r="V4789" t="s">
        <v>11650</v>
      </c>
      <c r="W4789" t="s">
        <v>16384</v>
      </c>
      <c r="X4789">
        <v>3</v>
      </c>
      <c r="Y4789" t="s">
        <v>22053</v>
      </c>
      <c r="Z4789" t="s">
        <v>27851</v>
      </c>
      <c r="AA4789">
        <v>0.52123885544474169</v>
      </c>
      <c r="AB4789" t="str">
        <f>HYPERLINK("Melting_Curves/meltCurve_Q9BSU1_C16orf70.pdf", "Melting_Curves/meltCurve_Q9BSU1_C16orf70.pdf")</f>
        <v>Melting_Curves/meltCurve_Q9BSU1_C16orf70.pdf</v>
      </c>
    </row>
    <row r="4790" spans="1:28" x14ac:dyDescent="0.25">
      <c r="A4790" t="s">
        <v>4794</v>
      </c>
      <c r="B4790">
        <v>0.99996721820229495</v>
      </c>
      <c r="C4790">
        <v>0.98555600677502897</v>
      </c>
      <c r="D4790">
        <v>0.93988961487731104</v>
      </c>
      <c r="E4790">
        <v>0.83057342182423299</v>
      </c>
      <c r="F4790">
        <v>0.70177321048465702</v>
      </c>
      <c r="G4790">
        <v>0.70486451028796204</v>
      </c>
      <c r="H4790">
        <v>0.53032802588939398</v>
      </c>
      <c r="I4790">
        <v>0.37913032325744001</v>
      </c>
      <c r="J4790">
        <v>0.285445980985571</v>
      </c>
      <c r="K4790">
        <v>0.197037556706399</v>
      </c>
      <c r="L4790">
        <v>524.85373821714097</v>
      </c>
      <c r="M4790">
        <v>8.6668988152657498</v>
      </c>
      <c r="N4790">
        <v>60.558421960643102</v>
      </c>
      <c r="O4790">
        <v>57.593438593473998</v>
      </c>
      <c r="P4790">
        <v>-3.7652554429153301E-2</v>
      </c>
      <c r="Q4790">
        <v>0</v>
      </c>
      <c r="R4790">
        <v>0.97958477039258995</v>
      </c>
      <c r="S4790" t="s">
        <v>10616</v>
      </c>
      <c r="T4790" t="s">
        <v>11650</v>
      </c>
      <c r="U4790" t="s">
        <v>11650</v>
      </c>
      <c r="V4790" t="s">
        <v>11650</v>
      </c>
      <c r="W4790" t="s">
        <v>16385</v>
      </c>
      <c r="X4790">
        <v>2</v>
      </c>
      <c r="Y4790" t="s">
        <v>22054</v>
      </c>
      <c r="Z4790" t="s">
        <v>27852</v>
      </c>
      <c r="AA4790">
        <v>0.66929324340100493</v>
      </c>
      <c r="AB4790" t="str">
        <f>HYPERLINK("Melting_Curves/meltCurve_Q9BSW2_2_EFCAB4B.pdf", "Melting_Curves/meltCurve_Q9BSW2_2_EFCAB4B.pdf")</f>
        <v>Melting_Curves/meltCurve_Q9BSW2_2_EFCAB4B.pdf</v>
      </c>
    </row>
    <row r="4791" spans="1:28" x14ac:dyDescent="0.25">
      <c r="A4791" t="s">
        <v>4795</v>
      </c>
      <c r="B4791">
        <v>0.99996721820229495</v>
      </c>
      <c r="C4791">
        <v>1.03739580193307</v>
      </c>
      <c r="D4791">
        <v>0.96814450968493304</v>
      </c>
      <c r="E4791">
        <v>0.93393477661136604</v>
      </c>
      <c r="F4791">
        <v>0.99771911800730395</v>
      </c>
      <c r="G4791">
        <v>0.93747837220739005</v>
      </c>
      <c r="H4791">
        <v>0.66590220406865097</v>
      </c>
      <c r="I4791">
        <v>0.58268172700912702</v>
      </c>
      <c r="J4791">
        <v>0.55223507845756703</v>
      </c>
      <c r="K4791">
        <v>0.36542220717713603</v>
      </c>
      <c r="L4791">
        <v>1074.90227844738</v>
      </c>
      <c r="M4791">
        <v>17.232041178467099</v>
      </c>
      <c r="N4791">
        <v>66.301672755423496</v>
      </c>
      <c r="O4791">
        <v>61.556237066091299</v>
      </c>
      <c r="P4791">
        <v>-4.7616611235790099E-2</v>
      </c>
      <c r="Q4791">
        <v>0.31965629339144502</v>
      </c>
      <c r="R4791">
        <v>0.96170169105284498</v>
      </c>
      <c r="S4791" t="s">
        <v>10617</v>
      </c>
      <c r="T4791" t="s">
        <v>11650</v>
      </c>
      <c r="U4791" t="s">
        <v>11650</v>
      </c>
      <c r="V4791" t="s">
        <v>11650</v>
      </c>
      <c r="W4791" t="s">
        <v>16386</v>
      </c>
      <c r="X4791">
        <v>8</v>
      </c>
      <c r="Y4791" t="s">
        <v>22055</v>
      </c>
      <c r="Z4791" t="s">
        <v>27853</v>
      </c>
      <c r="AA4791">
        <v>0.82637182131189346</v>
      </c>
      <c r="AB4791" t="str">
        <f>HYPERLINK("Melting_Curves/meltCurve_Q9BSY4_CHCHD5.pdf", "Melting_Curves/meltCurve_Q9BSY4_CHCHD5.pdf")</f>
        <v>Melting_Curves/meltCurve_Q9BSY4_CHCHD5.pdf</v>
      </c>
    </row>
    <row r="4792" spans="1:28" x14ac:dyDescent="0.25">
      <c r="A4792" t="s">
        <v>4796</v>
      </c>
      <c r="B4792">
        <v>0.99996721820229495</v>
      </c>
      <c r="C4792">
        <v>1.06574308465531</v>
      </c>
      <c r="D4792">
        <v>0.98886163955860695</v>
      </c>
      <c r="E4792">
        <v>1.09527780200164</v>
      </c>
      <c r="F4792">
        <v>1.3758546228175601</v>
      </c>
      <c r="G4792">
        <v>1.5170920452768399</v>
      </c>
      <c r="H4792">
        <v>1.2388338014384099</v>
      </c>
      <c r="I4792">
        <v>1.0580191115934801</v>
      </c>
      <c r="J4792">
        <v>0.97534245501163097</v>
      </c>
      <c r="K4792">
        <v>0.77302286527929198</v>
      </c>
      <c r="L4792">
        <v>15000</v>
      </c>
      <c r="M4792">
        <v>221.77511236409299</v>
      </c>
      <c r="O4792">
        <v>67.630584337732898</v>
      </c>
      <c r="P4792">
        <v>-0.18618064545087401</v>
      </c>
      <c r="Q4792">
        <v>0.77289596597770405</v>
      </c>
      <c r="R4792">
        <v>-0.15913044284018099</v>
      </c>
      <c r="S4792" t="s">
        <v>10618</v>
      </c>
      <c r="T4792" t="s">
        <v>11650</v>
      </c>
      <c r="U4792" t="s">
        <v>11650</v>
      </c>
      <c r="V4792" t="s">
        <v>11650</v>
      </c>
      <c r="W4792" t="s">
        <v>16387</v>
      </c>
      <c r="X4792">
        <v>15</v>
      </c>
      <c r="Y4792" t="s">
        <v>22056</v>
      </c>
      <c r="Z4792" t="s">
        <v>27854</v>
      </c>
      <c r="AA4792">
        <v>0.98213769620888469</v>
      </c>
      <c r="AB4792" t="str">
        <f>HYPERLINK("Melting_Curves/meltCurve_Q9BT09_CNPY3.pdf", "Melting_Curves/meltCurve_Q9BT09_CNPY3.pdf")</f>
        <v>Melting_Curves/meltCurve_Q9BT09_CNPY3.pdf</v>
      </c>
    </row>
    <row r="4793" spans="1:28" x14ac:dyDescent="0.25">
      <c r="A4793" t="s">
        <v>4797</v>
      </c>
      <c r="B4793">
        <v>0.99996721820229495</v>
      </c>
      <c r="C4793">
        <v>1.0448743325644201</v>
      </c>
      <c r="D4793">
        <v>1.0491440811311299</v>
      </c>
      <c r="E4793">
        <v>0.91496626434545003</v>
      </c>
      <c r="F4793">
        <v>0.59277667019805502</v>
      </c>
      <c r="G4793">
        <v>0.31502051835323203</v>
      </c>
      <c r="H4793">
        <v>0.173999736647616</v>
      </c>
      <c r="I4793">
        <v>0.135185155371013</v>
      </c>
      <c r="J4793">
        <v>9.9473067458004702E-2</v>
      </c>
      <c r="K4793">
        <v>8.4342431408784099E-2</v>
      </c>
      <c r="L4793">
        <v>1308.2481184851899</v>
      </c>
      <c r="M4793">
        <v>24.3068554167466</v>
      </c>
      <c r="N4793">
        <v>54.353897910831897</v>
      </c>
      <c r="O4793">
        <v>53.461869544775197</v>
      </c>
      <c r="P4793">
        <v>-0.101638982296733</v>
      </c>
      <c r="Q4793">
        <v>0.105811578642621</v>
      </c>
      <c r="R4793">
        <v>0.99300957688802005</v>
      </c>
      <c r="S4793" t="s">
        <v>10619</v>
      </c>
      <c r="T4793" t="s">
        <v>11650</v>
      </c>
      <c r="U4793" t="s">
        <v>11650</v>
      </c>
      <c r="V4793" t="s">
        <v>11650</v>
      </c>
      <c r="W4793" t="s">
        <v>16388</v>
      </c>
      <c r="X4793">
        <v>8</v>
      </c>
      <c r="Y4793" t="s">
        <v>22057</v>
      </c>
      <c r="Z4793" t="s">
        <v>27855</v>
      </c>
      <c r="AA4793">
        <v>0.52650405138849321</v>
      </c>
      <c r="AB4793" t="str">
        <f>HYPERLINK("Melting_Curves/meltCurve_Q9BT22_ALG1.pdf", "Melting_Curves/meltCurve_Q9BT22_ALG1.pdf")</f>
        <v>Melting_Curves/meltCurve_Q9BT22_ALG1.pdf</v>
      </c>
    </row>
    <row r="4794" spans="1:28" x14ac:dyDescent="0.25">
      <c r="A4794" t="s">
        <v>4798</v>
      </c>
      <c r="B4794">
        <v>0.99996721820229495</v>
      </c>
      <c r="C4794">
        <v>1.13677353720427</v>
      </c>
      <c r="D4794">
        <v>1.2115912846894701</v>
      </c>
      <c r="E4794">
        <v>1.23249583277496</v>
      </c>
      <c r="F4794">
        <v>1.8271293556239301</v>
      </c>
      <c r="G4794">
        <v>1.87472539598962</v>
      </c>
      <c r="H4794">
        <v>1.2209932589689101</v>
      </c>
      <c r="I4794">
        <v>1.17564026331648</v>
      </c>
      <c r="J4794">
        <v>0.77797696068931699</v>
      </c>
      <c r="K4794">
        <v>0.42778120210354198</v>
      </c>
      <c r="L4794">
        <v>15000</v>
      </c>
      <c r="M4794">
        <v>223.42460923728899</v>
      </c>
      <c r="N4794">
        <v>67.722981569806905</v>
      </c>
      <c r="O4794">
        <v>67.131360873428903</v>
      </c>
      <c r="P4794">
        <v>-0.47616318100722499</v>
      </c>
      <c r="Q4794">
        <v>0.42771778523814002</v>
      </c>
      <c r="R4794">
        <v>1.28153532208308E-2</v>
      </c>
      <c r="S4794" t="s">
        <v>10620</v>
      </c>
      <c r="T4794" t="s">
        <v>11650</v>
      </c>
      <c r="U4794" t="s">
        <v>11650</v>
      </c>
      <c r="V4794" t="s">
        <v>11650</v>
      </c>
      <c r="W4794" t="s">
        <v>16389</v>
      </c>
      <c r="X4794">
        <v>2</v>
      </c>
      <c r="Y4794" t="s">
        <v>22058</v>
      </c>
      <c r="Z4794" t="s">
        <v>27856</v>
      </c>
      <c r="AA4794">
        <v>0.94546400169919231</v>
      </c>
      <c r="AB4794" t="str">
        <f>HYPERLINK("Melting_Curves/meltCurve_Q9BT73_PSMG3.pdf", "Melting_Curves/meltCurve_Q9BT73_PSMG3.pdf")</f>
        <v>Melting_Curves/meltCurve_Q9BT73_PSMG3.pdf</v>
      </c>
    </row>
    <row r="4795" spans="1:28" x14ac:dyDescent="0.25">
      <c r="A4795" t="s">
        <v>4799</v>
      </c>
      <c r="B4795">
        <v>0.99996721820229495</v>
      </c>
      <c r="C4795">
        <v>1.0189937619915199</v>
      </c>
      <c r="D4795">
        <v>1.0312917032242199</v>
      </c>
      <c r="E4795">
        <v>1.27980108116531</v>
      </c>
      <c r="F4795">
        <v>1.5382555118336401</v>
      </c>
      <c r="G4795">
        <v>0.956260922771483</v>
      </c>
      <c r="H4795">
        <v>0.28074081473112</v>
      </c>
      <c r="I4795">
        <v>0.19934315785921</v>
      </c>
      <c r="J4795">
        <v>0.105870101429494</v>
      </c>
      <c r="K4795">
        <v>8.9677738595748693E-2</v>
      </c>
      <c r="L4795">
        <v>3824.4374759627899</v>
      </c>
      <c r="M4795">
        <v>64.182682692758107</v>
      </c>
      <c r="N4795">
        <v>59.8576155438558</v>
      </c>
      <c r="O4795">
        <v>59.5289855614296</v>
      </c>
      <c r="P4795">
        <v>-0.235575319111889</v>
      </c>
      <c r="Q4795">
        <v>0.12602250577142299</v>
      </c>
      <c r="R4795">
        <v>0.85177301529424099</v>
      </c>
      <c r="S4795" t="s">
        <v>10621</v>
      </c>
      <c r="T4795" t="s">
        <v>11650</v>
      </c>
      <c r="U4795" t="s">
        <v>11650</v>
      </c>
      <c r="V4795" t="s">
        <v>11650</v>
      </c>
      <c r="W4795" t="s">
        <v>16390</v>
      </c>
      <c r="X4795">
        <v>16</v>
      </c>
      <c r="Y4795" t="s">
        <v>22059</v>
      </c>
      <c r="Z4795" t="s">
        <v>27857</v>
      </c>
      <c r="AA4795">
        <v>0.69802339701485017</v>
      </c>
      <c r="AB4795" t="str">
        <f>HYPERLINK("Melting_Curves/meltCurve_Q9BT78_COPS4.pdf", "Melting_Curves/meltCurve_Q9BT78_COPS4.pdf")</f>
        <v>Melting_Curves/meltCurve_Q9BT78_COPS4.pdf</v>
      </c>
    </row>
    <row r="4796" spans="1:28" x14ac:dyDescent="0.25">
      <c r="A4796" t="s">
        <v>4800</v>
      </c>
      <c r="B4796">
        <v>0.99996721820229495</v>
      </c>
      <c r="C4796">
        <v>0.84773983141534603</v>
      </c>
      <c r="D4796">
        <v>0.78587081374752799</v>
      </c>
      <c r="E4796">
        <v>0.81364294341509202</v>
      </c>
      <c r="F4796">
        <v>0.85175555185169405</v>
      </c>
      <c r="G4796">
        <v>0.87627772965067396</v>
      </c>
      <c r="H4796">
        <v>0.54976650399542604</v>
      </c>
      <c r="I4796">
        <v>0.47468484164858799</v>
      </c>
      <c r="J4796">
        <v>0.37283981906776098</v>
      </c>
      <c r="K4796">
        <v>0.33379329094222798</v>
      </c>
      <c r="L4796">
        <v>433.081560660935</v>
      </c>
      <c r="M4796">
        <v>6.7856216009952099</v>
      </c>
      <c r="N4796">
        <v>63.823417437803897</v>
      </c>
      <c r="O4796">
        <v>58.967961563386098</v>
      </c>
      <c r="P4796">
        <v>-2.8828014057357399E-2</v>
      </c>
      <c r="Q4796">
        <v>0</v>
      </c>
      <c r="R4796">
        <v>0.84245523424294699</v>
      </c>
      <c r="S4796" t="s">
        <v>10622</v>
      </c>
      <c r="T4796" t="s">
        <v>11650</v>
      </c>
      <c r="U4796" t="s">
        <v>11650</v>
      </c>
      <c r="V4796" t="s">
        <v>11650</v>
      </c>
      <c r="W4796" t="s">
        <v>16391</v>
      </c>
      <c r="X4796">
        <v>8</v>
      </c>
      <c r="Y4796" t="s">
        <v>22060</v>
      </c>
      <c r="Z4796" t="s">
        <v>27858</v>
      </c>
      <c r="AA4796">
        <v>0.718496987243472</v>
      </c>
      <c r="AB4796" t="str">
        <f>HYPERLINK("Melting_Curves/meltCurve_Q9BTC0_DIDO1.pdf", "Melting_Curves/meltCurve_Q9BTC0_DIDO1.pdf")</f>
        <v>Melting_Curves/meltCurve_Q9BTC0_DIDO1.pdf</v>
      </c>
    </row>
    <row r="4797" spans="1:28" x14ac:dyDescent="0.25">
      <c r="A4797" t="s">
        <v>4801</v>
      </c>
      <c r="B4797">
        <v>0.99996721820229495</v>
      </c>
      <c r="C4797">
        <v>0.96798711929093295</v>
      </c>
      <c r="D4797">
        <v>0.92861022155266604</v>
      </c>
      <c r="E4797">
        <v>0.40190115968196499</v>
      </c>
      <c r="F4797">
        <v>0.31959074896275902</v>
      </c>
      <c r="G4797">
        <v>0.30376786840610698</v>
      </c>
      <c r="H4797">
        <v>0.22901792322973599</v>
      </c>
      <c r="I4797">
        <v>0.182575349057326</v>
      </c>
      <c r="J4797">
        <v>0.14625337650308201</v>
      </c>
      <c r="K4797">
        <v>0.107074024639327</v>
      </c>
      <c r="L4797">
        <v>1489.5985098988699</v>
      </c>
      <c r="M4797">
        <v>30.572040483146701</v>
      </c>
      <c r="N4797">
        <v>49.534640950991601</v>
      </c>
      <c r="O4797">
        <v>48.51717306706</v>
      </c>
      <c r="P4797">
        <v>-0.12653194673002599</v>
      </c>
      <c r="Q4797">
        <v>0.196791103403573</v>
      </c>
      <c r="R4797">
        <v>0.97499673329898595</v>
      </c>
      <c r="S4797" t="s">
        <v>10623</v>
      </c>
      <c r="T4797" t="s">
        <v>11650</v>
      </c>
      <c r="U4797" t="s">
        <v>11650</v>
      </c>
      <c r="V4797" t="s">
        <v>11650</v>
      </c>
      <c r="W4797" t="s">
        <v>16392</v>
      </c>
      <c r="X4797">
        <v>7</v>
      </c>
      <c r="Y4797" t="s">
        <v>22061</v>
      </c>
      <c r="Z4797" t="s">
        <v>27859</v>
      </c>
      <c r="AA4797">
        <v>0.43505765049127593</v>
      </c>
      <c r="AB4797" t="str">
        <f>HYPERLINK("Melting_Curves/meltCurve_Q9BTE3_2_MCMBP.pdf", "Melting_Curves/meltCurve_Q9BTE3_2_MCMBP.pdf")</f>
        <v>Melting_Curves/meltCurve_Q9BTE3_2_MCMBP.pdf</v>
      </c>
    </row>
    <row r="4798" spans="1:28" x14ac:dyDescent="0.25">
      <c r="A4798" t="s">
        <v>4802</v>
      </c>
      <c r="B4798">
        <v>0.99996721820229495</v>
      </c>
      <c r="C4798">
        <v>1.1072313864383601</v>
      </c>
      <c r="D4798">
        <v>1.2125415711190299</v>
      </c>
      <c r="E4798">
        <v>1.2965159924859</v>
      </c>
      <c r="F4798">
        <v>1.24370646862654</v>
      </c>
      <c r="G4798">
        <v>1.4406565271090399</v>
      </c>
      <c r="H4798">
        <v>1.2947944425840801</v>
      </c>
      <c r="I4798">
        <v>1.68606601867753</v>
      </c>
      <c r="J4798">
        <v>2.3119183498841198</v>
      </c>
      <c r="K4798">
        <v>1.63564010555337</v>
      </c>
      <c r="L4798">
        <v>729.06525591940294</v>
      </c>
      <c r="M4798">
        <v>15.0279192362012</v>
      </c>
      <c r="O4798">
        <v>47.679329948069203</v>
      </c>
      <c r="P4798">
        <v>3.9402376520375898E-2</v>
      </c>
      <c r="Q4798">
        <v>1.5</v>
      </c>
      <c r="R4798">
        <v>0.38674533533154398</v>
      </c>
      <c r="S4798" t="s">
        <v>10624</v>
      </c>
      <c r="T4798" t="s">
        <v>11650</v>
      </c>
      <c r="U4798" t="s">
        <v>11650</v>
      </c>
      <c r="V4798" t="s">
        <v>11650</v>
      </c>
      <c r="W4798" t="s">
        <v>16393</v>
      </c>
      <c r="X4798">
        <v>3</v>
      </c>
      <c r="Y4798" t="s">
        <v>22062</v>
      </c>
      <c r="Z4798" t="s">
        <v>27860</v>
      </c>
      <c r="AA4798">
        <v>1.345566362953629</v>
      </c>
      <c r="AB4798" t="str">
        <f>HYPERLINK("Melting_Curves/meltCurve_Q9BTL3_FAM103A1.pdf", "Melting_Curves/meltCurve_Q9BTL3_FAM103A1.pdf")</f>
        <v>Melting_Curves/meltCurve_Q9BTL3_FAM103A1.pdf</v>
      </c>
    </row>
    <row r="4799" spans="1:28" x14ac:dyDescent="0.25">
      <c r="A4799" t="s">
        <v>4803</v>
      </c>
      <c r="B4799">
        <v>0.99996721820229495</v>
      </c>
      <c r="C4799">
        <v>0.88787772449665403</v>
      </c>
      <c r="D4799">
        <v>0.50937722569564603</v>
      </c>
      <c r="E4799">
        <v>0.27229588939460198</v>
      </c>
      <c r="F4799">
        <v>0.323080065265543</v>
      </c>
      <c r="G4799">
        <v>0.32795655619013397</v>
      </c>
      <c r="H4799">
        <v>0.27555868481170198</v>
      </c>
      <c r="I4799">
        <v>0.27255798380701002</v>
      </c>
      <c r="J4799">
        <v>0.26744685900565102</v>
      </c>
      <c r="K4799">
        <v>0.21015947665956899</v>
      </c>
      <c r="L4799">
        <v>1591.0089408363399</v>
      </c>
      <c r="M4799">
        <v>35.349543052061598</v>
      </c>
      <c r="N4799">
        <v>46.049612757693303</v>
      </c>
      <c r="O4799">
        <v>44.864602525492202</v>
      </c>
      <c r="P4799">
        <v>-0.14275945923663899</v>
      </c>
      <c r="Q4799">
        <v>0.27525806286785498</v>
      </c>
      <c r="R4799">
        <v>0.98640758842965703</v>
      </c>
      <c r="S4799" t="s">
        <v>10625</v>
      </c>
      <c r="T4799" t="s">
        <v>11650</v>
      </c>
      <c r="U4799" t="s">
        <v>11650</v>
      </c>
      <c r="V4799" t="s">
        <v>11650</v>
      </c>
      <c r="W4799" t="s">
        <v>16394</v>
      </c>
      <c r="X4799">
        <v>5</v>
      </c>
      <c r="Y4799" t="s">
        <v>22063</v>
      </c>
      <c r="Z4799" t="s">
        <v>27861</v>
      </c>
      <c r="AA4799">
        <v>0.39940963293867549</v>
      </c>
      <c r="AB4799" t="str">
        <f>HYPERLINK("Melting_Curves/meltCurve_Q9BTT0_ANP32E.pdf", "Melting_Curves/meltCurve_Q9BTT0_ANP32E.pdf")</f>
        <v>Melting_Curves/meltCurve_Q9BTT0_ANP32E.pdf</v>
      </c>
    </row>
    <row r="4800" spans="1:28" x14ac:dyDescent="0.25">
      <c r="A4800" t="s">
        <v>4804</v>
      </c>
      <c r="B4800">
        <v>0.99996721820229495</v>
      </c>
      <c r="C4800">
        <v>0.974236805016504</v>
      </c>
      <c r="D4800">
        <v>1.0143404634536901</v>
      </c>
      <c r="E4800">
        <v>1.04239225905649</v>
      </c>
      <c r="F4800">
        <v>0.72004213966309705</v>
      </c>
      <c r="G4800">
        <v>0.418615347483278</v>
      </c>
      <c r="H4800">
        <v>0.23575003545560499</v>
      </c>
      <c r="I4800">
        <v>0.17348252940973199</v>
      </c>
      <c r="J4800">
        <v>0.12703051450525299</v>
      </c>
      <c r="K4800">
        <v>0.115214253872506</v>
      </c>
      <c r="L4800">
        <v>1361.3810328030299</v>
      </c>
      <c r="M4800">
        <v>24.6274466492609</v>
      </c>
      <c r="N4800">
        <v>55.967572050851203</v>
      </c>
      <c r="O4800">
        <v>54.918403430838097</v>
      </c>
      <c r="P4800">
        <v>-9.7458939931147001E-2</v>
      </c>
      <c r="Q4800">
        <v>0.13069136861533101</v>
      </c>
      <c r="R4800">
        <v>0.98903206905698304</v>
      </c>
      <c r="S4800" t="s">
        <v>10626</v>
      </c>
      <c r="T4800" t="s">
        <v>11650</v>
      </c>
      <c r="U4800" t="s">
        <v>11650</v>
      </c>
      <c r="V4800" t="s">
        <v>11650</v>
      </c>
      <c r="W4800" t="s">
        <v>16395</v>
      </c>
      <c r="X4800">
        <v>21</v>
      </c>
      <c r="Y4800" t="s">
        <v>22064</v>
      </c>
      <c r="Z4800" t="s">
        <v>27862</v>
      </c>
      <c r="AA4800">
        <v>0.58167317556134335</v>
      </c>
      <c r="AB4800" t="str">
        <f>HYPERLINK("Melting_Curves/meltCurve_Q9BTU6_PI4K2A.pdf", "Melting_Curves/meltCurve_Q9BTU6_PI4K2A.pdf")</f>
        <v>Melting_Curves/meltCurve_Q9BTU6_PI4K2A.pdf</v>
      </c>
    </row>
    <row r="4801" spans="1:28" x14ac:dyDescent="0.25">
      <c r="A4801" t="s">
        <v>4805</v>
      </c>
      <c r="B4801">
        <v>0.99996721820229495</v>
      </c>
      <c r="C4801">
        <v>0.931768960072476</v>
      </c>
      <c r="D4801">
        <v>1.0408226231023701</v>
      </c>
      <c r="E4801">
        <v>0.94048303195892802</v>
      </c>
      <c r="F4801">
        <v>0.86298960935590197</v>
      </c>
      <c r="G4801">
        <v>0.806545102720162</v>
      </c>
      <c r="H4801">
        <v>0.51646634007383496</v>
      </c>
      <c r="I4801">
        <v>0.25891427113250298</v>
      </c>
      <c r="J4801">
        <v>0.17101297279843899</v>
      </c>
      <c r="K4801">
        <v>0.148720504094037</v>
      </c>
      <c r="L4801">
        <v>1095.29987760328</v>
      </c>
      <c r="M4801">
        <v>18.086339856860398</v>
      </c>
      <c r="N4801">
        <v>60.856274791989101</v>
      </c>
      <c r="O4801">
        <v>59.833729309740598</v>
      </c>
      <c r="P4801">
        <v>-7.2382892746905403E-2</v>
      </c>
      <c r="Q4801">
        <v>4.2210033173350703E-2</v>
      </c>
      <c r="R4801">
        <v>0.98407816031347795</v>
      </c>
      <c r="S4801" t="s">
        <v>10627</v>
      </c>
      <c r="T4801" t="s">
        <v>11650</v>
      </c>
      <c r="U4801" t="s">
        <v>11650</v>
      </c>
      <c r="V4801" t="s">
        <v>11650</v>
      </c>
      <c r="W4801" t="s">
        <v>16396</v>
      </c>
      <c r="X4801">
        <v>6</v>
      </c>
      <c r="Y4801" t="s">
        <v>22065</v>
      </c>
      <c r="Z4801" t="s">
        <v>27863</v>
      </c>
      <c r="AA4801">
        <v>0.70504019769122672</v>
      </c>
      <c r="AB4801" t="str">
        <f>HYPERLINK("Melting_Curves/meltCurve_Q9BTV4_TMEM43.pdf", "Melting_Curves/meltCurve_Q9BTV4_TMEM43.pdf")</f>
        <v>Melting_Curves/meltCurve_Q9BTV4_TMEM43.pdf</v>
      </c>
    </row>
    <row r="4802" spans="1:28" x14ac:dyDescent="0.25">
      <c r="A4802" t="s">
        <v>4806</v>
      </c>
      <c r="B4802">
        <v>0.99996721820229495</v>
      </c>
      <c r="C4802">
        <v>1.03489780628335</v>
      </c>
      <c r="D4802">
        <v>0.98937849118029697</v>
      </c>
      <c r="E4802">
        <v>0.98924545242097395</v>
      </c>
      <c r="F4802">
        <v>1.2688527081188401</v>
      </c>
      <c r="G4802">
        <v>1.3519615088575301</v>
      </c>
      <c r="H4802">
        <v>0.72987610729969399</v>
      </c>
      <c r="I4802">
        <v>0.289581186413851</v>
      </c>
      <c r="J4802">
        <v>0.102122143993797</v>
      </c>
      <c r="K4802">
        <v>5.8866489808179497E-2</v>
      </c>
      <c r="L4802">
        <v>3216.3999983852</v>
      </c>
      <c r="M4802">
        <v>51.6243163819017</v>
      </c>
      <c r="N4802">
        <v>62.498727623649202</v>
      </c>
      <c r="O4802">
        <v>62.2106949249454</v>
      </c>
      <c r="P4802">
        <v>-0.19204574563718499</v>
      </c>
      <c r="Q4802">
        <v>7.4289713554022696E-2</v>
      </c>
      <c r="R4802">
        <v>0.896617898529948</v>
      </c>
      <c r="S4802" t="s">
        <v>10628</v>
      </c>
      <c r="T4802" t="s">
        <v>11650</v>
      </c>
      <c r="U4802" t="s">
        <v>11650</v>
      </c>
      <c r="V4802" t="s">
        <v>11650</v>
      </c>
      <c r="W4802" t="s">
        <v>16397</v>
      </c>
      <c r="X4802">
        <v>4</v>
      </c>
      <c r="Y4802" t="s">
        <v>22066</v>
      </c>
      <c r="Z4802" t="s">
        <v>27864</v>
      </c>
      <c r="AA4802">
        <v>0.76474090427427344</v>
      </c>
      <c r="AB4802" t="str">
        <f>HYPERLINK("Melting_Curves/meltCurve_Q9BTV6_WDR85.pdf", "Melting_Curves/meltCurve_Q9BTV6_WDR85.pdf")</f>
        <v>Melting_Curves/meltCurve_Q9BTV6_WDR85.pdf</v>
      </c>
    </row>
    <row r="4803" spans="1:28" x14ac:dyDescent="0.25">
      <c r="A4803" t="s">
        <v>4807</v>
      </c>
      <c r="B4803">
        <v>0.99996721820229495</v>
      </c>
      <c r="C4803">
        <v>1.1386925486283399</v>
      </c>
      <c r="D4803">
        <v>0.99007207354233395</v>
      </c>
      <c r="E4803">
        <v>0.96601018941958305</v>
      </c>
      <c r="F4803">
        <v>0.92354897217268594</v>
      </c>
      <c r="G4803">
        <v>0.58859977270647401</v>
      </c>
      <c r="H4803">
        <v>0.28382622107640898</v>
      </c>
      <c r="I4803">
        <v>0.16134690379101199</v>
      </c>
      <c r="J4803">
        <v>8.4140320871869706E-2</v>
      </c>
      <c r="K4803">
        <v>6.9725023441369896E-2</v>
      </c>
      <c r="L4803">
        <v>1339.42693497956</v>
      </c>
      <c r="M4803">
        <v>23.1607549865507</v>
      </c>
      <c r="N4803">
        <v>58.134152399346597</v>
      </c>
      <c r="O4803">
        <v>57.405789361276</v>
      </c>
      <c r="P4803">
        <v>-9.5141312840443207E-2</v>
      </c>
      <c r="Q4803">
        <v>5.6755663642825402E-2</v>
      </c>
      <c r="R4803">
        <v>0.98756496944290995</v>
      </c>
      <c r="S4803" t="s">
        <v>10629</v>
      </c>
      <c r="T4803" t="s">
        <v>11650</v>
      </c>
      <c r="U4803" t="s">
        <v>11650</v>
      </c>
      <c r="V4803" t="s">
        <v>11650</v>
      </c>
      <c r="W4803" t="s">
        <v>16398</v>
      </c>
      <c r="X4803">
        <v>7</v>
      </c>
      <c r="Y4803" t="s">
        <v>22067</v>
      </c>
      <c r="Z4803" t="s">
        <v>27865</v>
      </c>
      <c r="AA4803">
        <v>0.62657987845315488</v>
      </c>
      <c r="AB4803" t="str">
        <f>HYPERLINK("Melting_Curves/meltCurve_Q9BTX7_TTPAL.pdf", "Melting_Curves/meltCurve_Q9BTX7_TTPAL.pdf")</f>
        <v>Melting_Curves/meltCurve_Q9BTX7_TTPAL.pdf</v>
      </c>
    </row>
    <row r="4804" spans="1:28" x14ac:dyDescent="0.25">
      <c r="A4804" t="s">
        <v>4808</v>
      </c>
      <c r="B4804">
        <v>0.99996721820229495</v>
      </c>
      <c r="C4804">
        <v>1.0582354182784399</v>
      </c>
      <c r="D4804">
        <v>1.0183666137665901</v>
      </c>
      <c r="E4804">
        <v>0.92660351264047902</v>
      </c>
      <c r="F4804">
        <v>0.84048543341682702</v>
      </c>
      <c r="G4804">
        <v>0.93045174976396705</v>
      </c>
      <c r="H4804">
        <v>0.54224893330843504</v>
      </c>
      <c r="I4804">
        <v>0.249919923423643</v>
      </c>
      <c r="J4804">
        <v>0.14492162450073401</v>
      </c>
      <c r="K4804">
        <v>0.12733697665690299</v>
      </c>
      <c r="L4804">
        <v>1940.9600914422001</v>
      </c>
      <c r="M4804">
        <v>31.876833982372599</v>
      </c>
      <c r="N4804">
        <v>61.333652247721197</v>
      </c>
      <c r="O4804">
        <v>60.651249686884398</v>
      </c>
      <c r="P4804">
        <v>-0.117848142349455</v>
      </c>
      <c r="Q4804">
        <v>0.10309806821989501</v>
      </c>
      <c r="R4804">
        <v>0.97489396851237697</v>
      </c>
      <c r="S4804" t="s">
        <v>10630</v>
      </c>
      <c r="T4804" t="s">
        <v>11650</v>
      </c>
      <c r="U4804" t="s">
        <v>11650</v>
      </c>
      <c r="V4804" t="s">
        <v>11650</v>
      </c>
      <c r="W4804" t="s">
        <v>16399</v>
      </c>
      <c r="X4804">
        <v>2</v>
      </c>
      <c r="Y4804" t="s">
        <v>22068</v>
      </c>
      <c r="Z4804" t="s">
        <v>27866</v>
      </c>
      <c r="AA4804">
        <v>0.73231982154911601</v>
      </c>
      <c r="AB4804" t="str">
        <f>HYPERLINK("Melting_Curves/meltCurve_Q9BTY2_FUCA2.pdf", "Melting_Curves/meltCurve_Q9BTY2_FUCA2.pdf")</f>
        <v>Melting_Curves/meltCurve_Q9BTY2_FUCA2.pdf</v>
      </c>
    </row>
    <row r="4805" spans="1:28" x14ac:dyDescent="0.25">
      <c r="A4805" t="s">
        <v>4809</v>
      </c>
      <c r="B4805">
        <v>0.99996721820229495</v>
      </c>
      <c r="C4805">
        <v>0.86416432556779699</v>
      </c>
      <c r="D4805">
        <v>0.51191591464749597</v>
      </c>
      <c r="E4805">
        <v>0.28050691830929703</v>
      </c>
      <c r="F4805">
        <v>0.25793572407791598</v>
      </c>
      <c r="G4805">
        <v>0.173814398551842</v>
      </c>
      <c r="H4805">
        <v>0.119506360302586</v>
      </c>
      <c r="I4805">
        <v>6.78787188065961E-2</v>
      </c>
      <c r="J4805">
        <v>4.4633241400813102E-2</v>
      </c>
      <c r="K4805">
        <v>4.0518477395501601E-2</v>
      </c>
      <c r="L4805">
        <v>773.57196451695495</v>
      </c>
      <c r="M4805">
        <v>16.6386047245601</v>
      </c>
      <c r="N4805">
        <v>46.984309372132401</v>
      </c>
      <c r="O4805">
        <v>45.836607655216604</v>
      </c>
      <c r="P4805">
        <v>-8.35037426226371E-2</v>
      </c>
      <c r="Q4805">
        <v>7.9906254637345395E-2</v>
      </c>
      <c r="R4805">
        <v>0.97849703128018395</v>
      </c>
      <c r="S4805" t="s">
        <v>10631</v>
      </c>
      <c r="T4805" t="s">
        <v>11650</v>
      </c>
      <c r="U4805" t="s">
        <v>11650</v>
      </c>
      <c r="V4805" t="s">
        <v>11650</v>
      </c>
      <c r="W4805" t="s">
        <v>16400</v>
      </c>
      <c r="X4805">
        <v>8</v>
      </c>
      <c r="Y4805" t="s">
        <v>22069</v>
      </c>
      <c r="Z4805" t="s">
        <v>27867</v>
      </c>
      <c r="AA4805">
        <v>0.29977625922354473</v>
      </c>
      <c r="AB4805" t="str">
        <f>HYPERLINK("Melting_Curves/meltCurve_Q9BTY7_FAM203A.pdf", "Melting_Curves/meltCurve_Q9BTY7_FAM203A.pdf")</f>
        <v>Melting_Curves/meltCurve_Q9BTY7_FAM203A.pdf</v>
      </c>
    </row>
    <row r="4806" spans="1:28" x14ac:dyDescent="0.25">
      <c r="A4806" t="s">
        <v>4810</v>
      </c>
      <c r="B4806">
        <v>0.99996721820229495</v>
      </c>
      <c r="C4806">
        <v>0.92730166698669603</v>
      </c>
      <c r="D4806">
        <v>0.92161017202112006</v>
      </c>
      <c r="E4806">
        <v>0.91206116171148</v>
      </c>
      <c r="F4806">
        <v>0.85347134946276204</v>
      </c>
      <c r="G4806">
        <v>0.50237919734536995</v>
      </c>
      <c r="H4806">
        <v>0.236191068405295</v>
      </c>
      <c r="I4806">
        <v>0.16374198706283999</v>
      </c>
      <c r="J4806">
        <v>9.1175923876833695E-2</v>
      </c>
      <c r="K4806">
        <v>7.1316576790759298E-2</v>
      </c>
      <c r="L4806">
        <v>1114.0933934443001</v>
      </c>
      <c r="M4806">
        <v>19.5920161431055</v>
      </c>
      <c r="N4806">
        <v>57.166983256754897</v>
      </c>
      <c r="O4806">
        <v>56.282180234468598</v>
      </c>
      <c r="P4806">
        <v>-8.2746089539947096E-2</v>
      </c>
      <c r="Q4806">
        <v>4.9211562893827797E-2</v>
      </c>
      <c r="R4806">
        <v>0.99093875480564197</v>
      </c>
      <c r="S4806" t="s">
        <v>10632</v>
      </c>
      <c r="T4806" t="s">
        <v>11650</v>
      </c>
      <c r="U4806" t="s">
        <v>11650</v>
      </c>
      <c r="V4806" t="s">
        <v>11650</v>
      </c>
      <c r="W4806" t="s">
        <v>16401</v>
      </c>
      <c r="X4806">
        <v>9</v>
      </c>
      <c r="Y4806" t="s">
        <v>22070</v>
      </c>
      <c r="Z4806" t="s">
        <v>27868</v>
      </c>
      <c r="AA4806">
        <v>0.5957290987352396</v>
      </c>
      <c r="AB4806" t="str">
        <f>HYPERLINK("Melting_Curves/meltCurve_Q9BTZ2_DHRS4.pdf", "Melting_Curves/meltCurve_Q9BTZ2_DHRS4.pdf")</f>
        <v>Melting_Curves/meltCurve_Q9BTZ2_DHRS4.pdf</v>
      </c>
    </row>
    <row r="4807" spans="1:28" x14ac:dyDescent="0.25">
      <c r="A4807" t="s">
        <v>4811</v>
      </c>
      <c r="B4807">
        <v>0.99996721820229495</v>
      </c>
      <c r="C4807">
        <v>1.0684581878638799</v>
      </c>
      <c r="D4807">
        <v>0.97694236471203599</v>
      </c>
      <c r="E4807">
        <v>0.79255283836008905</v>
      </c>
      <c r="F4807">
        <v>0.58394873059848695</v>
      </c>
      <c r="G4807">
        <v>0.40076687309285403</v>
      </c>
      <c r="H4807">
        <v>0.29003550164006697</v>
      </c>
      <c r="I4807">
        <v>0.15034348411725401</v>
      </c>
      <c r="J4807">
        <v>0.112352449097639</v>
      </c>
      <c r="K4807">
        <v>9.7618217365368298E-2</v>
      </c>
      <c r="L4807">
        <v>787.05565625939698</v>
      </c>
      <c r="M4807">
        <v>14.4483938364491</v>
      </c>
      <c r="N4807">
        <v>55.048488353483897</v>
      </c>
      <c r="O4807">
        <v>53.461952945837403</v>
      </c>
      <c r="P4807">
        <v>-6.2839694502442603E-2</v>
      </c>
      <c r="Q4807">
        <v>7.0030939522874203E-2</v>
      </c>
      <c r="R4807">
        <v>0.98908464806185903</v>
      </c>
      <c r="S4807" t="s">
        <v>10633</v>
      </c>
      <c r="T4807" t="s">
        <v>11650</v>
      </c>
      <c r="U4807" t="s">
        <v>11650</v>
      </c>
      <c r="V4807" t="s">
        <v>11650</v>
      </c>
      <c r="W4807" t="s">
        <v>16402</v>
      </c>
      <c r="X4807">
        <v>14</v>
      </c>
      <c r="Y4807" t="s">
        <v>22071</v>
      </c>
      <c r="Z4807" t="s">
        <v>27869</v>
      </c>
      <c r="AA4807">
        <v>0.53806869237232424</v>
      </c>
      <c r="AB4807" t="str">
        <f>HYPERLINK("Melting_Curves/meltCurve_Q9BU02_THTPA.pdf", "Melting_Curves/meltCurve_Q9BU02_THTPA.pdf")</f>
        <v>Melting_Curves/meltCurve_Q9BU02_THTPA.pdf</v>
      </c>
    </row>
    <row r="4808" spans="1:28" x14ac:dyDescent="0.25">
      <c r="A4808" t="s">
        <v>4812</v>
      </c>
      <c r="B4808">
        <v>0.99996721820229495</v>
      </c>
      <c r="C4808">
        <v>0.85923175427860299</v>
      </c>
      <c r="D4808">
        <v>0.76858160338839199</v>
      </c>
      <c r="E4808">
        <v>0.40297183944971399</v>
      </c>
      <c r="F4808">
        <v>0.157203001060155</v>
      </c>
      <c r="G4808">
        <v>0.120275846411698</v>
      </c>
      <c r="H4808">
        <v>6.2516841204201604E-2</v>
      </c>
      <c r="I4808">
        <v>3.79719996606468E-2</v>
      </c>
      <c r="J4808">
        <v>4.0137742856339399E-2</v>
      </c>
      <c r="K4808">
        <v>2.6346455119384601E-2</v>
      </c>
      <c r="L4808">
        <v>881.37768627758101</v>
      </c>
      <c r="M4808">
        <v>18.161286094234999</v>
      </c>
      <c r="N4808">
        <v>48.700567613853998</v>
      </c>
      <c r="O4808">
        <v>47.953667638790598</v>
      </c>
      <c r="P4808">
        <v>-9.1777915542613997E-2</v>
      </c>
      <c r="Q4808">
        <v>3.0712533163003E-2</v>
      </c>
      <c r="R4808">
        <v>0.99398542342033902</v>
      </c>
      <c r="S4808" t="s">
        <v>10634</v>
      </c>
      <c r="T4808" t="s">
        <v>11650</v>
      </c>
      <c r="U4808" t="s">
        <v>11650</v>
      </c>
      <c r="V4808" t="s">
        <v>11650</v>
      </c>
      <c r="W4808" t="s">
        <v>16403</v>
      </c>
      <c r="X4808">
        <v>6</v>
      </c>
      <c r="Y4808" t="s">
        <v>22072</v>
      </c>
      <c r="Z4808" t="s">
        <v>27870</v>
      </c>
      <c r="AA4808">
        <v>0.32298152148271481</v>
      </c>
      <c r="AB4808" t="str">
        <f>HYPERLINK("Melting_Curves/meltCurve_Q9BU23_3_LMF2.pdf", "Melting_Curves/meltCurve_Q9BU23_3_LMF2.pdf")</f>
        <v>Melting_Curves/meltCurve_Q9BU23_3_LMF2.pdf</v>
      </c>
    </row>
    <row r="4809" spans="1:28" x14ac:dyDescent="0.25">
      <c r="A4809" t="s">
        <v>4813</v>
      </c>
      <c r="B4809">
        <v>0.99996721820229495</v>
      </c>
      <c r="C4809">
        <v>0.92808122297302298</v>
      </c>
      <c r="D4809">
        <v>1.00780198616475</v>
      </c>
      <c r="E4809">
        <v>1.19421870444768</v>
      </c>
      <c r="F4809">
        <v>1.5357260871410801</v>
      </c>
      <c r="G4809">
        <v>0.99640509216668904</v>
      </c>
      <c r="H4809">
        <v>0.31805580677426198</v>
      </c>
      <c r="I4809">
        <v>0.34166275346574398</v>
      </c>
      <c r="J4809">
        <v>0.15265973752831499</v>
      </c>
      <c r="K4809">
        <v>0.14744647434906599</v>
      </c>
      <c r="L4809">
        <v>4856.9882703294898</v>
      </c>
      <c r="M4809">
        <v>81.404210516862904</v>
      </c>
      <c r="N4809">
        <v>60.069312813188098</v>
      </c>
      <c r="O4809">
        <v>59.629084105976503</v>
      </c>
      <c r="P4809">
        <v>-0.26931739663528298</v>
      </c>
      <c r="Q4809">
        <v>0.21089336042085399</v>
      </c>
      <c r="R4809">
        <v>0.832086102257247</v>
      </c>
      <c r="S4809" t="s">
        <v>10635</v>
      </c>
      <c r="T4809" t="s">
        <v>11650</v>
      </c>
      <c r="U4809" t="s">
        <v>11650</v>
      </c>
      <c r="V4809" t="s">
        <v>11650</v>
      </c>
      <c r="W4809" t="s">
        <v>16404</v>
      </c>
      <c r="X4809">
        <v>5</v>
      </c>
      <c r="Y4809" t="s">
        <v>22073</v>
      </c>
      <c r="Z4809" t="s">
        <v>27871</v>
      </c>
      <c r="AA4809">
        <v>0.72893533196032079</v>
      </c>
      <c r="AB4809" t="str">
        <f>HYPERLINK("Melting_Curves/meltCurve_Q9BU61_NDUFAF3.pdf", "Melting_Curves/meltCurve_Q9BU61_NDUFAF3.pdf")</f>
        <v>Melting_Curves/meltCurve_Q9BU61_NDUFAF3.pdf</v>
      </c>
    </row>
    <row r="4810" spans="1:28" x14ac:dyDescent="0.25">
      <c r="A4810" t="s">
        <v>4814</v>
      </c>
      <c r="B4810">
        <v>0.99996721820229495</v>
      </c>
      <c r="C4810">
        <v>0.96333636026512204</v>
      </c>
      <c r="D4810">
        <v>0.75251714153674998</v>
      </c>
      <c r="E4810">
        <v>0.541394501135958</v>
      </c>
      <c r="F4810">
        <v>0.50659941264976105</v>
      </c>
      <c r="G4810">
        <v>0.43704079815813501</v>
      </c>
      <c r="H4810">
        <v>0.279806581727293</v>
      </c>
      <c r="I4810">
        <v>0.228775965096711</v>
      </c>
      <c r="J4810">
        <v>0.18679725703790001</v>
      </c>
      <c r="K4810">
        <v>0.15143525647494099</v>
      </c>
      <c r="L4810">
        <v>499.56683454118701</v>
      </c>
      <c r="M4810">
        <v>9.6910569942426292</v>
      </c>
      <c r="N4810">
        <v>52.929067368132003</v>
      </c>
      <c r="O4810">
        <v>49.4978561207094</v>
      </c>
      <c r="P4810">
        <v>-4.3507023435867903E-2</v>
      </c>
      <c r="Q4810">
        <v>0.111624568395548</v>
      </c>
      <c r="R4810">
        <v>0.97474698364636203</v>
      </c>
      <c r="S4810" t="s">
        <v>10636</v>
      </c>
      <c r="T4810" t="s">
        <v>11650</v>
      </c>
      <c r="U4810" t="s">
        <v>11650</v>
      </c>
      <c r="V4810" t="s">
        <v>11650</v>
      </c>
      <c r="W4810" t="s">
        <v>16405</v>
      </c>
      <c r="X4810">
        <v>10</v>
      </c>
      <c r="Y4810" t="s">
        <v>22074</v>
      </c>
      <c r="Z4810" t="s">
        <v>27872</v>
      </c>
      <c r="AA4810">
        <v>0.49009528548214798</v>
      </c>
      <c r="AB4810" t="str">
        <f>HYPERLINK("Melting_Curves/meltCurve_Q9BU89_DOHH.pdf", "Melting_Curves/meltCurve_Q9BU89_DOHH.pdf")</f>
        <v>Melting_Curves/meltCurve_Q9BU89_DOHH.pdf</v>
      </c>
    </row>
    <row r="4811" spans="1:28" x14ac:dyDescent="0.25">
      <c r="A4811" t="s">
        <v>4815</v>
      </c>
      <c r="B4811">
        <v>0.99996721820229495</v>
      </c>
      <c r="C4811">
        <v>1.0290109506779099</v>
      </c>
      <c r="D4811">
        <v>0.91665059065573495</v>
      </c>
      <c r="E4811">
        <v>0.69271460302671894</v>
      </c>
      <c r="F4811">
        <v>0.44307862541287402</v>
      </c>
      <c r="G4811">
        <v>0.32008300613078</v>
      </c>
      <c r="H4811">
        <v>0.15294852281903401</v>
      </c>
      <c r="I4811">
        <v>9.68528035959072E-2</v>
      </c>
      <c r="J4811">
        <v>7.0117147519728598E-2</v>
      </c>
      <c r="K4811">
        <v>5.1080189292077999E-2</v>
      </c>
      <c r="L4811">
        <v>800.28947893867598</v>
      </c>
      <c r="M4811">
        <v>15.2321772479232</v>
      </c>
      <c r="N4811">
        <v>52.851846217939602</v>
      </c>
      <c r="O4811">
        <v>51.658818877976699</v>
      </c>
      <c r="P4811">
        <v>-7.0548075915235903E-2</v>
      </c>
      <c r="Q4811">
        <v>4.3056402733904701E-2</v>
      </c>
      <c r="R4811">
        <v>0.99358107704462595</v>
      </c>
      <c r="S4811" t="s">
        <v>10637</v>
      </c>
      <c r="T4811" t="s">
        <v>11650</v>
      </c>
      <c r="U4811" t="s">
        <v>11650</v>
      </c>
      <c r="V4811" t="s">
        <v>11650</v>
      </c>
      <c r="W4811" t="s">
        <v>16406</v>
      </c>
      <c r="X4811">
        <v>2</v>
      </c>
      <c r="Y4811" t="s">
        <v>22075</v>
      </c>
      <c r="Z4811" t="s">
        <v>27873</v>
      </c>
      <c r="AA4811">
        <v>0.46354980675206398</v>
      </c>
      <c r="AB4811" t="str">
        <f>HYPERLINK("Melting_Curves/meltCurve_Q9BUB5_2_MKNK1.pdf", "Melting_Curves/meltCurve_Q9BUB5_2_MKNK1.pdf")</f>
        <v>Melting_Curves/meltCurve_Q9BUB5_2_MKNK1.pdf</v>
      </c>
    </row>
    <row r="4812" spans="1:28" x14ac:dyDescent="0.25">
      <c r="A4812" t="s">
        <v>4816</v>
      </c>
      <c r="B4812">
        <v>0.99996721820229495</v>
      </c>
      <c r="C4812">
        <v>0.88366553868088005</v>
      </c>
      <c r="D4812">
        <v>0.92963345269588604</v>
      </c>
      <c r="E4812">
        <v>0.98189888270544401</v>
      </c>
      <c r="F4812">
        <v>0.64001618606224098</v>
      </c>
      <c r="G4812">
        <v>0.50263337328109603</v>
      </c>
      <c r="H4812">
        <v>0.316447161796656</v>
      </c>
      <c r="I4812">
        <v>0.18598564098772899</v>
      </c>
      <c r="J4812">
        <v>0.12091553408675899</v>
      </c>
      <c r="K4812">
        <v>0.110840441999585</v>
      </c>
      <c r="L4812">
        <v>778.93596726003</v>
      </c>
      <c r="M4812">
        <v>13.7828620932866</v>
      </c>
      <c r="N4812">
        <v>56.831677563147601</v>
      </c>
      <c r="O4812">
        <v>55.364972039104003</v>
      </c>
      <c r="P4812">
        <v>-5.99431150214133E-2</v>
      </c>
      <c r="Q4812">
        <v>3.6983142642972901E-2</v>
      </c>
      <c r="R4812">
        <v>0.97178771571182798</v>
      </c>
      <c r="S4812" t="s">
        <v>10638</v>
      </c>
      <c r="T4812" t="s">
        <v>11650</v>
      </c>
      <c r="U4812" t="s">
        <v>11650</v>
      </c>
      <c r="V4812" t="s">
        <v>11650</v>
      </c>
      <c r="W4812" t="s">
        <v>16407</v>
      </c>
      <c r="X4812">
        <v>2</v>
      </c>
      <c r="Y4812" t="s">
        <v>22076</v>
      </c>
      <c r="Z4812" t="s">
        <v>27874</v>
      </c>
      <c r="AA4812">
        <v>0.5841756433888311</v>
      </c>
      <c r="AB4812" t="str">
        <f>HYPERLINK("Melting_Curves/meltCurve_Q9BUB7_2_TMEM70.pdf", "Melting_Curves/meltCurve_Q9BUB7_2_TMEM70.pdf")</f>
        <v>Melting_Curves/meltCurve_Q9BUB7_2_TMEM70.pdf</v>
      </c>
    </row>
    <row r="4813" spans="1:28" x14ac:dyDescent="0.25">
      <c r="A4813" t="s">
        <v>4817</v>
      </c>
      <c r="B4813">
        <v>0.99996721820229495</v>
      </c>
      <c r="C4813">
        <v>0.80437628352290302</v>
      </c>
      <c r="D4813">
        <v>0.38393694330208</v>
      </c>
      <c r="E4813">
        <v>0.24085321859730399</v>
      </c>
      <c r="F4813">
        <v>0.19078044818150899</v>
      </c>
      <c r="G4813">
        <v>0.17192042159332199</v>
      </c>
      <c r="H4813">
        <v>0.11149092385548599</v>
      </c>
      <c r="I4813">
        <v>9.3969598724879297E-2</v>
      </c>
      <c r="J4813">
        <v>6.8598959222839206E-2</v>
      </c>
      <c r="K4813">
        <v>6.4057493328416495E-2</v>
      </c>
      <c r="L4813">
        <v>1110.93164998425</v>
      </c>
      <c r="M4813">
        <v>24.753073860752998</v>
      </c>
      <c r="N4813">
        <v>45.3709383108053</v>
      </c>
      <c r="O4813">
        <v>44.590694728816601</v>
      </c>
      <c r="P4813">
        <v>-0.122492501442145</v>
      </c>
      <c r="Q4813">
        <v>0.117370089361456</v>
      </c>
      <c r="R4813">
        <v>0.98057268758885296</v>
      </c>
      <c r="S4813" t="s">
        <v>10639</v>
      </c>
      <c r="T4813" t="s">
        <v>11650</v>
      </c>
      <c r="U4813" t="s">
        <v>11650</v>
      </c>
      <c r="V4813" t="s">
        <v>11650</v>
      </c>
      <c r="W4813" t="s">
        <v>16408</v>
      </c>
      <c r="X4813">
        <v>6</v>
      </c>
      <c r="Y4813" t="s">
        <v>22077</v>
      </c>
      <c r="Z4813" t="s">
        <v>27875</v>
      </c>
      <c r="AA4813">
        <v>0.27008419460646571</v>
      </c>
      <c r="AB4813" t="str">
        <f>HYPERLINK("Melting_Curves/meltCurve_Q9BUD6_SPON2.pdf", "Melting_Curves/meltCurve_Q9BUD6_SPON2.pdf")</f>
        <v>Melting_Curves/meltCurve_Q9BUD6_SPON2.pdf</v>
      </c>
    </row>
    <row r="4814" spans="1:28" x14ac:dyDescent="0.25">
      <c r="A4814" t="s">
        <v>4818</v>
      </c>
      <c r="B4814">
        <v>0.99996721820229495</v>
      </c>
      <c r="C4814">
        <v>0.80795669979742002</v>
      </c>
      <c r="D4814">
        <v>0.75108254849784295</v>
      </c>
      <c r="E4814">
        <v>0.64471237880467602</v>
      </c>
      <c r="F4814">
        <v>0.64676823878401901</v>
      </c>
      <c r="G4814">
        <v>0.58292886999287197</v>
      </c>
      <c r="H4814">
        <v>0.244377029635857</v>
      </c>
      <c r="I4814">
        <v>0.203720594891042</v>
      </c>
      <c r="J4814">
        <v>0.103037816597185</v>
      </c>
      <c r="K4814">
        <v>7.5354423792895905E-2</v>
      </c>
      <c r="L4814">
        <v>455.16076387948999</v>
      </c>
      <c r="M4814">
        <v>8.3232741716049805</v>
      </c>
      <c r="N4814">
        <v>54.685302215172797</v>
      </c>
      <c r="O4814">
        <v>51.801530971610703</v>
      </c>
      <c r="P4814">
        <v>-4.0208220829788199E-2</v>
      </c>
      <c r="Q4814">
        <v>0</v>
      </c>
      <c r="R4814">
        <v>0.92927030994307502</v>
      </c>
      <c r="S4814" t="s">
        <v>10640</v>
      </c>
      <c r="T4814" t="s">
        <v>11650</v>
      </c>
      <c r="U4814" t="s">
        <v>11650</v>
      </c>
      <c r="V4814" t="s">
        <v>11650</v>
      </c>
      <c r="W4814" t="s">
        <v>16409</v>
      </c>
      <c r="X4814">
        <v>3</v>
      </c>
      <c r="Y4814" t="s">
        <v>22078</v>
      </c>
      <c r="Z4814" t="s">
        <v>27876</v>
      </c>
      <c r="AA4814">
        <v>0.51865215574406032</v>
      </c>
      <c r="AB4814" t="str">
        <f>HYPERLINK("Melting_Curves/meltCurve_Q9BUE0_MED18.pdf", "Melting_Curves/meltCurve_Q9BUE0_MED18.pdf")</f>
        <v>Melting_Curves/meltCurve_Q9BUE0_MED18.pdf</v>
      </c>
    </row>
    <row r="4815" spans="1:28" x14ac:dyDescent="0.25">
      <c r="A4815" t="s">
        <v>4819</v>
      </c>
      <c r="B4815">
        <v>0.99996721820229495</v>
      </c>
      <c r="C4815">
        <v>1.08883407843213</v>
      </c>
      <c r="D4815">
        <v>0.97431793391924804</v>
      </c>
      <c r="E4815">
        <v>0.85045577698243602</v>
      </c>
      <c r="F4815">
        <v>0.99574729358163605</v>
      </c>
      <c r="G4815">
        <v>1.0421058741571401</v>
      </c>
      <c r="H4815">
        <v>0.49178882897119702</v>
      </c>
      <c r="I4815">
        <v>0.23812468605404599</v>
      </c>
      <c r="J4815">
        <v>0.187153984936687</v>
      </c>
      <c r="K4815">
        <v>0.164605881395126</v>
      </c>
      <c r="L4815">
        <v>4701.4594581198699</v>
      </c>
      <c r="M4815">
        <v>77.578741882696704</v>
      </c>
      <c r="N4815">
        <v>60.981483920204397</v>
      </c>
      <c r="O4815">
        <v>60.562172025053599</v>
      </c>
      <c r="P4815">
        <v>-0.25898199942002398</v>
      </c>
      <c r="Q4815">
        <v>0.191298367270193</v>
      </c>
      <c r="R4815">
        <v>0.97396634461440201</v>
      </c>
      <c r="S4815" t="s">
        <v>10641</v>
      </c>
      <c r="T4815" t="s">
        <v>11650</v>
      </c>
      <c r="U4815" t="s">
        <v>11650</v>
      </c>
      <c r="V4815" t="s">
        <v>11650</v>
      </c>
      <c r="W4815" t="s">
        <v>16410</v>
      </c>
      <c r="X4815">
        <v>3</v>
      </c>
      <c r="Y4815" t="s">
        <v>22079</v>
      </c>
      <c r="Z4815" t="s">
        <v>27877</v>
      </c>
      <c r="AA4815">
        <v>0.74756623245427656</v>
      </c>
      <c r="AB4815" t="str">
        <f>HYPERLINK("Melting_Curves/meltCurve_Q9BUE6_ISCA1.pdf", "Melting_Curves/meltCurve_Q9BUE6_ISCA1.pdf")</f>
        <v>Melting_Curves/meltCurve_Q9BUE6_ISCA1.pdf</v>
      </c>
    </row>
    <row r="4816" spans="1:28" x14ac:dyDescent="0.25">
      <c r="A4816" t="s">
        <v>4820</v>
      </c>
      <c r="B4816">
        <v>0.99996721820229495</v>
      </c>
      <c r="C4816">
        <v>0.97722542359005204</v>
      </c>
      <c r="D4816">
        <v>1.01901228812519</v>
      </c>
      <c r="E4816">
        <v>0.92200679777944305</v>
      </c>
      <c r="F4816">
        <v>1.12113070183396</v>
      </c>
      <c r="G4816">
        <v>0.93808174331472205</v>
      </c>
      <c r="H4816">
        <v>0.219174609693324</v>
      </c>
      <c r="I4816">
        <v>0.120747465481762</v>
      </c>
      <c r="J4816">
        <v>8.7055715867358802E-2</v>
      </c>
      <c r="K4816">
        <v>6.1531028516987898E-2</v>
      </c>
      <c r="L4816">
        <v>3787.0776497994402</v>
      </c>
      <c r="M4816">
        <v>63.827678852779101</v>
      </c>
      <c r="N4816">
        <v>59.508528723696003</v>
      </c>
      <c r="O4816">
        <v>59.274680086099998</v>
      </c>
      <c r="P4816">
        <v>-0.24608565869431701</v>
      </c>
      <c r="Q4816">
        <v>8.5873407186035797E-2</v>
      </c>
      <c r="R4816">
        <v>0.98770453014734205</v>
      </c>
      <c r="S4816" t="s">
        <v>10642</v>
      </c>
      <c r="T4816" t="s">
        <v>11650</v>
      </c>
      <c r="U4816" t="s">
        <v>11650</v>
      </c>
      <c r="V4816" t="s">
        <v>11650</v>
      </c>
      <c r="W4816" t="s">
        <v>16411</v>
      </c>
      <c r="X4816">
        <v>28</v>
      </c>
      <c r="Y4816" t="s">
        <v>22080</v>
      </c>
      <c r="Z4816" t="s">
        <v>27878</v>
      </c>
      <c r="AA4816">
        <v>0.6764247753628605</v>
      </c>
      <c r="AB4816" t="str">
        <f>HYPERLINK("Melting_Curves/meltCurve_Q9BUF5_TUBB6.pdf", "Melting_Curves/meltCurve_Q9BUF5_TUBB6.pdf")</f>
        <v>Melting_Curves/meltCurve_Q9BUF5_TUBB6.pdf</v>
      </c>
    </row>
    <row r="4817" spans="1:28" x14ac:dyDescent="0.25">
      <c r="A4817" t="s">
        <v>4821</v>
      </c>
      <c r="B4817">
        <v>0.99996721820229495</v>
      </c>
      <c r="C4817">
        <v>0.95305553567298296</v>
      </c>
      <c r="D4817">
        <v>0.92564055209073504</v>
      </c>
      <c r="E4817">
        <v>0.87161880387611101</v>
      </c>
      <c r="F4817">
        <v>1.1153328423295901</v>
      </c>
      <c r="G4817">
        <v>1.1017992348505701</v>
      </c>
      <c r="H4817">
        <v>0.783854846523385</v>
      </c>
      <c r="I4817">
        <v>0.63725991170468199</v>
      </c>
      <c r="J4817">
        <v>0.36185499880154598</v>
      </c>
      <c r="K4817">
        <v>0.189269741207714</v>
      </c>
      <c r="L4817">
        <v>1706.2746051581601</v>
      </c>
      <c r="M4817">
        <v>26.3268120690704</v>
      </c>
      <c r="N4817">
        <v>65.255099545635304</v>
      </c>
      <c r="O4817">
        <v>64.440810524369795</v>
      </c>
      <c r="P4817">
        <v>-9.3764683409158306E-2</v>
      </c>
      <c r="Q4817">
        <v>8.1969216322235097E-2</v>
      </c>
      <c r="R4817">
        <v>0.93190020883977398</v>
      </c>
      <c r="S4817" t="s">
        <v>10643</v>
      </c>
      <c r="T4817" t="s">
        <v>11650</v>
      </c>
      <c r="U4817" t="s">
        <v>11650</v>
      </c>
      <c r="V4817" t="s">
        <v>11650</v>
      </c>
      <c r="W4817" t="s">
        <v>16412</v>
      </c>
      <c r="X4817">
        <v>16</v>
      </c>
      <c r="Y4817" t="s">
        <v>22081</v>
      </c>
      <c r="Z4817" t="s">
        <v>27879</v>
      </c>
      <c r="AA4817">
        <v>0.83801690235128701</v>
      </c>
      <c r="AB4817" t="str">
        <f>HYPERLINK("Melting_Curves/meltCurve_Q9BUH6_C9orf142.pdf", "Melting_Curves/meltCurve_Q9BUH6_C9orf142.pdf")</f>
        <v>Melting_Curves/meltCurve_Q9BUH6_C9orf142.pdf</v>
      </c>
    </row>
    <row r="4818" spans="1:28" x14ac:dyDescent="0.25">
      <c r="A4818" t="s">
        <v>4822</v>
      </c>
      <c r="B4818">
        <v>0.99996721820229495</v>
      </c>
      <c r="C4818">
        <v>0.85573936286709695</v>
      </c>
      <c r="D4818">
        <v>0.74598392218040899</v>
      </c>
      <c r="E4818">
        <v>0.38488745372352301</v>
      </c>
      <c r="F4818">
        <v>0.43676356689086998</v>
      </c>
      <c r="G4818">
        <v>0.39290868335684898</v>
      </c>
      <c r="H4818">
        <v>0.270354504420391</v>
      </c>
      <c r="I4818">
        <v>0.17710857762094401</v>
      </c>
      <c r="J4818">
        <v>0.11554076463389799</v>
      </c>
      <c r="K4818">
        <v>8.9943674085822503E-2</v>
      </c>
      <c r="L4818">
        <v>481.74505510945397</v>
      </c>
      <c r="M4818">
        <v>9.6512155786917795</v>
      </c>
      <c r="N4818">
        <v>50.838462583173602</v>
      </c>
      <c r="O4818">
        <v>47.913732111051097</v>
      </c>
      <c r="P4818">
        <v>-4.63361488604122E-2</v>
      </c>
      <c r="Q4818">
        <v>8.0363742490588294E-2</v>
      </c>
      <c r="R4818">
        <v>0.94889392664262395</v>
      </c>
      <c r="S4818" t="s">
        <v>10644</v>
      </c>
      <c r="T4818" t="s">
        <v>11650</v>
      </c>
      <c r="U4818" t="s">
        <v>11650</v>
      </c>
      <c r="V4818" t="s">
        <v>11650</v>
      </c>
      <c r="W4818" t="s">
        <v>16413</v>
      </c>
      <c r="X4818">
        <v>13</v>
      </c>
      <c r="Y4818" t="s">
        <v>22082</v>
      </c>
      <c r="Z4818" t="s">
        <v>27880</v>
      </c>
      <c r="AA4818">
        <v>0.42823787311799633</v>
      </c>
      <c r="AB4818" t="str">
        <f>HYPERLINK("Melting_Curves/meltCurve_Q9BUJ2_2_HNRNPUL1.pdf", "Melting_Curves/meltCurve_Q9BUJ2_2_HNRNPUL1.pdf")</f>
        <v>Melting_Curves/meltCurve_Q9BUJ2_2_HNRNPUL1.pdf</v>
      </c>
    </row>
    <row r="4819" spans="1:28" x14ac:dyDescent="0.25">
      <c r="A4819" t="s">
        <v>4823</v>
      </c>
      <c r="B4819">
        <v>0.99996721820229495</v>
      </c>
      <c r="C4819">
        <v>1.00983545622194</v>
      </c>
      <c r="D4819">
        <v>0.958516413286436</v>
      </c>
      <c r="E4819">
        <v>0.86596834075551399</v>
      </c>
      <c r="F4819">
        <v>0.494550020936593</v>
      </c>
      <c r="G4819">
        <v>0.35632208349401201</v>
      </c>
      <c r="H4819">
        <v>0.20963596584946101</v>
      </c>
      <c r="I4819">
        <v>0.133979810394418</v>
      </c>
      <c r="J4819">
        <v>9.5834965226364394E-2</v>
      </c>
      <c r="K4819">
        <v>8.0815965593662803E-2</v>
      </c>
      <c r="L4819">
        <v>966.99254465465401</v>
      </c>
      <c r="M4819">
        <v>18.076210830434199</v>
      </c>
      <c r="N4819">
        <v>54.079397990791598</v>
      </c>
      <c r="O4819">
        <v>52.853509694919403</v>
      </c>
      <c r="P4819">
        <v>-7.7923290553695193E-2</v>
      </c>
      <c r="Q4819">
        <v>8.8676725228044206E-2</v>
      </c>
      <c r="R4819">
        <v>0.98870224431194997</v>
      </c>
      <c r="S4819" t="s">
        <v>10645</v>
      </c>
      <c r="T4819" t="s">
        <v>11650</v>
      </c>
      <c r="U4819" t="s">
        <v>11650</v>
      </c>
      <c r="V4819" t="s">
        <v>11650</v>
      </c>
      <c r="W4819" t="s">
        <v>16414</v>
      </c>
      <c r="X4819">
        <v>13</v>
      </c>
      <c r="Y4819" t="s">
        <v>22083</v>
      </c>
      <c r="Z4819" t="s">
        <v>27881</v>
      </c>
      <c r="AA4819">
        <v>0.5133015742223378</v>
      </c>
      <c r="AB4819" t="str">
        <f>HYPERLINK("Melting_Curves/meltCurve_Q9BUK6_3_MSTO1.pdf", "Melting_Curves/meltCurve_Q9BUK6_3_MSTO1.pdf")</f>
        <v>Melting_Curves/meltCurve_Q9BUK6_3_MSTO1.pdf</v>
      </c>
    </row>
    <row r="4820" spans="1:28" x14ac:dyDescent="0.25">
      <c r="A4820" t="s">
        <v>4824</v>
      </c>
      <c r="B4820">
        <v>0.99996721820229495</v>
      </c>
      <c r="C4820">
        <v>1.1748178133079401</v>
      </c>
      <c r="D4820">
        <v>1.07508053536515</v>
      </c>
      <c r="E4820">
        <v>0.80622523168916405</v>
      </c>
      <c r="F4820">
        <v>0.35957223406031003</v>
      </c>
      <c r="G4820">
        <v>0.115911153226558</v>
      </c>
      <c r="H4820">
        <v>4.5019911804912001E-2</v>
      </c>
      <c r="I4820">
        <v>4.74228510517423E-2</v>
      </c>
      <c r="J4820">
        <v>7.5231694835741596E-3</v>
      </c>
      <c r="K4820">
        <v>1.09791990832097E-2</v>
      </c>
      <c r="L4820">
        <v>1803.97588393149</v>
      </c>
      <c r="M4820">
        <v>34.669752646973599</v>
      </c>
      <c r="N4820">
        <v>52.136763040246599</v>
      </c>
      <c r="O4820">
        <v>51.860932292061896</v>
      </c>
      <c r="P4820">
        <v>-0.16156450030573699</v>
      </c>
      <c r="Q4820">
        <v>3.3295109474505598E-2</v>
      </c>
      <c r="R4820">
        <v>0.98120243746672997</v>
      </c>
      <c r="S4820" t="s">
        <v>10646</v>
      </c>
      <c r="T4820" t="s">
        <v>11650</v>
      </c>
      <c r="U4820" t="s">
        <v>11650</v>
      </c>
      <c r="V4820" t="s">
        <v>11650</v>
      </c>
      <c r="W4820" t="s">
        <v>16415</v>
      </c>
      <c r="X4820">
        <v>2</v>
      </c>
      <c r="Y4820" t="s">
        <v>22084</v>
      </c>
      <c r="Z4820" t="s">
        <v>27882</v>
      </c>
      <c r="AA4820">
        <v>0.4256758743888735</v>
      </c>
      <c r="AB4820" t="str">
        <f>HYPERLINK("Melting_Curves/meltCurve_Q9BUP0_EFHD1.pdf", "Melting_Curves/meltCurve_Q9BUP0_EFHD1.pdf")</f>
        <v>Melting_Curves/meltCurve_Q9BUP0_EFHD1.pdf</v>
      </c>
    </row>
    <row r="4821" spans="1:28" x14ac:dyDescent="0.25">
      <c r="A4821" t="s">
        <v>4825</v>
      </c>
      <c r="B4821">
        <v>0.99996721820229495</v>
      </c>
      <c r="C4821">
        <v>0.99136331282623202</v>
      </c>
      <c r="D4821">
        <v>0.86620506928320395</v>
      </c>
      <c r="E4821">
        <v>0.55222321149411202</v>
      </c>
      <c r="F4821">
        <v>0.24688866761328199</v>
      </c>
      <c r="G4821">
        <v>0.179299050893102</v>
      </c>
      <c r="H4821">
        <v>0.10171451393718201</v>
      </c>
      <c r="I4821">
        <v>6.80481317527179E-2</v>
      </c>
      <c r="J4821">
        <v>5.5791627226657002E-2</v>
      </c>
      <c r="K4821">
        <v>6.8086902890288806E-2</v>
      </c>
      <c r="L4821">
        <v>1072.8872563725299</v>
      </c>
      <c r="M4821">
        <v>21.4562599513565</v>
      </c>
      <c r="N4821">
        <v>50.360988969435603</v>
      </c>
      <c r="O4821">
        <v>49.5752075769851</v>
      </c>
      <c r="P4821">
        <v>-0.100559238331934</v>
      </c>
      <c r="Q4821">
        <v>7.0645082810661106E-2</v>
      </c>
      <c r="R4821">
        <v>0.99667125257114897</v>
      </c>
      <c r="S4821" t="s">
        <v>10647</v>
      </c>
      <c r="T4821" t="s">
        <v>11650</v>
      </c>
      <c r="U4821" t="s">
        <v>11650</v>
      </c>
      <c r="V4821" t="s">
        <v>11650</v>
      </c>
      <c r="W4821" t="s">
        <v>16416</v>
      </c>
      <c r="X4821">
        <v>14</v>
      </c>
      <c r="Y4821" t="s">
        <v>22085</v>
      </c>
      <c r="Z4821" t="s">
        <v>27883</v>
      </c>
      <c r="AA4821">
        <v>0.39180692405206741</v>
      </c>
      <c r="AB4821" t="str">
        <f>HYPERLINK("Melting_Curves/meltCurve_Q9BUP3_3_HTATIP2.pdf", "Melting_Curves/meltCurve_Q9BUP3_3_HTATIP2.pdf")</f>
        <v>Melting_Curves/meltCurve_Q9BUP3_3_HTATIP2.pdf</v>
      </c>
    </row>
    <row r="4822" spans="1:28" x14ac:dyDescent="0.25">
      <c r="A4822" t="s">
        <v>4826</v>
      </c>
      <c r="B4822">
        <v>0.99996721820229495</v>
      </c>
      <c r="C4822">
        <v>0.97075137967225</v>
      </c>
      <c r="D4822">
        <v>0.89997678345430199</v>
      </c>
      <c r="E4822">
        <v>0.78065241640132899</v>
      </c>
      <c r="F4822">
        <v>0.71383581202255297</v>
      </c>
      <c r="G4822">
        <v>0.41746311706720002</v>
      </c>
      <c r="H4822">
        <v>0.21615241653436401</v>
      </c>
      <c r="I4822">
        <v>0.14007841104809701</v>
      </c>
      <c r="J4822">
        <v>7.3498836423660799E-2</v>
      </c>
      <c r="K4822">
        <v>6.7012883359083994E-2</v>
      </c>
      <c r="L4822">
        <v>746.58033811536598</v>
      </c>
      <c r="M4822">
        <v>13.432821756753199</v>
      </c>
      <c r="N4822">
        <v>55.5788227503295</v>
      </c>
      <c r="O4822">
        <v>54.390416101518099</v>
      </c>
      <c r="P4822">
        <v>-6.1752196851733797E-2</v>
      </c>
      <c r="Q4822">
        <v>0</v>
      </c>
      <c r="R4822">
        <v>0.99464416189244198</v>
      </c>
      <c r="S4822" t="s">
        <v>10648</v>
      </c>
      <c r="T4822" t="s">
        <v>11650</v>
      </c>
      <c r="U4822" t="s">
        <v>11650</v>
      </c>
      <c r="V4822" t="s">
        <v>11650</v>
      </c>
      <c r="W4822" t="s">
        <v>16417</v>
      </c>
      <c r="X4822">
        <v>4</v>
      </c>
      <c r="Y4822" t="s">
        <v>22086</v>
      </c>
      <c r="Z4822" t="s">
        <v>27884</v>
      </c>
      <c r="AA4822">
        <v>0.53952447222185307</v>
      </c>
      <c r="AB4822" t="str">
        <f>HYPERLINK("Melting_Curves/meltCurve_Q9BUR4_WRAP53.pdf", "Melting_Curves/meltCurve_Q9BUR4_WRAP53.pdf")</f>
        <v>Melting_Curves/meltCurve_Q9BUR4_WRAP53.pdf</v>
      </c>
    </row>
    <row r="4823" spans="1:28" x14ac:dyDescent="0.25">
      <c r="A4823" t="s">
        <v>4827</v>
      </c>
      <c r="B4823">
        <v>0.99996721820229495</v>
      </c>
      <c r="C4823">
        <v>0.96788620230966704</v>
      </c>
      <c r="D4823">
        <v>0.99541374267121796</v>
      </c>
      <c r="E4823">
        <v>0.99993037078755098</v>
      </c>
      <c r="F4823">
        <v>0.38085001780432698</v>
      </c>
      <c r="G4823">
        <v>0.26013294325059899</v>
      </c>
      <c r="H4823">
        <v>0.139435811886824</v>
      </c>
      <c r="I4823">
        <v>9.6488816095695207E-2</v>
      </c>
      <c r="J4823">
        <v>7.0118243834043401E-2</v>
      </c>
      <c r="K4823">
        <v>5.8584527931859302E-2</v>
      </c>
      <c r="L4823">
        <v>4566.2562904987899</v>
      </c>
      <c r="M4823">
        <v>87.030281405048598</v>
      </c>
      <c r="N4823">
        <v>52.640764536462399</v>
      </c>
      <c r="O4823">
        <v>52.439759082119103</v>
      </c>
      <c r="P4823">
        <v>-0.36321391003672998</v>
      </c>
      <c r="Q4823">
        <v>0.124587547577933</v>
      </c>
      <c r="R4823">
        <v>0.98380684000038698</v>
      </c>
      <c r="S4823" t="s">
        <v>10649</v>
      </c>
      <c r="T4823" t="s">
        <v>11650</v>
      </c>
      <c r="U4823" t="s">
        <v>11650</v>
      </c>
      <c r="V4823" t="s">
        <v>11650</v>
      </c>
      <c r="W4823" t="s">
        <v>16418</v>
      </c>
      <c r="X4823">
        <v>10</v>
      </c>
      <c r="Y4823" t="s">
        <v>22087</v>
      </c>
      <c r="Z4823" t="s">
        <v>27885</v>
      </c>
      <c r="AA4823">
        <v>0.48905891065968571</v>
      </c>
      <c r="AB4823" t="str">
        <f>HYPERLINK("Melting_Curves/meltCurve_Q9BUT1_BDH2.pdf", "Melting_Curves/meltCurve_Q9BUT1_BDH2.pdf")</f>
        <v>Melting_Curves/meltCurve_Q9BUT1_BDH2.pdf</v>
      </c>
    </row>
    <row r="4824" spans="1:28" x14ac:dyDescent="0.25">
      <c r="A4824" t="s">
        <v>4828</v>
      </c>
      <c r="B4824">
        <v>0.99996721820229495</v>
      </c>
      <c r="C4824">
        <v>1.16956352034093</v>
      </c>
      <c r="D4824">
        <v>1.08398785912561</v>
      </c>
      <c r="E4824">
        <v>1.0492048718000899</v>
      </c>
      <c r="F4824">
        <v>1.32100833606142</v>
      </c>
      <c r="G4824">
        <v>1.64186353381313</v>
      </c>
      <c r="H4824">
        <v>1.15841155118937</v>
      </c>
      <c r="I4824">
        <v>1.1974556861618399</v>
      </c>
      <c r="J4824">
        <v>1.0912924727887801</v>
      </c>
      <c r="K4824">
        <v>0.73133080819253504</v>
      </c>
      <c r="L4824">
        <v>15000</v>
      </c>
      <c r="M4824">
        <v>213.284270084463</v>
      </c>
      <c r="Q4824">
        <v>0</v>
      </c>
      <c r="R4824">
        <v>-0.27866979400754399</v>
      </c>
      <c r="S4824" t="s">
        <v>10650</v>
      </c>
      <c r="T4824" t="s">
        <v>11650</v>
      </c>
      <c r="U4824" t="s">
        <v>11650</v>
      </c>
      <c r="V4824" t="s">
        <v>11650</v>
      </c>
      <c r="W4824" t="s">
        <v>16419</v>
      </c>
      <c r="X4824">
        <v>2</v>
      </c>
      <c r="Y4824" t="s">
        <v>22088</v>
      </c>
      <c r="Z4824" t="s">
        <v>27886</v>
      </c>
      <c r="AA4824">
        <v>0.99662703447339107</v>
      </c>
      <c r="AB4824" t="str">
        <f>HYPERLINK("Melting_Curves/meltCurve_Q9BUW7_C9orf16.pdf", "Melting_Curves/meltCurve_Q9BUW7_C9orf16.pdf")</f>
        <v>Melting_Curves/meltCurve_Q9BUW7_C9orf16.pdf</v>
      </c>
    </row>
    <row r="4825" spans="1:28" x14ac:dyDescent="0.25">
      <c r="A4825" t="s">
        <v>4829</v>
      </c>
      <c r="B4825">
        <v>0.99996721820229495</v>
      </c>
      <c r="C4825">
        <v>0.84814724567603295</v>
      </c>
      <c r="D4825">
        <v>1.08928979990994</v>
      </c>
      <c r="E4825">
        <v>0.99839369186279003</v>
      </c>
      <c r="F4825">
        <v>1.33538675602458</v>
      </c>
      <c r="G4825">
        <v>1.2340425606272101</v>
      </c>
      <c r="H4825">
        <v>0.59651509255472701</v>
      </c>
      <c r="I4825">
        <v>0.19171853678988701</v>
      </c>
      <c r="J4825">
        <v>0.113682846825369</v>
      </c>
      <c r="K4825">
        <v>9.2401761680131797E-2</v>
      </c>
      <c r="L4825">
        <v>4716.8388620005398</v>
      </c>
      <c r="M4825">
        <v>77.122454564258703</v>
      </c>
      <c r="N4825">
        <v>61.382005530272401</v>
      </c>
      <c r="O4825">
        <v>61.119298282420203</v>
      </c>
      <c r="P4825">
        <v>-0.27712384680184998</v>
      </c>
      <c r="Q4825">
        <v>0.12152108931934</v>
      </c>
      <c r="R4825">
        <v>0.89863074820760203</v>
      </c>
      <c r="S4825" t="s">
        <v>10651</v>
      </c>
      <c r="T4825" t="s">
        <v>11650</v>
      </c>
      <c r="U4825" t="s">
        <v>11650</v>
      </c>
      <c r="V4825" t="s">
        <v>11650</v>
      </c>
      <c r="W4825" t="s">
        <v>16420</v>
      </c>
      <c r="X4825">
        <v>1</v>
      </c>
      <c r="Y4825" t="s">
        <v>22089</v>
      </c>
      <c r="Z4825" t="s">
        <v>27887</v>
      </c>
      <c r="AA4825">
        <v>0.74214382611377994</v>
      </c>
      <c r="AB4825" t="str">
        <f>HYPERLINK("Melting_Curves/meltCurve_Q9BV10_ALG12.pdf", "Melting_Curves/meltCurve_Q9BV10_ALG12.pdf")</f>
        <v>Melting_Curves/meltCurve_Q9BV10_ALG12.pdf</v>
      </c>
    </row>
    <row r="4826" spans="1:28" x14ac:dyDescent="0.25">
      <c r="A4826" t="s">
        <v>4830</v>
      </c>
      <c r="B4826">
        <v>0.99996721820229495</v>
      </c>
      <c r="C4826">
        <v>1.0206523944561301</v>
      </c>
      <c r="D4826">
        <v>1.0271288032384001</v>
      </c>
      <c r="E4826">
        <v>1.14017400328123</v>
      </c>
      <c r="F4826">
        <v>1.0785654827328</v>
      </c>
      <c r="G4826">
        <v>1.2717408049166301</v>
      </c>
      <c r="H4826">
        <v>0.79367883247452498</v>
      </c>
      <c r="I4826">
        <v>0.76942595638494005</v>
      </c>
      <c r="J4826">
        <v>0.60076162731076399</v>
      </c>
      <c r="K4826">
        <v>0.38797051723746301</v>
      </c>
      <c r="L4826">
        <v>1607.30127448849</v>
      </c>
      <c r="M4826">
        <v>24.316694213503201</v>
      </c>
      <c r="N4826">
        <v>68.055614625448698</v>
      </c>
      <c r="O4826">
        <v>65.656512528535501</v>
      </c>
      <c r="P4826">
        <v>-6.9303676969445893E-2</v>
      </c>
      <c r="Q4826">
        <v>0.25151513615721299</v>
      </c>
      <c r="R4826">
        <v>0.80621022598963599</v>
      </c>
      <c r="S4826" t="s">
        <v>10652</v>
      </c>
      <c r="T4826" t="s">
        <v>11650</v>
      </c>
      <c r="U4826" t="s">
        <v>11650</v>
      </c>
      <c r="V4826" t="s">
        <v>11650</v>
      </c>
      <c r="W4826" t="s">
        <v>16421</v>
      </c>
      <c r="X4826">
        <v>4</v>
      </c>
      <c r="Y4826" t="s">
        <v>22090</v>
      </c>
      <c r="Z4826" t="s">
        <v>27888</v>
      </c>
      <c r="AA4826">
        <v>0.89273977184097186</v>
      </c>
      <c r="AB4826" t="str">
        <f>HYPERLINK("Melting_Curves/meltCurve_Q9BV19_C1orf50.pdf", "Melting_Curves/meltCurve_Q9BV19_C1orf50.pdf")</f>
        <v>Melting_Curves/meltCurve_Q9BV19_C1orf50.pdf</v>
      </c>
    </row>
    <row r="4827" spans="1:28" x14ac:dyDescent="0.25">
      <c r="A4827" t="s">
        <v>4831</v>
      </c>
      <c r="B4827">
        <v>0.99996721820229495</v>
      </c>
      <c r="C4827">
        <v>0.95798641622897196</v>
      </c>
      <c r="D4827">
        <v>0.94732330882290305</v>
      </c>
      <c r="E4827">
        <v>0.95431009990398896</v>
      </c>
      <c r="F4827">
        <v>0.98508198725320495</v>
      </c>
      <c r="G4827">
        <v>0.62841040047348296</v>
      </c>
      <c r="H4827">
        <v>0.30349041214210698</v>
      </c>
      <c r="I4827">
        <v>0.18839593128004301</v>
      </c>
      <c r="J4827">
        <v>0.116334045112902</v>
      </c>
      <c r="K4827">
        <v>9.0284216750051993E-2</v>
      </c>
      <c r="L4827">
        <v>1513.0170101430399</v>
      </c>
      <c r="M4827">
        <v>26.0624755739113</v>
      </c>
      <c r="N4827">
        <v>58.5230206565722</v>
      </c>
      <c r="O4827">
        <v>57.714917619319202</v>
      </c>
      <c r="P4827">
        <v>-0.10224365740255301</v>
      </c>
      <c r="Q4827">
        <v>9.4342849783846494E-2</v>
      </c>
      <c r="R4827">
        <v>0.99311504014864205</v>
      </c>
      <c r="S4827" t="s">
        <v>10653</v>
      </c>
      <c r="T4827" t="s">
        <v>11650</v>
      </c>
      <c r="U4827" t="s">
        <v>11650</v>
      </c>
      <c r="V4827" t="s">
        <v>11650</v>
      </c>
      <c r="W4827" t="s">
        <v>16422</v>
      </c>
      <c r="X4827">
        <v>12</v>
      </c>
      <c r="Y4827" t="s">
        <v>22091</v>
      </c>
      <c r="Z4827" t="s">
        <v>27889</v>
      </c>
      <c r="AA4827">
        <v>0.64675969167247493</v>
      </c>
      <c r="AB4827" t="str">
        <f>HYPERLINK("Melting_Curves/meltCurve_Q9BV20_MRI1.pdf", "Melting_Curves/meltCurve_Q9BV20_MRI1.pdf")</f>
        <v>Melting_Curves/meltCurve_Q9BV20_MRI1.pdf</v>
      </c>
    </row>
    <row r="4828" spans="1:28" x14ac:dyDescent="0.25">
      <c r="A4828" t="s">
        <v>4832</v>
      </c>
      <c r="B4828">
        <v>0.99996721820229495</v>
      </c>
      <c r="C4828">
        <v>1.01273759829604</v>
      </c>
      <c r="D4828">
        <v>0.87573122037900297</v>
      </c>
      <c r="E4828">
        <v>0.40763469400153601</v>
      </c>
      <c r="F4828">
        <v>0.28629731865288099</v>
      </c>
      <c r="G4828">
        <v>0.213872733725716</v>
      </c>
      <c r="H4828">
        <v>0.117025702618307</v>
      </c>
      <c r="I4828">
        <v>8.5322955798283306E-2</v>
      </c>
      <c r="J4828">
        <v>6.8155014156127694E-2</v>
      </c>
      <c r="K4828">
        <v>5.9296372869757301E-2</v>
      </c>
      <c r="L4828">
        <v>1102.04108264461</v>
      </c>
      <c r="M4828">
        <v>22.397083738519999</v>
      </c>
      <c r="N4828">
        <v>49.680946109594203</v>
      </c>
      <c r="O4828">
        <v>48.817445634777499</v>
      </c>
      <c r="P4828">
        <v>-0.10361889432542901</v>
      </c>
      <c r="Q4828">
        <v>9.6613717303411797E-2</v>
      </c>
      <c r="R4828">
        <v>0.98795806783766704</v>
      </c>
      <c r="S4828" t="s">
        <v>10654</v>
      </c>
      <c r="T4828" t="s">
        <v>11650</v>
      </c>
      <c r="U4828" t="s">
        <v>11650</v>
      </c>
      <c r="V4828" t="s">
        <v>11650</v>
      </c>
      <c r="W4828" t="s">
        <v>16423</v>
      </c>
      <c r="X4828">
        <v>1</v>
      </c>
      <c r="Y4828" t="s">
        <v>22092</v>
      </c>
      <c r="Z4828" t="s">
        <v>27890</v>
      </c>
      <c r="AA4828">
        <v>0.38383193529011062</v>
      </c>
      <c r="AB4828" t="str">
        <f>HYPERLINK("Melting_Curves/meltCurve_Q9BV23_ABHD6.pdf", "Melting_Curves/meltCurve_Q9BV23_ABHD6.pdf")</f>
        <v>Melting_Curves/meltCurve_Q9BV23_ABHD6.pdf</v>
      </c>
    </row>
    <row r="4829" spans="1:28" x14ac:dyDescent="0.25">
      <c r="A4829" t="s">
        <v>4833</v>
      </c>
      <c r="B4829">
        <v>0.99996721820229495</v>
      </c>
      <c r="C4829">
        <v>0.90501639165682202</v>
      </c>
      <c r="D4829">
        <v>0.88641445380573702</v>
      </c>
      <c r="E4829">
        <v>1.12967770313815</v>
      </c>
      <c r="F4829">
        <v>1.7573517815981401</v>
      </c>
      <c r="G4829">
        <v>1.2297205749334399</v>
      </c>
      <c r="H4829">
        <v>0.34451482950866602</v>
      </c>
      <c r="I4829">
        <v>0.288739827392343</v>
      </c>
      <c r="J4829">
        <v>0.121987813058907</v>
      </c>
      <c r="K4829">
        <v>0.132890879152083</v>
      </c>
      <c r="L4829">
        <v>10317.3296393365</v>
      </c>
      <c r="M4829">
        <v>170.52519846912901</v>
      </c>
      <c r="N4829">
        <v>60.663303542791503</v>
      </c>
      <c r="O4829">
        <v>60.494934685422301</v>
      </c>
      <c r="P4829">
        <v>-0.57704796210477205</v>
      </c>
      <c r="Q4829">
        <v>0.18115377974285099</v>
      </c>
      <c r="R4829">
        <v>0.74126360243449696</v>
      </c>
      <c r="S4829" t="s">
        <v>10655</v>
      </c>
      <c r="T4829" t="s">
        <v>11650</v>
      </c>
      <c r="U4829" t="s">
        <v>11650</v>
      </c>
      <c r="V4829" t="s">
        <v>11650</v>
      </c>
      <c r="W4829" t="s">
        <v>16424</v>
      </c>
      <c r="X4829">
        <v>4</v>
      </c>
      <c r="Y4829" t="s">
        <v>22093</v>
      </c>
      <c r="Z4829" t="s">
        <v>27891</v>
      </c>
      <c r="AA4829">
        <v>0.74097447847606535</v>
      </c>
      <c r="AB4829" t="str">
        <f>HYPERLINK("Melting_Curves/meltCurve_Q9BV38_WDR18.pdf", "Melting_Curves/meltCurve_Q9BV38_WDR18.pdf")</f>
        <v>Melting_Curves/meltCurve_Q9BV38_WDR18.pdf</v>
      </c>
    </row>
    <row r="4830" spans="1:28" x14ac:dyDescent="0.25">
      <c r="A4830" t="s">
        <v>4834</v>
      </c>
      <c r="B4830">
        <v>0.99996721820229495</v>
      </c>
      <c r="C4830">
        <v>0.99209992024642102</v>
      </c>
      <c r="D4830">
        <v>1.1015493368181299</v>
      </c>
      <c r="E4830">
        <v>1.2623915788759901</v>
      </c>
      <c r="F4830">
        <v>1.37466375157972</v>
      </c>
      <c r="G4830">
        <v>0.98392238899331197</v>
      </c>
      <c r="H4830">
        <v>0.24558992959902001</v>
      </c>
      <c r="I4830">
        <v>0.119502235054234</v>
      </c>
      <c r="J4830">
        <v>8.9885912816049393E-2</v>
      </c>
      <c r="K4830">
        <v>7.0530191505933607E-2</v>
      </c>
      <c r="L4830">
        <v>4731.1334557035398</v>
      </c>
      <c r="M4830">
        <v>79.135569363360204</v>
      </c>
      <c r="N4830">
        <v>59.937711515191801</v>
      </c>
      <c r="O4830">
        <v>59.747023993205097</v>
      </c>
      <c r="P4830">
        <v>-0.30092640256926401</v>
      </c>
      <c r="Q4830">
        <v>9.1207421285097595E-2</v>
      </c>
      <c r="R4830">
        <v>0.91157207696298703</v>
      </c>
      <c r="S4830" t="s">
        <v>10656</v>
      </c>
      <c r="T4830" t="s">
        <v>11650</v>
      </c>
      <c r="U4830" t="s">
        <v>11650</v>
      </c>
      <c r="V4830" t="s">
        <v>11650</v>
      </c>
      <c r="W4830" t="s">
        <v>16425</v>
      </c>
      <c r="X4830">
        <v>9</v>
      </c>
      <c r="Y4830" t="s">
        <v>22094</v>
      </c>
      <c r="Z4830" t="s">
        <v>27892</v>
      </c>
      <c r="AA4830">
        <v>0.69151448914462443</v>
      </c>
      <c r="AB4830" t="str">
        <f>HYPERLINK("Melting_Curves/meltCurve_Q9BV44_THUMPD3.pdf", "Melting_Curves/meltCurve_Q9BV44_THUMPD3.pdf")</f>
        <v>Melting_Curves/meltCurve_Q9BV44_THUMPD3.pdf</v>
      </c>
    </row>
    <row r="4831" spans="1:28" x14ac:dyDescent="0.25">
      <c r="A4831" t="s">
        <v>4835</v>
      </c>
      <c r="B4831">
        <v>0.99996721820229495</v>
      </c>
      <c r="C4831">
        <v>1.00401391565095</v>
      </c>
      <c r="D4831">
        <v>0.98575846615093399</v>
      </c>
      <c r="E4831">
        <v>0.74888725679243895</v>
      </c>
      <c r="F4831">
        <v>0.56718951594717604</v>
      </c>
      <c r="G4831">
        <v>0.470725642678335</v>
      </c>
      <c r="H4831">
        <v>0.265144741657934</v>
      </c>
      <c r="I4831">
        <v>0.21048614458235301</v>
      </c>
      <c r="J4831">
        <v>0.17212920902293499</v>
      </c>
      <c r="K4831">
        <v>0.124776844160859</v>
      </c>
      <c r="L4831">
        <v>706.37511319235</v>
      </c>
      <c r="M4831">
        <v>13.0092124367299</v>
      </c>
      <c r="N4831">
        <v>55.210198107841897</v>
      </c>
      <c r="O4831">
        <v>53.063096766537498</v>
      </c>
      <c r="P4831">
        <v>-5.5374261814032398E-2</v>
      </c>
      <c r="Q4831">
        <v>9.6697978301258397E-2</v>
      </c>
      <c r="R4831">
        <v>0.98924478181737896</v>
      </c>
      <c r="S4831" t="s">
        <v>10657</v>
      </c>
      <c r="T4831" t="s">
        <v>11650</v>
      </c>
      <c r="U4831" t="s">
        <v>11650</v>
      </c>
      <c r="V4831" t="s">
        <v>11650</v>
      </c>
      <c r="W4831" t="s">
        <v>16426</v>
      </c>
      <c r="X4831">
        <v>13</v>
      </c>
      <c r="Y4831" t="s">
        <v>22095</v>
      </c>
      <c r="Z4831" t="s">
        <v>27893</v>
      </c>
      <c r="AA4831">
        <v>0.54848344157482221</v>
      </c>
      <c r="AB4831" t="str">
        <f>HYPERLINK("Melting_Curves/meltCurve_Q9BV57_ADI1.pdf", "Melting_Curves/meltCurve_Q9BV57_ADI1.pdf")</f>
        <v>Melting_Curves/meltCurve_Q9BV57_ADI1.pdf</v>
      </c>
    </row>
    <row r="4832" spans="1:28" x14ac:dyDescent="0.25">
      <c r="A4832" t="s">
        <v>4836</v>
      </c>
      <c r="B4832">
        <v>0.99996721820229495</v>
      </c>
      <c r="C4832">
        <v>1.03634804468746</v>
      </c>
      <c r="D4832">
        <v>0.97608796442772805</v>
      </c>
      <c r="E4832">
        <v>0.94793332008533004</v>
      </c>
      <c r="F4832">
        <v>1.2175982886844401</v>
      </c>
      <c r="G4832">
        <v>1.1398101273063199</v>
      </c>
      <c r="H4832">
        <v>0.81557994227735497</v>
      </c>
      <c r="I4832">
        <v>0.60471848558464003</v>
      </c>
      <c r="J4832">
        <v>0.51635256009350305</v>
      </c>
      <c r="K4832">
        <v>0.50876416587658702</v>
      </c>
      <c r="L4832">
        <v>3313.5083972736002</v>
      </c>
      <c r="M4832">
        <v>53.664892904219101</v>
      </c>
      <c r="O4832">
        <v>61.658888466419903</v>
      </c>
      <c r="P4832">
        <v>-0.10512544450861901</v>
      </c>
      <c r="Q4832">
        <v>0.51686013724525903</v>
      </c>
      <c r="R4832">
        <v>0.872942243651461</v>
      </c>
      <c r="S4832" t="s">
        <v>10658</v>
      </c>
      <c r="T4832" t="s">
        <v>11650</v>
      </c>
      <c r="U4832" t="s">
        <v>11650</v>
      </c>
      <c r="V4832" t="s">
        <v>11650</v>
      </c>
      <c r="W4832" t="s">
        <v>16427</v>
      </c>
      <c r="X4832">
        <v>3</v>
      </c>
      <c r="Y4832" t="s">
        <v>22096</v>
      </c>
      <c r="Z4832" t="s">
        <v>27894</v>
      </c>
      <c r="AA4832">
        <v>0.86814395557986446</v>
      </c>
      <c r="AB4832" t="str">
        <f>HYPERLINK("Melting_Curves/meltCurve_Q9BV68_2_RNF126.pdf", "Melting_Curves/meltCurve_Q9BV68_2_RNF126.pdf")</f>
        <v>Melting_Curves/meltCurve_Q9BV68_2_RNF126.pdf</v>
      </c>
    </row>
    <row r="4833" spans="1:28" x14ac:dyDescent="0.25">
      <c r="A4833" t="s">
        <v>4837</v>
      </c>
      <c r="B4833">
        <v>0.99996721820229495</v>
      </c>
      <c r="C4833">
        <v>0.91044361463118695</v>
      </c>
      <c r="D4833">
        <v>0.79770065363560605</v>
      </c>
      <c r="E4833">
        <v>0.893684166771472</v>
      </c>
      <c r="F4833">
        <v>0.88297841622589102</v>
      </c>
      <c r="G4833">
        <v>0.73801203190214104</v>
      </c>
      <c r="H4833">
        <v>0.69207284080630505</v>
      </c>
      <c r="I4833">
        <v>0.40711616589727301</v>
      </c>
      <c r="J4833">
        <v>0.29907902121777802</v>
      </c>
      <c r="K4833">
        <v>0.39898955414227599</v>
      </c>
      <c r="L4833">
        <v>495.28445849054901</v>
      </c>
      <c r="M4833">
        <v>7.7796543355468302</v>
      </c>
      <c r="N4833">
        <v>63.664068766788098</v>
      </c>
      <c r="O4833">
        <v>59.868130077379703</v>
      </c>
      <c r="P4833">
        <v>-3.2527399987639101E-2</v>
      </c>
      <c r="Q4833">
        <v>0</v>
      </c>
      <c r="R4833">
        <v>0.88011704097024102</v>
      </c>
      <c r="S4833" t="s">
        <v>10659</v>
      </c>
      <c r="T4833" t="s">
        <v>11650</v>
      </c>
      <c r="U4833" t="s">
        <v>11650</v>
      </c>
      <c r="V4833" t="s">
        <v>11650</v>
      </c>
      <c r="W4833" t="s">
        <v>16428</v>
      </c>
      <c r="X4833">
        <v>2</v>
      </c>
      <c r="Y4833" t="s">
        <v>22097</v>
      </c>
      <c r="Z4833" t="s">
        <v>27895</v>
      </c>
      <c r="AA4833">
        <v>0.72892090668197673</v>
      </c>
      <c r="AB4833" t="str">
        <f>HYPERLINK("Melting_Curves/meltCurve_Q9BV73_2_CEP250.pdf", "Melting_Curves/meltCurve_Q9BV73_2_CEP250.pdf")</f>
        <v>Melting_Curves/meltCurve_Q9BV73_2_CEP250.pdf</v>
      </c>
    </row>
    <row r="4834" spans="1:28" x14ac:dyDescent="0.25">
      <c r="A4834" t="s">
        <v>4838</v>
      </c>
      <c r="B4834">
        <v>0.99996721820229495</v>
      </c>
      <c r="C4834">
        <v>1.02130874267891</v>
      </c>
      <c r="D4834">
        <v>0.92185024474625699</v>
      </c>
      <c r="E4834">
        <v>0.97032332496197904</v>
      </c>
      <c r="F4834">
        <v>1.35042954496708</v>
      </c>
      <c r="G4834">
        <v>0.44791391463163199</v>
      </c>
      <c r="H4834">
        <v>0.22768127542963201</v>
      </c>
      <c r="I4834">
        <v>0.179368198856837</v>
      </c>
      <c r="J4834">
        <v>0.12315626138862</v>
      </c>
      <c r="K4834">
        <v>0.12698645398581601</v>
      </c>
      <c r="L4834">
        <v>14212.0332680376</v>
      </c>
      <c r="M4834">
        <v>250</v>
      </c>
      <c r="N4834">
        <v>56.938867065327301</v>
      </c>
      <c r="O4834">
        <v>56.844494947361603</v>
      </c>
      <c r="P4834">
        <v>-0.91884663340143502</v>
      </c>
      <c r="Q4834">
        <v>0.16429803276872301</v>
      </c>
      <c r="R4834">
        <v>0.92825563727031302</v>
      </c>
      <c r="S4834" t="s">
        <v>10660</v>
      </c>
      <c r="T4834" t="s">
        <v>11650</v>
      </c>
      <c r="U4834" t="s">
        <v>11650</v>
      </c>
      <c r="V4834" t="s">
        <v>11650</v>
      </c>
      <c r="W4834" t="s">
        <v>16429</v>
      </c>
      <c r="X4834">
        <v>5</v>
      </c>
      <c r="Y4834" t="s">
        <v>22098</v>
      </c>
      <c r="Z4834" t="s">
        <v>27896</v>
      </c>
      <c r="AA4834">
        <v>0.63371534049128753</v>
      </c>
      <c r="AB4834" t="str">
        <f>HYPERLINK("Melting_Curves/meltCurve_Q9BV79_MECR.pdf", "Melting_Curves/meltCurve_Q9BV79_MECR.pdf")</f>
        <v>Melting_Curves/meltCurve_Q9BV79_MECR.pdf</v>
      </c>
    </row>
    <row r="4835" spans="1:28" x14ac:dyDescent="0.25">
      <c r="A4835" t="s">
        <v>4839</v>
      </c>
      <c r="B4835">
        <v>0.99996721820229495</v>
      </c>
      <c r="C4835">
        <v>0.83796366123352894</v>
      </c>
      <c r="D4835">
        <v>0.57719245956325005</v>
      </c>
      <c r="E4835">
        <v>0.32750733707707702</v>
      </c>
      <c r="F4835">
        <v>0.117173406772311</v>
      </c>
      <c r="G4835">
        <v>8.0918735169519002E-2</v>
      </c>
      <c r="H4835">
        <v>5.61428689043795E-2</v>
      </c>
      <c r="I4835">
        <v>3.5680352735561499E-2</v>
      </c>
      <c r="J4835">
        <v>2.5327766686425699E-2</v>
      </c>
      <c r="K4835">
        <v>3.94977708321343E-2</v>
      </c>
      <c r="L4835">
        <v>808.63045968297001</v>
      </c>
      <c r="M4835">
        <v>17.206481717923999</v>
      </c>
      <c r="N4835">
        <v>47.162850086208302</v>
      </c>
      <c r="O4835">
        <v>46.374670367962104</v>
      </c>
      <c r="P4835">
        <v>-9.0019319039970097E-2</v>
      </c>
      <c r="Q4835">
        <v>2.9581640715610698E-2</v>
      </c>
      <c r="R4835">
        <v>0.99497649472474103</v>
      </c>
      <c r="S4835" t="s">
        <v>10661</v>
      </c>
      <c r="T4835" t="s">
        <v>11650</v>
      </c>
      <c r="U4835" t="s">
        <v>11650</v>
      </c>
      <c r="V4835" t="s">
        <v>11650</v>
      </c>
      <c r="W4835" t="s">
        <v>16430</v>
      </c>
      <c r="X4835">
        <v>9</v>
      </c>
      <c r="Y4835" t="s">
        <v>22099</v>
      </c>
      <c r="Z4835" t="s">
        <v>27897</v>
      </c>
      <c r="AA4835">
        <v>0.27561739136350488</v>
      </c>
      <c r="AB4835" t="str">
        <f>HYPERLINK("Melting_Curves/meltCurve_Q9BV86_NTMT1.pdf", "Melting_Curves/meltCurve_Q9BV86_NTMT1.pdf")</f>
        <v>Melting_Curves/meltCurve_Q9BV86_NTMT1.pdf</v>
      </c>
    </row>
    <row r="4836" spans="1:28" x14ac:dyDescent="0.25">
      <c r="A4836" t="s">
        <v>4840</v>
      </c>
      <c r="B4836">
        <v>0.99996721820229495</v>
      </c>
      <c r="C4836">
        <v>1.07826214703367</v>
      </c>
      <c r="D4836">
        <v>0.98601805162950995</v>
      </c>
      <c r="E4836">
        <v>0.92030585287561595</v>
      </c>
      <c r="F4836">
        <v>0.87660899973835504</v>
      </c>
      <c r="G4836">
        <v>0.62681484610618299</v>
      </c>
      <c r="H4836">
        <v>0.40591789763869401</v>
      </c>
      <c r="I4836">
        <v>0.35044176668275501</v>
      </c>
      <c r="J4836">
        <v>0.211399003262144</v>
      </c>
      <c r="K4836">
        <v>0.107431409070672</v>
      </c>
      <c r="L4836">
        <v>796.48190497082601</v>
      </c>
      <c r="M4836">
        <v>13.3559149873784</v>
      </c>
      <c r="N4836">
        <v>59.779942157877997</v>
      </c>
      <c r="O4836">
        <v>58.345807189938</v>
      </c>
      <c r="P4836">
        <v>-5.6325496737646502E-2</v>
      </c>
      <c r="Q4836">
        <v>1.5916466517621599E-2</v>
      </c>
      <c r="R4836">
        <v>0.98859457594447997</v>
      </c>
      <c r="S4836" t="s">
        <v>10662</v>
      </c>
      <c r="T4836" t="s">
        <v>11650</v>
      </c>
      <c r="U4836" t="s">
        <v>11650</v>
      </c>
      <c r="V4836" t="s">
        <v>11650</v>
      </c>
      <c r="W4836" t="s">
        <v>16431</v>
      </c>
      <c r="X4836">
        <v>4</v>
      </c>
      <c r="Y4836" t="s">
        <v>22100</v>
      </c>
      <c r="Z4836" t="s">
        <v>27898</v>
      </c>
      <c r="AA4836">
        <v>0.66661372320378454</v>
      </c>
      <c r="AB4836" t="str">
        <f>HYPERLINK("Melting_Curves/meltCurve_Q9BVA0_KATNB1.pdf", "Melting_Curves/meltCurve_Q9BVA0_KATNB1.pdf")</f>
        <v>Melting_Curves/meltCurve_Q9BVA0_KATNB1.pdf</v>
      </c>
    </row>
    <row r="4837" spans="1:28" x14ac:dyDescent="0.25">
      <c r="A4837" t="s">
        <v>4841</v>
      </c>
      <c r="B4837">
        <v>0.99996721820229495</v>
      </c>
      <c r="C4837">
        <v>0.96198585996976105</v>
      </c>
      <c r="D4837">
        <v>0.92377131321091799</v>
      </c>
      <c r="E4837">
        <v>0.76975393831724503</v>
      </c>
      <c r="F4837">
        <v>0.55441216325182596</v>
      </c>
      <c r="G4837">
        <v>0.43288017861432898</v>
      </c>
      <c r="H4837">
        <v>0.232133023368254</v>
      </c>
      <c r="I4837">
        <v>0.109934297315778</v>
      </c>
      <c r="J4837">
        <v>8.0657615848123504E-2</v>
      </c>
      <c r="K4837">
        <v>6.0215552697489301E-2</v>
      </c>
      <c r="L4837">
        <v>677.577353972438</v>
      </c>
      <c r="M4837">
        <v>12.376991317665601</v>
      </c>
      <c r="N4837">
        <v>54.7449162975864</v>
      </c>
      <c r="O4837">
        <v>53.374699464471398</v>
      </c>
      <c r="P4837">
        <v>-5.7984578340690797E-2</v>
      </c>
      <c r="Q4837">
        <v>0</v>
      </c>
      <c r="R4837">
        <v>0.99493046416013897</v>
      </c>
      <c r="S4837" t="s">
        <v>10663</v>
      </c>
      <c r="T4837" t="s">
        <v>11650</v>
      </c>
      <c r="U4837" t="s">
        <v>11650</v>
      </c>
      <c r="V4837" t="s">
        <v>11650</v>
      </c>
      <c r="W4837" t="s">
        <v>16432</v>
      </c>
      <c r="X4837">
        <v>3</v>
      </c>
      <c r="Y4837" t="s">
        <v>22101</v>
      </c>
      <c r="Z4837" t="s">
        <v>27899</v>
      </c>
      <c r="AA4837">
        <v>0.51508780807412746</v>
      </c>
      <c r="AB4837" t="str">
        <f>HYPERLINK("Melting_Curves/meltCurve_Q9BVA6_FICD.pdf", "Melting_Curves/meltCurve_Q9BVA6_FICD.pdf")</f>
        <v>Melting_Curves/meltCurve_Q9BVA6_FICD.pdf</v>
      </c>
    </row>
    <row r="4838" spans="1:28" x14ac:dyDescent="0.25">
      <c r="A4838" t="s">
        <v>4842</v>
      </c>
      <c r="B4838">
        <v>0.99996721820229495</v>
      </c>
      <c r="C4838">
        <v>1.03048773719071</v>
      </c>
      <c r="D4838">
        <v>1.15841410482814</v>
      </c>
      <c r="E4838">
        <v>1.23613497401374</v>
      </c>
      <c r="F4838">
        <v>0.836802148804073</v>
      </c>
      <c r="G4838">
        <v>0.442634104704134</v>
      </c>
      <c r="H4838">
        <v>0.44088983845853502</v>
      </c>
      <c r="I4838">
        <v>0.23452200035912099</v>
      </c>
      <c r="J4838">
        <v>0.17019096804584199</v>
      </c>
      <c r="K4838">
        <v>4.8571130580288703E-2</v>
      </c>
      <c r="L4838">
        <v>1277.1875572819899</v>
      </c>
      <c r="M4838">
        <v>22.412183961169699</v>
      </c>
      <c r="N4838">
        <v>57.797680293469099</v>
      </c>
      <c r="O4838">
        <v>56.538444174332803</v>
      </c>
      <c r="P4838">
        <v>-8.5727314383207201E-2</v>
      </c>
      <c r="Q4838">
        <v>0.13497263789363001</v>
      </c>
      <c r="R4838">
        <v>0.91478674988181197</v>
      </c>
      <c r="S4838" t="s">
        <v>10664</v>
      </c>
      <c r="T4838" t="s">
        <v>11650</v>
      </c>
      <c r="U4838" t="s">
        <v>11650</v>
      </c>
      <c r="V4838" t="s">
        <v>11650</v>
      </c>
      <c r="W4838" t="s">
        <v>16433</v>
      </c>
      <c r="X4838">
        <v>2</v>
      </c>
      <c r="Y4838" t="s">
        <v>22102</v>
      </c>
      <c r="Z4838" t="s">
        <v>27900</v>
      </c>
      <c r="AA4838">
        <v>0.63391158321701957</v>
      </c>
      <c r="AB4838" t="str">
        <f>HYPERLINK("Melting_Curves/meltCurve_Q9BVC4_3_MLST8.pdf", "Melting_Curves/meltCurve_Q9BVC4_3_MLST8.pdf")</f>
        <v>Melting_Curves/meltCurve_Q9BVC4_3_MLST8.pdf</v>
      </c>
    </row>
    <row r="4839" spans="1:28" x14ac:dyDescent="0.25">
      <c r="A4839" t="s">
        <v>4843</v>
      </c>
      <c r="B4839">
        <v>0.99996721820229495</v>
      </c>
      <c r="C4839">
        <v>0.81320537584793096</v>
      </c>
      <c r="D4839">
        <v>0.91424427967768895</v>
      </c>
      <c r="E4839">
        <v>1.14561235446154</v>
      </c>
      <c r="F4839">
        <v>1.4941745899897201</v>
      </c>
      <c r="G4839">
        <v>1.49870058063588</v>
      </c>
      <c r="H4839">
        <v>1.21597807156465</v>
      </c>
      <c r="I4839">
        <v>0.80811882760961595</v>
      </c>
      <c r="J4839">
        <v>0.50280880564567498</v>
      </c>
      <c r="K4839">
        <v>0.72109012696508401</v>
      </c>
      <c r="L4839">
        <v>15000</v>
      </c>
      <c r="M4839">
        <v>234.352929631742</v>
      </c>
      <c r="O4839">
        <v>64.001366178197102</v>
      </c>
      <c r="P4839">
        <v>-0.35523158785734499</v>
      </c>
      <c r="Q4839">
        <v>0.61194755411292001</v>
      </c>
      <c r="R4839">
        <v>0.34943164612608801</v>
      </c>
      <c r="S4839" t="s">
        <v>10665</v>
      </c>
      <c r="T4839" t="s">
        <v>11650</v>
      </c>
      <c r="U4839" t="s">
        <v>11650</v>
      </c>
      <c r="V4839" t="s">
        <v>11650</v>
      </c>
      <c r="W4839" t="s">
        <v>16434</v>
      </c>
      <c r="X4839">
        <v>7</v>
      </c>
      <c r="Y4839" t="s">
        <v>22103</v>
      </c>
      <c r="Z4839" t="s">
        <v>27901</v>
      </c>
      <c r="AA4839">
        <v>0.92251708010434053</v>
      </c>
      <c r="AB4839" t="str">
        <f>HYPERLINK("Melting_Curves/meltCurve_Q9BVC6_TMEM109.pdf", "Melting_Curves/meltCurve_Q9BVC6_TMEM109.pdf")</f>
        <v>Melting_Curves/meltCurve_Q9BVC6_TMEM109.pdf</v>
      </c>
    </row>
    <row r="4840" spans="1:28" x14ac:dyDescent="0.25">
      <c r="A4840" t="s">
        <v>4844</v>
      </c>
      <c r="B4840">
        <v>0.99996721820229495</v>
      </c>
      <c r="C4840">
        <v>1.0786748812699001</v>
      </c>
      <c r="D4840">
        <v>0.97849009657381603</v>
      </c>
      <c r="E4840">
        <v>0.80965625408451702</v>
      </c>
      <c r="F4840">
        <v>0.61108492094836098</v>
      </c>
      <c r="G4840">
        <v>0.45314262107077902</v>
      </c>
      <c r="H4840">
        <v>0.26849652259992302</v>
      </c>
      <c r="I4840">
        <v>0.18157085358943101</v>
      </c>
      <c r="J4840">
        <v>0.14309982047175299</v>
      </c>
      <c r="K4840">
        <v>0.101196986010697</v>
      </c>
      <c r="L4840">
        <v>781.80827045196304</v>
      </c>
      <c r="M4840">
        <v>14.223930373547301</v>
      </c>
      <c r="N4840">
        <v>55.593292006327303</v>
      </c>
      <c r="O4840">
        <v>53.9121162450488</v>
      </c>
      <c r="P4840">
        <v>-6.1064029914706199E-2</v>
      </c>
      <c r="Q4840">
        <v>7.4325741351003199E-2</v>
      </c>
      <c r="R4840">
        <v>0.98969417757414602</v>
      </c>
      <c r="S4840" t="s">
        <v>10666</v>
      </c>
      <c r="T4840" t="s">
        <v>11650</v>
      </c>
      <c r="U4840" t="s">
        <v>11650</v>
      </c>
      <c r="V4840" t="s">
        <v>11650</v>
      </c>
      <c r="W4840" t="s">
        <v>16435</v>
      </c>
      <c r="X4840">
        <v>8</v>
      </c>
      <c r="Y4840" t="s">
        <v>22104</v>
      </c>
      <c r="Z4840" t="s">
        <v>27902</v>
      </c>
      <c r="AA4840">
        <v>0.55495850067972863</v>
      </c>
      <c r="AB4840" t="str">
        <f>HYPERLINK("Melting_Curves/meltCurve_Q9BVG4_PBDC1.pdf", "Melting_Curves/meltCurve_Q9BVG4_PBDC1.pdf")</f>
        <v>Melting_Curves/meltCurve_Q9BVG4_PBDC1.pdf</v>
      </c>
    </row>
    <row r="4841" spans="1:28" x14ac:dyDescent="0.25">
      <c r="A4841" t="s">
        <v>4845</v>
      </c>
      <c r="B4841">
        <v>0.99996721820229495</v>
      </c>
      <c r="C4841">
        <v>0.75454201743378502</v>
      </c>
      <c r="D4841">
        <v>1.27559736967999</v>
      </c>
      <c r="E4841">
        <v>1.59048960330921</v>
      </c>
      <c r="F4841">
        <v>1.96714588127201</v>
      </c>
      <c r="G4841">
        <v>1.92407609382566</v>
      </c>
      <c r="H4841">
        <v>1.0063645885691901</v>
      </c>
      <c r="I4841">
        <v>0.43267558602463801</v>
      </c>
      <c r="J4841">
        <v>0.35581780514745698</v>
      </c>
      <c r="K4841">
        <v>0.20637212673788299</v>
      </c>
      <c r="L4841">
        <v>8982.9518687456002</v>
      </c>
      <c r="M4841">
        <v>141.672587924857</v>
      </c>
      <c r="N4841">
        <v>63.7775343810926</v>
      </c>
      <c r="O4841">
        <v>63.393791681357499</v>
      </c>
      <c r="P4841">
        <v>-0.40184817720925597</v>
      </c>
      <c r="Q4841">
        <v>0.28074502326727002</v>
      </c>
      <c r="R4841">
        <v>0.36773373322897801</v>
      </c>
      <c r="S4841" t="s">
        <v>10667</v>
      </c>
      <c r="T4841" t="s">
        <v>11650</v>
      </c>
      <c r="U4841" t="s">
        <v>11650</v>
      </c>
      <c r="V4841" t="s">
        <v>11650</v>
      </c>
      <c r="W4841" t="s">
        <v>16436</v>
      </c>
      <c r="X4841">
        <v>1</v>
      </c>
      <c r="Y4841" t="s">
        <v>22105</v>
      </c>
      <c r="Z4841" t="s">
        <v>27903</v>
      </c>
      <c r="AA4841">
        <v>0.84216719299935994</v>
      </c>
      <c r="AB4841" t="str">
        <f>HYPERLINK("Melting_Curves/meltCurve_Q9BVG9_PTDSS2.pdf", "Melting_Curves/meltCurve_Q9BVG9_PTDSS2.pdf")</f>
        <v>Melting_Curves/meltCurve_Q9BVG9_PTDSS2.pdf</v>
      </c>
    </row>
    <row r="4842" spans="1:28" x14ac:dyDescent="0.25">
      <c r="A4842" t="s">
        <v>4846</v>
      </c>
      <c r="B4842">
        <v>0.99996721820229495</v>
      </c>
      <c r="C4842">
        <v>1.01306274492979</v>
      </c>
      <c r="D4842">
        <v>0.96729357504970104</v>
      </c>
      <c r="E4842">
        <v>0.86732467578271299</v>
      </c>
      <c r="F4842">
        <v>1.16032510555963</v>
      </c>
      <c r="G4842">
        <v>1.02818244744175</v>
      </c>
      <c r="H4842">
        <v>0.73100083084949796</v>
      </c>
      <c r="I4842">
        <v>0.73965249129414701</v>
      </c>
      <c r="J4842">
        <v>0.63886013667555197</v>
      </c>
      <c r="K4842">
        <v>0.687793326916456</v>
      </c>
      <c r="L4842">
        <v>9200.19544167391</v>
      </c>
      <c r="M4842">
        <v>152.67075417244101</v>
      </c>
      <c r="O4842">
        <v>60.251347237309297</v>
      </c>
      <c r="P4842">
        <v>-0.19718406389489901</v>
      </c>
      <c r="Q4842">
        <v>0.68872615080052602</v>
      </c>
      <c r="R4842">
        <v>0.81816944070532305</v>
      </c>
      <c r="S4842" t="s">
        <v>10668</v>
      </c>
      <c r="T4842" t="s">
        <v>11650</v>
      </c>
      <c r="U4842" t="s">
        <v>11650</v>
      </c>
      <c r="V4842" t="s">
        <v>11650</v>
      </c>
      <c r="W4842" t="s">
        <v>16437</v>
      </c>
      <c r="X4842">
        <v>2</v>
      </c>
      <c r="Y4842" t="s">
        <v>22106</v>
      </c>
      <c r="Z4842" t="s">
        <v>27904</v>
      </c>
      <c r="AA4842">
        <v>0.8990454466542579</v>
      </c>
      <c r="AB4842" t="str">
        <f>HYPERLINK("Melting_Curves/meltCurve_Q9BVJ6_3_UTP14A.pdf", "Melting_Curves/meltCurve_Q9BVJ6_3_UTP14A.pdf")</f>
        <v>Melting_Curves/meltCurve_Q9BVJ6_3_UTP14A.pdf</v>
      </c>
    </row>
    <row r="4843" spans="1:28" x14ac:dyDescent="0.25">
      <c r="A4843" t="s">
        <v>4847</v>
      </c>
      <c r="B4843">
        <v>0.99996721820229495</v>
      </c>
      <c r="C4843">
        <v>1.0025832514995301</v>
      </c>
      <c r="D4843">
        <v>0.94869423563934496</v>
      </c>
      <c r="E4843">
        <v>0.78602672274849394</v>
      </c>
      <c r="F4843">
        <v>0.81823250045200002</v>
      </c>
      <c r="G4843">
        <v>0.39144754811040999</v>
      </c>
      <c r="H4843">
        <v>0.22008510563897701</v>
      </c>
      <c r="I4843">
        <v>0.166457817432308</v>
      </c>
      <c r="J4843">
        <v>8.6295616190154398E-2</v>
      </c>
      <c r="K4843">
        <v>0.14151346897459599</v>
      </c>
      <c r="L4843">
        <v>993.11421149395301</v>
      </c>
      <c r="M4843">
        <v>17.922705121433498</v>
      </c>
      <c r="N4843">
        <v>55.963826539798397</v>
      </c>
      <c r="O4843">
        <v>54.734942991339999</v>
      </c>
      <c r="P4843">
        <v>-7.5223289446234604E-2</v>
      </c>
      <c r="Q4843">
        <v>8.1135178948399306E-2</v>
      </c>
      <c r="R4843">
        <v>0.98170361575680298</v>
      </c>
      <c r="S4843" t="s">
        <v>10669</v>
      </c>
      <c r="T4843" t="s">
        <v>11650</v>
      </c>
      <c r="U4843" t="s">
        <v>11650</v>
      </c>
      <c r="V4843" t="s">
        <v>11650</v>
      </c>
      <c r="W4843" t="s">
        <v>16438</v>
      </c>
      <c r="X4843">
        <v>11</v>
      </c>
      <c r="Y4843" t="s">
        <v>22107</v>
      </c>
      <c r="Z4843" t="s">
        <v>27905</v>
      </c>
      <c r="AA4843">
        <v>0.5671940954080702</v>
      </c>
      <c r="AB4843" t="str">
        <f>HYPERLINK("Melting_Curves/meltCurve_Q9BVJ7_DUSP23.pdf", "Melting_Curves/meltCurve_Q9BVJ7_DUSP23.pdf")</f>
        <v>Melting_Curves/meltCurve_Q9BVJ7_DUSP23.pdf</v>
      </c>
    </row>
    <row r="4844" spans="1:28" x14ac:dyDescent="0.25">
      <c r="A4844" t="s">
        <v>4848</v>
      </c>
      <c r="B4844">
        <v>0.99996721820229495</v>
      </c>
      <c r="C4844">
        <v>0.84906562835752997</v>
      </c>
      <c r="D4844">
        <v>1.12751512535889</v>
      </c>
      <c r="E4844">
        <v>1.2687706898951701</v>
      </c>
      <c r="F4844">
        <v>1.4910763268729099</v>
      </c>
      <c r="G4844">
        <v>1.3320853997134801</v>
      </c>
      <c r="H4844">
        <v>0.61387861941770305</v>
      </c>
      <c r="I4844">
        <v>0.30612775647749302</v>
      </c>
      <c r="J4844">
        <v>0.19815359547650799</v>
      </c>
      <c r="K4844">
        <v>0.15628081591984</v>
      </c>
      <c r="L4844">
        <v>4644.5865674146398</v>
      </c>
      <c r="M4844">
        <v>76.021412955403306</v>
      </c>
      <c r="N4844">
        <v>61.534541269294301</v>
      </c>
      <c r="O4844">
        <v>61.053522870963299</v>
      </c>
      <c r="P4844">
        <v>-0.24615912430055401</v>
      </c>
      <c r="Q4844">
        <v>0.209229059095103</v>
      </c>
      <c r="R4844">
        <v>0.78220472413306197</v>
      </c>
      <c r="S4844" t="s">
        <v>10670</v>
      </c>
      <c r="T4844" t="s">
        <v>11650</v>
      </c>
      <c r="U4844" t="s">
        <v>11650</v>
      </c>
      <c r="V4844" t="s">
        <v>11650</v>
      </c>
      <c r="W4844" t="s">
        <v>16439</v>
      </c>
      <c r="X4844">
        <v>14</v>
      </c>
      <c r="Y4844" t="s">
        <v>22108</v>
      </c>
      <c r="Z4844" t="s">
        <v>27906</v>
      </c>
      <c r="AA4844">
        <v>0.76621018971988109</v>
      </c>
      <c r="AB4844" t="str">
        <f>HYPERLINK("Melting_Curves/meltCurve_Q9BVK6_TMED9.pdf", "Melting_Curves/meltCurve_Q9BVK6_TMED9.pdf")</f>
        <v>Melting_Curves/meltCurve_Q9BVK6_TMED9.pdf</v>
      </c>
    </row>
    <row r="4845" spans="1:28" x14ac:dyDescent="0.25">
      <c r="A4845" t="s">
        <v>4849</v>
      </c>
      <c r="B4845">
        <v>0.99996721820229495</v>
      </c>
      <c r="C4845">
        <v>0.731818067413047</v>
      </c>
      <c r="D4845">
        <v>0.39750689512285298</v>
      </c>
      <c r="E4845">
        <v>0.32933691873302801</v>
      </c>
      <c r="F4845">
        <v>0.313242525269887</v>
      </c>
      <c r="G4845">
        <v>0.229278272558751</v>
      </c>
      <c r="H4845">
        <v>0.26445120100936698</v>
      </c>
      <c r="I4845">
        <v>0.18735825618145299</v>
      </c>
      <c r="J4845">
        <v>0.132536669014758</v>
      </c>
      <c r="K4845">
        <v>0.13530345742755201</v>
      </c>
      <c r="L4845">
        <v>1024.6939226966099</v>
      </c>
      <c r="M4845">
        <v>23.176645216836899</v>
      </c>
      <c r="N4845">
        <v>45.290361194809002</v>
      </c>
      <c r="O4845">
        <v>43.887154452660504</v>
      </c>
      <c r="P4845">
        <v>-0.104036569038784</v>
      </c>
      <c r="Q4845">
        <v>0.21200241949299001</v>
      </c>
      <c r="R4845">
        <v>0.95323128853672301</v>
      </c>
      <c r="S4845" t="s">
        <v>10671</v>
      </c>
      <c r="T4845" t="s">
        <v>11650</v>
      </c>
      <c r="U4845" t="s">
        <v>11650</v>
      </c>
      <c r="V4845" t="s">
        <v>11650</v>
      </c>
      <c r="W4845" t="s">
        <v>16440</v>
      </c>
      <c r="X4845">
        <v>6</v>
      </c>
      <c r="Y4845" t="s">
        <v>22109</v>
      </c>
      <c r="Z4845" t="s">
        <v>27907</v>
      </c>
      <c r="AA4845">
        <v>0.33310519376913378</v>
      </c>
      <c r="AB4845" t="str">
        <f>HYPERLINK("Melting_Curves/meltCurve_Q9BVL4_SELO.pdf", "Melting_Curves/meltCurve_Q9BVL4_SELO.pdf")</f>
        <v>Melting_Curves/meltCurve_Q9BVL4_SELO.pdf</v>
      </c>
    </row>
    <row r="4846" spans="1:28" x14ac:dyDescent="0.25">
      <c r="A4846" t="s">
        <v>4850</v>
      </c>
      <c r="B4846">
        <v>0.99996721820229495</v>
      </c>
      <c r="C4846">
        <v>1.06618573059865</v>
      </c>
      <c r="D4846">
        <v>1.0936861655822201</v>
      </c>
      <c r="E4846">
        <v>0.98635851618713299</v>
      </c>
      <c r="F4846">
        <v>0.78312692846884702</v>
      </c>
      <c r="G4846">
        <v>0.65898383867808497</v>
      </c>
      <c r="H4846">
        <v>0.36401359450154902</v>
      </c>
      <c r="I4846">
        <v>0.249231104956433</v>
      </c>
      <c r="J4846">
        <v>0.17358925197271499</v>
      </c>
      <c r="K4846">
        <v>0.12516282499440301</v>
      </c>
      <c r="L4846">
        <v>980.03054186729003</v>
      </c>
      <c r="M4846">
        <v>16.8072796903467</v>
      </c>
      <c r="N4846">
        <v>58.892949025237201</v>
      </c>
      <c r="O4846">
        <v>57.503208160541803</v>
      </c>
      <c r="P4846">
        <v>-6.7474863225047907E-2</v>
      </c>
      <c r="Q4846">
        <v>7.6645644035560803E-2</v>
      </c>
      <c r="R4846">
        <v>0.98284635549603205</v>
      </c>
      <c r="S4846" t="s">
        <v>10672</v>
      </c>
      <c r="T4846" t="s">
        <v>11650</v>
      </c>
      <c r="U4846" t="s">
        <v>11650</v>
      </c>
      <c r="V4846" t="s">
        <v>11650</v>
      </c>
      <c r="W4846" t="s">
        <v>16441</v>
      </c>
      <c r="X4846">
        <v>3</v>
      </c>
      <c r="Y4846" t="s">
        <v>22110</v>
      </c>
      <c r="Z4846" t="s">
        <v>27908</v>
      </c>
      <c r="AA4846">
        <v>0.65153632942739814</v>
      </c>
      <c r="AB4846" t="str">
        <f>HYPERLINK("Melting_Curves/meltCurve_Q9BVM4_GGACT.pdf", "Melting_Curves/meltCurve_Q9BVM4_GGACT.pdf")</f>
        <v>Melting_Curves/meltCurve_Q9BVM4_GGACT.pdf</v>
      </c>
    </row>
    <row r="4847" spans="1:28" x14ac:dyDescent="0.25">
      <c r="A4847" t="s">
        <v>4851</v>
      </c>
      <c r="B4847">
        <v>0.99996721820229495</v>
      </c>
      <c r="C4847">
        <v>0.98791577913098505</v>
      </c>
      <c r="D4847">
        <v>1.0546620635199999</v>
      </c>
      <c r="E4847">
        <v>1.18146852447866</v>
      </c>
      <c r="F4847">
        <v>0.89860005580272995</v>
      </c>
      <c r="G4847">
        <v>0.72814033130050704</v>
      </c>
      <c r="H4847">
        <v>0.37481467935553903</v>
      </c>
      <c r="I4847">
        <v>0.32512352690798701</v>
      </c>
      <c r="J4847">
        <v>0.28624184805582498</v>
      </c>
      <c r="K4847">
        <v>0.175362584766796</v>
      </c>
      <c r="L4847">
        <v>1574.75433298805</v>
      </c>
      <c r="M4847">
        <v>27.0548004337621</v>
      </c>
      <c r="N4847">
        <v>59.520909810883502</v>
      </c>
      <c r="O4847">
        <v>57.890881395228497</v>
      </c>
      <c r="P4847">
        <v>-9.0554638402065901E-2</v>
      </c>
      <c r="Q4847">
        <v>0.22494548385260199</v>
      </c>
      <c r="R4847">
        <v>0.961155478573545</v>
      </c>
      <c r="S4847" t="s">
        <v>10673</v>
      </c>
      <c r="T4847" t="s">
        <v>11650</v>
      </c>
      <c r="U4847" t="s">
        <v>11650</v>
      </c>
      <c r="V4847" t="s">
        <v>11650</v>
      </c>
      <c r="W4847" t="s">
        <v>16442</v>
      </c>
      <c r="X4847">
        <v>2</v>
      </c>
      <c r="Y4847" t="s">
        <v>22111</v>
      </c>
      <c r="Z4847" t="s">
        <v>27909</v>
      </c>
      <c r="AA4847">
        <v>0.70127008580908934</v>
      </c>
      <c r="AB4847" t="str">
        <f>HYPERLINK("Melting_Curves/meltCurve_Q9BVV7_TIMM21.pdf", "Melting_Curves/meltCurve_Q9BVV7_TIMM21.pdf")</f>
        <v>Melting_Curves/meltCurve_Q9BVV7_TIMM21.pdf</v>
      </c>
    </row>
    <row r="4848" spans="1:28" x14ac:dyDescent="0.25">
      <c r="A4848" t="s">
        <v>4852</v>
      </c>
      <c r="B4848">
        <v>0.99996721820229495</v>
      </c>
      <c r="C4848">
        <v>0.979525486104461</v>
      </c>
      <c r="D4848">
        <v>0.92021559159620103</v>
      </c>
      <c r="E4848">
        <v>0.940486020102133</v>
      </c>
      <c r="F4848">
        <v>1.0894924121846501</v>
      </c>
      <c r="G4848">
        <v>1.16573921955701</v>
      </c>
      <c r="H4848">
        <v>0.88650986129620102</v>
      </c>
      <c r="I4848">
        <v>0.80409224194611695</v>
      </c>
      <c r="J4848">
        <v>0.76371381701131902</v>
      </c>
      <c r="K4848">
        <v>0.48298033954937297</v>
      </c>
      <c r="L4848">
        <v>1349.28560706546</v>
      </c>
      <c r="M4848">
        <v>19.267731342820799</v>
      </c>
      <c r="O4848">
        <v>69.287008044981903</v>
      </c>
      <c r="P4848">
        <v>-6.9524066265021806E-2</v>
      </c>
      <c r="Q4848">
        <v>0</v>
      </c>
      <c r="R4848">
        <v>0.81426009521098297</v>
      </c>
      <c r="S4848" t="s">
        <v>10674</v>
      </c>
      <c r="T4848" t="s">
        <v>11650</v>
      </c>
      <c r="U4848" t="s">
        <v>11650</v>
      </c>
      <c r="V4848" t="s">
        <v>11650</v>
      </c>
      <c r="W4848" t="s">
        <v>16443</v>
      </c>
      <c r="X4848">
        <v>6</v>
      </c>
      <c r="Y4848" t="s">
        <v>22112</v>
      </c>
      <c r="Z4848" t="s">
        <v>27910</v>
      </c>
      <c r="AA4848">
        <v>0.92537956991537273</v>
      </c>
      <c r="AB4848" t="str">
        <f>HYPERLINK("Melting_Curves/meltCurve_Q9BW30_TPPP3.pdf", "Melting_Curves/meltCurve_Q9BW30_TPPP3.pdf")</f>
        <v>Melting_Curves/meltCurve_Q9BW30_TPPP3.pdf</v>
      </c>
    </row>
    <row r="4849" spans="1:28" x14ac:dyDescent="0.25">
      <c r="A4849" t="s">
        <v>4853</v>
      </c>
      <c r="B4849">
        <v>0.99996721820229495</v>
      </c>
      <c r="C4849">
        <v>0.80707228601611503</v>
      </c>
      <c r="D4849">
        <v>1.0235369188711101</v>
      </c>
      <c r="E4849">
        <v>0.84864121410985105</v>
      </c>
      <c r="F4849">
        <v>0.59347426312296103</v>
      </c>
      <c r="G4849">
        <v>0.36891730928509098</v>
      </c>
      <c r="H4849">
        <v>0.220714916181803</v>
      </c>
      <c r="I4849">
        <v>0.116656526644472</v>
      </c>
      <c r="J4849">
        <v>8.6453245438361706E-2</v>
      </c>
      <c r="K4849">
        <v>7.3282382535786894E-2</v>
      </c>
      <c r="L4849">
        <v>860.95778718700205</v>
      </c>
      <c r="M4849">
        <v>15.7823628539482</v>
      </c>
      <c r="N4849">
        <v>54.872622452434101</v>
      </c>
      <c r="O4849">
        <v>53.698599328356998</v>
      </c>
      <c r="P4849">
        <v>-7.0245032916214395E-2</v>
      </c>
      <c r="Q4849">
        <v>4.4060100961807902E-2</v>
      </c>
      <c r="R4849">
        <v>0.969610814825968</v>
      </c>
      <c r="S4849" t="s">
        <v>10675</v>
      </c>
      <c r="T4849" t="s">
        <v>11650</v>
      </c>
      <c r="U4849" t="s">
        <v>11650</v>
      </c>
      <c r="V4849" t="s">
        <v>11650</v>
      </c>
      <c r="W4849" t="s">
        <v>16444</v>
      </c>
      <c r="X4849">
        <v>1</v>
      </c>
      <c r="Y4849" t="s">
        <v>22113</v>
      </c>
      <c r="Z4849" t="s">
        <v>27911</v>
      </c>
      <c r="AA4849">
        <v>0.52563525764001107</v>
      </c>
      <c r="AB4849" t="str">
        <f>HYPERLINK("Melting_Curves/meltCurve_Q9BW60_2_ELOVL1.pdf", "Melting_Curves/meltCurve_Q9BW60_2_ELOVL1.pdf")</f>
        <v>Melting_Curves/meltCurve_Q9BW60_2_ELOVL1.pdf</v>
      </c>
    </row>
    <row r="4850" spans="1:28" x14ac:dyDescent="0.25">
      <c r="A4850" t="s">
        <v>4854</v>
      </c>
      <c r="B4850">
        <v>0.99996721820229495</v>
      </c>
      <c r="C4850">
        <v>1.2177243793582999</v>
      </c>
      <c r="D4850">
        <v>1.22595399852978</v>
      </c>
      <c r="E4850">
        <v>1.3644850244081499</v>
      </c>
      <c r="F4850">
        <v>1.29792895609168</v>
      </c>
      <c r="G4850">
        <v>1.3083444771789801</v>
      </c>
      <c r="H4850">
        <v>0.86747007917213204</v>
      </c>
      <c r="I4850">
        <v>0.54720901871572702</v>
      </c>
      <c r="J4850">
        <v>0.41019896224559499</v>
      </c>
      <c r="K4850">
        <v>0.329055408316485</v>
      </c>
      <c r="L4850">
        <v>3200.17559474376</v>
      </c>
      <c r="M4850">
        <v>50.871497082981797</v>
      </c>
      <c r="N4850">
        <v>64.460342991971601</v>
      </c>
      <c r="O4850">
        <v>62.810063747359699</v>
      </c>
      <c r="P4850">
        <v>-0.13095588772812</v>
      </c>
      <c r="Q4850">
        <v>0.35324560598480498</v>
      </c>
      <c r="R4850">
        <v>0.70405130262356097</v>
      </c>
      <c r="S4850" t="s">
        <v>10676</v>
      </c>
      <c r="T4850" t="s">
        <v>11650</v>
      </c>
      <c r="U4850" t="s">
        <v>11650</v>
      </c>
      <c r="V4850" t="s">
        <v>11650</v>
      </c>
      <c r="W4850" t="s">
        <v>16445</v>
      </c>
      <c r="X4850">
        <v>5</v>
      </c>
      <c r="Y4850" t="s">
        <v>22114</v>
      </c>
      <c r="Z4850" t="s">
        <v>27912</v>
      </c>
      <c r="AA4850">
        <v>0.84862113184030341</v>
      </c>
      <c r="AB4850" t="str">
        <f>HYPERLINK("Melting_Curves/meltCurve_Q9BW61_DDA1.pdf", "Melting_Curves/meltCurve_Q9BW61_DDA1.pdf")</f>
        <v>Melting_Curves/meltCurve_Q9BW61_DDA1.pdf</v>
      </c>
    </row>
    <row r="4851" spans="1:28" x14ac:dyDescent="0.25">
      <c r="A4851" t="s">
        <v>4855</v>
      </c>
      <c r="B4851">
        <v>0.99996721820229495</v>
      </c>
      <c r="C4851">
        <v>0.94375525873363098</v>
      </c>
      <c r="D4851">
        <v>0.88532854829460705</v>
      </c>
      <c r="E4851">
        <v>0.58786726709657899</v>
      </c>
      <c r="F4851">
        <v>0.49655747637272502</v>
      </c>
      <c r="G4851">
        <v>0.25463680675672501</v>
      </c>
      <c r="H4851">
        <v>0.133721605289081</v>
      </c>
      <c r="I4851">
        <v>8.3360601282608998E-2</v>
      </c>
      <c r="J4851">
        <v>9.9182172038985397E-2</v>
      </c>
      <c r="K4851">
        <v>5.1153550218578703E-2</v>
      </c>
      <c r="L4851">
        <v>701.98828363687198</v>
      </c>
      <c r="M4851">
        <v>13.499766301810901</v>
      </c>
      <c r="N4851">
        <v>52.227228212745601</v>
      </c>
      <c r="O4851">
        <v>50.898769907549003</v>
      </c>
      <c r="P4851">
        <v>-6.4425861140320007E-2</v>
      </c>
      <c r="Q4851">
        <v>2.85174015051393E-2</v>
      </c>
      <c r="R4851">
        <v>0.99461642885484003</v>
      </c>
      <c r="S4851" t="s">
        <v>10677</v>
      </c>
      <c r="T4851" t="s">
        <v>11650</v>
      </c>
      <c r="U4851" t="s">
        <v>11650</v>
      </c>
      <c r="V4851" t="s">
        <v>11650</v>
      </c>
      <c r="W4851" t="s">
        <v>16446</v>
      </c>
      <c r="X4851">
        <v>8</v>
      </c>
      <c r="Y4851" t="s">
        <v>22115</v>
      </c>
      <c r="Z4851" t="s">
        <v>27913</v>
      </c>
      <c r="AA4851">
        <v>0.44247421755591471</v>
      </c>
      <c r="AB4851" t="str">
        <f>HYPERLINK("Melting_Curves/meltCurve_Q9BW62_KATNAL1.pdf", "Melting_Curves/meltCurve_Q9BW62_KATNAL1.pdf")</f>
        <v>Melting_Curves/meltCurve_Q9BW62_KATNAL1.pdf</v>
      </c>
    </row>
    <row r="4852" spans="1:28" x14ac:dyDescent="0.25">
      <c r="A4852" t="s">
        <v>4856</v>
      </c>
      <c r="B4852">
        <v>0.99996721820229495</v>
      </c>
      <c r="C4852">
        <v>1.07549305682644</v>
      </c>
      <c r="D4852">
        <v>1.18510406164329</v>
      </c>
      <c r="E4852">
        <v>1.12334386601095</v>
      </c>
      <c r="F4852">
        <v>1.5739995902856601</v>
      </c>
      <c r="G4852">
        <v>2.2388457609769601</v>
      </c>
      <c r="H4852">
        <v>2.1174387920861202</v>
      </c>
      <c r="I4852">
        <v>1.3557900717353299</v>
      </c>
      <c r="J4852">
        <v>0.37761237104724299</v>
      </c>
      <c r="K4852">
        <v>1.3996646719738901</v>
      </c>
      <c r="L4852">
        <v>12555.817412844701</v>
      </c>
      <c r="M4852">
        <v>250</v>
      </c>
      <c r="O4852">
        <v>50.220056742247102</v>
      </c>
      <c r="P4852">
        <v>0.62226135761494294</v>
      </c>
      <c r="Q4852">
        <v>1.5</v>
      </c>
      <c r="R4852">
        <v>0.147059323116841</v>
      </c>
      <c r="S4852" t="s">
        <v>10678</v>
      </c>
      <c r="T4852" t="s">
        <v>11650</v>
      </c>
      <c r="U4852" t="s">
        <v>11650</v>
      </c>
      <c r="V4852" t="s">
        <v>11650</v>
      </c>
      <c r="W4852" t="s">
        <v>16447</v>
      </c>
      <c r="X4852">
        <v>3</v>
      </c>
      <c r="Y4852" t="s">
        <v>22116</v>
      </c>
      <c r="Z4852" t="s">
        <v>27914</v>
      </c>
      <c r="AA4852">
        <v>1.329568101948724</v>
      </c>
      <c r="AB4852" t="str">
        <f>HYPERLINK("Melting_Curves/meltCurve_Q9BW71_HIRIP3.pdf", "Melting_Curves/meltCurve_Q9BW71_HIRIP3.pdf")</f>
        <v>Melting_Curves/meltCurve_Q9BW71_HIRIP3.pdf</v>
      </c>
    </row>
    <row r="4853" spans="1:28" x14ac:dyDescent="0.25">
      <c r="A4853" t="s">
        <v>4857</v>
      </c>
      <c r="B4853">
        <v>0.99996721820229495</v>
      </c>
      <c r="C4853">
        <v>1.0667595659010201</v>
      </c>
      <c r="D4853">
        <v>0.96283808198674303</v>
      </c>
      <c r="E4853">
        <v>0.78332206920536596</v>
      </c>
      <c r="F4853">
        <v>0.63128217662769004</v>
      </c>
      <c r="G4853">
        <v>0.397255238624042</v>
      </c>
      <c r="H4853">
        <v>0.200898992636517</v>
      </c>
      <c r="I4853">
        <v>0.13717451110037801</v>
      </c>
      <c r="J4853">
        <v>7.9734859763889401E-2</v>
      </c>
      <c r="K4853">
        <v>6.6352382342955499E-2</v>
      </c>
      <c r="L4853">
        <v>810.41239848553801</v>
      </c>
      <c r="M4853">
        <v>14.7782802131916</v>
      </c>
      <c r="N4853">
        <v>55.043012392953301</v>
      </c>
      <c r="O4853">
        <v>53.8633426157065</v>
      </c>
      <c r="P4853">
        <v>-6.6762627250973094E-2</v>
      </c>
      <c r="Q4853">
        <v>2.67685676597188E-2</v>
      </c>
      <c r="R4853">
        <v>0.99431231824255994</v>
      </c>
      <c r="S4853" t="s">
        <v>10679</v>
      </c>
      <c r="T4853" t="s">
        <v>11650</v>
      </c>
      <c r="U4853" t="s">
        <v>11650</v>
      </c>
      <c r="V4853" t="s">
        <v>11650</v>
      </c>
      <c r="W4853" t="s">
        <v>16448</v>
      </c>
      <c r="X4853">
        <v>9</v>
      </c>
      <c r="Y4853" t="s">
        <v>22117</v>
      </c>
      <c r="Z4853" t="s">
        <v>27915</v>
      </c>
      <c r="AA4853">
        <v>0.527418748533935</v>
      </c>
      <c r="AB4853" t="str">
        <f>HYPERLINK("Melting_Curves/meltCurve_Q9BW83_IFT27.pdf", "Melting_Curves/meltCurve_Q9BW83_IFT27.pdf")</f>
        <v>Melting_Curves/meltCurve_Q9BW83_IFT27.pdf</v>
      </c>
    </row>
    <row r="4854" spans="1:28" x14ac:dyDescent="0.25">
      <c r="A4854" t="s">
        <v>4858</v>
      </c>
      <c r="B4854">
        <v>0.99996721820229495</v>
      </c>
      <c r="C4854">
        <v>0.94082897269101395</v>
      </c>
      <c r="D4854">
        <v>0.81335093462141705</v>
      </c>
      <c r="E4854">
        <v>0.794325645504389</v>
      </c>
      <c r="F4854">
        <v>0.66529428621509101</v>
      </c>
      <c r="G4854">
        <v>0.47347594270384902</v>
      </c>
      <c r="H4854">
        <v>0.32275588033672198</v>
      </c>
      <c r="I4854">
        <v>0.28748876400236101</v>
      </c>
      <c r="J4854">
        <v>0.22903790188628301</v>
      </c>
      <c r="K4854">
        <v>0.156939251904685</v>
      </c>
      <c r="L4854">
        <v>482.33260114833899</v>
      </c>
      <c r="M4854">
        <v>8.5120349277085001</v>
      </c>
      <c r="N4854">
        <v>56.6647701447638</v>
      </c>
      <c r="O4854">
        <v>53.7969320251187</v>
      </c>
      <c r="P4854">
        <v>-3.9591784955185803E-2</v>
      </c>
      <c r="Q4854">
        <v>0</v>
      </c>
      <c r="R4854">
        <v>0.99026959237196299</v>
      </c>
      <c r="S4854" t="s">
        <v>10680</v>
      </c>
      <c r="T4854" t="s">
        <v>11650</v>
      </c>
      <c r="U4854" t="s">
        <v>11650</v>
      </c>
      <c r="V4854" t="s">
        <v>11650</v>
      </c>
      <c r="W4854" t="s">
        <v>16449</v>
      </c>
      <c r="X4854">
        <v>6</v>
      </c>
      <c r="Y4854" t="s">
        <v>22118</v>
      </c>
      <c r="Z4854" t="s">
        <v>27916</v>
      </c>
      <c r="AA4854">
        <v>0.57125354204488232</v>
      </c>
      <c r="AB4854" t="str">
        <f>HYPERLINK("Melting_Curves/meltCurve_Q9BW85_CCDC94.pdf", "Melting_Curves/meltCurve_Q9BW85_CCDC94.pdf")</f>
        <v>Melting_Curves/meltCurve_Q9BW85_CCDC94.pdf</v>
      </c>
    </row>
    <row r="4855" spans="1:28" x14ac:dyDescent="0.25">
      <c r="A4855" t="s">
        <v>4859</v>
      </c>
      <c r="B4855">
        <v>0.99996721820229495</v>
      </c>
      <c r="C4855">
        <v>0.99115069804410705</v>
      </c>
      <c r="D4855">
        <v>0.892379774069888</v>
      </c>
      <c r="E4855">
        <v>0.72523802494993606</v>
      </c>
      <c r="F4855">
        <v>0.42614629869819498</v>
      </c>
      <c r="G4855">
        <v>0.32243173428144101</v>
      </c>
      <c r="H4855">
        <v>0.190555765422387</v>
      </c>
      <c r="I4855">
        <v>0.127808215382989</v>
      </c>
      <c r="J4855">
        <v>9.9878711661682301E-2</v>
      </c>
      <c r="K4855">
        <v>8.3415198229458004E-2</v>
      </c>
      <c r="L4855">
        <v>798.04508915695703</v>
      </c>
      <c r="M4855">
        <v>15.2707811083966</v>
      </c>
      <c r="N4855">
        <v>52.8500552663549</v>
      </c>
      <c r="O4855">
        <v>51.388000453413099</v>
      </c>
      <c r="P4855">
        <v>-6.8471821520622603E-2</v>
      </c>
      <c r="Q4855">
        <v>7.8423070946824103E-2</v>
      </c>
      <c r="R4855">
        <v>0.99365080813108997</v>
      </c>
      <c r="S4855" t="s">
        <v>10681</v>
      </c>
      <c r="T4855" t="s">
        <v>11650</v>
      </c>
      <c r="U4855" t="s">
        <v>11650</v>
      </c>
      <c r="V4855" t="s">
        <v>11650</v>
      </c>
      <c r="W4855" t="s">
        <v>16450</v>
      </c>
      <c r="X4855">
        <v>15</v>
      </c>
      <c r="Y4855" t="s">
        <v>22119</v>
      </c>
      <c r="Z4855" t="s">
        <v>27917</v>
      </c>
      <c r="AA4855">
        <v>0.47490070213592411</v>
      </c>
      <c r="AB4855" t="str">
        <f>HYPERLINK("Melting_Curves/meltCurve_Q9BW91_2_NUDT9.pdf", "Melting_Curves/meltCurve_Q9BW91_2_NUDT9.pdf")</f>
        <v>Melting_Curves/meltCurve_Q9BW91_2_NUDT9.pdf</v>
      </c>
    </row>
    <row r="4856" spans="1:28" x14ac:dyDescent="0.25">
      <c r="A4856" t="s">
        <v>4860</v>
      </c>
      <c r="B4856">
        <v>0.99996721820229495</v>
      </c>
      <c r="C4856">
        <v>0.90466314140258597</v>
      </c>
      <c r="D4856">
        <v>0.81252100645793601</v>
      </c>
      <c r="E4856">
        <v>0.69049751509499502</v>
      </c>
      <c r="F4856">
        <v>0.58949726740875796</v>
      </c>
      <c r="G4856">
        <v>0.50593666512203805</v>
      </c>
      <c r="H4856">
        <v>0.30116478300256699</v>
      </c>
      <c r="I4856">
        <v>0.179629245687287</v>
      </c>
      <c r="J4856">
        <v>7.7742101798521299E-2</v>
      </c>
      <c r="K4856">
        <v>0.118829713175805</v>
      </c>
      <c r="L4856">
        <v>508.25960904087998</v>
      </c>
      <c r="M4856">
        <v>9.2561716827578309</v>
      </c>
      <c r="N4856">
        <v>54.910348058268497</v>
      </c>
      <c r="O4856">
        <v>52.529898108557397</v>
      </c>
      <c r="P4856">
        <v>-4.4080683869738999E-2</v>
      </c>
      <c r="Q4856">
        <v>0</v>
      </c>
      <c r="R4856">
        <v>0.98028992305020601</v>
      </c>
      <c r="S4856" t="s">
        <v>10682</v>
      </c>
      <c r="T4856" t="s">
        <v>11650</v>
      </c>
      <c r="U4856" t="s">
        <v>11650</v>
      </c>
      <c r="V4856" t="s">
        <v>11650</v>
      </c>
      <c r="W4856" t="s">
        <v>16451</v>
      </c>
      <c r="X4856">
        <v>3</v>
      </c>
      <c r="Y4856" t="s">
        <v>22120</v>
      </c>
      <c r="Z4856" t="s">
        <v>27918</v>
      </c>
      <c r="AA4856">
        <v>0.52402975273440477</v>
      </c>
      <c r="AB4856" t="str">
        <f>HYPERLINK("Melting_Curves/meltCurve_Q9BW92_TARS2.pdf", "Melting_Curves/meltCurve_Q9BW92_TARS2.pdf")</f>
        <v>Melting_Curves/meltCurve_Q9BW92_TARS2.pdf</v>
      </c>
    </row>
    <row r="4857" spans="1:28" x14ac:dyDescent="0.25">
      <c r="A4857" t="s">
        <v>4861</v>
      </c>
      <c r="B4857">
        <v>0.99996721820229495</v>
      </c>
      <c r="C4857">
        <v>1.0207342398300301</v>
      </c>
      <c r="D4857">
        <v>1.1523995350271701</v>
      </c>
      <c r="E4857">
        <v>1.4525630221433501</v>
      </c>
      <c r="F4857">
        <v>1.8116113877337301</v>
      </c>
      <c r="G4857">
        <v>2.6014004063304301</v>
      </c>
      <c r="H4857">
        <v>1.53557399877682</v>
      </c>
      <c r="I4857">
        <v>0.400722732661773</v>
      </c>
      <c r="J4857">
        <v>0.18487943755584599</v>
      </c>
      <c r="K4857">
        <v>0.13583342291422701</v>
      </c>
      <c r="L4857">
        <v>15000</v>
      </c>
      <c r="M4857">
        <v>235.288086948282</v>
      </c>
      <c r="N4857">
        <v>63.856565388314202</v>
      </c>
      <c r="O4857">
        <v>63.747040039700501</v>
      </c>
      <c r="P4857">
        <v>-0.774793884669285</v>
      </c>
      <c r="Q4857">
        <v>0.160334749967177</v>
      </c>
      <c r="R4857">
        <v>0.29980250878834303</v>
      </c>
      <c r="S4857" t="s">
        <v>10683</v>
      </c>
      <c r="T4857" t="s">
        <v>11650</v>
      </c>
      <c r="U4857" t="s">
        <v>11650</v>
      </c>
      <c r="V4857" t="s">
        <v>11650</v>
      </c>
      <c r="W4857" t="s">
        <v>16452</v>
      </c>
      <c r="X4857">
        <v>17</v>
      </c>
      <c r="Y4857" t="s">
        <v>22121</v>
      </c>
      <c r="Z4857" t="s">
        <v>27919</v>
      </c>
      <c r="AA4857">
        <v>0.82522153575058332</v>
      </c>
      <c r="AB4857" t="str">
        <f>HYPERLINK("Melting_Curves/meltCurve_Q9BWD1_ACAT2.pdf", "Melting_Curves/meltCurve_Q9BWD1_ACAT2.pdf")</f>
        <v>Melting_Curves/meltCurve_Q9BWD1_ACAT2.pdf</v>
      </c>
    </row>
    <row r="4858" spans="1:28" x14ac:dyDescent="0.25">
      <c r="A4858" t="s">
        <v>4862</v>
      </c>
      <c r="B4858">
        <v>0.99996721820229495</v>
      </c>
      <c r="C4858">
        <v>0.84958044472539995</v>
      </c>
      <c r="D4858">
        <v>0.94734047309505798</v>
      </c>
      <c r="E4858">
        <v>1.0134071123002699</v>
      </c>
      <c r="F4858">
        <v>1.35333095673924</v>
      </c>
      <c r="G4858">
        <v>1.5948339602449899</v>
      </c>
      <c r="H4858">
        <v>1.2416793397763599</v>
      </c>
      <c r="I4858">
        <v>1.0383466808450601</v>
      </c>
      <c r="J4858">
        <v>0.83317736285069799</v>
      </c>
      <c r="K4858">
        <v>0.71190154451842802</v>
      </c>
      <c r="L4858">
        <v>15000</v>
      </c>
      <c r="M4858">
        <v>224.19924128725901</v>
      </c>
      <c r="O4858">
        <v>66.899472195289604</v>
      </c>
      <c r="P4858">
        <v>-0.241388757876073</v>
      </c>
      <c r="Q4858">
        <v>0.71188527434575299</v>
      </c>
      <c r="R4858">
        <v>0.11979147954417201</v>
      </c>
      <c r="S4858" t="s">
        <v>10684</v>
      </c>
      <c r="T4858" t="s">
        <v>11650</v>
      </c>
      <c r="U4858" t="s">
        <v>11650</v>
      </c>
      <c r="V4858" t="s">
        <v>11650</v>
      </c>
      <c r="W4858" t="s">
        <v>16453</v>
      </c>
      <c r="X4858">
        <v>8</v>
      </c>
      <c r="Y4858" t="s">
        <v>22122</v>
      </c>
      <c r="Z4858" t="s">
        <v>27920</v>
      </c>
      <c r="AA4858">
        <v>0.97031592133697431</v>
      </c>
      <c r="AB4858" t="str">
        <f>HYPERLINK("Melting_Curves/meltCurve_Q9BWH2_FUNDC2.pdf", "Melting_Curves/meltCurve_Q9BWH2_FUNDC2.pdf")</f>
        <v>Melting_Curves/meltCurve_Q9BWH2_FUNDC2.pdf</v>
      </c>
    </row>
    <row r="4859" spans="1:28" x14ac:dyDescent="0.25">
      <c r="A4859" t="s">
        <v>4863</v>
      </c>
      <c r="B4859">
        <v>0.99996721820229495</v>
      </c>
      <c r="C4859">
        <v>0.975807219644933</v>
      </c>
      <c r="D4859">
        <v>1.0787011652493801</v>
      </c>
      <c r="E4859">
        <v>1.2857666865239701</v>
      </c>
      <c r="F4859">
        <v>1.00090557280115</v>
      </c>
      <c r="G4859">
        <v>0.65998349505894105</v>
      </c>
      <c r="H4859">
        <v>0.45469490157866699</v>
      </c>
      <c r="I4859">
        <v>0.34588153285356499</v>
      </c>
      <c r="J4859">
        <v>0.26448507859808601</v>
      </c>
      <c r="K4859">
        <v>0.181611077174514</v>
      </c>
      <c r="L4859">
        <v>1531.5031167074801</v>
      </c>
      <c r="M4859">
        <v>26.2338517892988</v>
      </c>
      <c r="N4859">
        <v>59.788519944274498</v>
      </c>
      <c r="O4859">
        <v>58.042833280164203</v>
      </c>
      <c r="P4859">
        <v>-8.6935028124240699E-2</v>
      </c>
      <c r="Q4859">
        <v>0.23062776341326499</v>
      </c>
      <c r="R4859">
        <v>0.92126218098420998</v>
      </c>
      <c r="S4859" t="s">
        <v>10685</v>
      </c>
      <c r="T4859" t="s">
        <v>11650</v>
      </c>
      <c r="U4859" t="s">
        <v>11650</v>
      </c>
      <c r="V4859" t="s">
        <v>11650</v>
      </c>
      <c r="W4859" t="s">
        <v>16454</v>
      </c>
      <c r="X4859">
        <v>3</v>
      </c>
      <c r="Y4859" t="s">
        <v>22123</v>
      </c>
      <c r="Z4859" t="s">
        <v>27921</v>
      </c>
      <c r="AA4859">
        <v>0.70811669975612002</v>
      </c>
      <c r="AB4859" t="str">
        <f>HYPERLINK("Melting_Curves/meltCurve_Q9BWH6_RPAP1.pdf", "Melting_Curves/meltCurve_Q9BWH6_RPAP1.pdf")</f>
        <v>Melting_Curves/meltCurve_Q9BWH6_RPAP1.pdf</v>
      </c>
    </row>
    <row r="4860" spans="1:28" x14ac:dyDescent="0.25">
      <c r="A4860" t="s">
        <v>4864</v>
      </c>
      <c r="B4860">
        <v>0.99996721820229495</v>
      </c>
      <c r="C4860">
        <v>1.0936613051966699</v>
      </c>
      <c r="D4860">
        <v>1.1884595847411199</v>
      </c>
      <c r="E4860">
        <v>1.6663294351692901</v>
      </c>
      <c r="F4860">
        <v>3.8596194860678898</v>
      </c>
      <c r="G4860">
        <v>3.7029212666184499</v>
      </c>
      <c r="H4860">
        <v>2.2192336016777299</v>
      </c>
      <c r="I4860">
        <v>2.21954852636989</v>
      </c>
      <c r="J4860">
        <v>1.98924896070764</v>
      </c>
      <c r="K4860">
        <v>1.486404156559</v>
      </c>
      <c r="L4860">
        <v>10846.117782670501</v>
      </c>
      <c r="M4860">
        <v>235.28250921235599</v>
      </c>
      <c r="O4860">
        <v>46.0949435995093</v>
      </c>
      <c r="P4860">
        <v>0.63803773103476302</v>
      </c>
      <c r="Q4860">
        <v>1.5</v>
      </c>
      <c r="R4860">
        <v>-0.26260817268015102</v>
      </c>
      <c r="S4860" t="s">
        <v>10686</v>
      </c>
      <c r="T4860" t="s">
        <v>11650</v>
      </c>
      <c r="U4860" t="s">
        <v>11650</v>
      </c>
      <c r="V4860" t="s">
        <v>11650</v>
      </c>
      <c r="W4860" t="s">
        <v>16455</v>
      </c>
      <c r="X4860">
        <v>3</v>
      </c>
      <c r="Y4860" t="s">
        <v>22124</v>
      </c>
      <c r="Z4860" t="s">
        <v>27922</v>
      </c>
      <c r="AA4860">
        <v>1.3983164143781841</v>
      </c>
      <c r="AB4860" t="str">
        <f>HYPERLINK("Melting_Curves/meltCurve_Q9BWJ5_SF3B5.pdf", "Melting_Curves/meltCurve_Q9BWJ5_SF3B5.pdf")</f>
        <v>Melting_Curves/meltCurve_Q9BWJ5_SF3B5.pdf</v>
      </c>
    </row>
    <row r="4861" spans="1:28" x14ac:dyDescent="0.25">
      <c r="A4861" t="s">
        <v>4865</v>
      </c>
      <c r="B4861">
        <v>0.99996721820229495</v>
      </c>
      <c r="C4861">
        <v>0.861742540482071</v>
      </c>
      <c r="D4861">
        <v>1.03861378442311</v>
      </c>
      <c r="E4861">
        <v>1.4109492748288901</v>
      </c>
      <c r="F4861">
        <v>2.16224878446643</v>
      </c>
      <c r="G4861">
        <v>1.27318056530236</v>
      </c>
      <c r="H4861">
        <v>0.65751216413267499</v>
      </c>
      <c r="I4861">
        <v>0.47820799988718499</v>
      </c>
      <c r="J4861">
        <v>0.34243391577371601</v>
      </c>
      <c r="K4861">
        <v>0.25386009794653802</v>
      </c>
      <c r="L4861">
        <v>3400.2320061944201</v>
      </c>
      <c r="M4861">
        <v>55.498455573593397</v>
      </c>
      <c r="N4861">
        <v>62.473948873722797</v>
      </c>
      <c r="O4861">
        <v>61.187763463420801</v>
      </c>
      <c r="P4861">
        <v>-0.15218693323641999</v>
      </c>
      <c r="Q4861">
        <v>0.32884826441571802</v>
      </c>
      <c r="R4861">
        <v>0.44799928009520001</v>
      </c>
      <c r="S4861" t="s">
        <v>10687</v>
      </c>
      <c r="T4861" t="s">
        <v>11650</v>
      </c>
      <c r="U4861" t="s">
        <v>11650</v>
      </c>
      <c r="V4861" t="s">
        <v>11650</v>
      </c>
      <c r="W4861" t="s">
        <v>16456</v>
      </c>
      <c r="X4861">
        <v>10</v>
      </c>
      <c r="Y4861" t="s">
        <v>22125</v>
      </c>
      <c r="Z4861" t="s">
        <v>27923</v>
      </c>
      <c r="AA4861">
        <v>0.80606854353135804</v>
      </c>
      <c r="AB4861" t="str">
        <f>HYPERLINK("Melting_Curves/meltCurve_Q9BWM7_SFXN3.pdf", "Melting_Curves/meltCurve_Q9BWM7_SFXN3.pdf")</f>
        <v>Melting_Curves/meltCurve_Q9BWM7_SFXN3.pdf</v>
      </c>
    </row>
    <row r="4862" spans="1:28" x14ac:dyDescent="0.25">
      <c r="A4862" t="s">
        <v>4866</v>
      </c>
      <c r="B4862">
        <v>0.99996721820229495</v>
      </c>
      <c r="C4862">
        <v>0.63475623621871602</v>
      </c>
      <c r="D4862">
        <v>0.53813155248143296</v>
      </c>
      <c r="E4862">
        <v>0.94705204928980702</v>
      </c>
      <c r="F4862">
        <v>0.99395713044965694</v>
      </c>
      <c r="G4862">
        <v>0.69585968700883705</v>
      </c>
      <c r="H4862">
        <v>0.81067527596461997</v>
      </c>
      <c r="I4862">
        <v>0.42064092193445501</v>
      </c>
      <c r="J4862">
        <v>0.20399715205298699</v>
      </c>
      <c r="K4862">
        <v>0.33010384388751901</v>
      </c>
      <c r="L4862">
        <v>420.373017681107</v>
      </c>
      <c r="M4862">
        <v>6.6274234150354703</v>
      </c>
      <c r="N4862">
        <v>63.429328576123197</v>
      </c>
      <c r="O4862">
        <v>58.4003506674837</v>
      </c>
      <c r="P4862">
        <v>-2.84348677868329E-2</v>
      </c>
      <c r="Q4862">
        <v>0</v>
      </c>
      <c r="R4862">
        <v>0.42541643551538499</v>
      </c>
      <c r="S4862" t="s">
        <v>10688</v>
      </c>
      <c r="T4862" t="s">
        <v>11650</v>
      </c>
      <c r="U4862" t="s">
        <v>11650</v>
      </c>
      <c r="V4862" t="s">
        <v>11650</v>
      </c>
      <c r="W4862" t="s">
        <v>16457</v>
      </c>
      <c r="X4862">
        <v>1</v>
      </c>
      <c r="Y4862" t="s">
        <v>22126</v>
      </c>
      <c r="Z4862" t="s">
        <v>27924</v>
      </c>
      <c r="AA4862">
        <v>0.70864424293592987</v>
      </c>
      <c r="AB4862" t="str">
        <f>HYPERLINK("Melting_Curves/meltCurve_Q9BWT7_CARD10.pdf", "Melting_Curves/meltCurve_Q9BWT7_CARD10.pdf")</f>
        <v>Melting_Curves/meltCurve_Q9BWT7_CARD10.pdf</v>
      </c>
    </row>
    <row r="4863" spans="1:28" x14ac:dyDescent="0.25">
      <c r="A4863" t="s">
        <v>4867</v>
      </c>
      <c r="B4863">
        <v>0.99996721820229495</v>
      </c>
      <c r="C4863">
        <v>1.05600769452065</v>
      </c>
      <c r="D4863">
        <v>1.0121018522118299</v>
      </c>
      <c r="E4863">
        <v>0.90134417429601199</v>
      </c>
      <c r="F4863">
        <v>0.72344897389071505</v>
      </c>
      <c r="G4863">
        <v>0.60335925738909102</v>
      </c>
      <c r="H4863">
        <v>0.381409929188884</v>
      </c>
      <c r="I4863">
        <v>0.30477466590302599</v>
      </c>
      <c r="J4863">
        <v>0.23121867495141901</v>
      </c>
      <c r="K4863">
        <v>0.176110854074052</v>
      </c>
      <c r="L4863">
        <v>765.08111906523595</v>
      </c>
      <c r="M4863">
        <v>13.343306864974601</v>
      </c>
      <c r="N4863">
        <v>58.488332054448797</v>
      </c>
      <c r="O4863">
        <v>56.096258526065697</v>
      </c>
      <c r="P4863">
        <v>-5.2612493636682203E-2</v>
      </c>
      <c r="Q4863">
        <v>0.115393790995935</v>
      </c>
      <c r="R4863">
        <v>0.99026270433044505</v>
      </c>
      <c r="S4863" t="s">
        <v>10689</v>
      </c>
      <c r="T4863" t="s">
        <v>11650</v>
      </c>
      <c r="U4863" t="s">
        <v>11650</v>
      </c>
      <c r="V4863" t="s">
        <v>11650</v>
      </c>
      <c r="W4863" t="s">
        <v>16458</v>
      </c>
      <c r="X4863">
        <v>9</v>
      </c>
      <c r="Y4863" t="s">
        <v>22127</v>
      </c>
      <c r="Z4863" t="s">
        <v>27925</v>
      </c>
      <c r="AA4863">
        <v>0.64043366461332052</v>
      </c>
      <c r="AB4863" t="str">
        <f>HYPERLINK("Melting_Curves/meltCurve_Q9BWU0_SLC4A1AP.pdf", "Melting_Curves/meltCurve_Q9BWU0_SLC4A1AP.pdf")</f>
        <v>Melting_Curves/meltCurve_Q9BWU0_SLC4A1AP.pdf</v>
      </c>
    </row>
    <row r="4864" spans="1:28" x14ac:dyDescent="0.25">
      <c r="A4864" t="s">
        <v>4868</v>
      </c>
      <c r="B4864">
        <v>0.99996721820229495</v>
      </c>
      <c r="C4864">
        <v>0.79076867774231396</v>
      </c>
      <c r="D4864">
        <v>0.75283508111671404</v>
      </c>
      <c r="E4864">
        <v>0.76953414784928598</v>
      </c>
      <c r="F4864">
        <v>0.723967512094848</v>
      </c>
      <c r="G4864">
        <v>0.32862273189510899</v>
      </c>
      <c r="H4864">
        <v>0.281995081814508</v>
      </c>
      <c r="I4864">
        <v>0.16999661522523099</v>
      </c>
      <c r="J4864">
        <v>0.15129096262976799</v>
      </c>
      <c r="K4864">
        <v>0.221572494886703</v>
      </c>
      <c r="L4864">
        <v>462.25074027615898</v>
      </c>
      <c r="M4864">
        <v>8.4189455212323008</v>
      </c>
      <c r="N4864">
        <v>54.906013925443297</v>
      </c>
      <c r="O4864">
        <v>52.070567447368497</v>
      </c>
      <c r="P4864">
        <v>-4.0458614194163599E-2</v>
      </c>
      <c r="Q4864">
        <v>0</v>
      </c>
      <c r="R4864">
        <v>0.92022838813931696</v>
      </c>
      <c r="S4864" t="s">
        <v>10690</v>
      </c>
      <c r="T4864" t="s">
        <v>11650</v>
      </c>
      <c r="U4864" t="s">
        <v>11650</v>
      </c>
      <c r="V4864" t="s">
        <v>11650</v>
      </c>
      <c r="W4864" t="s">
        <v>16459</v>
      </c>
      <c r="X4864">
        <v>4</v>
      </c>
      <c r="Y4864" t="s">
        <v>22128</v>
      </c>
      <c r="Z4864" t="s">
        <v>27926</v>
      </c>
      <c r="AA4864">
        <v>0.52451338655869284</v>
      </c>
      <c r="AB4864" t="str">
        <f>HYPERLINK("Melting_Curves/meltCurve_Q9BX59_TAPBPL.pdf", "Melting_Curves/meltCurve_Q9BX59_TAPBPL.pdf")</f>
        <v>Melting_Curves/meltCurve_Q9BX59_TAPBPL.pdf</v>
      </c>
    </row>
    <row r="4865" spans="1:28" x14ac:dyDescent="0.25">
      <c r="A4865" t="s">
        <v>4869</v>
      </c>
      <c r="B4865">
        <v>0.99996721820229495</v>
      </c>
      <c r="C4865">
        <v>0.88765398803851903</v>
      </c>
      <c r="D4865">
        <v>0.89922044807517998</v>
      </c>
      <c r="E4865">
        <v>1.0584770741524601</v>
      </c>
      <c r="F4865">
        <v>1.31255547329889</v>
      </c>
      <c r="G4865">
        <v>1.31558169212845</v>
      </c>
      <c r="H4865">
        <v>0.96854196642911405</v>
      </c>
      <c r="I4865">
        <v>0.48806811954628898</v>
      </c>
      <c r="J4865">
        <v>0.242527511388508</v>
      </c>
      <c r="K4865">
        <v>0.27302643593841702</v>
      </c>
      <c r="L4865">
        <v>5429.3214059080901</v>
      </c>
      <c r="M4865">
        <v>85.629245712200799</v>
      </c>
      <c r="N4865">
        <v>63.9362244974457</v>
      </c>
      <c r="O4865">
        <v>63.370431622603199</v>
      </c>
      <c r="P4865">
        <v>-0.25182520442272599</v>
      </c>
      <c r="Q4865">
        <v>0.25454112425244302</v>
      </c>
      <c r="R4865">
        <v>0.83352483589474602</v>
      </c>
      <c r="S4865" t="s">
        <v>10691</v>
      </c>
      <c r="T4865" t="s">
        <v>11650</v>
      </c>
      <c r="U4865" t="s">
        <v>11650</v>
      </c>
      <c r="V4865" t="s">
        <v>11650</v>
      </c>
      <c r="W4865" t="s">
        <v>16460</v>
      </c>
      <c r="X4865">
        <v>9</v>
      </c>
      <c r="Y4865" t="s">
        <v>22129</v>
      </c>
      <c r="Z4865" t="s">
        <v>27927</v>
      </c>
      <c r="AA4865">
        <v>0.83682404568834967</v>
      </c>
      <c r="AB4865" t="str">
        <f>HYPERLINK("Melting_Curves/meltCurve_Q9BX67_JAM3.pdf", "Melting_Curves/meltCurve_Q9BX67_JAM3.pdf")</f>
        <v>Melting_Curves/meltCurve_Q9BX67_JAM3.pdf</v>
      </c>
    </row>
    <row r="4866" spans="1:28" x14ac:dyDescent="0.25">
      <c r="A4866" t="s">
        <v>4870</v>
      </c>
      <c r="B4866">
        <v>0.99996721820229495</v>
      </c>
      <c r="C4866">
        <v>1.0064428708740401</v>
      </c>
      <c r="D4866">
        <v>0.91704773028882303</v>
      </c>
      <c r="E4866">
        <v>0.88227065335608901</v>
      </c>
      <c r="F4866">
        <v>0.97883921628265502</v>
      </c>
      <c r="G4866">
        <v>0.780231163082024</v>
      </c>
      <c r="H4866">
        <v>0.32267605921807002</v>
      </c>
      <c r="I4866">
        <v>0.19628094447177399</v>
      </c>
      <c r="J4866">
        <v>0.13279039177500199</v>
      </c>
      <c r="K4866">
        <v>0.10245301148863099</v>
      </c>
      <c r="L4866">
        <v>1836.8242366679301</v>
      </c>
      <c r="M4866">
        <v>31.1675565835783</v>
      </c>
      <c r="N4866">
        <v>59.3979372200318</v>
      </c>
      <c r="O4866">
        <v>58.692836374920397</v>
      </c>
      <c r="P4866">
        <v>-0.118411269582878</v>
      </c>
      <c r="Q4866">
        <v>0.10806557200277001</v>
      </c>
      <c r="R4866">
        <v>0.984855553052703</v>
      </c>
      <c r="S4866" t="s">
        <v>10692</v>
      </c>
      <c r="T4866" t="s">
        <v>11650</v>
      </c>
      <c r="U4866" t="s">
        <v>11650</v>
      </c>
      <c r="V4866" t="s">
        <v>11650</v>
      </c>
      <c r="W4866" t="s">
        <v>16461</v>
      </c>
      <c r="X4866">
        <v>7</v>
      </c>
      <c r="Y4866" t="s">
        <v>22130</v>
      </c>
      <c r="Z4866" t="s">
        <v>27928</v>
      </c>
      <c r="AA4866">
        <v>0.67638975207918162</v>
      </c>
      <c r="AB4866" t="str">
        <f>HYPERLINK("Melting_Curves/meltCurve_Q9BX68_HINT2.pdf", "Melting_Curves/meltCurve_Q9BX68_HINT2.pdf")</f>
        <v>Melting_Curves/meltCurve_Q9BX68_HINT2.pdf</v>
      </c>
    </row>
    <row r="4867" spans="1:28" x14ac:dyDescent="0.25">
      <c r="A4867" t="s">
        <v>4871</v>
      </c>
      <c r="B4867">
        <v>0.99996721820229495</v>
      </c>
      <c r="C4867">
        <v>0.78072106823036203</v>
      </c>
      <c r="D4867">
        <v>0.87794085130853206</v>
      </c>
      <c r="E4867">
        <v>0.84120858837182899</v>
      </c>
      <c r="F4867">
        <v>0.92796015647493502</v>
      </c>
      <c r="G4867">
        <v>0.45883423280101199</v>
      </c>
      <c r="H4867">
        <v>0.16914073081608599</v>
      </c>
      <c r="I4867">
        <v>0.14668541933798199</v>
      </c>
      <c r="J4867">
        <v>0.103600224206781</v>
      </c>
      <c r="K4867">
        <v>8.9971227672590998E-2</v>
      </c>
      <c r="L4867">
        <v>1624.6284589383699</v>
      </c>
      <c r="M4867">
        <v>28.850019458430602</v>
      </c>
      <c r="N4867">
        <v>56.726683237611603</v>
      </c>
      <c r="O4867">
        <v>56.0444248795324</v>
      </c>
      <c r="P4867">
        <v>-0.11648259387788901</v>
      </c>
      <c r="Q4867">
        <v>9.48844515365245E-2</v>
      </c>
      <c r="R4867">
        <v>0.93534864398803697</v>
      </c>
      <c r="S4867" t="s">
        <v>10693</v>
      </c>
      <c r="T4867" t="s">
        <v>11650</v>
      </c>
      <c r="U4867" t="s">
        <v>11650</v>
      </c>
      <c r="V4867" t="s">
        <v>11650</v>
      </c>
      <c r="W4867" t="s">
        <v>16462</v>
      </c>
      <c r="X4867">
        <v>6</v>
      </c>
      <c r="Y4867" t="s">
        <v>22131</v>
      </c>
      <c r="Z4867" t="s">
        <v>27929</v>
      </c>
      <c r="AA4867">
        <v>0.59353039602903801</v>
      </c>
      <c r="AB4867" t="str">
        <f>HYPERLINK("Melting_Curves/meltCurve_Q9BX95_SGPP1.pdf", "Melting_Curves/meltCurve_Q9BX95_SGPP1.pdf")</f>
        <v>Melting_Curves/meltCurve_Q9BX95_SGPP1.pdf</v>
      </c>
    </row>
    <row r="4868" spans="1:28" x14ac:dyDescent="0.25">
      <c r="A4868" t="s">
        <v>4872</v>
      </c>
      <c r="B4868">
        <v>0.99996721820229495</v>
      </c>
      <c r="C4868">
        <v>0.93438703507497201</v>
      </c>
      <c r="D4868">
        <v>0.88769736057694304</v>
      </c>
      <c r="E4868">
        <v>0.71050102234171797</v>
      </c>
      <c r="F4868">
        <v>0.56271734928929296</v>
      </c>
      <c r="G4868">
        <v>0.56383193575600199</v>
      </c>
      <c r="H4868">
        <v>0.36453787023825301</v>
      </c>
      <c r="I4868">
        <v>0.213035862929016</v>
      </c>
      <c r="J4868">
        <v>0.145588077953301</v>
      </c>
      <c r="K4868">
        <v>0.116031728810622</v>
      </c>
      <c r="L4868">
        <v>503.873574808694</v>
      </c>
      <c r="M4868">
        <v>8.9986035645415399</v>
      </c>
      <c r="N4868">
        <v>55.994640855501501</v>
      </c>
      <c r="O4868">
        <v>53.436725218189501</v>
      </c>
      <c r="P4868">
        <v>-4.2129932033413101E-2</v>
      </c>
      <c r="Q4868">
        <v>0</v>
      </c>
      <c r="R4868">
        <v>0.97813481291618198</v>
      </c>
      <c r="S4868" t="s">
        <v>10694</v>
      </c>
      <c r="T4868" t="s">
        <v>11650</v>
      </c>
      <c r="U4868" t="s">
        <v>11650</v>
      </c>
      <c r="V4868" t="s">
        <v>11650</v>
      </c>
      <c r="W4868" t="s">
        <v>16463</v>
      </c>
      <c r="X4868">
        <v>4</v>
      </c>
      <c r="Y4868" t="s">
        <v>22132</v>
      </c>
      <c r="Z4868" t="s">
        <v>27930</v>
      </c>
      <c r="AA4868">
        <v>0.55397983926474192</v>
      </c>
      <c r="AB4868" t="str">
        <f>HYPERLINK("Melting_Curves/meltCurve_Q9BXB5_OSBPL10.pdf", "Melting_Curves/meltCurve_Q9BXB5_OSBPL10.pdf")</f>
        <v>Melting_Curves/meltCurve_Q9BXB5_OSBPL10.pdf</v>
      </c>
    </row>
    <row r="4869" spans="1:28" x14ac:dyDescent="0.25">
      <c r="A4869" t="s">
        <v>4873</v>
      </c>
      <c r="B4869">
        <v>0.99996721820229495</v>
      </c>
      <c r="C4869">
        <v>0.89760022685366903</v>
      </c>
      <c r="D4869">
        <v>0.83932802501107695</v>
      </c>
      <c r="E4869">
        <v>0.67457784873492999</v>
      </c>
      <c r="F4869">
        <v>0.58210596265650105</v>
      </c>
      <c r="G4869">
        <v>0.57547942645741101</v>
      </c>
      <c r="H4869">
        <v>0.38878713948527199</v>
      </c>
      <c r="I4869">
        <v>0.32826395709652001</v>
      </c>
      <c r="J4869">
        <v>0.28294902634924401</v>
      </c>
      <c r="K4869">
        <v>0.22706088923505399</v>
      </c>
      <c r="L4869">
        <v>385.442034711448</v>
      </c>
      <c r="M4869">
        <v>6.8295128916015697</v>
      </c>
      <c r="N4869">
        <v>57.041939273310398</v>
      </c>
      <c r="O4869">
        <v>52.192509361494103</v>
      </c>
      <c r="P4869">
        <v>-3.1635646037884102E-2</v>
      </c>
      <c r="Q4869">
        <v>3.48944363600968E-2</v>
      </c>
      <c r="R4869">
        <v>0.98160737979258705</v>
      </c>
      <c r="S4869" t="s">
        <v>10695</v>
      </c>
      <c r="T4869" t="s">
        <v>11650</v>
      </c>
      <c r="U4869" t="s">
        <v>11650</v>
      </c>
      <c r="V4869" t="s">
        <v>11650</v>
      </c>
      <c r="W4869" t="s">
        <v>16464</v>
      </c>
      <c r="X4869">
        <v>22</v>
      </c>
      <c r="Y4869" t="s">
        <v>22133</v>
      </c>
      <c r="Z4869" t="s">
        <v>27931</v>
      </c>
      <c r="AA4869">
        <v>0.57651182819833247</v>
      </c>
      <c r="AB4869" t="str">
        <f>HYPERLINK("Melting_Curves/meltCurve_Q9BXF6_RAB11FIP5.pdf", "Melting_Curves/meltCurve_Q9BXF6_RAB11FIP5.pdf")</f>
        <v>Melting_Curves/meltCurve_Q9BXF6_RAB11FIP5.pdf</v>
      </c>
    </row>
    <row r="4870" spans="1:28" x14ac:dyDescent="0.25">
      <c r="A4870" t="s">
        <v>4874</v>
      </c>
      <c r="B4870">
        <v>0.99996721820229495</v>
      </c>
      <c r="C4870">
        <v>0.79086102660169699</v>
      </c>
      <c r="D4870">
        <v>0.67678778348346802</v>
      </c>
      <c r="E4870">
        <v>1.2593078849630199</v>
      </c>
      <c r="F4870">
        <v>1.47147969998739</v>
      </c>
      <c r="G4870">
        <v>0.85783669740553503</v>
      </c>
      <c r="H4870">
        <v>0.57930360807703796</v>
      </c>
      <c r="I4870">
        <v>0.49042859872851802</v>
      </c>
      <c r="J4870">
        <v>0.40796955509029798</v>
      </c>
      <c r="K4870">
        <v>0.27131690687593002</v>
      </c>
      <c r="L4870">
        <v>2003.3689617725399</v>
      </c>
      <c r="M4870">
        <v>33.249225010858702</v>
      </c>
      <c r="N4870">
        <v>62.441349144650701</v>
      </c>
      <c r="O4870">
        <v>60.036398627910202</v>
      </c>
      <c r="P4870">
        <v>-9.0816545510443603E-2</v>
      </c>
      <c r="Q4870">
        <v>0.34407196644970101</v>
      </c>
      <c r="R4870">
        <v>0.64409543847710005</v>
      </c>
      <c r="S4870" t="s">
        <v>10696</v>
      </c>
      <c r="T4870" t="s">
        <v>11650</v>
      </c>
      <c r="U4870" t="s">
        <v>11650</v>
      </c>
      <c r="V4870" t="s">
        <v>11650</v>
      </c>
      <c r="W4870" t="s">
        <v>16465</v>
      </c>
      <c r="X4870">
        <v>2</v>
      </c>
      <c r="Y4870" t="s">
        <v>22134</v>
      </c>
      <c r="Z4870" t="s">
        <v>27932</v>
      </c>
      <c r="AA4870">
        <v>0.79030192689031753</v>
      </c>
      <c r="AB4870" t="str">
        <f>HYPERLINK("Melting_Curves/meltCurve_Q9BXH1_2_BBC3.pdf", "Melting_Curves/meltCurve_Q9BXH1_2_BBC3.pdf")</f>
        <v>Melting_Curves/meltCurve_Q9BXH1_2_BBC3.pdf</v>
      </c>
    </row>
    <row r="4871" spans="1:28" x14ac:dyDescent="0.25">
      <c r="A4871" t="s">
        <v>4875</v>
      </c>
      <c r="B4871">
        <v>0.99996721820229495</v>
      </c>
      <c r="C4871">
        <v>0.66781776330149401</v>
      </c>
      <c r="D4871">
        <v>1.0636134301078799</v>
      </c>
      <c r="E4871">
        <v>0.88711315642223199</v>
      </c>
      <c r="F4871">
        <v>0.72114052671089302</v>
      </c>
      <c r="G4871">
        <v>0.306247767583194</v>
      </c>
      <c r="H4871">
        <v>0.240323113288851</v>
      </c>
      <c r="I4871">
        <v>0.24574063002094701</v>
      </c>
      <c r="J4871">
        <v>0.159837787301603</v>
      </c>
      <c r="K4871">
        <v>0.140812354647191</v>
      </c>
      <c r="L4871">
        <v>1456.9620692288199</v>
      </c>
      <c r="M4871">
        <v>26.959403290039301</v>
      </c>
      <c r="N4871">
        <v>54.935984234387497</v>
      </c>
      <c r="O4871">
        <v>53.7480878506192</v>
      </c>
      <c r="P4871">
        <v>-0.10314819174704799</v>
      </c>
      <c r="Q4871">
        <v>0.177435338398785</v>
      </c>
      <c r="R4871">
        <v>0.89633578319546003</v>
      </c>
      <c r="S4871" t="s">
        <v>10697</v>
      </c>
      <c r="T4871" t="s">
        <v>11650</v>
      </c>
      <c r="U4871" t="s">
        <v>11650</v>
      </c>
      <c r="V4871" t="s">
        <v>11650</v>
      </c>
      <c r="W4871" t="s">
        <v>16466</v>
      </c>
      <c r="X4871">
        <v>1</v>
      </c>
      <c r="Y4871" t="s">
        <v>22135</v>
      </c>
      <c r="Z4871" t="s">
        <v>27933</v>
      </c>
      <c r="AA4871">
        <v>0.56909595751791675</v>
      </c>
      <c r="AB4871" t="str">
        <f>HYPERLINK("Melting_Curves/meltCurve_Q9BXJ8_2_TMEM120A.pdf", "Melting_Curves/meltCurve_Q9BXJ8_2_TMEM120A.pdf")</f>
        <v>Melting_Curves/meltCurve_Q9BXJ8_2_TMEM120A.pdf</v>
      </c>
    </row>
    <row r="4872" spans="1:28" x14ac:dyDescent="0.25">
      <c r="A4872" t="s">
        <v>4876</v>
      </c>
      <c r="B4872">
        <v>0.99996721820229495</v>
      </c>
      <c r="C4872">
        <v>1.0356901739639599</v>
      </c>
      <c r="D4872">
        <v>1.1328461116933799</v>
      </c>
      <c r="E4872">
        <v>1.35809835577181</v>
      </c>
      <c r="F4872">
        <v>0.52783336507134504</v>
      </c>
      <c r="G4872">
        <v>0.29524171130256799</v>
      </c>
      <c r="H4872">
        <v>0.170663061866625</v>
      </c>
      <c r="I4872">
        <v>0.111979163675908</v>
      </c>
      <c r="J4872">
        <v>8.4692914560098198E-2</v>
      </c>
      <c r="K4872">
        <v>7.3461004541526306E-2</v>
      </c>
      <c r="L4872">
        <v>13238.5778493731</v>
      </c>
      <c r="M4872">
        <v>250</v>
      </c>
      <c r="N4872">
        <v>53.028280647106598</v>
      </c>
      <c r="O4872">
        <v>52.950924165306603</v>
      </c>
      <c r="P4872">
        <v>-1.0065835830284899</v>
      </c>
      <c r="Q4872">
        <v>0.14720752949070801</v>
      </c>
      <c r="R4872">
        <v>0.92052240853812595</v>
      </c>
      <c r="S4872" t="s">
        <v>10698</v>
      </c>
      <c r="T4872" t="s">
        <v>11650</v>
      </c>
      <c r="U4872" t="s">
        <v>11650</v>
      </c>
      <c r="V4872" t="s">
        <v>11650</v>
      </c>
      <c r="W4872" t="s">
        <v>16467</v>
      </c>
      <c r="X4872">
        <v>44</v>
      </c>
      <c r="Y4872" t="s">
        <v>22136</v>
      </c>
      <c r="Z4872" t="s">
        <v>27934</v>
      </c>
      <c r="AA4872">
        <v>0.51553142358011494</v>
      </c>
      <c r="AB4872" t="str">
        <f>HYPERLINK("Melting_Curves/meltCurve_Q9BXJ9_NAA15.pdf", "Melting_Curves/meltCurve_Q9BXJ9_NAA15.pdf")</f>
        <v>Melting_Curves/meltCurve_Q9BXJ9_NAA15.pdf</v>
      </c>
    </row>
    <row r="4873" spans="1:28" x14ac:dyDescent="0.25">
      <c r="A4873" t="s">
        <v>4877</v>
      </c>
      <c r="B4873">
        <v>0.99996721820229495</v>
      </c>
      <c r="C4873">
        <v>1.07435494004565</v>
      </c>
      <c r="D4873">
        <v>1.09680233344881</v>
      </c>
      <c r="E4873">
        <v>1.1012913636944599</v>
      </c>
      <c r="F4873">
        <v>1.41399546880956</v>
      </c>
      <c r="G4873">
        <v>1.00432509546638</v>
      </c>
      <c r="H4873">
        <v>0.65690122910232895</v>
      </c>
      <c r="I4873">
        <v>0.45564866120234399</v>
      </c>
      <c r="J4873">
        <v>0.35907031534758199</v>
      </c>
      <c r="K4873">
        <v>0.30588975962015402</v>
      </c>
      <c r="L4873">
        <v>2605.97987303745</v>
      </c>
      <c r="M4873">
        <v>42.6345847739763</v>
      </c>
      <c r="N4873">
        <v>62.7474938755214</v>
      </c>
      <c r="O4873">
        <v>60.989595650328802</v>
      </c>
      <c r="P4873">
        <v>-0.11636984857874901</v>
      </c>
      <c r="Q4873">
        <v>0.33412379913411899</v>
      </c>
      <c r="R4873">
        <v>0.84119696062386495</v>
      </c>
      <c r="S4873" t="s">
        <v>10699</v>
      </c>
      <c r="T4873" t="s">
        <v>11650</v>
      </c>
      <c r="U4873" t="s">
        <v>11650</v>
      </c>
      <c r="V4873" t="s">
        <v>11650</v>
      </c>
      <c r="W4873" t="s">
        <v>16468</v>
      </c>
      <c r="X4873">
        <v>5</v>
      </c>
      <c r="Y4873" t="s">
        <v>22137</v>
      </c>
      <c r="Z4873" t="s">
        <v>27935</v>
      </c>
      <c r="AA4873">
        <v>0.8052574590239302</v>
      </c>
      <c r="AB4873" t="str">
        <f>HYPERLINK("Melting_Curves/meltCurve_Q9BXK5_BCL2L13.pdf", "Melting_Curves/meltCurve_Q9BXK5_BCL2L13.pdf")</f>
        <v>Melting_Curves/meltCurve_Q9BXK5_BCL2L13.pdf</v>
      </c>
    </row>
    <row r="4874" spans="1:28" x14ac:dyDescent="0.25">
      <c r="A4874" t="s">
        <v>4878</v>
      </c>
      <c r="B4874">
        <v>0.99996721820229495</v>
      </c>
      <c r="C4874">
        <v>0.87048128700359695</v>
      </c>
      <c r="D4874">
        <v>0.98549778406908095</v>
      </c>
      <c r="E4874">
        <v>0.99383234770418905</v>
      </c>
      <c r="F4874">
        <v>1.16806989383671</v>
      </c>
      <c r="G4874">
        <v>0.97923126265019</v>
      </c>
      <c r="H4874">
        <v>0.58957691589211403</v>
      </c>
      <c r="I4874">
        <v>0.268307738200117</v>
      </c>
      <c r="J4874">
        <v>0.13769266002397501</v>
      </c>
      <c r="K4874">
        <v>0.13757869191514799</v>
      </c>
      <c r="L4874">
        <v>2611.6882052379601</v>
      </c>
      <c r="M4874">
        <v>42.6543898388312</v>
      </c>
      <c r="N4874">
        <v>61.6686150545857</v>
      </c>
      <c r="O4874">
        <v>61.094939730573003</v>
      </c>
      <c r="P4874">
        <v>-0.15166284478838701</v>
      </c>
      <c r="Q4874">
        <v>0.13107961900999099</v>
      </c>
      <c r="R4874">
        <v>0.96705328185579698</v>
      </c>
      <c r="S4874" t="s">
        <v>10700</v>
      </c>
      <c r="T4874" t="s">
        <v>11650</v>
      </c>
      <c r="U4874" t="s">
        <v>11650</v>
      </c>
      <c r="V4874" t="s">
        <v>11650</v>
      </c>
      <c r="W4874" t="s">
        <v>16469</v>
      </c>
      <c r="X4874">
        <v>5</v>
      </c>
      <c r="Y4874" t="s">
        <v>22138</v>
      </c>
      <c r="Z4874" t="s">
        <v>27936</v>
      </c>
      <c r="AA4874">
        <v>0.74891598134058923</v>
      </c>
      <c r="AB4874" t="str">
        <f>HYPERLINK("Melting_Curves/meltCurve_Q9BXP2_SLC12A9.pdf", "Melting_Curves/meltCurve_Q9BXP2_SLC12A9.pdf")</f>
        <v>Melting_Curves/meltCurve_Q9BXP2_SLC12A9.pdf</v>
      </c>
    </row>
    <row r="4875" spans="1:28" x14ac:dyDescent="0.25">
      <c r="A4875" t="s">
        <v>4879</v>
      </c>
      <c r="B4875">
        <v>0.99996721820229495</v>
      </c>
      <c r="C4875">
        <v>1.0445829974168399</v>
      </c>
      <c r="D4875">
        <v>0.98026642355055005</v>
      </c>
      <c r="E4875">
        <v>0.44813627139311202</v>
      </c>
      <c r="F4875">
        <v>0.513967952380886</v>
      </c>
      <c r="G4875">
        <v>0.43938103501888798</v>
      </c>
      <c r="H4875">
        <v>0.26885113905821001</v>
      </c>
      <c r="I4875">
        <v>0.17542903287846601</v>
      </c>
      <c r="J4875">
        <v>0.11805363403739901</v>
      </c>
      <c r="K4875">
        <v>7.3627971186888796E-2</v>
      </c>
      <c r="L4875">
        <v>623.63522838242602</v>
      </c>
      <c r="M4875">
        <v>11.913477891048499</v>
      </c>
      <c r="N4875">
        <v>53.124176120728102</v>
      </c>
      <c r="O4875">
        <v>50.937502734767698</v>
      </c>
      <c r="P4875">
        <v>-5.38085159438111E-2</v>
      </c>
      <c r="Q4875">
        <v>7.9969055985560103E-2</v>
      </c>
      <c r="R4875">
        <v>0.92714562958128</v>
      </c>
      <c r="S4875" t="s">
        <v>10701</v>
      </c>
      <c r="T4875" t="s">
        <v>11650</v>
      </c>
      <c r="U4875" t="s">
        <v>11650</v>
      </c>
      <c r="V4875" t="s">
        <v>11650</v>
      </c>
      <c r="W4875" t="s">
        <v>16470</v>
      </c>
      <c r="X4875">
        <v>13</v>
      </c>
      <c r="Y4875" t="s">
        <v>22139</v>
      </c>
      <c r="Z4875" t="s">
        <v>27937</v>
      </c>
      <c r="AA4875">
        <v>0.48636148149369068</v>
      </c>
      <c r="AB4875" t="str">
        <f>HYPERLINK("Melting_Curves/meltCurve_Q9BXP5_5_SRRT.pdf", "Melting_Curves/meltCurve_Q9BXP5_5_SRRT.pdf")</f>
        <v>Melting_Curves/meltCurve_Q9BXP5_5_SRRT.pdf</v>
      </c>
    </row>
    <row r="4876" spans="1:28" x14ac:dyDescent="0.25">
      <c r="A4876" t="s">
        <v>4880</v>
      </c>
      <c r="B4876">
        <v>0.99996721820229495</v>
      </c>
      <c r="C4876">
        <v>1.0612136841334801</v>
      </c>
      <c r="D4876">
        <v>1.0551967735501699</v>
      </c>
      <c r="E4876">
        <v>1.1549460747406199</v>
      </c>
      <c r="F4876">
        <v>1.50437812126697</v>
      </c>
      <c r="G4876">
        <v>1.51040327000202</v>
      </c>
      <c r="H4876">
        <v>0.88394856515910902</v>
      </c>
      <c r="I4876">
        <v>0.54646517882137802</v>
      </c>
      <c r="J4876">
        <v>0.35960637641578602</v>
      </c>
      <c r="K4876">
        <v>0.29942447884908302</v>
      </c>
      <c r="L4876">
        <v>3419.14185242144</v>
      </c>
      <c r="M4876">
        <v>54.122082487605702</v>
      </c>
      <c r="N4876">
        <v>64.344626393514005</v>
      </c>
      <c r="O4876">
        <v>63.088537564954898</v>
      </c>
      <c r="P4876">
        <v>-0.14731493090931799</v>
      </c>
      <c r="Q4876">
        <v>0.313117427985043</v>
      </c>
      <c r="R4876">
        <v>0.66242775867533299</v>
      </c>
      <c r="S4876" t="s">
        <v>10702</v>
      </c>
      <c r="T4876" t="s">
        <v>11650</v>
      </c>
      <c r="U4876" t="s">
        <v>11650</v>
      </c>
      <c r="V4876" t="s">
        <v>11650</v>
      </c>
      <c r="W4876" t="s">
        <v>16471</v>
      </c>
      <c r="X4876">
        <v>11</v>
      </c>
      <c r="Y4876" t="s">
        <v>22140</v>
      </c>
      <c r="Z4876" t="s">
        <v>27938</v>
      </c>
      <c r="AA4876">
        <v>0.84518330164958044</v>
      </c>
      <c r="AB4876" t="str">
        <f>HYPERLINK("Melting_Curves/meltCurve_Q9BXR0_QTRT1.pdf", "Melting_Curves/meltCurve_Q9BXR0_QTRT1.pdf")</f>
        <v>Melting_Curves/meltCurve_Q9BXR0_QTRT1.pdf</v>
      </c>
    </row>
    <row r="4877" spans="1:28" x14ac:dyDescent="0.25">
      <c r="A4877" t="s">
        <v>4881</v>
      </c>
      <c r="B4877">
        <v>0.99996721820229495</v>
      </c>
      <c r="C4877">
        <v>0.94605300131013903</v>
      </c>
      <c r="D4877">
        <v>0.89097024433344096</v>
      </c>
      <c r="E4877">
        <v>1.1854672259430199</v>
      </c>
      <c r="F4877">
        <v>1.6199442746209101</v>
      </c>
      <c r="G4877">
        <v>1.27180109581316</v>
      </c>
      <c r="H4877">
        <v>1.2292318540137499</v>
      </c>
      <c r="I4877">
        <v>1.6443088125986001</v>
      </c>
      <c r="J4877">
        <v>1.3195166394480899</v>
      </c>
      <c r="K4877">
        <v>1.06397553360701</v>
      </c>
      <c r="L4877">
        <v>12496.422641658</v>
      </c>
      <c r="M4877">
        <v>250</v>
      </c>
      <c r="O4877">
        <v>49.982491508690202</v>
      </c>
      <c r="P4877">
        <v>0.44781887959176198</v>
      </c>
      <c r="Q4877">
        <v>1.3581296553139299</v>
      </c>
      <c r="R4877">
        <v>0.545245045642889</v>
      </c>
      <c r="S4877" t="s">
        <v>10703</v>
      </c>
      <c r="T4877" t="s">
        <v>11650</v>
      </c>
      <c r="U4877" t="s">
        <v>11650</v>
      </c>
      <c r="V4877" t="s">
        <v>11650</v>
      </c>
      <c r="W4877" t="s">
        <v>16472</v>
      </c>
      <c r="X4877">
        <v>3</v>
      </c>
      <c r="Y4877" t="s">
        <v>22141</v>
      </c>
      <c r="Z4877" t="s">
        <v>27939</v>
      </c>
      <c r="AA4877">
        <v>1.2388925080190321</v>
      </c>
      <c r="AB4877" t="str">
        <f>HYPERLINK("Melting_Curves/meltCurve_Q9BXV9_C14orf142.pdf", "Melting_Curves/meltCurve_Q9BXV9_C14orf142.pdf")</f>
        <v>Melting_Curves/meltCurve_Q9BXV9_C14orf142.pdf</v>
      </c>
    </row>
    <row r="4878" spans="1:28" x14ac:dyDescent="0.25">
      <c r="A4878" t="s">
        <v>4882</v>
      </c>
      <c r="B4878">
        <v>0.99996721820229495</v>
      </c>
      <c r="C4878">
        <v>0.99219230595689401</v>
      </c>
      <c r="D4878">
        <v>0.97750442421529304</v>
      </c>
      <c r="E4878">
        <v>0.77204828280901705</v>
      </c>
      <c r="F4878">
        <v>0.436790805968025</v>
      </c>
      <c r="G4878">
        <v>0.33358226628792298</v>
      </c>
      <c r="H4878">
        <v>0.199153393674909</v>
      </c>
      <c r="I4878">
        <v>0.12018465228368901</v>
      </c>
      <c r="J4878">
        <v>8.7619625726157294E-2</v>
      </c>
      <c r="K4878">
        <v>7.2264493423186305E-2</v>
      </c>
      <c r="L4878">
        <v>925.94267839011798</v>
      </c>
      <c r="M4878">
        <v>17.579125789923499</v>
      </c>
      <c r="N4878">
        <v>53.243476837550404</v>
      </c>
      <c r="O4878">
        <v>52.0054325609781</v>
      </c>
      <c r="P4878">
        <v>-7.7254840695072394E-2</v>
      </c>
      <c r="Q4878">
        <v>8.5858489701706994E-2</v>
      </c>
      <c r="R4878">
        <v>0.98929715765625204</v>
      </c>
      <c r="S4878" t="s">
        <v>10704</v>
      </c>
      <c r="T4878" t="s">
        <v>11650</v>
      </c>
      <c r="U4878" t="s">
        <v>11650</v>
      </c>
      <c r="V4878" t="s">
        <v>11650</v>
      </c>
      <c r="W4878" t="s">
        <v>16473</v>
      </c>
      <c r="X4878">
        <v>13</v>
      </c>
      <c r="Y4878" t="s">
        <v>22142</v>
      </c>
      <c r="Z4878" t="s">
        <v>27940</v>
      </c>
      <c r="AA4878">
        <v>0.48766428268341799</v>
      </c>
      <c r="AB4878" t="str">
        <f>HYPERLINK("Melting_Curves/meltCurve_Q9BXW6_OSBPL1A.pdf", "Melting_Curves/meltCurve_Q9BXW6_OSBPL1A.pdf")</f>
        <v>Melting_Curves/meltCurve_Q9BXW6_OSBPL1A.pdf</v>
      </c>
    </row>
    <row r="4879" spans="1:28" x14ac:dyDescent="0.25">
      <c r="A4879" t="s">
        <v>4883</v>
      </c>
      <c r="B4879">
        <v>0.99996721820229495</v>
      </c>
      <c r="C4879">
        <v>0.87608073243985696</v>
      </c>
      <c r="D4879">
        <v>0.73654854832736505</v>
      </c>
      <c r="E4879">
        <v>0.44277143665834601</v>
      </c>
      <c r="F4879">
        <v>0.26493142255983299</v>
      </c>
      <c r="G4879">
        <v>0.141844775498078</v>
      </c>
      <c r="H4879">
        <v>8.7537760683114293E-2</v>
      </c>
      <c r="I4879">
        <v>6.0354940322553299E-2</v>
      </c>
      <c r="J4879">
        <v>4.36251709086143E-2</v>
      </c>
      <c r="K4879">
        <v>5.4125240031181299E-2</v>
      </c>
      <c r="L4879">
        <v>736.08108959184096</v>
      </c>
      <c r="M4879">
        <v>15.043458823268001</v>
      </c>
      <c r="N4879">
        <v>49.178969580798302</v>
      </c>
      <c r="O4879">
        <v>48.090099004695297</v>
      </c>
      <c r="P4879">
        <v>-7.5348133323718799E-2</v>
      </c>
      <c r="Q4879">
        <v>3.6621221137397297E-2</v>
      </c>
      <c r="R4879">
        <v>0.99866540151433303</v>
      </c>
      <c r="S4879" t="s">
        <v>10705</v>
      </c>
      <c r="T4879" t="s">
        <v>11650</v>
      </c>
      <c r="U4879" t="s">
        <v>11650</v>
      </c>
      <c r="V4879" t="s">
        <v>11650</v>
      </c>
      <c r="W4879" t="s">
        <v>16474</v>
      </c>
      <c r="X4879">
        <v>5</v>
      </c>
      <c r="Y4879" t="s">
        <v>22143</v>
      </c>
      <c r="Z4879" t="s">
        <v>27941</v>
      </c>
      <c r="AA4879">
        <v>0.34710586685906042</v>
      </c>
      <c r="AB4879" t="str">
        <f>HYPERLINK("Melting_Curves/meltCurve_Q9BXW7_2_CECR5.pdf", "Melting_Curves/meltCurve_Q9BXW7_2_CECR5.pdf")</f>
        <v>Melting_Curves/meltCurve_Q9BXW7_2_CECR5.pdf</v>
      </c>
    </row>
    <row r="4880" spans="1:28" x14ac:dyDescent="0.25">
      <c r="A4880" t="s">
        <v>4884</v>
      </c>
      <c r="B4880">
        <v>0.99996721820229495</v>
      </c>
      <c r="C4880">
        <v>1.0584606604447599</v>
      </c>
      <c r="D4880">
        <v>1.0462132780067801</v>
      </c>
      <c r="E4880">
        <v>0.93844689323461195</v>
      </c>
      <c r="F4880">
        <v>1.14241906066719</v>
      </c>
      <c r="G4880">
        <v>1.0775707443987099</v>
      </c>
      <c r="H4880">
        <v>0.80709128913549799</v>
      </c>
      <c r="I4880">
        <v>0.75742654526337605</v>
      </c>
      <c r="J4880">
        <v>0.35525453436835103</v>
      </c>
      <c r="K4880">
        <v>7.7272184629037302E-2</v>
      </c>
      <c r="L4880">
        <v>2145.0435652553701</v>
      </c>
      <c r="M4880">
        <v>32.638685268506102</v>
      </c>
      <c r="N4880">
        <v>65.720915818857407</v>
      </c>
      <c r="O4880">
        <v>65.475660552494702</v>
      </c>
      <c r="P4880">
        <v>-0.12462203674019399</v>
      </c>
      <c r="Q4880">
        <v>0</v>
      </c>
      <c r="R4880">
        <v>0.94944195035165502</v>
      </c>
      <c r="S4880" t="s">
        <v>10706</v>
      </c>
      <c r="T4880" t="s">
        <v>11650</v>
      </c>
      <c r="U4880" t="s">
        <v>11650</v>
      </c>
      <c r="V4880" t="s">
        <v>11650</v>
      </c>
      <c r="W4880" t="s">
        <v>16475</v>
      </c>
      <c r="X4880">
        <v>4</v>
      </c>
      <c r="Y4880" t="s">
        <v>22144</v>
      </c>
      <c r="Z4880" t="s">
        <v>27942</v>
      </c>
      <c r="AA4880">
        <v>0.85378101123425199</v>
      </c>
      <c r="AB4880" t="str">
        <f>HYPERLINK("Melting_Curves/meltCurve_Q9BY32_ITPA.pdf", "Melting_Curves/meltCurve_Q9BY32_ITPA.pdf")</f>
        <v>Melting_Curves/meltCurve_Q9BY32_ITPA.pdf</v>
      </c>
    </row>
    <row r="4881" spans="1:28" x14ac:dyDescent="0.25">
      <c r="A4881" t="s">
        <v>4885</v>
      </c>
      <c r="B4881">
        <v>0.99996721820229495</v>
      </c>
      <c r="C4881">
        <v>1.1948651539603901</v>
      </c>
      <c r="D4881">
        <v>1.03306485626886</v>
      </c>
      <c r="E4881">
        <v>0.98798315888450206</v>
      </c>
      <c r="F4881">
        <v>1.72298414181504</v>
      </c>
      <c r="G4881">
        <v>1.62778853714111</v>
      </c>
      <c r="H4881">
        <v>1.18881572403879</v>
      </c>
      <c r="I4881">
        <v>0.97851991466182298</v>
      </c>
      <c r="J4881">
        <v>0.89583468614894901</v>
      </c>
      <c r="K4881">
        <v>0.54220985422020496</v>
      </c>
      <c r="L4881">
        <v>4341.99880464733</v>
      </c>
      <c r="M4881">
        <v>63.274398796830397</v>
      </c>
      <c r="O4881">
        <v>68.553286411012706</v>
      </c>
      <c r="P4881">
        <v>-0.13601663514964801</v>
      </c>
      <c r="Q4881">
        <v>0.41054300586711701</v>
      </c>
      <c r="R4881">
        <v>7.7376011145567997E-2</v>
      </c>
      <c r="S4881" t="s">
        <v>10707</v>
      </c>
      <c r="T4881" t="s">
        <v>11650</v>
      </c>
      <c r="U4881" t="s">
        <v>11650</v>
      </c>
      <c r="V4881" t="s">
        <v>11650</v>
      </c>
      <c r="W4881" t="s">
        <v>16476</v>
      </c>
      <c r="X4881">
        <v>13</v>
      </c>
      <c r="Y4881" t="s">
        <v>22145</v>
      </c>
      <c r="Z4881" t="s">
        <v>27943</v>
      </c>
      <c r="AA4881">
        <v>0.96822121553503826</v>
      </c>
      <c r="AB4881" t="str">
        <f>HYPERLINK("Melting_Curves/meltCurve_Q9BY43_CHMP4A.pdf", "Melting_Curves/meltCurve_Q9BY43_CHMP4A.pdf")</f>
        <v>Melting_Curves/meltCurve_Q9BY43_CHMP4A.pdf</v>
      </c>
    </row>
    <row r="4882" spans="1:28" x14ac:dyDescent="0.25">
      <c r="A4882" t="s">
        <v>4886</v>
      </c>
      <c r="B4882">
        <v>0.99996721820229495</v>
      </c>
      <c r="C4882">
        <v>1.0016485512052</v>
      </c>
      <c r="D4882">
        <v>0.85226208105909995</v>
      </c>
      <c r="E4882">
        <v>0.74375560019493503</v>
      </c>
      <c r="F4882">
        <v>0.61991105229507604</v>
      </c>
      <c r="G4882">
        <v>0.36622704842059201</v>
      </c>
      <c r="H4882">
        <v>0.239512000232315</v>
      </c>
      <c r="I4882">
        <v>0.22813478876684801</v>
      </c>
      <c r="J4882">
        <v>0.13928524114472801</v>
      </c>
      <c r="K4882">
        <v>0.118023670263319</v>
      </c>
      <c r="L4882">
        <v>651.33448606517595</v>
      </c>
      <c r="M4882">
        <v>12.0541425599523</v>
      </c>
      <c r="N4882">
        <v>54.686745345390896</v>
      </c>
      <c r="O4882">
        <v>52.6114178889013</v>
      </c>
      <c r="P4882">
        <v>-5.3454267260348E-2</v>
      </c>
      <c r="Q4882">
        <v>6.69966839705535E-2</v>
      </c>
      <c r="R4882">
        <v>0.99340147975530202</v>
      </c>
      <c r="S4882" t="s">
        <v>10708</v>
      </c>
      <c r="T4882" t="s">
        <v>11650</v>
      </c>
      <c r="U4882" t="s">
        <v>11650</v>
      </c>
      <c r="V4882" t="s">
        <v>11650</v>
      </c>
      <c r="W4882" t="s">
        <v>16477</v>
      </c>
      <c r="X4882">
        <v>6</v>
      </c>
      <c r="Y4882" t="s">
        <v>22146</v>
      </c>
      <c r="Z4882" t="s">
        <v>27944</v>
      </c>
      <c r="AA4882">
        <v>0.52764600822003904</v>
      </c>
      <c r="AB4882" t="str">
        <f>HYPERLINK("Melting_Curves/meltCurve_Q9BY77_POLDIP3.pdf", "Melting_Curves/meltCurve_Q9BY77_POLDIP3.pdf")</f>
        <v>Melting_Curves/meltCurve_Q9BY77_POLDIP3.pdf</v>
      </c>
    </row>
    <row r="4883" spans="1:28" x14ac:dyDescent="0.25">
      <c r="A4883" t="s">
        <v>4887</v>
      </c>
      <c r="B4883">
        <v>0.99996721820229495</v>
      </c>
      <c r="C4883">
        <v>1.0492490316392</v>
      </c>
      <c r="D4883">
        <v>0.99781724827199003</v>
      </c>
      <c r="E4883">
        <v>0.97738398616557998</v>
      </c>
      <c r="F4883">
        <v>1.2340217785377801</v>
      </c>
      <c r="G4883">
        <v>1.10251338049192</v>
      </c>
      <c r="H4883">
        <v>0.50068659784877301</v>
      </c>
      <c r="I4883">
        <v>0.22413734589054601</v>
      </c>
      <c r="J4883">
        <v>0.13561250286751</v>
      </c>
      <c r="K4883">
        <v>0.127981093129131</v>
      </c>
      <c r="L4883">
        <v>4828.4276222198796</v>
      </c>
      <c r="M4883">
        <v>79.496601919376801</v>
      </c>
      <c r="N4883">
        <v>61.025322819838003</v>
      </c>
      <c r="O4883">
        <v>60.6991343781227</v>
      </c>
      <c r="P4883">
        <v>-0.27623859732762501</v>
      </c>
      <c r="Q4883">
        <v>0.15631911566100201</v>
      </c>
      <c r="R4883">
        <v>0.95748257313464602</v>
      </c>
      <c r="S4883" t="s">
        <v>10709</v>
      </c>
      <c r="T4883" t="s">
        <v>11650</v>
      </c>
      <c r="U4883" t="s">
        <v>11650</v>
      </c>
      <c r="V4883" t="s">
        <v>11650</v>
      </c>
      <c r="W4883" t="s">
        <v>16478</v>
      </c>
      <c r="X4883">
        <v>8</v>
      </c>
      <c r="Y4883" t="s">
        <v>22147</v>
      </c>
      <c r="Z4883" t="s">
        <v>27945</v>
      </c>
      <c r="AA4883">
        <v>0.74040485571134951</v>
      </c>
      <c r="AB4883" t="str">
        <f>HYPERLINK("Melting_Curves/meltCurve_Q9BYB4_GNB1L.pdf", "Melting_Curves/meltCurve_Q9BYB4_GNB1L.pdf")</f>
        <v>Melting_Curves/meltCurve_Q9BYB4_GNB1L.pdf</v>
      </c>
    </row>
    <row r="4884" spans="1:28" x14ac:dyDescent="0.25">
      <c r="A4884" t="s">
        <v>4888</v>
      </c>
      <c r="B4884">
        <v>0.99996721820229495</v>
      </c>
      <c r="C4884">
        <v>1.19566152044792</v>
      </c>
      <c r="D4884">
        <v>0.5876563088276</v>
      </c>
      <c r="E4884">
        <v>0.348059526242331</v>
      </c>
      <c r="F4884">
        <v>0.34081449104596501</v>
      </c>
      <c r="G4884">
        <v>0.2942053452933</v>
      </c>
      <c r="H4884">
        <v>0.241064749999754</v>
      </c>
      <c r="I4884">
        <v>0.12810799631445399</v>
      </c>
      <c r="J4884">
        <v>6.9279309187672805E-2</v>
      </c>
      <c r="K4884">
        <v>0.113675712881045</v>
      </c>
      <c r="L4884">
        <v>11494.808993184801</v>
      </c>
      <c r="M4884">
        <v>250</v>
      </c>
      <c r="N4884">
        <v>46.085671742677398</v>
      </c>
      <c r="O4884">
        <v>45.976301992193697</v>
      </c>
      <c r="P4884">
        <v>-1.0612598310758199</v>
      </c>
      <c r="Q4884">
        <v>0.21931530312699099</v>
      </c>
      <c r="R4884">
        <v>0.91124633992678505</v>
      </c>
      <c r="S4884" t="s">
        <v>10710</v>
      </c>
      <c r="T4884" t="s">
        <v>11650</v>
      </c>
      <c r="U4884" t="s">
        <v>11650</v>
      </c>
      <c r="V4884" t="s">
        <v>11650</v>
      </c>
      <c r="W4884" t="s">
        <v>16479</v>
      </c>
      <c r="X4884">
        <v>2</v>
      </c>
      <c r="Y4884" t="s">
        <v>22148</v>
      </c>
      <c r="Z4884" t="s">
        <v>27946</v>
      </c>
      <c r="AA4884">
        <v>0.37497489955875751</v>
      </c>
      <c r="AB4884" t="str">
        <f>HYPERLINK("Melting_Curves/meltCurve_Q9BYD6_MRPL1.pdf", "Melting_Curves/meltCurve_Q9BYD6_MRPL1.pdf")</f>
        <v>Melting_Curves/meltCurve_Q9BYD6_MRPL1.pdf</v>
      </c>
    </row>
    <row r="4885" spans="1:28" x14ac:dyDescent="0.25">
      <c r="A4885" t="s">
        <v>4889</v>
      </c>
      <c r="B4885">
        <v>0.99996721820229495</v>
      </c>
      <c r="C4885">
        <v>1.0378334235778399</v>
      </c>
      <c r="D4885">
        <v>0.85738725686886097</v>
      </c>
      <c r="E4885">
        <v>0.63593224326407605</v>
      </c>
      <c r="F4885">
        <v>0.46192710822030197</v>
      </c>
      <c r="G4885">
        <v>0.36833029522849797</v>
      </c>
      <c r="H4885">
        <v>0.20687396014880499</v>
      </c>
      <c r="I4885">
        <v>0.154506121862379</v>
      </c>
      <c r="J4885">
        <v>0.15095042761096999</v>
      </c>
      <c r="K4885">
        <v>0.122875124716484</v>
      </c>
      <c r="L4885">
        <v>720.44932169139395</v>
      </c>
      <c r="M4885">
        <v>13.9151723285727</v>
      </c>
      <c r="N4885">
        <v>52.741724211061999</v>
      </c>
      <c r="O4885">
        <v>50.740253252459198</v>
      </c>
      <c r="P4885">
        <v>-6.0847228731654698E-2</v>
      </c>
      <c r="Q4885">
        <v>0.11262743926905</v>
      </c>
      <c r="R4885">
        <v>0.988773564381345</v>
      </c>
      <c r="S4885" t="s">
        <v>10711</v>
      </c>
      <c r="T4885" t="s">
        <v>11650</v>
      </c>
      <c r="U4885" t="s">
        <v>11650</v>
      </c>
      <c r="V4885" t="s">
        <v>11650</v>
      </c>
      <c r="W4885" t="s">
        <v>16480</v>
      </c>
      <c r="X4885">
        <v>12</v>
      </c>
      <c r="Y4885" t="s">
        <v>22149</v>
      </c>
      <c r="Z4885" t="s">
        <v>27947</v>
      </c>
      <c r="AA4885">
        <v>0.48330953415872391</v>
      </c>
      <c r="AB4885" t="str">
        <f>HYPERLINK("Melting_Curves/meltCurve_Q9BYM8_RBCK1.pdf", "Melting_Curves/meltCurve_Q9BYM8_RBCK1.pdf")</f>
        <v>Melting_Curves/meltCurve_Q9BYM8_RBCK1.pdf</v>
      </c>
    </row>
    <row r="4886" spans="1:28" x14ac:dyDescent="0.25">
      <c r="A4886" t="s">
        <v>4890</v>
      </c>
      <c r="B4886">
        <v>0.99996721820229495</v>
      </c>
      <c r="C4886">
        <v>1.00393085977512</v>
      </c>
      <c r="D4886">
        <v>0.87187212323821395</v>
      </c>
      <c r="E4886">
        <v>0.58286162594034197</v>
      </c>
      <c r="F4886">
        <v>0.34330655299276902</v>
      </c>
      <c r="G4886">
        <v>0.28203390260814598</v>
      </c>
      <c r="H4886">
        <v>0.187781459219969</v>
      </c>
      <c r="I4886">
        <v>0.21537909894973001</v>
      </c>
      <c r="J4886">
        <v>0.17874661229429001</v>
      </c>
      <c r="K4886">
        <v>0.111451397260735</v>
      </c>
      <c r="L4886">
        <v>1000.38922638441</v>
      </c>
      <c r="M4886">
        <v>20.024255026669799</v>
      </c>
      <c r="N4886">
        <v>51.016128849593798</v>
      </c>
      <c r="O4886">
        <v>49.4686002445847</v>
      </c>
      <c r="P4886">
        <v>-8.4013700950086298E-2</v>
      </c>
      <c r="Q4886">
        <v>0.169825266427443</v>
      </c>
      <c r="R4886">
        <v>0.99204050370816799</v>
      </c>
      <c r="S4886" t="s">
        <v>10712</v>
      </c>
      <c r="T4886" t="s">
        <v>11650</v>
      </c>
      <c r="U4886" t="s">
        <v>11650</v>
      </c>
      <c r="V4886" t="s">
        <v>11650</v>
      </c>
      <c r="W4886" t="s">
        <v>16481</v>
      </c>
      <c r="X4886">
        <v>3</v>
      </c>
      <c r="Y4886" t="s">
        <v>22150</v>
      </c>
      <c r="Z4886" t="s">
        <v>27948</v>
      </c>
      <c r="AA4886">
        <v>0.45694374551670042</v>
      </c>
      <c r="AB4886" t="str">
        <f>HYPERLINK("Melting_Curves/meltCurve_Q9BYN0_SRXN1.pdf", "Melting_Curves/meltCurve_Q9BYN0_SRXN1.pdf")</f>
        <v>Melting_Curves/meltCurve_Q9BYN0_SRXN1.pdf</v>
      </c>
    </row>
    <row r="4887" spans="1:28" x14ac:dyDescent="0.25">
      <c r="A4887" t="s">
        <v>4891</v>
      </c>
      <c r="B4887">
        <v>0.99996721820229495</v>
      </c>
      <c r="C4887">
        <v>0.762014526461541</v>
      </c>
      <c r="D4887">
        <v>1.55522840346539</v>
      </c>
      <c r="E4887">
        <v>3.71017753152009</v>
      </c>
      <c r="F4887">
        <v>7.1252444378742696</v>
      </c>
      <c r="G4887">
        <v>14.7412582735582</v>
      </c>
      <c r="H4887">
        <v>9.9046390030779499</v>
      </c>
      <c r="I4887">
        <v>1.7531269015689099</v>
      </c>
      <c r="J4887">
        <v>0.39161391367943799</v>
      </c>
      <c r="K4887">
        <v>7.5225879483610106E-2</v>
      </c>
      <c r="S4887" t="s">
        <v>10713</v>
      </c>
      <c r="T4887" t="s">
        <v>11650</v>
      </c>
      <c r="U4887" t="s">
        <v>11651</v>
      </c>
      <c r="V4887" t="s">
        <v>11650</v>
      </c>
      <c r="W4887" t="s">
        <v>16482</v>
      </c>
      <c r="X4887">
        <v>1</v>
      </c>
      <c r="Y4887" t="s">
        <v>22151</v>
      </c>
      <c r="Z4887" t="s">
        <v>27949</v>
      </c>
      <c r="AB4887" t="str">
        <f>HYPERLINK("Melting_Curves/meltCurve_Q9BYN8_MRPS26.pdf", "Melting_Curves/meltCurve_Q9BYN8_MRPS26.pdf")</f>
        <v>Melting_Curves/meltCurve_Q9BYN8_MRPS26.pdf</v>
      </c>
    </row>
    <row r="4888" spans="1:28" x14ac:dyDescent="0.25">
      <c r="A4888" t="s">
        <v>4892</v>
      </c>
      <c r="B4888">
        <v>0.99996721820229495</v>
      </c>
      <c r="C4888">
        <v>1.02889697581714</v>
      </c>
      <c r="D4888">
        <v>0.984915041153549</v>
      </c>
      <c r="E4888">
        <v>0.81459561012205906</v>
      </c>
      <c r="F4888">
        <v>0.68558487883313002</v>
      </c>
      <c r="G4888">
        <v>0.44905932460156101</v>
      </c>
      <c r="H4888">
        <v>0.21362706026188</v>
      </c>
      <c r="I4888">
        <v>0.122804306856545</v>
      </c>
      <c r="J4888">
        <v>8.4278873051758199E-2</v>
      </c>
      <c r="K4888">
        <v>7.2696233131962107E-2</v>
      </c>
      <c r="L4888">
        <v>831.94366373255195</v>
      </c>
      <c r="M4888">
        <v>14.9357735015667</v>
      </c>
      <c r="N4888">
        <v>55.804301512415499</v>
      </c>
      <c r="O4888">
        <v>54.7314841070095</v>
      </c>
      <c r="P4888">
        <v>-6.7303313459064804E-2</v>
      </c>
      <c r="Q4888">
        <v>1.3581189251424E-2</v>
      </c>
      <c r="R4888">
        <v>0.996836945086503</v>
      </c>
      <c r="S4888" t="s">
        <v>10714</v>
      </c>
      <c r="T4888" t="s">
        <v>11650</v>
      </c>
      <c r="U4888" t="s">
        <v>11650</v>
      </c>
      <c r="V4888" t="s">
        <v>11650</v>
      </c>
      <c r="W4888" t="s">
        <v>16483</v>
      </c>
      <c r="X4888">
        <v>26</v>
      </c>
      <c r="Y4888" t="s">
        <v>22152</v>
      </c>
      <c r="Z4888" t="s">
        <v>27950</v>
      </c>
      <c r="AA4888">
        <v>0.54791491941489956</v>
      </c>
      <c r="AB4888" t="str">
        <f>HYPERLINK("Melting_Curves/meltCurve_Q9BYT8_NLN.pdf", "Melting_Curves/meltCurve_Q9BYT8_NLN.pdf")</f>
        <v>Melting_Curves/meltCurve_Q9BYT8_NLN.pdf</v>
      </c>
    </row>
    <row r="4889" spans="1:28" x14ac:dyDescent="0.25">
      <c r="A4889" t="s">
        <v>4893</v>
      </c>
      <c r="B4889">
        <v>0.99996721820229495</v>
      </c>
      <c r="C4889">
        <v>1.0285188466000199</v>
      </c>
      <c r="D4889">
        <v>0.95224746275835703</v>
      </c>
      <c r="E4889">
        <v>0.57565356062898099</v>
      </c>
      <c r="F4889">
        <v>0.88094851717192701</v>
      </c>
      <c r="G4889">
        <v>0.34986675068179202</v>
      </c>
      <c r="H4889">
        <v>0.195984288538397</v>
      </c>
      <c r="I4889">
        <v>0.133846511765571</v>
      </c>
      <c r="J4889">
        <v>0.116690365543739</v>
      </c>
      <c r="K4889">
        <v>7.5407689789376106E-2</v>
      </c>
      <c r="L4889">
        <v>717.720419918944</v>
      </c>
      <c r="M4889">
        <v>12.953109476524601</v>
      </c>
      <c r="N4889">
        <v>55.409100115760403</v>
      </c>
      <c r="O4889">
        <v>54.138347602499302</v>
      </c>
      <c r="P4889">
        <v>-5.9825571076696497E-2</v>
      </c>
      <c r="Q4889">
        <v>0</v>
      </c>
      <c r="R4889">
        <v>0.91945948360919905</v>
      </c>
      <c r="S4889" t="s">
        <v>10715</v>
      </c>
      <c r="T4889" t="s">
        <v>11650</v>
      </c>
      <c r="U4889" t="s">
        <v>11650</v>
      </c>
      <c r="V4889" t="s">
        <v>11650</v>
      </c>
      <c r="W4889" t="s">
        <v>16484</v>
      </c>
      <c r="X4889">
        <v>8</v>
      </c>
      <c r="Y4889" t="s">
        <v>22153</v>
      </c>
      <c r="Z4889" t="s">
        <v>27951</v>
      </c>
      <c r="AA4889">
        <v>0.53481326614239888</v>
      </c>
      <c r="AB4889" t="str">
        <f>HYPERLINK("Melting_Curves/meltCurve_Q9BYV8_CEP41.pdf", "Melting_Curves/meltCurve_Q9BYV8_CEP41.pdf")</f>
        <v>Melting_Curves/meltCurve_Q9BYV8_CEP41.pdf</v>
      </c>
    </row>
    <row r="4890" spans="1:28" x14ac:dyDescent="0.25">
      <c r="A4890" t="s">
        <v>4894</v>
      </c>
      <c r="B4890">
        <v>0.99996721820229495</v>
      </c>
      <c r="C4890">
        <v>0.64657775654900496</v>
      </c>
      <c r="D4890">
        <v>0.76110197671195001</v>
      </c>
      <c r="E4890">
        <v>0.27789194015612101</v>
      </c>
      <c r="F4890">
        <v>0.175887747660464</v>
      </c>
      <c r="G4890">
        <v>0.156580837029765</v>
      </c>
      <c r="H4890">
        <v>3.8384570978154002E-2</v>
      </c>
      <c r="I4890">
        <v>3.6188435210410499E-2</v>
      </c>
      <c r="J4890">
        <v>4.4987667695080502E-2</v>
      </c>
      <c r="K4890">
        <v>1.8753749371583799E-2</v>
      </c>
      <c r="L4890">
        <v>643.15769057222406</v>
      </c>
      <c r="M4890">
        <v>13.5489898060231</v>
      </c>
      <c r="N4890">
        <v>47.551050092765998</v>
      </c>
      <c r="O4890">
        <v>46.470789144690997</v>
      </c>
      <c r="P4890">
        <v>-7.2059060823764898E-2</v>
      </c>
      <c r="Q4890">
        <v>1.15461904934368E-2</v>
      </c>
      <c r="R4890">
        <v>0.94441102613132499</v>
      </c>
      <c r="S4890" t="s">
        <v>10716</v>
      </c>
      <c r="T4890" t="s">
        <v>11650</v>
      </c>
      <c r="U4890" t="s">
        <v>11650</v>
      </c>
      <c r="V4890" t="s">
        <v>11650</v>
      </c>
      <c r="W4890" t="s">
        <v>16485</v>
      </c>
      <c r="X4890">
        <v>1</v>
      </c>
      <c r="Y4890" t="s">
        <v>22154</v>
      </c>
      <c r="Z4890" t="s">
        <v>27952</v>
      </c>
      <c r="AA4890">
        <v>0.28960175585453501</v>
      </c>
      <c r="AB4890" t="str">
        <f>HYPERLINK("Melting_Curves/meltCurve_Q9BYX2_3_TBC1D2.pdf", "Melting_Curves/meltCurve_Q9BYX2_3_TBC1D2.pdf")</f>
        <v>Melting_Curves/meltCurve_Q9BYX2_3_TBC1D2.pdf</v>
      </c>
    </row>
    <row r="4891" spans="1:28" x14ac:dyDescent="0.25">
      <c r="A4891" t="s">
        <v>4895</v>
      </c>
      <c r="B4891">
        <v>0.99996721820229495</v>
      </c>
      <c r="C4891">
        <v>0.94430403919724004</v>
      </c>
      <c r="D4891">
        <v>0.944706150829006</v>
      </c>
      <c r="E4891">
        <v>1.02565659043464</v>
      </c>
      <c r="F4891">
        <v>0.93396407462730202</v>
      </c>
      <c r="G4891">
        <v>0.54635087564538298</v>
      </c>
      <c r="H4891">
        <v>0.249471572388487</v>
      </c>
      <c r="I4891">
        <v>0.17177955887482299</v>
      </c>
      <c r="J4891">
        <v>0.13304285044321201</v>
      </c>
      <c r="K4891">
        <v>9.3377670921654096E-2</v>
      </c>
      <c r="L4891">
        <v>1684.45883820274</v>
      </c>
      <c r="M4891">
        <v>29.527997812048302</v>
      </c>
      <c r="N4891">
        <v>57.576069140571903</v>
      </c>
      <c r="O4891">
        <v>56.786433520013297</v>
      </c>
      <c r="P4891">
        <v>-0.114529240274309</v>
      </c>
      <c r="Q4891">
        <v>0.118983691340042</v>
      </c>
      <c r="R4891">
        <v>0.99337009751081795</v>
      </c>
      <c r="S4891" t="s">
        <v>10717</v>
      </c>
      <c r="T4891" t="s">
        <v>11650</v>
      </c>
      <c r="U4891" t="s">
        <v>11650</v>
      </c>
      <c r="V4891" t="s">
        <v>11650</v>
      </c>
      <c r="W4891" t="s">
        <v>16486</v>
      </c>
      <c r="X4891">
        <v>12</v>
      </c>
      <c r="Y4891" t="s">
        <v>22155</v>
      </c>
      <c r="Z4891" t="s">
        <v>27953</v>
      </c>
      <c r="AA4891">
        <v>0.62561148961304036</v>
      </c>
      <c r="AB4891" t="str">
        <f>HYPERLINK("Melting_Curves/meltCurve_Q9BZ23_4_PANK2.pdf", "Melting_Curves/meltCurve_Q9BZ23_4_PANK2.pdf")</f>
        <v>Melting_Curves/meltCurve_Q9BZ23_4_PANK2.pdf</v>
      </c>
    </row>
    <row r="4892" spans="1:28" x14ac:dyDescent="0.25">
      <c r="A4892" t="s">
        <v>4896</v>
      </c>
      <c r="B4892">
        <v>0.99996721820229495</v>
      </c>
      <c r="C4892">
        <v>1.01193182387679</v>
      </c>
      <c r="D4892">
        <v>0.98598652928522001</v>
      </c>
      <c r="E4892">
        <v>0.96020439117734302</v>
      </c>
      <c r="F4892">
        <v>0.887421934794272</v>
      </c>
      <c r="G4892">
        <v>0.56874983561133696</v>
      </c>
      <c r="H4892">
        <v>0.28453844844780701</v>
      </c>
      <c r="I4892">
        <v>0.169808042015684</v>
      </c>
      <c r="J4892">
        <v>0.11579449931029299</v>
      </c>
      <c r="K4892">
        <v>0.101626800800257</v>
      </c>
      <c r="L4892">
        <v>1280.33198897538</v>
      </c>
      <c r="M4892">
        <v>22.308061846973398</v>
      </c>
      <c r="N4892">
        <v>57.875579563649602</v>
      </c>
      <c r="O4892">
        <v>56.938010080211399</v>
      </c>
      <c r="P4892">
        <v>-8.9641898433009695E-2</v>
      </c>
      <c r="Q4892">
        <v>8.4828825658200699E-2</v>
      </c>
      <c r="R4892">
        <v>0.99958603556879799</v>
      </c>
      <c r="S4892" t="s">
        <v>10718</v>
      </c>
      <c r="T4892" t="s">
        <v>11650</v>
      </c>
      <c r="U4892" t="s">
        <v>11650</v>
      </c>
      <c r="V4892" t="s">
        <v>11650</v>
      </c>
      <c r="W4892" t="s">
        <v>16487</v>
      </c>
      <c r="X4892">
        <v>11</v>
      </c>
      <c r="Y4892" t="s">
        <v>22156</v>
      </c>
      <c r="Z4892" t="s">
        <v>27954</v>
      </c>
      <c r="AA4892">
        <v>0.62498248581727678</v>
      </c>
      <c r="AB4892" t="str">
        <f>HYPERLINK("Melting_Curves/meltCurve_Q9BZ67_2_FRMD8.pdf", "Melting_Curves/meltCurve_Q9BZ67_2_FRMD8.pdf")</f>
        <v>Melting_Curves/meltCurve_Q9BZ67_2_FRMD8.pdf</v>
      </c>
    </row>
    <row r="4893" spans="1:28" x14ac:dyDescent="0.25">
      <c r="A4893" t="s">
        <v>4897</v>
      </c>
      <c r="B4893">
        <v>0.99996721820229495</v>
      </c>
      <c r="C4893">
        <v>0.87085770181718702</v>
      </c>
      <c r="D4893">
        <v>1.0617432407243701</v>
      </c>
      <c r="E4893">
        <v>1.1008430956448401</v>
      </c>
      <c r="F4893">
        <v>1.6869660713877901</v>
      </c>
      <c r="G4893">
        <v>2.04392952554422</v>
      </c>
      <c r="H4893">
        <v>1.4200137786848901</v>
      </c>
      <c r="I4893">
        <v>0.91883503466922301</v>
      </c>
      <c r="J4893">
        <v>0.34915115478028802</v>
      </c>
      <c r="K4893">
        <v>0.24695935033716501</v>
      </c>
      <c r="L4893">
        <v>5983.1617913661403</v>
      </c>
      <c r="M4893">
        <v>91.213350298871106</v>
      </c>
      <c r="N4893">
        <v>66.091339003891903</v>
      </c>
      <c r="O4893">
        <v>65.563730897571006</v>
      </c>
      <c r="P4893">
        <v>-0.26159348493742202</v>
      </c>
      <c r="Q4893">
        <v>0.24787135168226601</v>
      </c>
      <c r="R4893">
        <v>0.348732230716845</v>
      </c>
      <c r="S4893" t="s">
        <v>10719</v>
      </c>
      <c r="T4893" t="s">
        <v>11650</v>
      </c>
      <c r="U4893" t="s">
        <v>11650</v>
      </c>
      <c r="V4893" t="s">
        <v>11650</v>
      </c>
      <c r="W4893" t="s">
        <v>16488</v>
      </c>
      <c r="X4893">
        <v>3</v>
      </c>
      <c r="Y4893" t="s">
        <v>22157</v>
      </c>
      <c r="Z4893" t="s">
        <v>27955</v>
      </c>
      <c r="AA4893">
        <v>0.89015235588199615</v>
      </c>
      <c r="AB4893" t="str">
        <f>HYPERLINK("Melting_Curves/meltCurve_Q9BZD2_SLC29A3.pdf", "Melting_Curves/meltCurve_Q9BZD2_SLC29A3.pdf")</f>
        <v>Melting_Curves/meltCurve_Q9BZD2_SLC29A3.pdf</v>
      </c>
    </row>
    <row r="4894" spans="1:28" x14ac:dyDescent="0.25">
      <c r="A4894" t="s">
        <v>4898</v>
      </c>
      <c r="B4894">
        <v>0.99996721820229495</v>
      </c>
      <c r="C4894">
        <v>0.94987209040936704</v>
      </c>
      <c r="D4894">
        <v>1.11171809748729</v>
      </c>
      <c r="E4894">
        <v>1.41661977188633</v>
      </c>
      <c r="F4894">
        <v>1.2577529061316199</v>
      </c>
      <c r="G4894">
        <v>0.83549171366323305</v>
      </c>
      <c r="H4894">
        <v>0.47456212552403199</v>
      </c>
      <c r="I4894">
        <v>0.308491708888539</v>
      </c>
      <c r="J4894">
        <v>0.143784442269632</v>
      </c>
      <c r="K4894">
        <v>0.14764512643465499</v>
      </c>
      <c r="L4894">
        <v>1967.02521022102</v>
      </c>
      <c r="M4894">
        <v>32.658032568923197</v>
      </c>
      <c r="N4894">
        <v>60.871363178402902</v>
      </c>
      <c r="O4894">
        <v>60.006486366756498</v>
      </c>
      <c r="P4894">
        <v>-0.116280292433509</v>
      </c>
      <c r="Q4894">
        <v>0.14538152634377199</v>
      </c>
      <c r="R4894">
        <v>0.86221925152817402</v>
      </c>
      <c r="S4894" t="s">
        <v>10720</v>
      </c>
      <c r="T4894" t="s">
        <v>11650</v>
      </c>
      <c r="U4894" t="s">
        <v>11650</v>
      </c>
      <c r="V4894" t="s">
        <v>11650</v>
      </c>
      <c r="W4894" t="s">
        <v>16489</v>
      </c>
      <c r="X4894">
        <v>2</v>
      </c>
      <c r="Y4894" t="s">
        <v>22158</v>
      </c>
      <c r="Z4894" t="s">
        <v>27956</v>
      </c>
      <c r="AA4894">
        <v>0.72627063505211786</v>
      </c>
      <c r="AB4894" t="str">
        <f>HYPERLINK("Melting_Curves/meltCurve_Q9BZE2_PUS3.pdf", "Melting_Curves/meltCurve_Q9BZE2_PUS3.pdf")</f>
        <v>Melting_Curves/meltCurve_Q9BZE2_PUS3.pdf</v>
      </c>
    </row>
    <row r="4895" spans="1:28" x14ac:dyDescent="0.25">
      <c r="A4895" t="s">
        <v>4899</v>
      </c>
      <c r="B4895">
        <v>0.99996721820229495</v>
      </c>
      <c r="C4895">
        <v>1.0587106091789</v>
      </c>
      <c r="D4895">
        <v>0.82638553695015904</v>
      </c>
      <c r="E4895">
        <v>0.53857939727772597</v>
      </c>
      <c r="F4895">
        <v>0.66851561741978505</v>
      </c>
      <c r="G4895">
        <v>1.11819979694764</v>
      </c>
      <c r="H4895">
        <v>0.87425683580255698</v>
      </c>
      <c r="I4895">
        <v>0.79781094929407004</v>
      </c>
      <c r="J4895">
        <v>0.76181263041456804</v>
      </c>
      <c r="K4895">
        <v>0.49428277134640097</v>
      </c>
      <c r="L4895">
        <v>11461.9340756663</v>
      </c>
      <c r="M4895">
        <v>250</v>
      </c>
      <c r="O4895">
        <v>45.844814552384797</v>
      </c>
      <c r="P4895">
        <v>-0.34015039230417199</v>
      </c>
      <c r="Q4895">
        <v>0.750493959936404</v>
      </c>
      <c r="R4895">
        <v>0.30381597475627098</v>
      </c>
      <c r="S4895" t="s">
        <v>10721</v>
      </c>
      <c r="T4895" t="s">
        <v>11650</v>
      </c>
      <c r="U4895" t="s">
        <v>11650</v>
      </c>
      <c r="V4895" t="s">
        <v>11650</v>
      </c>
      <c r="W4895" t="s">
        <v>16490</v>
      </c>
      <c r="X4895">
        <v>3</v>
      </c>
      <c r="Y4895" t="s">
        <v>22159</v>
      </c>
      <c r="Z4895" t="s">
        <v>27957</v>
      </c>
      <c r="AA4895">
        <v>0.79914888664775485</v>
      </c>
      <c r="AB4895" t="str">
        <f>HYPERLINK("Melting_Curves/meltCurve_Q9BZF1_3_OSBPL8.pdf", "Melting_Curves/meltCurve_Q9BZF1_3_OSBPL8.pdf")</f>
        <v>Melting_Curves/meltCurve_Q9BZF1_3_OSBPL8.pdf</v>
      </c>
    </row>
    <row r="4896" spans="1:28" x14ac:dyDescent="0.25">
      <c r="A4896" t="s">
        <v>4900</v>
      </c>
      <c r="B4896">
        <v>0.99996721820229495</v>
      </c>
      <c r="C4896">
        <v>0.76062899129912698</v>
      </c>
      <c r="D4896">
        <v>0.59025283878258505</v>
      </c>
      <c r="E4896">
        <v>0.81875188207794303</v>
      </c>
      <c r="F4896">
        <v>0.54801592000965405</v>
      </c>
      <c r="G4896">
        <v>0.43387179912968799</v>
      </c>
      <c r="H4896">
        <v>0.369261179615965</v>
      </c>
      <c r="I4896">
        <v>0.29555386055398503</v>
      </c>
      <c r="J4896">
        <v>0.27803835143804101</v>
      </c>
      <c r="K4896">
        <v>0.195425803416622</v>
      </c>
      <c r="L4896">
        <v>315.157663624181</v>
      </c>
      <c r="M4896">
        <v>5.72737299849772</v>
      </c>
      <c r="N4896">
        <v>55.0265651676022</v>
      </c>
      <c r="O4896">
        <v>49.4245082887075</v>
      </c>
      <c r="P4896">
        <v>-2.90809772630964E-2</v>
      </c>
      <c r="Q4896">
        <v>0</v>
      </c>
      <c r="R4896">
        <v>0.87712308230685998</v>
      </c>
      <c r="S4896" t="s">
        <v>10722</v>
      </c>
      <c r="T4896" t="s">
        <v>11650</v>
      </c>
      <c r="U4896" t="s">
        <v>11650</v>
      </c>
      <c r="V4896" t="s">
        <v>11650</v>
      </c>
      <c r="W4896" t="s">
        <v>16491</v>
      </c>
      <c r="X4896">
        <v>2</v>
      </c>
      <c r="Y4896" t="s">
        <v>22160</v>
      </c>
      <c r="Z4896" t="s">
        <v>27958</v>
      </c>
      <c r="AA4896">
        <v>0.52632541453801152</v>
      </c>
      <c r="AB4896" t="str">
        <f>HYPERLINK("Melting_Curves/meltCurve_Q9BZI7_2_UPF3B.pdf", "Melting_Curves/meltCurve_Q9BZI7_2_UPF3B.pdf")</f>
        <v>Melting_Curves/meltCurve_Q9BZI7_2_UPF3B.pdf</v>
      </c>
    </row>
    <row r="4897" spans="1:28" x14ac:dyDescent="0.25">
      <c r="A4897" t="s">
        <v>4901</v>
      </c>
      <c r="B4897">
        <v>0.99996721820229495</v>
      </c>
      <c r="C4897">
        <v>0.96438584607234501</v>
      </c>
      <c r="D4897">
        <v>0.96360429615593202</v>
      </c>
      <c r="E4897">
        <v>1.0207279610905899</v>
      </c>
      <c r="F4897">
        <v>1.20755394638138</v>
      </c>
      <c r="G4897">
        <v>1.1708060757423899</v>
      </c>
      <c r="H4897">
        <v>0.72138495686871795</v>
      </c>
      <c r="I4897">
        <v>0.33390289793944</v>
      </c>
      <c r="J4897">
        <v>0.12609467629523699</v>
      </c>
      <c r="K4897">
        <v>0.107290781739209</v>
      </c>
      <c r="L4897">
        <v>2876.6756953914601</v>
      </c>
      <c r="M4897">
        <v>46.178717707689898</v>
      </c>
      <c r="N4897">
        <v>62.611975781564702</v>
      </c>
      <c r="O4897">
        <v>62.1779189100425</v>
      </c>
      <c r="P4897">
        <v>-0.16628653030777299</v>
      </c>
      <c r="Q4897">
        <v>0.104406632920583</v>
      </c>
      <c r="R4897">
        <v>0.948559638665042</v>
      </c>
      <c r="S4897" t="s">
        <v>10723</v>
      </c>
      <c r="T4897" t="s">
        <v>11650</v>
      </c>
      <c r="U4897" t="s">
        <v>11650</v>
      </c>
      <c r="V4897" t="s">
        <v>11650</v>
      </c>
      <c r="W4897" t="s">
        <v>16492</v>
      </c>
      <c r="X4897">
        <v>11</v>
      </c>
      <c r="Y4897" t="s">
        <v>22161</v>
      </c>
      <c r="Z4897" t="s">
        <v>27959</v>
      </c>
      <c r="AA4897">
        <v>0.77252104983236758</v>
      </c>
      <c r="AB4897" t="str">
        <f>HYPERLINK("Melting_Curves/meltCurve_Q9BZK7_TBL1XR1.pdf", "Melting_Curves/meltCurve_Q9BZK7_TBL1XR1.pdf")</f>
        <v>Melting_Curves/meltCurve_Q9BZK7_TBL1XR1.pdf</v>
      </c>
    </row>
    <row r="4898" spans="1:28" x14ac:dyDescent="0.25">
      <c r="A4898" t="s">
        <v>4902</v>
      </c>
      <c r="B4898">
        <v>0.99996721820229495</v>
      </c>
      <c r="C4898">
        <v>0.96487438563288397</v>
      </c>
      <c r="D4898">
        <v>0.84191488234135103</v>
      </c>
      <c r="E4898">
        <v>0.58135279914515303</v>
      </c>
      <c r="F4898">
        <v>0.408626067109847</v>
      </c>
      <c r="G4898">
        <v>0.30643561090092603</v>
      </c>
      <c r="H4898">
        <v>0.17083250728718399</v>
      </c>
      <c r="I4898">
        <v>0.128516958734781</v>
      </c>
      <c r="J4898">
        <v>0.104587578787116</v>
      </c>
      <c r="K4898">
        <v>9.38828770909199E-2</v>
      </c>
      <c r="L4898">
        <v>701.44657411803598</v>
      </c>
      <c r="M4898">
        <v>13.739671307360901</v>
      </c>
      <c r="N4898">
        <v>51.714082840527198</v>
      </c>
      <c r="O4898">
        <v>50.007612871816498</v>
      </c>
      <c r="P4898">
        <v>-6.3162058801631199E-2</v>
      </c>
      <c r="Q4898">
        <v>8.0579462709478702E-2</v>
      </c>
      <c r="R4898">
        <v>0.99597066238030396</v>
      </c>
      <c r="S4898" t="s">
        <v>10724</v>
      </c>
      <c r="T4898" t="s">
        <v>11650</v>
      </c>
      <c r="U4898" t="s">
        <v>11650</v>
      </c>
      <c r="V4898" t="s">
        <v>11650</v>
      </c>
      <c r="W4898" t="s">
        <v>16493</v>
      </c>
      <c r="X4898">
        <v>7</v>
      </c>
      <c r="Y4898" t="s">
        <v>22162</v>
      </c>
      <c r="Z4898" t="s">
        <v>27960</v>
      </c>
      <c r="AA4898">
        <v>0.44373073117315243</v>
      </c>
      <c r="AB4898" t="str">
        <f>HYPERLINK("Melting_Curves/meltCurve_Q9BZL1_UBL5.pdf", "Melting_Curves/meltCurve_Q9BZL1_UBL5.pdf")</f>
        <v>Melting_Curves/meltCurve_Q9BZL1_UBL5.pdf</v>
      </c>
    </row>
    <row r="4899" spans="1:28" x14ac:dyDescent="0.25">
      <c r="A4899" t="s">
        <v>4903</v>
      </c>
      <c r="B4899">
        <v>0.99996721820229495</v>
      </c>
      <c r="C4899">
        <v>0.835523160126322</v>
      </c>
      <c r="D4899">
        <v>0.76468518562341803</v>
      </c>
      <c r="E4899">
        <v>0.58531618598161606</v>
      </c>
      <c r="F4899">
        <v>0.404587012341181</v>
      </c>
      <c r="G4899">
        <v>0.34277905423364802</v>
      </c>
      <c r="H4899">
        <v>0.21364767288249201</v>
      </c>
      <c r="I4899">
        <v>0.205034707240946</v>
      </c>
      <c r="J4899">
        <v>0.188875623732458</v>
      </c>
      <c r="K4899">
        <v>0.21962143153656299</v>
      </c>
      <c r="L4899">
        <v>582.767347303203</v>
      </c>
      <c r="M4899">
        <v>11.753241775687499</v>
      </c>
      <c r="N4899">
        <v>51.289046016499</v>
      </c>
      <c r="O4899">
        <v>48.213436682591798</v>
      </c>
      <c r="P4899">
        <v>-5.1099392365607399E-2</v>
      </c>
      <c r="Q4899">
        <v>0.16175171395052901</v>
      </c>
      <c r="R4899">
        <v>0.98876265791866502</v>
      </c>
      <c r="S4899" t="s">
        <v>10725</v>
      </c>
      <c r="T4899" t="s">
        <v>11650</v>
      </c>
      <c r="U4899" t="s">
        <v>11650</v>
      </c>
      <c r="V4899" t="s">
        <v>11650</v>
      </c>
      <c r="W4899" t="s">
        <v>16494</v>
      </c>
      <c r="X4899">
        <v>18</v>
      </c>
      <c r="Y4899" t="s">
        <v>22163</v>
      </c>
      <c r="Z4899" t="s">
        <v>27961</v>
      </c>
      <c r="AA4899">
        <v>0.4602749026929473</v>
      </c>
      <c r="AB4899" t="str">
        <f>HYPERLINK("Melting_Curves/meltCurve_Q9BZL4_3_PPP1R12C.pdf", "Melting_Curves/meltCurve_Q9BZL4_3_PPP1R12C.pdf")</f>
        <v>Melting_Curves/meltCurve_Q9BZL4_3_PPP1R12C.pdf</v>
      </c>
    </row>
    <row r="4900" spans="1:28" x14ac:dyDescent="0.25">
      <c r="A4900" t="s">
        <v>4904</v>
      </c>
      <c r="B4900">
        <v>0.99996721820229495</v>
      </c>
      <c r="C4900">
        <v>0.97074132453291895</v>
      </c>
      <c r="D4900">
        <v>0.94238839200955404</v>
      </c>
      <c r="E4900">
        <v>1.07640258197202</v>
      </c>
      <c r="F4900">
        <v>1.32209105941079</v>
      </c>
      <c r="G4900">
        <v>1.5248387994136501</v>
      </c>
      <c r="H4900">
        <v>1.2164865372386</v>
      </c>
      <c r="I4900">
        <v>1.0449052113559101</v>
      </c>
      <c r="J4900">
        <v>0.86459229970913098</v>
      </c>
      <c r="K4900">
        <v>0.68497062437339495</v>
      </c>
      <c r="L4900">
        <v>15000</v>
      </c>
      <c r="M4900">
        <v>223.59782253272999</v>
      </c>
      <c r="O4900">
        <v>67.079361299012206</v>
      </c>
      <c r="P4900">
        <v>-0.26254870792039903</v>
      </c>
      <c r="Q4900">
        <v>0.68494146311250204</v>
      </c>
      <c r="R4900">
        <v>0.14728133755523001</v>
      </c>
      <c r="S4900" t="s">
        <v>10726</v>
      </c>
      <c r="T4900" t="s">
        <v>11650</v>
      </c>
      <c r="U4900" t="s">
        <v>11650</v>
      </c>
      <c r="V4900" t="s">
        <v>11650</v>
      </c>
      <c r="W4900" t="s">
        <v>16495</v>
      </c>
      <c r="X4900">
        <v>5</v>
      </c>
      <c r="Y4900" t="s">
        <v>22164</v>
      </c>
      <c r="Z4900" t="s">
        <v>27962</v>
      </c>
      <c r="AA4900">
        <v>0.96943005697475348</v>
      </c>
      <c r="AB4900" t="str">
        <f>HYPERLINK("Melting_Curves/meltCurve_Q9BZM1_PLA2G12A.pdf", "Melting_Curves/meltCurve_Q9BZM1_PLA2G12A.pdf")</f>
        <v>Melting_Curves/meltCurve_Q9BZM1_PLA2G12A.pdf</v>
      </c>
    </row>
    <row r="4901" spans="1:28" x14ac:dyDescent="0.25">
      <c r="A4901" t="s">
        <v>4905</v>
      </c>
      <c r="B4901">
        <v>0.99996721820229495</v>
      </c>
      <c r="C4901">
        <v>0.933409042054822</v>
      </c>
      <c r="D4901">
        <v>0.990856961880756</v>
      </c>
      <c r="E4901">
        <v>1.0530848354850599</v>
      </c>
      <c r="F4901">
        <v>1.53944039712765</v>
      </c>
      <c r="G4901">
        <v>1.4879873090337801</v>
      </c>
      <c r="H4901">
        <v>0.80575650161398504</v>
      </c>
      <c r="I4901">
        <v>0.247604448055082</v>
      </c>
      <c r="J4901">
        <v>0.238056349347087</v>
      </c>
      <c r="K4901">
        <v>0.121127771115487</v>
      </c>
      <c r="L4901">
        <v>4925.0086693285702</v>
      </c>
      <c r="M4901">
        <v>79.526237018443894</v>
      </c>
      <c r="N4901">
        <v>62.282984440619899</v>
      </c>
      <c r="O4901">
        <v>61.890246181481999</v>
      </c>
      <c r="P4901">
        <v>-0.26287804695183098</v>
      </c>
      <c r="Q4901">
        <v>0.18167482751179301</v>
      </c>
      <c r="R4901">
        <v>0.75743038818013597</v>
      </c>
      <c r="S4901" t="s">
        <v>10727</v>
      </c>
      <c r="T4901" t="s">
        <v>11650</v>
      </c>
      <c r="U4901" t="s">
        <v>11650</v>
      </c>
      <c r="V4901" t="s">
        <v>11650</v>
      </c>
      <c r="W4901" t="s">
        <v>16496</v>
      </c>
      <c r="X4901">
        <v>3</v>
      </c>
      <c r="Y4901" t="s">
        <v>22165</v>
      </c>
      <c r="Z4901" t="s">
        <v>27963</v>
      </c>
      <c r="AA4901">
        <v>0.78073072454209824</v>
      </c>
      <c r="AB4901" t="str">
        <f>HYPERLINK("Melting_Curves/meltCurve_Q9BZM4_ULBP3.pdf", "Melting_Curves/meltCurve_Q9BZM4_ULBP3.pdf")</f>
        <v>Melting_Curves/meltCurve_Q9BZM4_ULBP3.pdf</v>
      </c>
    </row>
    <row r="4902" spans="1:28" x14ac:dyDescent="0.25">
      <c r="A4902" t="s">
        <v>4906</v>
      </c>
      <c r="B4902">
        <v>0.99996721820229495</v>
      </c>
      <c r="C4902">
        <v>0.90679662937857697</v>
      </c>
      <c r="D4902">
        <v>1.03920697290244</v>
      </c>
      <c r="E4902">
        <v>1.03756570363156</v>
      </c>
      <c r="F4902">
        <v>1.3525365077316001</v>
      </c>
      <c r="G4902">
        <v>1.12097513981643</v>
      </c>
      <c r="H4902">
        <v>0.58181358904790903</v>
      </c>
      <c r="I4902">
        <v>0.268973200592035</v>
      </c>
      <c r="J4902">
        <v>0.106676743560011</v>
      </c>
      <c r="K4902">
        <v>0.179669213440419</v>
      </c>
      <c r="L4902">
        <v>3711.2333648734202</v>
      </c>
      <c r="M4902">
        <v>60.754173701125701</v>
      </c>
      <c r="N4902">
        <v>61.487991015576902</v>
      </c>
      <c r="O4902">
        <v>61.019989681595099</v>
      </c>
      <c r="P4902">
        <v>-0.20812036839061501</v>
      </c>
      <c r="Q4902">
        <v>0.16387658613303799</v>
      </c>
      <c r="R4902">
        <v>0.90829113618875801</v>
      </c>
      <c r="S4902" t="s">
        <v>10728</v>
      </c>
      <c r="T4902" t="s">
        <v>11650</v>
      </c>
      <c r="U4902" t="s">
        <v>11650</v>
      </c>
      <c r="V4902" t="s">
        <v>11650</v>
      </c>
      <c r="W4902" t="s">
        <v>16497</v>
      </c>
      <c r="X4902">
        <v>1</v>
      </c>
      <c r="Y4902" t="s">
        <v>22166</v>
      </c>
      <c r="Z4902" t="s">
        <v>27964</v>
      </c>
      <c r="AA4902">
        <v>0.75306814235640929</v>
      </c>
      <c r="AB4902" t="str">
        <f>HYPERLINK("Melting_Curves/meltCurve_Q9BZM5_ULBP2.pdf", "Melting_Curves/meltCurve_Q9BZM5_ULBP2.pdf")</f>
        <v>Melting_Curves/meltCurve_Q9BZM5_ULBP2.pdf</v>
      </c>
    </row>
    <row r="4903" spans="1:28" x14ac:dyDescent="0.25">
      <c r="A4903" t="s">
        <v>4907</v>
      </c>
      <c r="B4903">
        <v>0.99996721820229495</v>
      </c>
      <c r="C4903">
        <v>0.98005124937733901</v>
      </c>
      <c r="D4903">
        <v>0.93948499194577695</v>
      </c>
      <c r="E4903">
        <v>0.42544812558838602</v>
      </c>
      <c r="F4903">
        <v>0.24603652672158499</v>
      </c>
      <c r="G4903">
        <v>0.19320784884481901</v>
      </c>
      <c r="H4903">
        <v>0.125249665677789</v>
      </c>
      <c r="I4903">
        <v>9.1397685438105197E-2</v>
      </c>
      <c r="J4903">
        <v>6.7894218431820502E-2</v>
      </c>
      <c r="K4903">
        <v>6.3342479915771494E-2</v>
      </c>
      <c r="L4903">
        <v>1396.47952051415</v>
      </c>
      <c r="M4903">
        <v>28.3297807036469</v>
      </c>
      <c r="N4903">
        <v>49.707372790323298</v>
      </c>
      <c r="O4903">
        <v>49.050016599092402</v>
      </c>
      <c r="P4903">
        <v>-0.12923009540070199</v>
      </c>
      <c r="Q4903">
        <v>0.105014017376658</v>
      </c>
      <c r="R4903">
        <v>0.99105345198752703</v>
      </c>
      <c r="S4903" t="s">
        <v>10729</v>
      </c>
      <c r="T4903" t="s">
        <v>11650</v>
      </c>
      <c r="U4903" t="s">
        <v>11650</v>
      </c>
      <c r="V4903" t="s">
        <v>11650</v>
      </c>
      <c r="W4903" t="s">
        <v>16498</v>
      </c>
      <c r="X4903">
        <v>33</v>
      </c>
      <c r="Y4903" t="s">
        <v>22167</v>
      </c>
      <c r="Z4903" t="s">
        <v>27965</v>
      </c>
      <c r="AA4903">
        <v>0.38842565885375652</v>
      </c>
      <c r="AB4903" t="str">
        <f>HYPERLINK("Melting_Curves/meltCurve_Q9BZQ8_FAM129A.pdf", "Melting_Curves/meltCurve_Q9BZQ8_FAM129A.pdf")</f>
        <v>Melting_Curves/meltCurve_Q9BZQ8_FAM129A.pdf</v>
      </c>
    </row>
    <row r="4904" spans="1:28" x14ac:dyDescent="0.25">
      <c r="A4904" t="s">
        <v>4908</v>
      </c>
      <c r="B4904">
        <v>0.99996721820229495</v>
      </c>
      <c r="C4904">
        <v>1.01438933684544</v>
      </c>
      <c r="D4904">
        <v>0.88738182505165097</v>
      </c>
      <c r="E4904">
        <v>0.75430143405857497</v>
      </c>
      <c r="F4904">
        <v>0.74610713925156802</v>
      </c>
      <c r="G4904">
        <v>0.52128688787911004</v>
      </c>
      <c r="H4904">
        <v>0.28216524744680599</v>
      </c>
      <c r="I4904">
        <v>0.16689868649497699</v>
      </c>
      <c r="J4904">
        <v>9.2502850916695897E-2</v>
      </c>
      <c r="K4904">
        <v>7.4800136590314995E-2</v>
      </c>
      <c r="L4904">
        <v>697.75808416781899</v>
      </c>
      <c r="M4904">
        <v>12.3449959690361</v>
      </c>
      <c r="N4904">
        <v>56.521531855985302</v>
      </c>
      <c r="O4904">
        <v>55.099809259416602</v>
      </c>
      <c r="P4904">
        <v>-5.6024069666181397E-2</v>
      </c>
      <c r="Q4904">
        <v>0</v>
      </c>
      <c r="R4904">
        <v>0.98622655262249703</v>
      </c>
      <c r="S4904" t="s">
        <v>10730</v>
      </c>
      <c r="T4904" t="s">
        <v>11650</v>
      </c>
      <c r="U4904" t="s">
        <v>11650</v>
      </c>
      <c r="V4904" t="s">
        <v>11650</v>
      </c>
      <c r="W4904" t="s">
        <v>16499</v>
      </c>
      <c r="X4904">
        <v>7</v>
      </c>
      <c r="Y4904" t="s">
        <v>22168</v>
      </c>
      <c r="Z4904" t="s">
        <v>27966</v>
      </c>
      <c r="AA4904">
        <v>0.56919734492810392</v>
      </c>
      <c r="AB4904" t="str">
        <f>HYPERLINK("Melting_Curves/meltCurve_Q9BZX2_UCK2.pdf", "Melting_Curves/meltCurve_Q9BZX2_UCK2.pdf")</f>
        <v>Melting_Curves/meltCurve_Q9BZX2_UCK2.pdf</v>
      </c>
    </row>
    <row r="4905" spans="1:28" x14ac:dyDescent="0.25">
      <c r="A4905" t="s">
        <v>4909</v>
      </c>
      <c r="B4905">
        <v>0.99996721820229495</v>
      </c>
      <c r="C4905">
        <v>1.0275314626723999</v>
      </c>
      <c r="D4905">
        <v>0.93285429337886905</v>
      </c>
      <c r="E4905">
        <v>1.0383940429794001</v>
      </c>
      <c r="F4905">
        <v>0.94025226752054403</v>
      </c>
      <c r="G4905">
        <v>0.29522941698006</v>
      </c>
      <c r="H4905">
        <v>0.188450105411578</v>
      </c>
      <c r="I4905">
        <v>0.15057107882979701</v>
      </c>
      <c r="J4905">
        <v>0.102216435779397</v>
      </c>
      <c r="K4905">
        <v>0.107547531677329</v>
      </c>
      <c r="L4905">
        <v>3037.50638309958</v>
      </c>
      <c r="M4905">
        <v>54.741714995113099</v>
      </c>
      <c r="N4905">
        <v>55.808072566724597</v>
      </c>
      <c r="O4905">
        <v>55.4140631473079</v>
      </c>
      <c r="P4905">
        <v>-0.21369142354432499</v>
      </c>
      <c r="Q4905">
        <v>0.13473642334750599</v>
      </c>
      <c r="R4905">
        <v>0.99344168833181501</v>
      </c>
      <c r="S4905" t="s">
        <v>10731</v>
      </c>
      <c r="T4905" t="s">
        <v>11650</v>
      </c>
      <c r="U4905" t="s">
        <v>11650</v>
      </c>
      <c r="V4905" t="s">
        <v>11650</v>
      </c>
      <c r="W4905" t="s">
        <v>16500</v>
      </c>
      <c r="X4905">
        <v>11</v>
      </c>
      <c r="Y4905" t="s">
        <v>22169</v>
      </c>
      <c r="Z4905" t="s">
        <v>27967</v>
      </c>
      <c r="AA4905">
        <v>0.58320676091689505</v>
      </c>
      <c r="AB4905" t="str">
        <f>HYPERLINK("Melting_Curves/meltCurve_Q9BZZ5_2_API5.pdf", "Melting_Curves/meltCurve_Q9BZZ5_2_API5.pdf")</f>
        <v>Melting_Curves/meltCurve_Q9BZZ5_2_API5.pdf</v>
      </c>
    </row>
    <row r="4906" spans="1:28" x14ac:dyDescent="0.25">
      <c r="A4906" t="s">
        <v>4910</v>
      </c>
      <c r="B4906">
        <v>0.99996721820229495</v>
      </c>
      <c r="C4906">
        <v>0.89384291259777304</v>
      </c>
      <c r="D4906">
        <v>0.96837764178605301</v>
      </c>
      <c r="E4906">
        <v>1.01745341538186</v>
      </c>
      <c r="F4906">
        <v>1.3212560803456599</v>
      </c>
      <c r="G4906">
        <v>1.1544009012665399</v>
      </c>
      <c r="H4906">
        <v>0.91416589194792397</v>
      </c>
      <c r="I4906">
        <v>0.72736338065619399</v>
      </c>
      <c r="J4906">
        <v>0.54731685217590198</v>
      </c>
      <c r="K4906">
        <v>0.54303556867094804</v>
      </c>
      <c r="L4906">
        <v>3010.3267365398701</v>
      </c>
      <c r="M4906">
        <v>47.457116641800297</v>
      </c>
      <c r="O4906">
        <v>63.320239868166098</v>
      </c>
      <c r="P4906">
        <v>-8.8432150857157804E-2</v>
      </c>
      <c r="Q4906">
        <v>0.52803376974836702</v>
      </c>
      <c r="R4906">
        <v>0.74371693078245305</v>
      </c>
      <c r="S4906" t="s">
        <v>10732</v>
      </c>
      <c r="T4906" t="s">
        <v>11650</v>
      </c>
      <c r="U4906" t="s">
        <v>11650</v>
      </c>
      <c r="V4906" t="s">
        <v>11650</v>
      </c>
      <c r="W4906" t="s">
        <v>16501</v>
      </c>
      <c r="X4906">
        <v>3</v>
      </c>
      <c r="Y4906" t="s">
        <v>22170</v>
      </c>
      <c r="Z4906" t="s">
        <v>27968</v>
      </c>
      <c r="AA4906">
        <v>0.89783507564106246</v>
      </c>
      <c r="AB4906" t="str">
        <f>HYPERLINK("Melting_Curves/meltCurve_Q9C004_SPRY4.pdf", "Melting_Curves/meltCurve_Q9C004_SPRY4.pdf")</f>
        <v>Melting_Curves/meltCurve_Q9C004_SPRY4.pdf</v>
      </c>
    </row>
    <row r="4907" spans="1:28" x14ac:dyDescent="0.25">
      <c r="A4907" t="s">
        <v>4911</v>
      </c>
      <c r="B4907">
        <v>0.99996721820229495</v>
      </c>
      <c r="C4907">
        <v>0.86825250348479899</v>
      </c>
      <c r="D4907">
        <v>0.88919969435085799</v>
      </c>
      <c r="E4907">
        <v>1.08705481318463</v>
      </c>
      <c r="F4907">
        <v>1.6474754098166899</v>
      </c>
      <c r="G4907">
        <v>1.8464816906049399</v>
      </c>
      <c r="H4907">
        <v>1.61147739008071</v>
      </c>
      <c r="I4907">
        <v>1.6565387397590401</v>
      </c>
      <c r="J4907">
        <v>1.6207956053043799</v>
      </c>
      <c r="K4907">
        <v>1.3635594422161501</v>
      </c>
      <c r="L4907">
        <v>12577.836755909801</v>
      </c>
      <c r="M4907">
        <v>250</v>
      </c>
      <c r="O4907">
        <v>50.308127442748997</v>
      </c>
      <c r="P4907">
        <v>0.621171998091259</v>
      </c>
      <c r="Q4907">
        <v>1.5</v>
      </c>
      <c r="R4907">
        <v>0.79970662697151396</v>
      </c>
      <c r="S4907" t="s">
        <v>10733</v>
      </c>
      <c r="T4907" t="s">
        <v>11650</v>
      </c>
      <c r="U4907" t="s">
        <v>11650</v>
      </c>
      <c r="V4907" t="s">
        <v>11650</v>
      </c>
      <c r="W4907" t="s">
        <v>16502</v>
      </c>
      <c r="X4907">
        <v>4</v>
      </c>
      <c r="Y4907" t="s">
        <v>22171</v>
      </c>
      <c r="Z4907" t="s">
        <v>27969</v>
      </c>
      <c r="AA4907">
        <v>1.3281000684571751</v>
      </c>
      <c r="AB4907" t="str">
        <f>HYPERLINK("Melting_Curves/meltCurve_Q9C005_DPY30.pdf", "Melting_Curves/meltCurve_Q9C005_DPY30.pdf")</f>
        <v>Melting_Curves/meltCurve_Q9C005_DPY30.pdf</v>
      </c>
    </row>
    <row r="4908" spans="1:28" x14ac:dyDescent="0.25">
      <c r="A4908" t="s">
        <v>4912</v>
      </c>
      <c r="B4908">
        <v>0.99996721820229495</v>
      </c>
      <c r="C4908">
        <v>0.86089144042569299</v>
      </c>
      <c r="D4908">
        <v>0.833756727928331</v>
      </c>
      <c r="E4908">
        <v>0.37972188222714498</v>
      </c>
      <c r="F4908">
        <v>0.22122427985433701</v>
      </c>
      <c r="G4908">
        <v>0.14995733913508799</v>
      </c>
      <c r="H4908">
        <v>0.102298162047333</v>
      </c>
      <c r="I4908">
        <v>5.3490639009240198E-2</v>
      </c>
      <c r="J4908">
        <v>1.21454788412656E-2</v>
      </c>
      <c r="K4908">
        <v>2.78538773520851E-2</v>
      </c>
      <c r="L4908">
        <v>894.95271570630098</v>
      </c>
      <c r="M4908">
        <v>18.318307247079002</v>
      </c>
      <c r="N4908">
        <v>49.0921553248686</v>
      </c>
      <c r="O4908">
        <v>48.284594055381199</v>
      </c>
      <c r="P4908">
        <v>-9.0843934565211906E-2</v>
      </c>
      <c r="Q4908">
        <v>4.22348095345777E-2</v>
      </c>
      <c r="R4908">
        <v>0.98800819651346705</v>
      </c>
      <c r="S4908" t="s">
        <v>10734</v>
      </c>
      <c r="T4908" t="s">
        <v>11650</v>
      </c>
      <c r="U4908" t="s">
        <v>11650</v>
      </c>
      <c r="V4908" t="s">
        <v>11650</v>
      </c>
      <c r="W4908" t="s">
        <v>16503</v>
      </c>
      <c r="X4908">
        <v>3</v>
      </c>
      <c r="Y4908" t="s">
        <v>22172</v>
      </c>
      <c r="Z4908" t="s">
        <v>27970</v>
      </c>
      <c r="AA4908">
        <v>0.34101536469644272</v>
      </c>
      <c r="AB4908" t="str">
        <f>HYPERLINK("Melting_Curves/meltCurve_Q9C037_2_TRIM4.pdf", "Melting_Curves/meltCurve_Q9C037_2_TRIM4.pdf")</f>
        <v>Melting_Curves/meltCurve_Q9C037_2_TRIM4.pdf</v>
      </c>
    </row>
    <row r="4909" spans="1:28" x14ac:dyDescent="0.25">
      <c r="A4909" t="s">
        <v>4913</v>
      </c>
      <c r="B4909">
        <v>0.99996721820229495</v>
      </c>
      <c r="C4909">
        <v>1.18495280438938</v>
      </c>
      <c r="D4909">
        <v>0.96134119880744295</v>
      </c>
      <c r="E4909">
        <v>0.86529859186699698</v>
      </c>
      <c r="F4909">
        <v>0.93650296935994903</v>
      </c>
      <c r="G4909">
        <v>0.78708365947369996</v>
      </c>
      <c r="H4909">
        <v>0.33850188939973502</v>
      </c>
      <c r="I4909">
        <v>0.21138464932841999</v>
      </c>
      <c r="J4909">
        <v>0.21847750353307599</v>
      </c>
      <c r="K4909">
        <v>0.13245400119797399</v>
      </c>
      <c r="L4909">
        <v>1823.2970956990901</v>
      </c>
      <c r="M4909">
        <v>31.047383793717</v>
      </c>
      <c r="N4909">
        <v>59.442358124983798</v>
      </c>
      <c r="O4909">
        <v>58.484248458183401</v>
      </c>
      <c r="P4909">
        <v>-0.11201123829774801</v>
      </c>
      <c r="Q4909">
        <v>0.15601827149987399</v>
      </c>
      <c r="R4909">
        <v>0.95847791238690805</v>
      </c>
      <c r="S4909" t="s">
        <v>10735</v>
      </c>
      <c r="T4909" t="s">
        <v>11650</v>
      </c>
      <c r="U4909" t="s">
        <v>11650</v>
      </c>
      <c r="V4909" t="s">
        <v>11650</v>
      </c>
      <c r="W4909" t="s">
        <v>16504</v>
      </c>
      <c r="X4909">
        <v>1</v>
      </c>
      <c r="Y4909" t="s">
        <v>22173</v>
      </c>
      <c r="Z4909" t="s">
        <v>27971</v>
      </c>
      <c r="AA4909">
        <v>0.68800957690090214</v>
      </c>
      <c r="AB4909" t="str">
        <f>HYPERLINK("Melting_Curves/meltCurve_Q9C073_FAM117A.pdf", "Melting_Curves/meltCurve_Q9C073_FAM117A.pdf")</f>
        <v>Melting_Curves/meltCurve_Q9C073_FAM117A.pdf</v>
      </c>
    </row>
    <row r="4910" spans="1:28" x14ac:dyDescent="0.25">
      <c r="A4910" t="s">
        <v>4914</v>
      </c>
      <c r="B4910">
        <v>0.99996721820229495</v>
      </c>
      <c r="C4910">
        <v>1.0629709152467499</v>
      </c>
      <c r="D4910">
        <v>1.02569528941272</v>
      </c>
      <c r="E4910">
        <v>0.82132181908018098</v>
      </c>
      <c r="F4910">
        <v>0.697140123460255</v>
      </c>
      <c r="G4910">
        <v>0.65434653572537604</v>
      </c>
      <c r="H4910">
        <v>0.42272219382118897</v>
      </c>
      <c r="I4910">
        <v>0.28527435289466602</v>
      </c>
      <c r="J4910">
        <v>0.21437882667877201</v>
      </c>
      <c r="K4910">
        <v>0.173235561772837</v>
      </c>
      <c r="L4910">
        <v>623.75892930913506</v>
      </c>
      <c r="M4910">
        <v>10.593878080174401</v>
      </c>
      <c r="N4910">
        <v>58.978407021033398</v>
      </c>
      <c r="O4910">
        <v>56.897378365480598</v>
      </c>
      <c r="P4910">
        <v>-4.6154995436533203E-2</v>
      </c>
      <c r="Q4910">
        <v>8.8333407396527005E-3</v>
      </c>
      <c r="R4910">
        <v>0.97740032638996299</v>
      </c>
      <c r="S4910" t="s">
        <v>10736</v>
      </c>
      <c r="T4910" t="s">
        <v>11650</v>
      </c>
      <c r="U4910" t="s">
        <v>11650</v>
      </c>
      <c r="V4910" t="s">
        <v>11650</v>
      </c>
      <c r="W4910" t="s">
        <v>16505</v>
      </c>
      <c r="X4910">
        <v>17</v>
      </c>
      <c r="Y4910" t="s">
        <v>22174</v>
      </c>
      <c r="Z4910" t="s">
        <v>27972</v>
      </c>
      <c r="AA4910">
        <v>0.63833316468189039</v>
      </c>
      <c r="AB4910" t="str">
        <f>HYPERLINK("Melting_Curves/meltCurve_Q9C0B1_FTO.pdf", "Melting_Curves/meltCurve_Q9C0B1_FTO.pdf")</f>
        <v>Melting_Curves/meltCurve_Q9C0B1_FTO.pdf</v>
      </c>
    </row>
    <row r="4911" spans="1:28" x14ac:dyDescent="0.25">
      <c r="A4911" t="s">
        <v>4915</v>
      </c>
      <c r="B4911">
        <v>0.99996721820229495</v>
      </c>
      <c r="C4911">
        <v>0.84663001034604102</v>
      </c>
      <c r="D4911">
        <v>0.88886044688625698</v>
      </c>
      <c r="E4911">
        <v>1.0135684751013401</v>
      </c>
      <c r="F4911">
        <v>1.27786817956662</v>
      </c>
      <c r="G4911">
        <v>1.1897088877334301</v>
      </c>
      <c r="H4911">
        <v>0.86985966305083595</v>
      </c>
      <c r="I4911">
        <v>0.607160214575998</v>
      </c>
      <c r="J4911">
        <v>0.41098371344672102</v>
      </c>
      <c r="K4911">
        <v>0.31950599166940402</v>
      </c>
      <c r="L4911">
        <v>2642.7937842515298</v>
      </c>
      <c r="M4911">
        <v>41.617067828587501</v>
      </c>
      <c r="N4911">
        <v>65.116943234945893</v>
      </c>
      <c r="O4911">
        <v>63.356545732377</v>
      </c>
      <c r="P4911">
        <v>-0.111371972853471</v>
      </c>
      <c r="Q4911">
        <v>0.32180411868268499</v>
      </c>
      <c r="R4911">
        <v>0.82663632894515304</v>
      </c>
      <c r="S4911" t="s">
        <v>10737</v>
      </c>
      <c r="T4911" t="s">
        <v>11650</v>
      </c>
      <c r="U4911" t="s">
        <v>11650</v>
      </c>
      <c r="V4911" t="s">
        <v>11650</v>
      </c>
      <c r="W4911" t="s">
        <v>16506</v>
      </c>
      <c r="X4911">
        <v>11</v>
      </c>
      <c r="Y4911" t="s">
        <v>22175</v>
      </c>
      <c r="Z4911" t="s">
        <v>27973</v>
      </c>
      <c r="AA4911">
        <v>0.85494434843243261</v>
      </c>
      <c r="AB4911" t="str">
        <f>HYPERLINK("Melting_Curves/meltCurve_Q9C0B5_2_ZDHHC5.pdf", "Melting_Curves/meltCurve_Q9C0B5_2_ZDHHC5.pdf")</f>
        <v>Melting_Curves/meltCurve_Q9C0B5_2_ZDHHC5.pdf</v>
      </c>
    </row>
    <row r="4912" spans="1:28" x14ac:dyDescent="0.25">
      <c r="A4912" t="s">
        <v>4916</v>
      </c>
      <c r="B4912">
        <v>0.99996721820229495</v>
      </c>
      <c r="C4912">
        <v>1.0527496209995599</v>
      </c>
      <c r="D4912">
        <v>1.01757457458171</v>
      </c>
      <c r="E4912">
        <v>0.749739699767624</v>
      </c>
      <c r="F4912">
        <v>0.68563663274980402</v>
      </c>
      <c r="G4912">
        <v>0.47857782562789603</v>
      </c>
      <c r="H4912">
        <v>0.290563258245915</v>
      </c>
      <c r="I4912">
        <v>0.197555819570086</v>
      </c>
      <c r="J4912">
        <v>0.145526850005923</v>
      </c>
      <c r="K4912">
        <v>0.14402704107432901</v>
      </c>
      <c r="L4912">
        <v>752.56318958476299</v>
      </c>
      <c r="M4912">
        <v>13.5830736826058</v>
      </c>
      <c r="N4912">
        <v>56.132202287241299</v>
      </c>
      <c r="O4912">
        <v>54.244975543994499</v>
      </c>
      <c r="P4912">
        <v>-5.7555352868747599E-2</v>
      </c>
      <c r="Q4912">
        <v>8.0731225575650906E-2</v>
      </c>
      <c r="R4912">
        <v>0.98615437332523903</v>
      </c>
      <c r="S4912" t="s">
        <v>10738</v>
      </c>
      <c r="T4912" t="s">
        <v>11650</v>
      </c>
      <c r="U4912" t="s">
        <v>11650</v>
      </c>
      <c r="V4912" t="s">
        <v>11650</v>
      </c>
      <c r="W4912" t="s">
        <v>16507</v>
      </c>
      <c r="X4912">
        <v>5</v>
      </c>
      <c r="Y4912" t="s">
        <v>22176</v>
      </c>
      <c r="Z4912" t="s">
        <v>27974</v>
      </c>
      <c r="AA4912">
        <v>0.57154470545347402</v>
      </c>
      <c r="AB4912" t="str">
        <f>HYPERLINK("Melting_Curves/meltCurve_Q9C0B7_TANGO6.pdf", "Melting_Curves/meltCurve_Q9C0B7_TANGO6.pdf")</f>
        <v>Melting_Curves/meltCurve_Q9C0B7_TANGO6.pdf</v>
      </c>
    </row>
    <row r="4913" spans="1:28" x14ac:dyDescent="0.25">
      <c r="A4913" t="s">
        <v>4917</v>
      </c>
      <c r="B4913">
        <v>0.99996721820229495</v>
      </c>
      <c r="C4913">
        <v>0.98819259956956396</v>
      </c>
      <c r="D4913">
        <v>1.03186405874934</v>
      </c>
      <c r="E4913">
        <v>1.30153791404949</v>
      </c>
      <c r="F4913">
        <v>1.9101631798430201</v>
      </c>
      <c r="G4913">
        <v>2.2807658495366399</v>
      </c>
      <c r="H4913">
        <v>1.8245332306583499</v>
      </c>
      <c r="I4913">
        <v>1.5975975129575499</v>
      </c>
      <c r="J4913">
        <v>1.32333121804207</v>
      </c>
      <c r="K4913">
        <v>1.30983368707418</v>
      </c>
      <c r="L4913">
        <v>12479.0847905381</v>
      </c>
      <c r="M4913">
        <v>250</v>
      </c>
      <c r="O4913">
        <v>49.913120751179797</v>
      </c>
      <c r="P4913">
        <v>0.62608757709378204</v>
      </c>
      <c r="Q4913">
        <v>1.5</v>
      </c>
      <c r="R4913">
        <v>0.43851118809634398</v>
      </c>
      <c r="S4913" t="s">
        <v>10739</v>
      </c>
      <c r="T4913" t="s">
        <v>11650</v>
      </c>
      <c r="U4913" t="s">
        <v>11650</v>
      </c>
      <c r="V4913" t="s">
        <v>11650</v>
      </c>
      <c r="W4913" t="s">
        <v>16508</v>
      </c>
      <c r="X4913">
        <v>106</v>
      </c>
      <c r="Y4913" t="s">
        <v>22177</v>
      </c>
      <c r="Z4913" t="s">
        <v>27975</v>
      </c>
      <c r="AA4913">
        <v>1.3346838794316129</v>
      </c>
      <c r="AB4913" t="str">
        <f>HYPERLINK("Melting_Curves/meltCurve_Q9C0C2_TNKS1BP1.pdf", "Melting_Curves/meltCurve_Q9C0C2_TNKS1BP1.pdf")</f>
        <v>Melting_Curves/meltCurve_Q9C0C2_TNKS1BP1.pdf</v>
      </c>
    </row>
    <row r="4914" spans="1:28" x14ac:dyDescent="0.25">
      <c r="A4914" t="s">
        <v>4918</v>
      </c>
      <c r="B4914">
        <v>0.99996721820229495</v>
      </c>
      <c r="C4914">
        <v>0.97996996028691397</v>
      </c>
      <c r="D4914">
        <v>1.1389856668335001</v>
      </c>
      <c r="E4914">
        <v>1.3508928971646501</v>
      </c>
      <c r="F4914">
        <v>0.69187289229414695</v>
      </c>
      <c r="G4914">
        <v>0.52804768734783303</v>
      </c>
      <c r="H4914">
        <v>0.33715491507753198</v>
      </c>
      <c r="I4914">
        <v>0.206286042247639</v>
      </c>
      <c r="J4914">
        <v>0.148126800045353</v>
      </c>
      <c r="K4914">
        <v>0.12866421402626699</v>
      </c>
      <c r="L4914">
        <v>1388.50444944574</v>
      </c>
      <c r="M4914">
        <v>24.595546846453502</v>
      </c>
      <c r="N4914">
        <v>57.3090646291948</v>
      </c>
      <c r="O4914">
        <v>56.084267829512498</v>
      </c>
      <c r="P4914">
        <v>-9.2791032626483194E-2</v>
      </c>
      <c r="Q4914">
        <v>0.15366100594517201</v>
      </c>
      <c r="R4914">
        <v>0.88732612030895697</v>
      </c>
      <c r="S4914" t="s">
        <v>10740</v>
      </c>
      <c r="T4914" t="s">
        <v>11650</v>
      </c>
      <c r="U4914" t="s">
        <v>11650</v>
      </c>
      <c r="V4914" t="s">
        <v>11650</v>
      </c>
      <c r="W4914" t="s">
        <v>16509</v>
      </c>
      <c r="X4914">
        <v>18</v>
      </c>
      <c r="Y4914" t="s">
        <v>22178</v>
      </c>
      <c r="Z4914" t="s">
        <v>27976</v>
      </c>
      <c r="AA4914">
        <v>0.62575523783962694</v>
      </c>
      <c r="AB4914" t="str">
        <f>HYPERLINK("Melting_Curves/meltCurve_Q9C0C9_UBE2O.pdf", "Melting_Curves/meltCurve_Q9C0C9_UBE2O.pdf")</f>
        <v>Melting_Curves/meltCurve_Q9C0C9_UBE2O.pdf</v>
      </c>
    </row>
    <row r="4915" spans="1:28" x14ac:dyDescent="0.25">
      <c r="A4915" t="s">
        <v>4919</v>
      </c>
      <c r="B4915">
        <v>0.99996721820229495</v>
      </c>
      <c r="C4915">
        <v>1.0403449895641199</v>
      </c>
      <c r="D4915">
        <v>0.84846259980328798</v>
      </c>
      <c r="E4915">
        <v>0.52468363019447795</v>
      </c>
      <c r="F4915">
        <v>0.63700289360338702</v>
      </c>
      <c r="G4915">
        <v>0.58224601472995097</v>
      </c>
      <c r="H4915">
        <v>0.43948811394328902</v>
      </c>
      <c r="I4915">
        <v>0.331696615342358</v>
      </c>
      <c r="J4915">
        <v>0.34812384107468403</v>
      </c>
      <c r="K4915">
        <v>0.220302845466988</v>
      </c>
      <c r="L4915">
        <v>452.932041119936</v>
      </c>
      <c r="M4915">
        <v>8.4320151746248708</v>
      </c>
      <c r="N4915">
        <v>56.807027990915401</v>
      </c>
      <c r="O4915">
        <v>50.949628579131002</v>
      </c>
      <c r="P4915">
        <v>-3.3793017178898203E-2</v>
      </c>
      <c r="Q4915">
        <v>0.183993691278341</v>
      </c>
      <c r="R4915">
        <v>0.90401954966270703</v>
      </c>
      <c r="S4915" t="s">
        <v>10741</v>
      </c>
      <c r="T4915" t="s">
        <v>11650</v>
      </c>
      <c r="U4915" t="s">
        <v>11650</v>
      </c>
      <c r="V4915" t="s">
        <v>11650</v>
      </c>
      <c r="W4915" t="s">
        <v>16510</v>
      </c>
      <c r="X4915">
        <v>4</v>
      </c>
      <c r="Y4915" t="s">
        <v>22179</v>
      </c>
      <c r="Z4915" t="s">
        <v>27977</v>
      </c>
      <c r="AA4915">
        <v>0.58565247010733601</v>
      </c>
      <c r="AB4915" t="str">
        <f>HYPERLINK("Melting_Curves/meltCurve_Q9C0D5_2_TANC1.pdf", "Melting_Curves/meltCurve_Q9C0D5_2_TANC1.pdf")</f>
        <v>Melting_Curves/meltCurve_Q9C0D5_2_TANC1.pdf</v>
      </c>
    </row>
    <row r="4916" spans="1:28" x14ac:dyDescent="0.25">
      <c r="A4916" t="s">
        <v>4920</v>
      </c>
      <c r="B4916">
        <v>0.99996721820229495</v>
      </c>
      <c r="C4916">
        <v>0.93974790099827199</v>
      </c>
      <c r="D4916">
        <v>0.88977680373964896</v>
      </c>
      <c r="E4916">
        <v>0.99466091698292003</v>
      </c>
      <c r="F4916">
        <v>1.29594099518256</v>
      </c>
      <c r="G4916">
        <v>1.1980979299151699</v>
      </c>
      <c r="H4916">
        <v>0.86267785730438395</v>
      </c>
      <c r="I4916">
        <v>0.60878131859687901</v>
      </c>
      <c r="J4916">
        <v>0.355950257991696</v>
      </c>
      <c r="K4916">
        <v>0.32233014188827602</v>
      </c>
      <c r="L4916">
        <v>2767.8009812202299</v>
      </c>
      <c r="M4916">
        <v>43.597587665113799</v>
      </c>
      <c r="N4916">
        <v>64.884432204498793</v>
      </c>
      <c r="O4916">
        <v>63.352052981405102</v>
      </c>
      <c r="P4916">
        <v>-0.119619267360574</v>
      </c>
      <c r="Q4916">
        <v>0.30472162148945298</v>
      </c>
      <c r="R4916">
        <v>0.84644268498265196</v>
      </c>
      <c r="S4916" t="s">
        <v>10742</v>
      </c>
      <c r="T4916" t="s">
        <v>11650</v>
      </c>
      <c r="U4916" t="s">
        <v>11650</v>
      </c>
      <c r="V4916" t="s">
        <v>11650</v>
      </c>
      <c r="W4916" t="s">
        <v>16511</v>
      </c>
      <c r="X4916">
        <v>9</v>
      </c>
      <c r="Y4916" t="s">
        <v>22180</v>
      </c>
      <c r="Z4916" t="s">
        <v>27978</v>
      </c>
      <c r="AA4916">
        <v>0.85083633273767523</v>
      </c>
      <c r="AB4916" t="str">
        <f>HYPERLINK("Melting_Curves/meltCurve_Q9C0H2_2_TTYH3.pdf", "Melting_Curves/meltCurve_Q9C0H2_2_TTYH3.pdf")</f>
        <v>Melting_Curves/meltCurve_Q9C0H2_2_TTYH3.pdf</v>
      </c>
    </row>
    <row r="4917" spans="1:28" x14ac:dyDescent="0.25">
      <c r="A4917" t="s">
        <v>4921</v>
      </c>
      <c r="B4917">
        <v>0.99996721820229495</v>
      </c>
      <c r="C4917">
        <v>0.99534992446276305</v>
      </c>
      <c r="D4917">
        <v>1.0305644266781</v>
      </c>
      <c r="E4917">
        <v>1.12448893126852</v>
      </c>
      <c r="F4917">
        <v>1.45676044637066</v>
      </c>
      <c r="G4917">
        <v>1.45997905611436</v>
      </c>
      <c r="H4917">
        <v>0.63539565385996799</v>
      </c>
      <c r="I4917">
        <v>0.231107528358627</v>
      </c>
      <c r="J4917">
        <v>0.160521743008993</v>
      </c>
      <c r="K4917">
        <v>0.132143905089146</v>
      </c>
      <c r="L4917">
        <v>5649.2984388202403</v>
      </c>
      <c r="M4917">
        <v>92.338836367897699</v>
      </c>
      <c r="N4917">
        <v>61.454560495245701</v>
      </c>
      <c r="O4917">
        <v>61.151414588607601</v>
      </c>
      <c r="P4917">
        <v>-0.31371382961483801</v>
      </c>
      <c r="Q4917">
        <v>0.16897188101713001</v>
      </c>
      <c r="R4917">
        <v>0.80846110235685198</v>
      </c>
      <c r="S4917" t="s">
        <v>10743</v>
      </c>
      <c r="T4917" t="s">
        <v>11650</v>
      </c>
      <c r="U4917" t="s">
        <v>11650</v>
      </c>
      <c r="V4917" t="s">
        <v>11650</v>
      </c>
      <c r="W4917" t="s">
        <v>16512</v>
      </c>
      <c r="X4917">
        <v>10</v>
      </c>
      <c r="Y4917" t="s">
        <v>22181</v>
      </c>
      <c r="Z4917" t="s">
        <v>27979</v>
      </c>
      <c r="AA4917">
        <v>0.75633501169251527</v>
      </c>
      <c r="AB4917" t="str">
        <f>HYPERLINK("Melting_Curves/meltCurve_Q9C0I1_MTMR12.pdf", "Melting_Curves/meltCurve_Q9C0I1_MTMR12.pdf")</f>
        <v>Melting_Curves/meltCurve_Q9C0I1_MTMR12.pdf</v>
      </c>
    </row>
    <row r="4918" spans="1:28" x14ac:dyDescent="0.25">
      <c r="A4918" t="s">
        <v>4922</v>
      </c>
      <c r="B4918">
        <v>0.99996721820229495</v>
      </c>
      <c r="C4918">
        <v>0.86685232998626904</v>
      </c>
      <c r="D4918">
        <v>0.91661958336818605</v>
      </c>
      <c r="E4918">
        <v>1.11114269037047</v>
      </c>
      <c r="F4918">
        <v>1.2133226720868999</v>
      </c>
      <c r="G4918">
        <v>0.97949563364437997</v>
      </c>
      <c r="H4918">
        <v>0.49535127590529199</v>
      </c>
      <c r="I4918">
        <v>0.27261822961945797</v>
      </c>
      <c r="J4918">
        <v>0.20836629443375401</v>
      </c>
      <c r="K4918">
        <v>0.16702345211004099</v>
      </c>
      <c r="L4918">
        <v>3045.9772520940601</v>
      </c>
      <c r="M4918">
        <v>50.3993361735956</v>
      </c>
      <c r="N4918">
        <v>61.0396768520785</v>
      </c>
      <c r="O4918">
        <v>60.341929111222299</v>
      </c>
      <c r="P4918">
        <v>-0.16787086140576499</v>
      </c>
      <c r="Q4918">
        <v>0.19604947003408099</v>
      </c>
      <c r="R4918">
        <v>0.94008948677132897</v>
      </c>
      <c r="S4918" t="s">
        <v>10744</v>
      </c>
      <c r="T4918" t="s">
        <v>11650</v>
      </c>
      <c r="U4918" t="s">
        <v>11650</v>
      </c>
      <c r="V4918" t="s">
        <v>11650</v>
      </c>
      <c r="W4918" t="s">
        <v>16513</v>
      </c>
      <c r="X4918">
        <v>2</v>
      </c>
      <c r="Y4918" t="s">
        <v>22182</v>
      </c>
      <c r="Z4918" t="s">
        <v>27980</v>
      </c>
      <c r="AA4918">
        <v>0.74578640861723855</v>
      </c>
      <c r="AB4918" t="str">
        <f>HYPERLINK("Melting_Curves/meltCurve_Q9C0K7_2_STRADB.pdf", "Melting_Curves/meltCurve_Q9C0K7_2_STRADB.pdf")</f>
        <v>Melting_Curves/meltCurve_Q9C0K7_2_STRADB.pdf</v>
      </c>
    </row>
    <row r="4919" spans="1:28" x14ac:dyDescent="0.25">
      <c r="A4919" t="s">
        <v>4923</v>
      </c>
      <c r="B4919">
        <v>0.99996721820229495</v>
      </c>
      <c r="C4919">
        <v>1.10652606909425</v>
      </c>
      <c r="D4919">
        <v>1.09883342634107</v>
      </c>
      <c r="E4919">
        <v>1.1255679501472799</v>
      </c>
      <c r="F4919">
        <v>1.5799026467167301</v>
      </c>
      <c r="G4919">
        <v>1.5149789715795301</v>
      </c>
      <c r="H4919">
        <v>0.95934604808367796</v>
      </c>
      <c r="I4919">
        <v>1.15669510612017</v>
      </c>
      <c r="J4919">
        <v>0.40645121325975397</v>
      </c>
      <c r="K4919">
        <v>0.24700158168314501</v>
      </c>
      <c r="L4919">
        <v>15000</v>
      </c>
      <c r="M4919">
        <v>225.19375743123501</v>
      </c>
      <c r="N4919">
        <v>66.811336990889899</v>
      </c>
      <c r="O4919">
        <v>66.604045946751199</v>
      </c>
      <c r="P4919">
        <v>-0.636549698028814</v>
      </c>
      <c r="Q4919">
        <v>0.24692779447160301</v>
      </c>
      <c r="R4919">
        <v>0.579384104020917</v>
      </c>
      <c r="S4919" t="s">
        <v>10745</v>
      </c>
      <c r="T4919" t="s">
        <v>11650</v>
      </c>
      <c r="U4919" t="s">
        <v>11650</v>
      </c>
      <c r="V4919" t="s">
        <v>11650</v>
      </c>
      <c r="W4919" t="s">
        <v>16514</v>
      </c>
      <c r="X4919">
        <v>5</v>
      </c>
      <c r="Y4919" t="s">
        <v>22183</v>
      </c>
      <c r="Z4919" t="s">
        <v>27981</v>
      </c>
      <c r="AA4919">
        <v>0.91499378068437065</v>
      </c>
      <c r="AB4919" t="str">
        <f>HYPERLINK("Melting_Curves/meltCurve_Q9GZL7_WDR12.pdf", "Melting_Curves/meltCurve_Q9GZL7_WDR12.pdf")</f>
        <v>Melting_Curves/meltCurve_Q9GZL7_WDR12.pdf</v>
      </c>
    </row>
    <row r="4920" spans="1:28" x14ac:dyDescent="0.25">
      <c r="A4920" t="s">
        <v>4924</v>
      </c>
      <c r="B4920">
        <v>0.99996721820229495</v>
      </c>
      <c r="C4920">
        <v>1.0639716914414099</v>
      </c>
      <c r="D4920">
        <v>1.0124700565695299</v>
      </c>
      <c r="E4920">
        <v>0.99024093731321805</v>
      </c>
      <c r="F4920">
        <v>1.0581496709778699</v>
      </c>
      <c r="G4920">
        <v>0.61694779817307799</v>
      </c>
      <c r="H4920">
        <v>0.28872175839494102</v>
      </c>
      <c r="I4920">
        <v>0.17538167422520701</v>
      </c>
      <c r="J4920">
        <v>9.7657845108866506E-2</v>
      </c>
      <c r="K4920">
        <v>6.8552828101912905E-2</v>
      </c>
      <c r="L4920">
        <v>1768.3500002133601</v>
      </c>
      <c r="M4920">
        <v>30.494605626797401</v>
      </c>
      <c r="N4920">
        <v>58.391103740350701</v>
      </c>
      <c r="O4920">
        <v>57.741285191284398</v>
      </c>
      <c r="P4920">
        <v>-0.11952612576637101</v>
      </c>
      <c r="Q4920">
        <v>9.4718623378510905E-2</v>
      </c>
      <c r="R4920">
        <v>0.98775641538623404</v>
      </c>
      <c r="S4920" t="s">
        <v>10746</v>
      </c>
      <c r="T4920" t="s">
        <v>11650</v>
      </c>
      <c r="U4920" t="s">
        <v>11650</v>
      </c>
      <c r="V4920" t="s">
        <v>11650</v>
      </c>
      <c r="W4920" t="s">
        <v>16515</v>
      </c>
      <c r="X4920">
        <v>6</v>
      </c>
      <c r="Y4920" t="s">
        <v>22184</v>
      </c>
      <c r="Z4920" t="s">
        <v>27982</v>
      </c>
      <c r="AA4920">
        <v>0.64335416756880948</v>
      </c>
      <c r="AB4920" t="str">
        <f>HYPERLINK("Melting_Curves/meltCurve_Q9GZN8_C20orf27.pdf", "Melting_Curves/meltCurve_Q9GZN8_C20orf27.pdf")</f>
        <v>Melting_Curves/meltCurve_Q9GZN8_C20orf27.pdf</v>
      </c>
    </row>
    <row r="4921" spans="1:28" x14ac:dyDescent="0.25">
      <c r="A4921" t="s">
        <v>4925</v>
      </c>
      <c r="B4921">
        <v>0.99996721820229495</v>
      </c>
      <c r="C4921">
        <v>1.0433224636413601</v>
      </c>
      <c r="D4921">
        <v>1.0038727303885</v>
      </c>
      <c r="E4921">
        <v>0.89912697258533103</v>
      </c>
      <c r="F4921">
        <v>0.91543886385871098</v>
      </c>
      <c r="G4921">
        <v>0.92559633403823904</v>
      </c>
      <c r="H4921">
        <v>0.46117775662807597</v>
      </c>
      <c r="I4921">
        <v>0.33492081609943197</v>
      </c>
      <c r="J4921">
        <v>0.29711598156485702</v>
      </c>
      <c r="K4921">
        <v>0.199016296184754</v>
      </c>
      <c r="L4921">
        <v>2285.4298596140302</v>
      </c>
      <c r="M4921">
        <v>38.245061883042602</v>
      </c>
      <c r="N4921">
        <v>60.850715258550103</v>
      </c>
      <c r="O4921">
        <v>59.594835770972701</v>
      </c>
      <c r="P4921">
        <v>-0.120572623847711</v>
      </c>
      <c r="Q4921">
        <v>0.24847938582600601</v>
      </c>
      <c r="R4921">
        <v>0.976359584138212</v>
      </c>
      <c r="S4921" t="s">
        <v>10747</v>
      </c>
      <c r="T4921" t="s">
        <v>11650</v>
      </c>
      <c r="U4921" t="s">
        <v>11650</v>
      </c>
      <c r="V4921" t="s">
        <v>11650</v>
      </c>
      <c r="W4921" t="s">
        <v>16516</v>
      </c>
      <c r="X4921">
        <v>1</v>
      </c>
      <c r="Y4921" t="s">
        <v>22185</v>
      </c>
      <c r="Z4921" t="s">
        <v>27983</v>
      </c>
      <c r="AA4921">
        <v>0.74660569066987437</v>
      </c>
      <c r="AB4921" t="str">
        <f>HYPERLINK("Melting_Curves/meltCurve_Q9GZP1_NRSN2.pdf", "Melting_Curves/meltCurve_Q9GZP1_NRSN2.pdf")</f>
        <v>Melting_Curves/meltCurve_Q9GZP1_NRSN2.pdf</v>
      </c>
    </row>
    <row r="4922" spans="1:28" x14ac:dyDescent="0.25">
      <c r="A4922" t="s">
        <v>4926</v>
      </c>
      <c r="B4922">
        <v>0.99996721820229495</v>
      </c>
      <c r="C4922">
        <v>0.93398350568719302</v>
      </c>
      <c r="D4922">
        <v>0.85097299625229195</v>
      </c>
      <c r="E4922">
        <v>0.92868618674967995</v>
      </c>
      <c r="F4922">
        <v>1.22301274976401</v>
      </c>
      <c r="G4922">
        <v>1.2288166260410001</v>
      </c>
      <c r="H4922">
        <v>0.90560605426297502</v>
      </c>
      <c r="I4922">
        <v>0.77746974853869799</v>
      </c>
      <c r="J4922">
        <v>0.50837948999634197</v>
      </c>
      <c r="K4922">
        <v>0.29942877514982502</v>
      </c>
      <c r="L4922">
        <v>2147.1524826527402</v>
      </c>
      <c r="M4922">
        <v>32.568196506382101</v>
      </c>
      <c r="N4922">
        <v>66.975910827265295</v>
      </c>
      <c r="O4922">
        <v>65.680822691634404</v>
      </c>
      <c r="P4922">
        <v>-9.9216146086231596E-2</v>
      </c>
      <c r="Q4922">
        <v>0.19964041572126101</v>
      </c>
      <c r="R4922">
        <v>0.814663888807583</v>
      </c>
      <c r="S4922" t="s">
        <v>10748</v>
      </c>
      <c r="T4922" t="s">
        <v>11650</v>
      </c>
      <c r="U4922" t="s">
        <v>11650</v>
      </c>
      <c r="V4922" t="s">
        <v>11650</v>
      </c>
      <c r="W4922" t="s">
        <v>16517</v>
      </c>
      <c r="X4922">
        <v>9</v>
      </c>
      <c r="Y4922" t="s">
        <v>22186</v>
      </c>
      <c r="Z4922" t="s">
        <v>27984</v>
      </c>
      <c r="AA4922">
        <v>0.88771863891300851</v>
      </c>
      <c r="AB4922" t="str">
        <f>HYPERLINK("Melting_Curves/meltCurve_Q9GZP4_PITHD1.pdf", "Melting_Curves/meltCurve_Q9GZP4_PITHD1.pdf")</f>
        <v>Melting_Curves/meltCurve_Q9GZP4_PITHD1.pdf</v>
      </c>
    </row>
    <row r="4923" spans="1:28" x14ac:dyDescent="0.25">
      <c r="A4923" t="s">
        <v>4927</v>
      </c>
      <c r="B4923">
        <v>0.99996721820229495</v>
      </c>
      <c r="C4923">
        <v>0.90434712507152804</v>
      </c>
      <c r="D4923">
        <v>1.1323044888459799</v>
      </c>
      <c r="E4923">
        <v>1.15834707375398</v>
      </c>
      <c r="F4923">
        <v>1.4944146205253299</v>
      </c>
      <c r="G4923">
        <v>1.3875729434466799</v>
      </c>
      <c r="H4923">
        <v>0.6884211280693</v>
      </c>
      <c r="I4923">
        <v>0.299436289095518</v>
      </c>
      <c r="J4923">
        <v>0.16337873473246101</v>
      </c>
      <c r="K4923">
        <v>0.11806161464445999</v>
      </c>
      <c r="L4923">
        <v>3548.51745973985</v>
      </c>
      <c r="M4923">
        <v>57.436675767156601</v>
      </c>
      <c r="N4923">
        <v>62.171748805088399</v>
      </c>
      <c r="O4923">
        <v>61.706636541163903</v>
      </c>
      <c r="P4923">
        <v>-0.19747408846922401</v>
      </c>
      <c r="Q4923">
        <v>0.15138166232755301</v>
      </c>
      <c r="R4923">
        <v>0.796104742174913</v>
      </c>
      <c r="S4923" t="s">
        <v>10749</v>
      </c>
      <c r="T4923" t="s">
        <v>11650</v>
      </c>
      <c r="U4923" t="s">
        <v>11650</v>
      </c>
      <c r="V4923" t="s">
        <v>11650</v>
      </c>
      <c r="W4923" t="s">
        <v>16518</v>
      </c>
      <c r="X4923">
        <v>3</v>
      </c>
      <c r="Y4923" t="s">
        <v>22187</v>
      </c>
      <c r="Z4923" t="s">
        <v>27985</v>
      </c>
      <c r="AA4923">
        <v>0.76922003201693656</v>
      </c>
      <c r="AB4923" t="str">
        <f>HYPERLINK("Melting_Curves/meltCurve_Q9GZP9_DERL2.pdf", "Melting_Curves/meltCurve_Q9GZP9_DERL2.pdf")</f>
        <v>Melting_Curves/meltCurve_Q9GZP9_DERL2.pdf</v>
      </c>
    </row>
    <row r="4924" spans="1:28" x14ac:dyDescent="0.25">
      <c r="A4924" t="s">
        <v>4928</v>
      </c>
      <c r="B4924">
        <v>0.99996721820229495</v>
      </c>
      <c r="C4924">
        <v>0.87024242369316696</v>
      </c>
      <c r="D4924">
        <v>0.92975051048312596</v>
      </c>
      <c r="E4924">
        <v>0.86703867010548896</v>
      </c>
      <c r="F4924">
        <v>1.1694959667542399</v>
      </c>
      <c r="G4924">
        <v>0.62681760918288099</v>
      </c>
      <c r="H4924">
        <v>0.24095432520830201</v>
      </c>
      <c r="I4924">
        <v>0.146982269895648</v>
      </c>
      <c r="J4924">
        <v>0.14237018959082501</v>
      </c>
      <c r="K4924">
        <v>0.101270099338825</v>
      </c>
      <c r="L4924">
        <v>3161.0757426417199</v>
      </c>
      <c r="M4924">
        <v>55.1288942867806</v>
      </c>
      <c r="N4924">
        <v>57.706527598892499</v>
      </c>
      <c r="O4924">
        <v>57.264425060708902</v>
      </c>
      <c r="P4924">
        <v>-0.20510432052432401</v>
      </c>
      <c r="Q4924">
        <v>0.147802663008647</v>
      </c>
      <c r="R4924">
        <v>0.94914043268506898</v>
      </c>
      <c r="S4924" t="s">
        <v>10750</v>
      </c>
      <c r="T4924" t="s">
        <v>11650</v>
      </c>
      <c r="U4924" t="s">
        <v>11650</v>
      </c>
      <c r="V4924" t="s">
        <v>11650</v>
      </c>
      <c r="W4924" t="s">
        <v>16519</v>
      </c>
      <c r="X4924">
        <v>2</v>
      </c>
      <c r="Y4924" t="s">
        <v>22188</v>
      </c>
      <c r="Z4924" t="s">
        <v>27986</v>
      </c>
      <c r="AA4924">
        <v>0.64213408069160149</v>
      </c>
      <c r="AB4924" t="str">
        <f>HYPERLINK("Melting_Curves/meltCurve_Q9GZQ3_COMMD5.pdf", "Melting_Curves/meltCurve_Q9GZQ3_COMMD5.pdf")</f>
        <v>Melting_Curves/meltCurve_Q9GZQ3_COMMD5.pdf</v>
      </c>
    </row>
    <row r="4925" spans="1:28" x14ac:dyDescent="0.25">
      <c r="A4925" t="s">
        <v>4929</v>
      </c>
      <c r="B4925">
        <v>0.99996721820229495</v>
      </c>
      <c r="C4925">
        <v>1.0127283778290801</v>
      </c>
      <c r="D4925">
        <v>1.06502213968604</v>
      </c>
      <c r="E4925">
        <v>1.19795571963206</v>
      </c>
      <c r="F4925">
        <v>2.6064438402639598</v>
      </c>
      <c r="G4925">
        <v>1.6085712695387799</v>
      </c>
      <c r="H4925">
        <v>0.42846908141369799</v>
      </c>
      <c r="I4925">
        <v>0.356702249108587</v>
      </c>
      <c r="J4925">
        <v>0.13915865413176401</v>
      </c>
      <c r="K4925">
        <v>0.13271353431319899</v>
      </c>
      <c r="L4925">
        <v>9790.9379555073192</v>
      </c>
      <c r="M4925">
        <v>161.46453364652299</v>
      </c>
      <c r="N4925">
        <v>60.842810547877797</v>
      </c>
      <c r="O4925">
        <v>60.629018062615501</v>
      </c>
      <c r="P4925">
        <v>-0.52636907536451305</v>
      </c>
      <c r="Q4925">
        <v>0.20940557724793399</v>
      </c>
      <c r="R4925">
        <v>0.41874469926761498</v>
      </c>
      <c r="S4925" t="s">
        <v>10751</v>
      </c>
      <c r="T4925" t="s">
        <v>11650</v>
      </c>
      <c r="U4925" t="s">
        <v>11650</v>
      </c>
      <c r="V4925" t="s">
        <v>11650</v>
      </c>
      <c r="W4925" t="s">
        <v>16520</v>
      </c>
      <c r="X4925">
        <v>9</v>
      </c>
      <c r="Y4925" t="s">
        <v>22189</v>
      </c>
      <c r="Z4925" t="s">
        <v>27987</v>
      </c>
      <c r="AA4925">
        <v>0.75349200938455074</v>
      </c>
      <c r="AB4925" t="str">
        <f>HYPERLINK("Melting_Curves/meltCurve_Q9GZS3_WDR61.pdf", "Melting_Curves/meltCurve_Q9GZS3_WDR61.pdf")</f>
        <v>Melting_Curves/meltCurve_Q9GZS3_WDR61.pdf</v>
      </c>
    </row>
    <row r="4926" spans="1:28" x14ac:dyDescent="0.25">
      <c r="A4926" t="s">
        <v>4930</v>
      </c>
      <c r="B4926">
        <v>0.99996721820229495</v>
      </c>
      <c r="C4926">
        <v>0.94152083738353598</v>
      </c>
      <c r="D4926">
        <v>0.83172945106180896</v>
      </c>
      <c r="E4926">
        <v>0.85031111788217595</v>
      </c>
      <c r="F4926">
        <v>1.19873377074787</v>
      </c>
      <c r="G4926">
        <v>0.96082190270835899</v>
      </c>
      <c r="H4926">
        <v>0.62916958601240602</v>
      </c>
      <c r="I4926">
        <v>0.53880280158409499</v>
      </c>
      <c r="J4926">
        <v>0.55708049697651896</v>
      </c>
      <c r="K4926">
        <v>0.45038872731609098</v>
      </c>
      <c r="L4926">
        <v>3103.1626218586698</v>
      </c>
      <c r="M4926">
        <v>51.952932259655697</v>
      </c>
      <c r="O4926">
        <v>59.6419700657761</v>
      </c>
      <c r="P4926">
        <v>-0.106996231709374</v>
      </c>
      <c r="Q4926">
        <v>0.50867364366604295</v>
      </c>
      <c r="R4926">
        <v>0.81067770054521604</v>
      </c>
      <c r="S4926" t="s">
        <v>10752</v>
      </c>
      <c r="T4926" t="s">
        <v>11650</v>
      </c>
      <c r="U4926" t="s">
        <v>11650</v>
      </c>
      <c r="V4926" t="s">
        <v>11650</v>
      </c>
      <c r="W4926" t="s">
        <v>16521</v>
      </c>
      <c r="X4926">
        <v>7</v>
      </c>
      <c r="Y4926" t="s">
        <v>22190</v>
      </c>
      <c r="Z4926" t="s">
        <v>27988</v>
      </c>
      <c r="AA4926">
        <v>0.83299226681243366</v>
      </c>
      <c r="AB4926" t="str">
        <f>HYPERLINK("Melting_Curves/meltCurve_Q9GZT3_2_SLIRP.pdf", "Melting_Curves/meltCurve_Q9GZT3_2_SLIRP.pdf")</f>
        <v>Melting_Curves/meltCurve_Q9GZT3_2_SLIRP.pdf</v>
      </c>
    </row>
    <row r="4927" spans="1:28" x14ac:dyDescent="0.25">
      <c r="A4927" t="s">
        <v>4931</v>
      </c>
      <c r="B4927">
        <v>0.99996721820229495</v>
      </c>
      <c r="C4927">
        <v>1.0314940232513701</v>
      </c>
      <c r="D4927">
        <v>0.87674996089846402</v>
      </c>
      <c r="E4927">
        <v>0.56153601124907304</v>
      </c>
      <c r="F4927">
        <v>0.35195520400650199</v>
      </c>
      <c r="G4927">
        <v>0.321288734837478</v>
      </c>
      <c r="H4927">
        <v>0.216494544298523</v>
      </c>
      <c r="I4927">
        <v>0.15038713578544599</v>
      </c>
      <c r="J4927">
        <v>8.6891568856537704E-2</v>
      </c>
      <c r="K4927">
        <v>4.99604932318089E-2</v>
      </c>
      <c r="L4927">
        <v>804.73351079865404</v>
      </c>
      <c r="M4927">
        <v>15.876637994478299</v>
      </c>
      <c r="N4927">
        <v>51.437361230633996</v>
      </c>
      <c r="O4927">
        <v>49.902958238373699</v>
      </c>
      <c r="P4927">
        <v>-7.1318020393407303E-2</v>
      </c>
      <c r="Q4927">
        <v>0.10341413480548201</v>
      </c>
      <c r="R4927">
        <v>0.97897851803706304</v>
      </c>
      <c r="S4927" t="s">
        <v>10753</v>
      </c>
      <c r="T4927" t="s">
        <v>11650</v>
      </c>
      <c r="U4927" t="s">
        <v>11650</v>
      </c>
      <c r="V4927" t="s">
        <v>11650</v>
      </c>
      <c r="W4927" t="s">
        <v>16522</v>
      </c>
      <c r="X4927">
        <v>6</v>
      </c>
      <c r="Y4927" t="s">
        <v>22191</v>
      </c>
      <c r="Z4927" t="s">
        <v>27989</v>
      </c>
      <c r="AA4927">
        <v>0.44177523622371789</v>
      </c>
      <c r="AB4927" t="str">
        <f>HYPERLINK("Melting_Curves/meltCurve_Q9GZT4_SRR.pdf", "Melting_Curves/meltCurve_Q9GZT4_SRR.pdf")</f>
        <v>Melting_Curves/meltCurve_Q9GZT4_SRR.pdf</v>
      </c>
    </row>
    <row r="4928" spans="1:28" x14ac:dyDescent="0.25">
      <c r="A4928" t="s">
        <v>4932</v>
      </c>
      <c r="B4928">
        <v>0.99996721820229495</v>
      </c>
      <c r="C4928">
        <v>0.97335856475287896</v>
      </c>
      <c r="D4928">
        <v>0.98469971320016503</v>
      </c>
      <c r="E4928">
        <v>1.2461090315521199</v>
      </c>
      <c r="F4928">
        <v>1.6400040203509101</v>
      </c>
      <c r="G4928">
        <v>1.64635743863583</v>
      </c>
      <c r="H4928">
        <v>0.91888614177872197</v>
      </c>
      <c r="I4928">
        <v>0.448952757458429</v>
      </c>
      <c r="J4928">
        <v>0.33367377415392102</v>
      </c>
      <c r="K4928">
        <v>0.26216985592655601</v>
      </c>
      <c r="L4928">
        <v>4459.4990717272303</v>
      </c>
      <c r="M4928">
        <v>70.939430614195601</v>
      </c>
      <c r="N4928">
        <v>63.654030321649898</v>
      </c>
      <c r="O4928">
        <v>62.813573413012897</v>
      </c>
      <c r="P4928">
        <v>-0.19966504833519699</v>
      </c>
      <c r="Q4928">
        <v>0.29282361443389399</v>
      </c>
      <c r="R4928">
        <v>0.58679067148297204</v>
      </c>
      <c r="S4928" t="s">
        <v>10754</v>
      </c>
      <c r="T4928" t="s">
        <v>11650</v>
      </c>
      <c r="U4928" t="s">
        <v>11650</v>
      </c>
      <c r="V4928" t="s">
        <v>11650</v>
      </c>
      <c r="W4928" t="s">
        <v>16523</v>
      </c>
      <c r="X4928">
        <v>11</v>
      </c>
      <c r="Y4928" t="s">
        <v>22192</v>
      </c>
      <c r="Z4928" t="s">
        <v>27990</v>
      </c>
      <c r="AA4928">
        <v>0.83272600287077891</v>
      </c>
      <c r="AB4928" t="str">
        <f>HYPERLINK("Melting_Curves/meltCurve_Q9GZT6_2_CCDC90B.pdf", "Melting_Curves/meltCurve_Q9GZT6_2_CCDC90B.pdf")</f>
        <v>Melting_Curves/meltCurve_Q9GZT6_2_CCDC90B.pdf</v>
      </c>
    </row>
    <row r="4929" spans="1:28" x14ac:dyDescent="0.25">
      <c r="A4929" t="s">
        <v>4933</v>
      </c>
      <c r="B4929">
        <v>0.99996721820229495</v>
      </c>
      <c r="C4929">
        <v>1.0442417675131901</v>
      </c>
      <c r="D4929">
        <v>1.6574165396470899</v>
      </c>
      <c r="E4929">
        <v>2.6894255011776198</v>
      </c>
      <c r="F4929">
        <v>4.51666055555454</v>
      </c>
      <c r="G4929">
        <v>9.7142993720435005</v>
      </c>
      <c r="H4929">
        <v>6.5852288902399696</v>
      </c>
      <c r="I4929">
        <v>2.5673910414300298</v>
      </c>
      <c r="J4929">
        <v>0.58548496780315995</v>
      </c>
      <c r="K4929">
        <v>0.65058912204619201</v>
      </c>
      <c r="L4929">
        <v>10825.054565799001</v>
      </c>
      <c r="M4929">
        <v>250</v>
      </c>
      <c r="O4929">
        <v>43.297444139188599</v>
      </c>
      <c r="P4929">
        <v>0.72175155710988503</v>
      </c>
      <c r="Q4929">
        <v>1.5</v>
      </c>
      <c r="R4929">
        <v>-0.30931412998631203</v>
      </c>
      <c r="S4929" t="s">
        <v>10755</v>
      </c>
      <c r="T4929" t="s">
        <v>11650</v>
      </c>
      <c r="U4929" t="s">
        <v>11650</v>
      </c>
      <c r="V4929" t="s">
        <v>11650</v>
      </c>
      <c r="W4929" t="s">
        <v>16524</v>
      </c>
      <c r="X4929">
        <v>1</v>
      </c>
      <c r="Y4929" t="s">
        <v>22193</v>
      </c>
      <c r="Z4929" t="s">
        <v>27991</v>
      </c>
      <c r="AA4929">
        <v>1.4449583666725969</v>
      </c>
      <c r="AB4929" t="str">
        <f>HYPERLINK("Melting_Curves/meltCurve_Q9GZT8_2_NIF3L1.pdf", "Melting_Curves/meltCurve_Q9GZT8_2_NIF3L1.pdf")</f>
        <v>Melting_Curves/meltCurve_Q9GZT8_2_NIF3L1.pdf</v>
      </c>
    </row>
    <row r="4930" spans="1:28" x14ac:dyDescent="0.25">
      <c r="A4930" t="s">
        <v>4934</v>
      </c>
      <c r="B4930">
        <v>0.99996721820229495</v>
      </c>
      <c r="C4930">
        <v>0.75665891485057002</v>
      </c>
      <c r="D4930">
        <v>0.451379456540904</v>
      </c>
      <c r="E4930">
        <v>0.40936902043252898</v>
      </c>
      <c r="F4930">
        <v>0.532944370482484</v>
      </c>
      <c r="G4930">
        <v>0.50549289573731004</v>
      </c>
      <c r="H4930">
        <v>0.36242471649168301</v>
      </c>
      <c r="I4930">
        <v>0.32150957169112299</v>
      </c>
      <c r="J4930">
        <v>0.27415191374349501</v>
      </c>
      <c r="K4930">
        <v>0.167893687136346</v>
      </c>
      <c r="L4930">
        <v>1446.92299138515</v>
      </c>
      <c r="M4930">
        <v>33.208396003672597</v>
      </c>
      <c r="N4930">
        <v>45.359191442583601</v>
      </c>
      <c r="O4930">
        <v>43.413918751041997</v>
      </c>
      <c r="P4930">
        <v>-0.12143656863901001</v>
      </c>
      <c r="Q4930">
        <v>0.364978264706738</v>
      </c>
      <c r="R4930">
        <v>0.81558679777933496</v>
      </c>
      <c r="S4930" t="s">
        <v>10756</v>
      </c>
      <c r="T4930" t="s">
        <v>11650</v>
      </c>
      <c r="U4930" t="s">
        <v>11650</v>
      </c>
      <c r="V4930" t="s">
        <v>11650</v>
      </c>
      <c r="W4930" t="s">
        <v>16525</v>
      </c>
      <c r="X4930">
        <v>7</v>
      </c>
      <c r="Y4930" t="s">
        <v>22194</v>
      </c>
      <c r="Z4930" t="s">
        <v>27992</v>
      </c>
      <c r="AA4930">
        <v>0.44446978318220243</v>
      </c>
      <c r="AB4930" t="str">
        <f>HYPERLINK("Melting_Curves/meltCurve_Q9GZT9_EGLN1.pdf", "Melting_Curves/meltCurve_Q9GZT9_EGLN1.pdf")</f>
        <v>Melting_Curves/meltCurve_Q9GZT9_EGLN1.pdf</v>
      </c>
    </row>
    <row r="4931" spans="1:28" x14ac:dyDescent="0.25">
      <c r="A4931" t="s">
        <v>4935</v>
      </c>
      <c r="B4931">
        <v>0.99996721820229495</v>
      </c>
      <c r="C4931">
        <v>0.96730422989312803</v>
      </c>
      <c r="D4931">
        <v>0.93666098426248301</v>
      </c>
      <c r="E4931">
        <v>1.04155545724787</v>
      </c>
      <c r="F4931">
        <v>1.32196030633168</v>
      </c>
      <c r="G4931">
        <v>1.4089683652759599</v>
      </c>
      <c r="H4931">
        <v>1.09733902416036</v>
      </c>
      <c r="I4931">
        <v>1.1427009307395399</v>
      </c>
      <c r="J4931">
        <v>1.02555873165738</v>
      </c>
      <c r="K4931">
        <v>0.83936723903135702</v>
      </c>
      <c r="L4931">
        <v>15000</v>
      </c>
      <c r="M4931">
        <v>212.63216840819601</v>
      </c>
      <c r="Q4931">
        <v>0</v>
      </c>
      <c r="R4931">
        <v>-0.12915315105760999</v>
      </c>
      <c r="S4931" t="s">
        <v>10757</v>
      </c>
      <c r="T4931" t="s">
        <v>11650</v>
      </c>
      <c r="U4931" t="s">
        <v>11650</v>
      </c>
      <c r="V4931" t="s">
        <v>11650</v>
      </c>
      <c r="W4931" t="s">
        <v>16526</v>
      </c>
      <c r="X4931">
        <v>21</v>
      </c>
      <c r="Y4931" t="s">
        <v>22195</v>
      </c>
      <c r="Z4931" t="s">
        <v>27993</v>
      </c>
      <c r="AA4931">
        <v>0.99811164058143642</v>
      </c>
      <c r="AB4931" t="str">
        <f>HYPERLINK("Melting_Curves/meltCurve_Q9GZU8_FAM192A.pdf", "Melting_Curves/meltCurve_Q9GZU8_FAM192A.pdf")</f>
        <v>Melting_Curves/meltCurve_Q9GZU8_FAM192A.pdf</v>
      </c>
    </row>
    <row r="4932" spans="1:28" x14ac:dyDescent="0.25">
      <c r="A4932" t="s">
        <v>4936</v>
      </c>
      <c r="B4932">
        <v>0.99996721820229495</v>
      </c>
      <c r="C4932">
        <v>0.860532325435868</v>
      </c>
      <c r="D4932">
        <v>0.85532149581529704</v>
      </c>
      <c r="E4932">
        <v>0.83052497217670895</v>
      </c>
      <c r="F4932">
        <v>0.91605327321666696</v>
      </c>
      <c r="G4932">
        <v>0.68894679946777304</v>
      </c>
      <c r="H4932">
        <v>0.42497367548171799</v>
      </c>
      <c r="I4932">
        <v>0.381584920907588</v>
      </c>
      <c r="J4932">
        <v>0.39709911104495599</v>
      </c>
      <c r="K4932">
        <v>0.29531941508823001</v>
      </c>
      <c r="L4932">
        <v>472.202673590686</v>
      </c>
      <c r="M4932">
        <v>7.6662699842190696</v>
      </c>
      <c r="N4932">
        <v>61.5948396062402</v>
      </c>
      <c r="O4932">
        <v>57.823668450287698</v>
      </c>
      <c r="P4932">
        <v>-3.3188968040307999E-2</v>
      </c>
      <c r="Q4932">
        <v>0</v>
      </c>
      <c r="R4932">
        <v>0.91658378097302395</v>
      </c>
      <c r="S4932" t="s">
        <v>10758</v>
      </c>
      <c r="T4932" t="s">
        <v>11650</v>
      </c>
      <c r="U4932" t="s">
        <v>11650</v>
      </c>
      <c r="V4932" t="s">
        <v>11650</v>
      </c>
      <c r="W4932" t="s">
        <v>16527</v>
      </c>
      <c r="X4932">
        <v>6</v>
      </c>
      <c r="Y4932" t="s">
        <v>22196</v>
      </c>
      <c r="Z4932" t="s">
        <v>27994</v>
      </c>
      <c r="AA4932">
        <v>0.68450144472008367</v>
      </c>
      <c r="AB4932" t="str">
        <f>HYPERLINK("Melting_Curves/meltCurve_Q9GZV5_WWTR1.pdf", "Melting_Curves/meltCurve_Q9GZV5_WWTR1.pdf")</f>
        <v>Melting_Curves/meltCurve_Q9GZV5_WWTR1.pdf</v>
      </c>
    </row>
    <row r="4933" spans="1:28" x14ac:dyDescent="0.25">
      <c r="A4933" t="s">
        <v>4937</v>
      </c>
      <c r="B4933">
        <v>0.99996721820229495</v>
      </c>
      <c r="C4933">
        <v>0.85135820434361897</v>
      </c>
      <c r="D4933">
        <v>0.80647848612106199</v>
      </c>
      <c r="E4933">
        <v>0.99741599394702396</v>
      </c>
      <c r="F4933">
        <v>1.4860811879233899</v>
      </c>
      <c r="G4933">
        <v>1.36629082426613</v>
      </c>
      <c r="H4933">
        <v>1.13731106903787</v>
      </c>
      <c r="I4933">
        <v>1.4526594370122901</v>
      </c>
      <c r="J4933">
        <v>1.32103533136312</v>
      </c>
      <c r="K4933">
        <v>0.89745739646895295</v>
      </c>
      <c r="L4933">
        <v>12763.452678080201</v>
      </c>
      <c r="M4933">
        <v>250</v>
      </c>
      <c r="O4933">
        <v>51.050543626830098</v>
      </c>
      <c r="P4933">
        <v>0.33888427548294597</v>
      </c>
      <c r="Q4933">
        <v>1.2768036234082101</v>
      </c>
      <c r="R4933">
        <v>0.48223124952675001</v>
      </c>
      <c r="S4933" t="s">
        <v>10759</v>
      </c>
      <c r="T4933" t="s">
        <v>11650</v>
      </c>
      <c r="U4933" t="s">
        <v>11650</v>
      </c>
      <c r="V4933" t="s">
        <v>11650</v>
      </c>
      <c r="W4933" t="s">
        <v>16528</v>
      </c>
      <c r="X4933">
        <v>4</v>
      </c>
      <c r="Y4933" t="s">
        <v>22197</v>
      </c>
      <c r="Z4933" t="s">
        <v>27995</v>
      </c>
      <c r="AA4933">
        <v>1.1747876602578149</v>
      </c>
      <c r="AB4933" t="str">
        <f>HYPERLINK("Melting_Curves/meltCurve_Q9GZX9_TWSG1.pdf", "Melting_Curves/meltCurve_Q9GZX9_TWSG1.pdf")</f>
        <v>Melting_Curves/meltCurve_Q9GZX9_TWSG1.pdf</v>
      </c>
    </row>
    <row r="4934" spans="1:28" x14ac:dyDescent="0.25">
      <c r="A4934" t="s">
        <v>4938</v>
      </c>
      <c r="B4934">
        <v>0.99996721820229495</v>
      </c>
      <c r="C4934">
        <v>0.71733176390249198</v>
      </c>
      <c r="D4934">
        <v>0.73813292522120999</v>
      </c>
      <c r="E4934">
        <v>0.91608224482771405</v>
      </c>
      <c r="F4934">
        <v>0.59516586890004597</v>
      </c>
      <c r="G4934">
        <v>0.253204422579967</v>
      </c>
      <c r="H4934">
        <v>0.17417505799017099</v>
      </c>
      <c r="I4934">
        <v>0.1585986776245</v>
      </c>
      <c r="J4934">
        <v>0.12871823675962299</v>
      </c>
      <c r="K4934">
        <v>0.10484968394208399</v>
      </c>
      <c r="L4934">
        <v>569.12771824303297</v>
      </c>
      <c r="M4934">
        <v>10.551180249390701</v>
      </c>
      <c r="N4934">
        <v>53.939720645698301</v>
      </c>
      <c r="O4934">
        <v>52.110263429889798</v>
      </c>
      <c r="P4934">
        <v>-5.0639537599790098E-2</v>
      </c>
      <c r="Q4934">
        <v>0</v>
      </c>
      <c r="R4934">
        <v>0.88253087956753395</v>
      </c>
      <c r="S4934" t="s">
        <v>10760</v>
      </c>
      <c r="T4934" t="s">
        <v>11650</v>
      </c>
      <c r="U4934" t="s">
        <v>11650</v>
      </c>
      <c r="V4934" t="s">
        <v>11650</v>
      </c>
      <c r="W4934" t="s">
        <v>16529</v>
      </c>
      <c r="X4934">
        <v>9</v>
      </c>
      <c r="Y4934" t="s">
        <v>22198</v>
      </c>
      <c r="Z4934" t="s">
        <v>27996</v>
      </c>
      <c r="AA4934">
        <v>0.49395306174588482</v>
      </c>
      <c r="AB4934" t="str">
        <f>HYPERLINK("Melting_Curves/meltCurve_Q9GZY8_2_MFF.pdf", "Melting_Curves/meltCurve_Q9GZY8_2_MFF.pdf")</f>
        <v>Melting_Curves/meltCurve_Q9GZY8_2_MFF.pdf</v>
      </c>
    </row>
    <row r="4935" spans="1:28" x14ac:dyDescent="0.25">
      <c r="A4935" t="s">
        <v>4939</v>
      </c>
      <c r="B4935">
        <v>0.99996721820229495</v>
      </c>
      <c r="C4935">
        <v>0.98357108663823201</v>
      </c>
      <c r="D4935">
        <v>0.96039568996989799</v>
      </c>
      <c r="E4935">
        <v>0.945198816909262</v>
      </c>
      <c r="F4935">
        <v>1.1075351047316</v>
      </c>
      <c r="G4935">
        <v>1.0706186361494801</v>
      </c>
      <c r="H4935">
        <v>0.40354994609018902</v>
      </c>
      <c r="I4935">
        <v>0.17208528629262099</v>
      </c>
      <c r="J4935">
        <v>0.113263589041994</v>
      </c>
      <c r="K4935">
        <v>8.8700573609826097E-2</v>
      </c>
      <c r="L4935">
        <v>6210.2677414807004</v>
      </c>
      <c r="M4935">
        <v>102.555321556932</v>
      </c>
      <c r="N4935">
        <v>60.722747662353001</v>
      </c>
      <c r="O4935">
        <v>60.532279079061503</v>
      </c>
      <c r="P4935">
        <v>-0.37138674971997898</v>
      </c>
      <c r="Q4935">
        <v>0.123170399098149</v>
      </c>
      <c r="R4935">
        <v>0.985181576647158</v>
      </c>
      <c r="S4935" t="s">
        <v>10761</v>
      </c>
      <c r="T4935" t="s">
        <v>11650</v>
      </c>
      <c r="U4935" t="s">
        <v>11650</v>
      </c>
      <c r="V4935" t="s">
        <v>11650</v>
      </c>
      <c r="W4935" t="s">
        <v>16530</v>
      </c>
      <c r="X4935">
        <v>10</v>
      </c>
      <c r="Y4935" t="s">
        <v>22199</v>
      </c>
      <c r="Z4935" t="s">
        <v>27997</v>
      </c>
      <c r="AA4935">
        <v>0.72450775529892553</v>
      </c>
      <c r="AB4935" t="str">
        <f>HYPERLINK("Melting_Curves/meltCurve_Q9GZZ9_UBA5.pdf", "Melting_Curves/meltCurve_Q9GZZ9_UBA5.pdf")</f>
        <v>Melting_Curves/meltCurve_Q9GZZ9_UBA5.pdf</v>
      </c>
    </row>
    <row r="4936" spans="1:28" x14ac:dyDescent="0.25">
      <c r="A4936" t="s">
        <v>4940</v>
      </c>
      <c r="B4936">
        <v>0.99996721820229495</v>
      </c>
      <c r="C4936">
        <v>1.06851858143141</v>
      </c>
      <c r="D4936">
        <v>1.0816481608976101</v>
      </c>
      <c r="E4936">
        <v>1.05813695384784</v>
      </c>
      <c r="F4936">
        <v>1.24554993029102</v>
      </c>
      <c r="G4936">
        <v>0.95748723258105495</v>
      </c>
      <c r="H4936">
        <v>0.272434653383058</v>
      </c>
      <c r="I4936">
        <v>0.111174671549693</v>
      </c>
      <c r="J4936">
        <v>6.56747225478818E-2</v>
      </c>
      <c r="K4936">
        <v>5.6998465924261298E-2</v>
      </c>
      <c r="L4936">
        <v>3717.7941619215198</v>
      </c>
      <c r="M4936">
        <v>62.216404256842701</v>
      </c>
      <c r="N4936">
        <v>59.9050277049651</v>
      </c>
      <c r="O4936">
        <v>59.694207742818001</v>
      </c>
      <c r="P4936">
        <v>-0.24186427039863501</v>
      </c>
      <c r="Q4936">
        <v>7.1763079797023996E-2</v>
      </c>
      <c r="R4936">
        <v>0.96554272215638504</v>
      </c>
      <c r="S4936" t="s">
        <v>10762</v>
      </c>
      <c r="T4936" t="s">
        <v>11650</v>
      </c>
      <c r="U4936" t="s">
        <v>11650</v>
      </c>
      <c r="V4936" t="s">
        <v>11650</v>
      </c>
      <c r="W4936" t="s">
        <v>16531</v>
      </c>
      <c r="X4936">
        <v>7</v>
      </c>
      <c r="Y4936" t="s">
        <v>22200</v>
      </c>
      <c r="Z4936" t="s">
        <v>27998</v>
      </c>
      <c r="AA4936">
        <v>0.68460575588974149</v>
      </c>
      <c r="AB4936" t="str">
        <f>HYPERLINK("Melting_Curves/meltCurve_Q9H008_LHPP.pdf", "Melting_Curves/meltCurve_Q9H008_LHPP.pdf")</f>
        <v>Melting_Curves/meltCurve_Q9H008_LHPP.pdf</v>
      </c>
    </row>
    <row r="4937" spans="1:28" x14ac:dyDescent="0.25">
      <c r="A4937" t="s">
        <v>4941</v>
      </c>
      <c r="B4937">
        <v>0.99996721820229495</v>
      </c>
      <c r="C4937">
        <v>1.0964234443312699</v>
      </c>
      <c r="D4937">
        <v>0.88048248896186798</v>
      </c>
      <c r="E4937">
        <v>0.57243365479283004</v>
      </c>
      <c r="F4937">
        <v>0.62219927135320996</v>
      </c>
      <c r="G4937">
        <v>0.75450022833683095</v>
      </c>
      <c r="H4937">
        <v>0.57319539919805396</v>
      </c>
      <c r="I4937">
        <v>0.48663833728602202</v>
      </c>
      <c r="J4937">
        <v>0.34813354537928698</v>
      </c>
      <c r="K4937">
        <v>0.45210283831439901</v>
      </c>
      <c r="L4937">
        <v>538.69715656240498</v>
      </c>
      <c r="M4937">
        <v>10.473420337542301</v>
      </c>
      <c r="N4937">
        <v>62.185712044645001</v>
      </c>
      <c r="O4937">
        <v>49.665663287904302</v>
      </c>
      <c r="P4937">
        <v>-3.0683163189861602E-2</v>
      </c>
      <c r="Q4937">
        <v>0.41823054331507398</v>
      </c>
      <c r="R4937">
        <v>0.79606378647584297</v>
      </c>
      <c r="S4937" t="s">
        <v>10763</v>
      </c>
      <c r="T4937" t="s">
        <v>11650</v>
      </c>
      <c r="U4937" t="s">
        <v>11650</v>
      </c>
      <c r="V4937" t="s">
        <v>11650</v>
      </c>
      <c r="W4937" t="s">
        <v>16532</v>
      </c>
      <c r="X4937">
        <v>2</v>
      </c>
      <c r="Y4937" t="s">
        <v>22201</v>
      </c>
      <c r="Z4937" t="s">
        <v>27999</v>
      </c>
      <c r="AA4937">
        <v>0.66200636510349287</v>
      </c>
      <c r="AB4937" t="str">
        <f>HYPERLINK("Melting_Curves/meltCurve_Q9H019_3_MTFR1L.pdf", "Melting_Curves/meltCurve_Q9H019_3_MTFR1L.pdf")</f>
        <v>Melting_Curves/meltCurve_Q9H019_3_MTFR1L.pdf</v>
      </c>
    </row>
    <row r="4938" spans="1:28" x14ac:dyDescent="0.25">
      <c r="A4938" t="s">
        <v>4942</v>
      </c>
      <c r="B4938">
        <v>0.99996721820229495</v>
      </c>
      <c r="C4938">
        <v>0.98967098901226902</v>
      </c>
      <c r="D4938">
        <v>0.94320680335437102</v>
      </c>
      <c r="E4938">
        <v>0.96092553022874105</v>
      </c>
      <c r="F4938">
        <v>1.11733923150041</v>
      </c>
      <c r="G4938">
        <v>0.97419728057407895</v>
      </c>
      <c r="H4938">
        <v>0.61659864453602897</v>
      </c>
      <c r="I4938">
        <v>0.43114734882709699</v>
      </c>
      <c r="J4938">
        <v>0.27979878791247598</v>
      </c>
      <c r="K4938">
        <v>0.18309987823738699</v>
      </c>
      <c r="L4938">
        <v>1822.87452736821</v>
      </c>
      <c r="M4938">
        <v>29.544951084976699</v>
      </c>
      <c r="N4938">
        <v>62.703765102832399</v>
      </c>
      <c r="O4938">
        <v>61.417760731033397</v>
      </c>
      <c r="P4938">
        <v>-9.7573418923407804E-2</v>
      </c>
      <c r="Q4938">
        <v>0.18866692309635</v>
      </c>
      <c r="R4938">
        <v>0.97507827973841099</v>
      </c>
      <c r="S4938" t="s">
        <v>10764</v>
      </c>
      <c r="T4938" t="s">
        <v>11650</v>
      </c>
      <c r="U4938" t="s">
        <v>11650</v>
      </c>
      <c r="V4938" t="s">
        <v>11650</v>
      </c>
      <c r="W4938" t="s">
        <v>16533</v>
      </c>
      <c r="X4938">
        <v>2</v>
      </c>
      <c r="Y4938" t="s">
        <v>22202</v>
      </c>
      <c r="Z4938" t="s">
        <v>28000</v>
      </c>
      <c r="AA4938">
        <v>0.77953427549856491</v>
      </c>
      <c r="AB4938" t="str">
        <f>HYPERLINK("Melting_Curves/meltCurve_Q9H061_TMEM126A.pdf", "Melting_Curves/meltCurve_Q9H061_TMEM126A.pdf")</f>
        <v>Melting_Curves/meltCurve_Q9H061_TMEM126A.pdf</v>
      </c>
    </row>
    <row r="4939" spans="1:28" x14ac:dyDescent="0.25">
      <c r="A4939" t="s">
        <v>4943</v>
      </c>
      <c r="B4939">
        <v>0.99996721820229495</v>
      </c>
      <c r="C4939">
        <v>1.0378978252795801</v>
      </c>
      <c r="D4939">
        <v>1.09500832537282</v>
      </c>
      <c r="E4939">
        <v>1.21674336851105</v>
      </c>
      <c r="F4939">
        <v>1.28794152014557</v>
      </c>
      <c r="G4939">
        <v>0.933851224175269</v>
      </c>
      <c r="H4939">
        <v>0.363989592577108</v>
      </c>
      <c r="I4939">
        <v>0.17077588667474899</v>
      </c>
      <c r="J4939">
        <v>8.7865631811068504E-2</v>
      </c>
      <c r="K4939">
        <v>7.4674181751078206E-2</v>
      </c>
      <c r="L4939">
        <v>2928.6568187052098</v>
      </c>
      <c r="M4939">
        <v>48.817349636445698</v>
      </c>
      <c r="N4939">
        <v>60.246018545660299</v>
      </c>
      <c r="O4939">
        <v>59.891721351174397</v>
      </c>
      <c r="P4939">
        <v>-0.184828357374587</v>
      </c>
      <c r="Q4939">
        <v>9.2971872575864298E-2</v>
      </c>
      <c r="R4939">
        <v>0.93431108421856801</v>
      </c>
      <c r="S4939" t="s">
        <v>10765</v>
      </c>
      <c r="T4939" t="s">
        <v>11650</v>
      </c>
      <c r="U4939" t="s">
        <v>11650</v>
      </c>
      <c r="V4939" t="s">
        <v>11650</v>
      </c>
      <c r="W4939" t="s">
        <v>16534</v>
      </c>
      <c r="X4939">
        <v>11</v>
      </c>
      <c r="Y4939" t="s">
        <v>22203</v>
      </c>
      <c r="Z4939" t="s">
        <v>28001</v>
      </c>
      <c r="AA4939">
        <v>0.69988852420173076</v>
      </c>
      <c r="AB4939" t="str">
        <f>HYPERLINK("Melting_Curves/meltCurve_Q9H074_PAIP1.pdf", "Melting_Curves/meltCurve_Q9H074_PAIP1.pdf")</f>
        <v>Melting_Curves/meltCurve_Q9H074_PAIP1.pdf</v>
      </c>
    </row>
    <row r="4940" spans="1:28" x14ac:dyDescent="0.25">
      <c r="A4940" t="s">
        <v>4944</v>
      </c>
      <c r="B4940">
        <v>0.99996721820229495</v>
      </c>
      <c r="C4940">
        <v>1.0773398188915999</v>
      </c>
      <c r="D4940">
        <v>1.05373164221527</v>
      </c>
      <c r="E4940">
        <v>1.1429051520993301</v>
      </c>
      <c r="F4940">
        <v>0.57504625830982703</v>
      </c>
      <c r="G4940">
        <v>0.40842856835445601</v>
      </c>
      <c r="H4940">
        <v>0.249382591623349</v>
      </c>
      <c r="I4940">
        <v>0.194778045024356</v>
      </c>
      <c r="J4940">
        <v>0.123460636698211</v>
      </c>
      <c r="K4940">
        <v>9.3090244871000094E-2</v>
      </c>
      <c r="L4940">
        <v>1461.04420105754</v>
      </c>
      <c r="M4940">
        <v>26.874859567611399</v>
      </c>
      <c r="N4940">
        <v>55.1186704786316</v>
      </c>
      <c r="O4940">
        <v>54.066387357496602</v>
      </c>
      <c r="P4940">
        <v>-0.105155616689382</v>
      </c>
      <c r="Q4940">
        <v>0.153807382176991</v>
      </c>
      <c r="R4940">
        <v>0.94696486191385298</v>
      </c>
      <c r="S4940" t="s">
        <v>10766</v>
      </c>
      <c r="T4940" t="s">
        <v>11650</v>
      </c>
      <c r="U4940" t="s">
        <v>11650</v>
      </c>
      <c r="V4940" t="s">
        <v>11650</v>
      </c>
      <c r="W4940" t="s">
        <v>16535</v>
      </c>
      <c r="X4940">
        <v>14</v>
      </c>
      <c r="Y4940" t="s">
        <v>22204</v>
      </c>
      <c r="Z4940" t="s">
        <v>28002</v>
      </c>
      <c r="AA4940">
        <v>0.5658512839108375</v>
      </c>
      <c r="AB4940" t="str">
        <f>HYPERLINK("Melting_Curves/meltCurve_Q9H078_2_CLPB.pdf", "Melting_Curves/meltCurve_Q9H078_2_CLPB.pdf")</f>
        <v>Melting_Curves/meltCurve_Q9H078_2_CLPB.pdf</v>
      </c>
    </row>
    <row r="4941" spans="1:28" x14ac:dyDescent="0.25">
      <c r="A4941" t="s">
        <v>4945</v>
      </c>
      <c r="B4941">
        <v>0.99996721820229495</v>
      </c>
      <c r="C4941">
        <v>0.67056077304981199</v>
      </c>
      <c r="D4941">
        <v>0.71026750819627704</v>
      </c>
      <c r="E4941">
        <v>0.70667572998206296</v>
      </c>
      <c r="F4941">
        <v>0.74294408043647198</v>
      </c>
      <c r="G4941">
        <v>0.390673206870641</v>
      </c>
      <c r="H4941">
        <v>0.210487641289687</v>
      </c>
      <c r="I4941">
        <v>8.4383099937689096E-2</v>
      </c>
      <c r="J4941">
        <v>3.3480213242590103E-2</v>
      </c>
      <c r="K4941">
        <v>5.7183175116295802E-2</v>
      </c>
      <c r="L4941">
        <v>504.554810573743</v>
      </c>
      <c r="M4941">
        <v>9.4096170223110107</v>
      </c>
      <c r="N4941">
        <v>53.621184070570898</v>
      </c>
      <c r="O4941">
        <v>51.366661636253397</v>
      </c>
      <c r="P4941">
        <v>-4.5824414686554099E-2</v>
      </c>
      <c r="Q4941">
        <v>0</v>
      </c>
      <c r="R4941">
        <v>0.86791950567819698</v>
      </c>
      <c r="S4941" t="s">
        <v>10767</v>
      </c>
      <c r="T4941" t="s">
        <v>11650</v>
      </c>
      <c r="U4941" t="s">
        <v>11650</v>
      </c>
      <c r="V4941" t="s">
        <v>11650</v>
      </c>
      <c r="W4941" t="s">
        <v>16536</v>
      </c>
      <c r="X4941">
        <v>3</v>
      </c>
      <c r="Y4941" t="s">
        <v>22205</v>
      </c>
      <c r="Z4941" t="s">
        <v>28003</v>
      </c>
      <c r="AA4941">
        <v>0.48724587925657392</v>
      </c>
      <c r="AB4941" t="str">
        <f>HYPERLINK("Melting_Curves/meltCurve_Q9H082_RAB33B.pdf", "Melting_Curves/meltCurve_Q9H082_RAB33B.pdf")</f>
        <v>Melting_Curves/meltCurve_Q9H082_RAB33B.pdf</v>
      </c>
    </row>
    <row r="4942" spans="1:28" x14ac:dyDescent="0.25">
      <c r="A4942" t="s">
        <v>4946</v>
      </c>
      <c r="B4942">
        <v>0.99996721820229495</v>
      </c>
      <c r="C4942">
        <v>1.0735145417617</v>
      </c>
      <c r="D4942">
        <v>1.01284103810458</v>
      </c>
      <c r="E4942">
        <v>1.01287409658667</v>
      </c>
      <c r="F4942">
        <v>1.30066333381861</v>
      </c>
      <c r="G4942">
        <v>1.52779838138609</v>
      </c>
      <c r="H4942">
        <v>1.1451667423345</v>
      </c>
      <c r="I4942">
        <v>1.2888122429606901</v>
      </c>
      <c r="J4942">
        <v>1.2892011345502601</v>
      </c>
      <c r="K4942">
        <v>0.87039521095251704</v>
      </c>
      <c r="L4942">
        <v>12642.800229578201</v>
      </c>
      <c r="M4942">
        <v>250</v>
      </c>
      <c r="O4942">
        <v>50.567963837202903</v>
      </c>
      <c r="P4942">
        <v>0.29293047699625102</v>
      </c>
      <c r="Q4942">
        <v>1.2370063680334999</v>
      </c>
      <c r="R4942">
        <v>0.30378719135104698</v>
      </c>
      <c r="S4942" t="s">
        <v>10768</v>
      </c>
      <c r="T4942" t="s">
        <v>11650</v>
      </c>
      <c r="U4942" t="s">
        <v>11650</v>
      </c>
      <c r="V4942" t="s">
        <v>11650</v>
      </c>
      <c r="W4942" t="s">
        <v>16537</v>
      </c>
      <c r="X4942">
        <v>11</v>
      </c>
      <c r="Y4942" t="s">
        <v>22206</v>
      </c>
      <c r="Z4942" t="s">
        <v>28004</v>
      </c>
      <c r="AA4942">
        <v>1.1534706021423491</v>
      </c>
      <c r="AB4942" t="str">
        <f>HYPERLINK("Melting_Curves/meltCurve_Q9H098_FAM107B.pdf", "Melting_Curves/meltCurve_Q9H098_FAM107B.pdf")</f>
        <v>Melting_Curves/meltCurve_Q9H098_FAM107B.pdf</v>
      </c>
    </row>
    <row r="4943" spans="1:28" x14ac:dyDescent="0.25">
      <c r="A4943" t="s">
        <v>4947</v>
      </c>
      <c r="B4943">
        <v>0.99996721820229495</v>
      </c>
      <c r="C4943">
        <v>1.0148175889434501</v>
      </c>
      <c r="D4943">
        <v>1.0878734856382399</v>
      </c>
      <c r="E4943">
        <v>1.03005649126264</v>
      </c>
      <c r="F4943">
        <v>0.78475573428342804</v>
      </c>
      <c r="G4943">
        <v>0.80694455576411395</v>
      </c>
      <c r="H4943">
        <v>0.54108695729498901</v>
      </c>
      <c r="I4943">
        <v>0.44493073215433598</v>
      </c>
      <c r="J4943">
        <v>0.38761614933070498</v>
      </c>
      <c r="K4943">
        <v>0.272951059808273</v>
      </c>
      <c r="L4943">
        <v>834.60519649281196</v>
      </c>
      <c r="M4943">
        <v>13.8109965008915</v>
      </c>
      <c r="N4943">
        <v>62.568411241400199</v>
      </c>
      <c r="O4943">
        <v>59.205804487324798</v>
      </c>
      <c r="P4943">
        <v>-4.7354994125068099E-2</v>
      </c>
      <c r="Q4943">
        <v>0.188096427620804</v>
      </c>
      <c r="R4943">
        <v>0.95967134696939904</v>
      </c>
      <c r="S4943" t="s">
        <v>10769</v>
      </c>
      <c r="T4943" t="s">
        <v>11650</v>
      </c>
      <c r="U4943" t="s">
        <v>11650</v>
      </c>
      <c r="V4943" t="s">
        <v>11650</v>
      </c>
      <c r="W4943" t="s">
        <v>16538</v>
      </c>
      <c r="X4943">
        <v>9</v>
      </c>
      <c r="Y4943" t="s">
        <v>22207</v>
      </c>
      <c r="Z4943" t="s">
        <v>28005</v>
      </c>
      <c r="AA4943">
        <v>0.74386686083001152</v>
      </c>
      <c r="AB4943" t="str">
        <f>HYPERLINK("Melting_Curves/meltCurve_Q9H0B6_2_KLC2.pdf", "Melting_Curves/meltCurve_Q9H0B6_2_KLC2.pdf")</f>
        <v>Melting_Curves/meltCurve_Q9H0B6_2_KLC2.pdf</v>
      </c>
    </row>
    <row r="4944" spans="1:28" x14ac:dyDescent="0.25">
      <c r="A4944" t="s">
        <v>4948</v>
      </c>
      <c r="B4944">
        <v>0.99996721820229495</v>
      </c>
      <c r="C4944">
        <v>0.94495175568836498</v>
      </c>
      <c r="D4944">
        <v>0.74812587423577903</v>
      </c>
      <c r="E4944">
        <v>0.42565135018863298</v>
      </c>
      <c r="F4944">
        <v>0.41460462418286298</v>
      </c>
      <c r="G4944">
        <v>0.34362718663445302</v>
      </c>
      <c r="H4944">
        <v>0.196920681536155</v>
      </c>
      <c r="I4944">
        <v>0.14214058129210599</v>
      </c>
      <c r="J4944">
        <v>9.6766113324127406E-2</v>
      </c>
      <c r="K4944">
        <v>6.3986777501891703E-2</v>
      </c>
      <c r="L4944">
        <v>575.72846849166103</v>
      </c>
      <c r="M4944">
        <v>11.506758169455001</v>
      </c>
      <c r="N4944">
        <v>50.7139350855971</v>
      </c>
      <c r="O4944">
        <v>48.594355819544198</v>
      </c>
      <c r="P4944">
        <v>-5.49817104548753E-2</v>
      </c>
      <c r="Q4944">
        <v>7.1487126519746799E-2</v>
      </c>
      <c r="R4944">
        <v>0.97198963726582799</v>
      </c>
      <c r="S4944" t="s">
        <v>10770</v>
      </c>
      <c r="T4944" t="s">
        <v>11650</v>
      </c>
      <c r="U4944" t="s">
        <v>11650</v>
      </c>
      <c r="V4944" t="s">
        <v>11650</v>
      </c>
      <c r="W4944" t="s">
        <v>16539</v>
      </c>
      <c r="X4944">
        <v>12</v>
      </c>
      <c r="Y4944" t="s">
        <v>22208</v>
      </c>
      <c r="Z4944" t="s">
        <v>28006</v>
      </c>
      <c r="AA4944">
        <v>0.41625429279294562</v>
      </c>
      <c r="AB4944" t="str">
        <f>HYPERLINK("Melting_Curves/meltCurve_Q9H0C8_ILKAP.pdf", "Melting_Curves/meltCurve_Q9H0C8_ILKAP.pdf")</f>
        <v>Melting_Curves/meltCurve_Q9H0C8_ILKAP.pdf</v>
      </c>
    </row>
    <row r="4945" spans="1:28" x14ac:dyDescent="0.25">
      <c r="A4945" t="s">
        <v>4949</v>
      </c>
      <c r="B4945">
        <v>0.99996721820229495</v>
      </c>
      <c r="C4945">
        <v>0.98788537470040305</v>
      </c>
      <c r="D4945">
        <v>1.07394871314792</v>
      </c>
      <c r="E4945">
        <v>1.2453246716548401</v>
      </c>
      <c r="F4945">
        <v>1.69236819042041</v>
      </c>
      <c r="G4945">
        <v>1.95703783481931</v>
      </c>
      <c r="H4945">
        <v>1.3329508676130799</v>
      </c>
      <c r="I4945">
        <v>0.79050826047272005</v>
      </c>
      <c r="J4945">
        <v>0.36813526052499501</v>
      </c>
      <c r="K4945">
        <v>0.17394451247634601</v>
      </c>
      <c r="L4945">
        <v>4071.14902446</v>
      </c>
      <c r="M4945">
        <v>62.177523018490596</v>
      </c>
      <c r="N4945">
        <v>65.941147626959904</v>
      </c>
      <c r="O4945">
        <v>65.408590211661803</v>
      </c>
      <c r="P4945">
        <v>-0.195476064752549</v>
      </c>
      <c r="Q4945">
        <v>0.17746423779212001</v>
      </c>
      <c r="R4945">
        <v>0.40511157079455701</v>
      </c>
      <c r="S4945" t="s">
        <v>10771</v>
      </c>
      <c r="T4945" t="s">
        <v>11650</v>
      </c>
      <c r="U4945" t="s">
        <v>11650</v>
      </c>
      <c r="V4945" t="s">
        <v>11650</v>
      </c>
      <c r="W4945" t="s">
        <v>16540</v>
      </c>
      <c r="X4945">
        <v>15</v>
      </c>
      <c r="Y4945" t="s">
        <v>22209</v>
      </c>
      <c r="Z4945" t="s">
        <v>28007</v>
      </c>
      <c r="AA4945">
        <v>0.87689108713557895</v>
      </c>
      <c r="AB4945" t="str">
        <f>HYPERLINK("Melting_Curves/meltCurve_Q9H0D6_XRN2.pdf", "Melting_Curves/meltCurve_Q9H0D6_XRN2.pdf")</f>
        <v>Melting_Curves/meltCurve_Q9H0D6_XRN2.pdf</v>
      </c>
    </row>
    <row r="4946" spans="1:28" x14ac:dyDescent="0.25">
      <c r="A4946" t="s">
        <v>4950</v>
      </c>
      <c r="B4946">
        <v>0.99996721820229495</v>
      </c>
      <c r="C4946">
        <v>1.00124833687169</v>
      </c>
      <c r="D4946">
        <v>0.94561413639175196</v>
      </c>
      <c r="E4946">
        <v>0.90675122155628796</v>
      </c>
      <c r="F4946">
        <v>0.467366475033128</v>
      </c>
      <c r="G4946">
        <v>0.31679479537731198</v>
      </c>
      <c r="H4946">
        <v>0.19732888783602201</v>
      </c>
      <c r="I4946">
        <v>0.12630708952796299</v>
      </c>
      <c r="J4946">
        <v>8.8849146442474797E-2</v>
      </c>
      <c r="K4946">
        <v>7.5501248631545795E-2</v>
      </c>
      <c r="L4946">
        <v>1178.0320946556401</v>
      </c>
      <c r="M4946">
        <v>22.194567982642901</v>
      </c>
      <c r="N4946">
        <v>53.647730931065702</v>
      </c>
      <c r="O4946">
        <v>52.652244602493703</v>
      </c>
      <c r="P4946">
        <v>-9.4311799010845701E-2</v>
      </c>
      <c r="Q4946">
        <v>0.105074644402914</v>
      </c>
      <c r="R4946">
        <v>0.98404530455148798</v>
      </c>
      <c r="S4946" t="s">
        <v>10772</v>
      </c>
      <c r="T4946" t="s">
        <v>11650</v>
      </c>
      <c r="U4946" t="s">
        <v>11650</v>
      </c>
      <c r="V4946" t="s">
        <v>11650</v>
      </c>
      <c r="W4946" t="s">
        <v>16541</v>
      </c>
      <c r="X4946">
        <v>13</v>
      </c>
      <c r="Y4946" t="s">
        <v>22210</v>
      </c>
      <c r="Z4946" t="s">
        <v>28008</v>
      </c>
      <c r="AA4946">
        <v>0.50544267311562141</v>
      </c>
      <c r="AB4946" t="str">
        <f>HYPERLINK("Melting_Curves/meltCurve_Q9H0E2_TOLLIP.pdf", "Melting_Curves/meltCurve_Q9H0E2_TOLLIP.pdf")</f>
        <v>Melting_Curves/meltCurve_Q9H0E2_TOLLIP.pdf</v>
      </c>
    </row>
    <row r="4947" spans="1:28" x14ac:dyDescent="0.25">
      <c r="A4947" t="s">
        <v>4951</v>
      </c>
      <c r="B4947">
        <v>0.99996721820229495</v>
      </c>
      <c r="C4947">
        <v>0.92269568699376403</v>
      </c>
      <c r="D4947">
        <v>0.72463445025893103</v>
      </c>
      <c r="E4947">
        <v>0.49264986207348499</v>
      </c>
      <c r="F4947">
        <v>0.46817439866219002</v>
      </c>
      <c r="G4947">
        <v>0.38474663252793001</v>
      </c>
      <c r="H4947">
        <v>0.24121731548872799</v>
      </c>
      <c r="I4947">
        <v>0.13621538080432199</v>
      </c>
      <c r="J4947">
        <v>0.13523129343792101</v>
      </c>
      <c r="K4947">
        <v>6.9140676178782501E-2</v>
      </c>
      <c r="L4947">
        <v>465.78778811003298</v>
      </c>
      <c r="M4947">
        <v>9.0037184457333392</v>
      </c>
      <c r="N4947">
        <v>51.902433863289602</v>
      </c>
      <c r="O4947">
        <v>49.372080810021401</v>
      </c>
      <c r="P4947">
        <v>-4.4962751157324003E-2</v>
      </c>
      <c r="Q4947">
        <v>1.44978049111886E-2</v>
      </c>
      <c r="R4947">
        <v>0.97523107252077701</v>
      </c>
      <c r="S4947" t="s">
        <v>10773</v>
      </c>
      <c r="T4947" t="s">
        <v>11650</v>
      </c>
      <c r="U4947" t="s">
        <v>11650</v>
      </c>
      <c r="V4947" t="s">
        <v>11650</v>
      </c>
      <c r="W4947" t="s">
        <v>16542</v>
      </c>
      <c r="X4947">
        <v>3</v>
      </c>
      <c r="Y4947" t="s">
        <v>22211</v>
      </c>
      <c r="Z4947" t="s">
        <v>28009</v>
      </c>
      <c r="AA4947">
        <v>0.44286538027444122</v>
      </c>
      <c r="AB4947" t="str">
        <f>HYPERLINK("Melting_Curves/meltCurve_Q9H0F6_SHARPIN.pdf", "Melting_Curves/meltCurve_Q9H0F6_SHARPIN.pdf")</f>
        <v>Melting_Curves/meltCurve_Q9H0F6_SHARPIN.pdf</v>
      </c>
    </row>
    <row r="4948" spans="1:28" x14ac:dyDescent="0.25">
      <c r="A4948" t="s">
        <v>4952</v>
      </c>
      <c r="B4948">
        <v>0.99996721820229495</v>
      </c>
      <c r="C4948">
        <v>1.00425633293615</v>
      </c>
      <c r="D4948">
        <v>0.821174767729281</v>
      </c>
      <c r="E4948">
        <v>0.41333266478706099</v>
      </c>
      <c r="F4948">
        <v>0.32729614179626798</v>
      </c>
      <c r="G4948">
        <v>0.26446388024119999</v>
      </c>
      <c r="H4948">
        <v>0.12787178818812101</v>
      </c>
      <c r="I4948">
        <v>0.14561178347803999</v>
      </c>
      <c r="J4948">
        <v>8.5739750863781106E-2</v>
      </c>
      <c r="K4948">
        <v>0.109953932588034</v>
      </c>
      <c r="L4948">
        <v>952.29477311248399</v>
      </c>
      <c r="M4948">
        <v>19.4447501819871</v>
      </c>
      <c r="N4948">
        <v>49.730364976744802</v>
      </c>
      <c r="O4948">
        <v>48.465237242534499</v>
      </c>
      <c r="P4948">
        <v>-8.7471722972207594E-2</v>
      </c>
      <c r="Q4948">
        <v>0.12795320727764301</v>
      </c>
      <c r="R4948">
        <v>0.98457332355048299</v>
      </c>
      <c r="S4948" t="s">
        <v>10774</v>
      </c>
      <c r="T4948" t="s">
        <v>11650</v>
      </c>
      <c r="U4948" t="s">
        <v>11650</v>
      </c>
      <c r="V4948" t="s">
        <v>11650</v>
      </c>
      <c r="W4948" t="s">
        <v>16543</v>
      </c>
      <c r="X4948">
        <v>1</v>
      </c>
      <c r="Y4948" t="s">
        <v>22212</v>
      </c>
      <c r="Z4948" t="s">
        <v>28010</v>
      </c>
      <c r="AA4948">
        <v>0.40176015254957259</v>
      </c>
      <c r="AB4948" t="str">
        <f>HYPERLINK("Melting_Curves/meltCurve_Q9H0F7_ARL6.pdf", "Melting_Curves/meltCurve_Q9H0F7_ARL6.pdf")</f>
        <v>Melting_Curves/meltCurve_Q9H0F7_ARL6.pdf</v>
      </c>
    </row>
    <row r="4949" spans="1:28" x14ac:dyDescent="0.25">
      <c r="A4949" t="s">
        <v>4953</v>
      </c>
      <c r="B4949">
        <v>0.99996721820229495</v>
      </c>
      <c r="C4949">
        <v>0.89328445713252502</v>
      </c>
      <c r="D4949">
        <v>0.86938897673801296</v>
      </c>
      <c r="E4949">
        <v>0.96321401206261403</v>
      </c>
      <c r="F4949">
        <v>1.30091753973486</v>
      </c>
      <c r="G4949">
        <v>0.96494237637364</v>
      </c>
      <c r="H4949">
        <v>0.57363633749955301</v>
      </c>
      <c r="I4949">
        <v>0.43553094412847199</v>
      </c>
      <c r="J4949">
        <v>0.360572887468182</v>
      </c>
      <c r="K4949">
        <v>0.29038613713793598</v>
      </c>
      <c r="L4949">
        <v>2626.1038254629898</v>
      </c>
      <c r="M4949">
        <v>43.501585001845797</v>
      </c>
      <c r="N4949">
        <v>61.958989980778099</v>
      </c>
      <c r="O4949">
        <v>60.240850134311799</v>
      </c>
      <c r="P4949">
        <v>-0.11980555900937299</v>
      </c>
      <c r="Q4949">
        <v>0.33637563579743801</v>
      </c>
      <c r="R4949">
        <v>0.87118716015296105</v>
      </c>
      <c r="S4949" t="s">
        <v>10775</v>
      </c>
      <c r="T4949" t="s">
        <v>11650</v>
      </c>
      <c r="U4949" t="s">
        <v>11650</v>
      </c>
      <c r="V4949" t="s">
        <v>11650</v>
      </c>
      <c r="W4949" t="s">
        <v>16544</v>
      </c>
      <c r="X4949">
        <v>8</v>
      </c>
      <c r="Y4949" t="s">
        <v>22213</v>
      </c>
      <c r="Z4949" t="s">
        <v>28011</v>
      </c>
      <c r="AA4949">
        <v>0.7891615223408498</v>
      </c>
      <c r="AB4949" t="str">
        <f>HYPERLINK("Melting_Curves/meltCurve_Q9H0G5_NSRP1.pdf", "Melting_Curves/meltCurve_Q9H0G5_NSRP1.pdf")</f>
        <v>Melting_Curves/meltCurve_Q9H0G5_NSRP1.pdf</v>
      </c>
    </row>
    <row r="4950" spans="1:28" x14ac:dyDescent="0.25">
      <c r="A4950" t="s">
        <v>4954</v>
      </c>
      <c r="B4950">
        <v>0.99996721820229495</v>
      </c>
      <c r="C4950">
        <v>0.86878764122889796</v>
      </c>
      <c r="D4950">
        <v>0.76790433733117403</v>
      </c>
      <c r="E4950">
        <v>0.87847174303479103</v>
      </c>
      <c r="F4950">
        <v>0.944828324298431</v>
      </c>
      <c r="G4950">
        <v>0.58789261085024203</v>
      </c>
      <c r="H4950">
        <v>0.36528922283792498</v>
      </c>
      <c r="I4950">
        <v>0.26961107563414999</v>
      </c>
      <c r="J4950">
        <v>0.180501003907274</v>
      </c>
      <c r="K4950">
        <v>0.22318195195392199</v>
      </c>
      <c r="L4950">
        <v>1048.59476620032</v>
      </c>
      <c r="M4950">
        <v>18.251800300945401</v>
      </c>
      <c r="N4950">
        <v>58.650074906428998</v>
      </c>
      <c r="O4950">
        <v>56.775231349306203</v>
      </c>
      <c r="P4950">
        <v>-6.7862109516156593E-2</v>
      </c>
      <c r="Q4950">
        <v>0.15565435948504799</v>
      </c>
      <c r="R4950">
        <v>0.91122655840089894</v>
      </c>
      <c r="S4950" t="s">
        <v>10776</v>
      </c>
      <c r="T4950" t="s">
        <v>11650</v>
      </c>
      <c r="U4950" t="s">
        <v>11650</v>
      </c>
      <c r="V4950" t="s">
        <v>11650</v>
      </c>
      <c r="W4950" t="s">
        <v>16545</v>
      </c>
      <c r="X4950">
        <v>11</v>
      </c>
      <c r="Y4950" t="s">
        <v>22214</v>
      </c>
      <c r="Z4950" t="s">
        <v>28012</v>
      </c>
      <c r="AA4950">
        <v>0.65780185332847407</v>
      </c>
      <c r="AB4950" t="str">
        <f>HYPERLINK("Melting_Curves/meltCurve_Q9H0L4_CSTF2T.pdf", "Melting_Curves/meltCurve_Q9H0L4_CSTF2T.pdf")</f>
        <v>Melting_Curves/meltCurve_Q9H0L4_CSTF2T.pdf</v>
      </c>
    </row>
    <row r="4951" spans="1:28" x14ac:dyDescent="0.25">
      <c r="A4951" t="s">
        <v>4955</v>
      </c>
      <c r="B4951">
        <v>0.99996721820229495</v>
      </c>
      <c r="C4951">
        <v>0.75141703095305101</v>
      </c>
      <c r="D4951">
        <v>1.1294583254959301</v>
      </c>
      <c r="E4951">
        <v>1.3984043374878601</v>
      </c>
      <c r="F4951">
        <v>1.78960999962902</v>
      </c>
      <c r="G4951">
        <v>1.9068573654260701</v>
      </c>
      <c r="H4951">
        <v>1.2368444382886601</v>
      </c>
      <c r="I4951">
        <v>0.379324644015051</v>
      </c>
      <c r="J4951">
        <v>0.155258221304864</v>
      </c>
      <c r="K4951">
        <v>0.120365590367617</v>
      </c>
      <c r="L4951">
        <v>15000</v>
      </c>
      <c r="M4951">
        <v>235.31865646205301</v>
      </c>
      <c r="N4951">
        <v>63.830806179647197</v>
      </c>
      <c r="O4951">
        <v>63.738770921777601</v>
      </c>
      <c r="P4951">
        <v>-0.79579517244671005</v>
      </c>
      <c r="Q4951">
        <v>0.137799120040551</v>
      </c>
      <c r="R4951">
        <v>0.518052497859395</v>
      </c>
      <c r="S4951" t="s">
        <v>10777</v>
      </c>
      <c r="T4951" t="s">
        <v>11650</v>
      </c>
      <c r="U4951" t="s">
        <v>11650</v>
      </c>
      <c r="V4951" t="s">
        <v>11650</v>
      </c>
      <c r="W4951" t="s">
        <v>16546</v>
      </c>
      <c r="X4951">
        <v>3</v>
      </c>
      <c r="Y4951" t="s">
        <v>22215</v>
      </c>
      <c r="Z4951" t="s">
        <v>28013</v>
      </c>
      <c r="AA4951">
        <v>0.82029262594331642</v>
      </c>
      <c r="AB4951" t="str">
        <f>HYPERLINK("Melting_Curves/meltCurve_Q9H0N0_RAB6C.pdf", "Melting_Curves/meltCurve_Q9H0N0_RAB6C.pdf")</f>
        <v>Melting_Curves/meltCurve_Q9H0N0_RAB6C.pdf</v>
      </c>
    </row>
    <row r="4952" spans="1:28" x14ac:dyDescent="0.25">
      <c r="A4952" t="s">
        <v>4956</v>
      </c>
      <c r="B4952">
        <v>0.99996721820229495</v>
      </c>
      <c r="C4952">
        <v>1.3081579919070201</v>
      </c>
      <c r="D4952">
        <v>1.1639713505063001</v>
      </c>
      <c r="E4952">
        <v>0.67438636776432903</v>
      </c>
      <c r="F4952">
        <v>0.293034216244899</v>
      </c>
      <c r="G4952">
        <v>0.238781715772176</v>
      </c>
      <c r="H4952">
        <v>0.130833046963409</v>
      </c>
      <c r="I4952">
        <v>0.107029311881498</v>
      </c>
      <c r="J4952">
        <v>7.3090618510686906E-2</v>
      </c>
      <c r="K4952">
        <v>4.1879045835537997E-2</v>
      </c>
      <c r="L4952">
        <v>1888.3767370872599</v>
      </c>
      <c r="M4952">
        <v>37.068608708339298</v>
      </c>
      <c r="N4952">
        <v>51.301247370301198</v>
      </c>
      <c r="O4952">
        <v>50.795169964313502</v>
      </c>
      <c r="P4952">
        <v>-0.16162431802261801</v>
      </c>
      <c r="Q4952">
        <v>0.114106376964318</v>
      </c>
      <c r="R4952">
        <v>0.93182206531400202</v>
      </c>
      <c r="S4952" t="s">
        <v>10778</v>
      </c>
      <c r="T4952" t="s">
        <v>11650</v>
      </c>
      <c r="U4952" t="s">
        <v>11650</v>
      </c>
      <c r="V4952" t="s">
        <v>11650</v>
      </c>
      <c r="W4952" t="s">
        <v>16547</v>
      </c>
      <c r="X4952">
        <v>3</v>
      </c>
      <c r="Y4952" t="s">
        <v>22216</v>
      </c>
      <c r="Z4952" t="s">
        <v>28014</v>
      </c>
      <c r="AA4952">
        <v>0.44087964902835741</v>
      </c>
      <c r="AB4952" t="str">
        <f>HYPERLINK("Melting_Curves/meltCurve_Q9H0Q0_FAM49A.pdf", "Melting_Curves/meltCurve_Q9H0Q0_FAM49A.pdf")</f>
        <v>Melting_Curves/meltCurve_Q9H0Q0_FAM49A.pdf</v>
      </c>
    </row>
    <row r="4953" spans="1:28" x14ac:dyDescent="0.25">
      <c r="A4953" t="s">
        <v>4957</v>
      </c>
      <c r="B4953">
        <v>0.99996721820229495</v>
      </c>
      <c r="C4953">
        <v>0.94318607933151299</v>
      </c>
      <c r="D4953">
        <v>0.86433675824687295</v>
      </c>
      <c r="E4953">
        <v>0.79446363803642595</v>
      </c>
      <c r="F4953">
        <v>0.941330452081799</v>
      </c>
      <c r="G4953">
        <v>0.69176857513551804</v>
      </c>
      <c r="H4953">
        <v>0.51146797869232796</v>
      </c>
      <c r="I4953">
        <v>0.50431025481114899</v>
      </c>
      <c r="J4953">
        <v>0.369642110921165</v>
      </c>
      <c r="K4953">
        <v>0.141378669814955</v>
      </c>
      <c r="L4953">
        <v>580.11740723678997</v>
      </c>
      <c r="M4953">
        <v>9.3561042083644406</v>
      </c>
      <c r="N4953">
        <v>62.004146883893902</v>
      </c>
      <c r="O4953">
        <v>59.369340484333101</v>
      </c>
      <c r="P4953">
        <v>-3.9422574254381802E-2</v>
      </c>
      <c r="Q4953">
        <v>0</v>
      </c>
      <c r="R4953">
        <v>0.92237043722206002</v>
      </c>
      <c r="S4953" t="s">
        <v>10779</v>
      </c>
      <c r="T4953" t="s">
        <v>11650</v>
      </c>
      <c r="U4953" t="s">
        <v>11650</v>
      </c>
      <c r="V4953" t="s">
        <v>11650</v>
      </c>
      <c r="W4953" t="s">
        <v>16548</v>
      </c>
      <c r="X4953">
        <v>8</v>
      </c>
      <c r="Y4953" t="s">
        <v>22217</v>
      </c>
      <c r="Z4953" t="s">
        <v>28015</v>
      </c>
      <c r="AA4953">
        <v>0.70796771056032559</v>
      </c>
      <c r="AB4953" t="str">
        <f>HYPERLINK("Melting_Curves/meltCurve_Q9H0R4_HDHD2.pdf", "Melting_Curves/meltCurve_Q9H0R4_HDHD2.pdf")</f>
        <v>Melting_Curves/meltCurve_Q9H0R4_HDHD2.pdf</v>
      </c>
    </row>
    <row r="4954" spans="1:28" x14ac:dyDescent="0.25">
      <c r="A4954" t="s">
        <v>4958</v>
      </c>
      <c r="B4954">
        <v>0.99996721820229495</v>
      </c>
      <c r="C4954">
        <v>1.07105837069399</v>
      </c>
      <c r="D4954">
        <v>0.84608163202096898</v>
      </c>
      <c r="E4954">
        <v>0.31555914356174403</v>
      </c>
      <c r="F4954">
        <v>0.450884611913422</v>
      </c>
      <c r="G4954">
        <v>0.250250982850936</v>
      </c>
      <c r="H4954">
        <v>0.16517912237240401</v>
      </c>
      <c r="I4954">
        <v>9.8012163313141096E-2</v>
      </c>
      <c r="J4954">
        <v>0.13400105319561401</v>
      </c>
      <c r="K4954">
        <v>5.2876824205242097E-2</v>
      </c>
      <c r="L4954">
        <v>940.36688382542604</v>
      </c>
      <c r="M4954">
        <v>19.172130475140801</v>
      </c>
      <c r="N4954">
        <v>49.820229121208897</v>
      </c>
      <c r="O4954">
        <v>48.5243611843336</v>
      </c>
      <c r="P4954">
        <v>-8.6091242421848194E-2</v>
      </c>
      <c r="Q4954">
        <v>0.12845120622533701</v>
      </c>
      <c r="R4954">
        <v>0.940073576825738</v>
      </c>
      <c r="S4954" t="s">
        <v>10780</v>
      </c>
      <c r="T4954" t="s">
        <v>11650</v>
      </c>
      <c r="U4954" t="s">
        <v>11650</v>
      </c>
      <c r="V4954" t="s">
        <v>11650</v>
      </c>
      <c r="W4954" t="s">
        <v>16549</v>
      </c>
      <c r="X4954">
        <v>4</v>
      </c>
      <c r="Y4954" t="s">
        <v>22218</v>
      </c>
      <c r="Z4954" t="s">
        <v>28016</v>
      </c>
      <c r="AA4954">
        <v>0.40462093040866731</v>
      </c>
      <c r="AB4954" t="str">
        <f>HYPERLINK("Melting_Curves/meltCurve_Q9H0R6_QRSL1.pdf", "Melting_Curves/meltCurve_Q9H0R6_QRSL1.pdf")</f>
        <v>Melting_Curves/meltCurve_Q9H0R6_QRSL1.pdf</v>
      </c>
    </row>
    <row r="4955" spans="1:28" x14ac:dyDescent="0.25">
      <c r="A4955" t="s">
        <v>4959</v>
      </c>
      <c r="B4955">
        <v>0.99996721820229495</v>
      </c>
      <c r="C4955">
        <v>0.91737340971572201</v>
      </c>
      <c r="D4955">
        <v>0.94158697859615403</v>
      </c>
      <c r="E4955">
        <v>0.89305070088523297</v>
      </c>
      <c r="F4955">
        <v>0.98099576167573399</v>
      </c>
      <c r="G4955">
        <v>0.91782501608526801</v>
      </c>
      <c r="H4955">
        <v>0.59960734104640001</v>
      </c>
      <c r="I4955">
        <v>0.410356416648471</v>
      </c>
      <c r="J4955">
        <v>0.25608261600770499</v>
      </c>
      <c r="K4955">
        <v>0.13720441344870199</v>
      </c>
      <c r="L4955">
        <v>1285.5958874952</v>
      </c>
      <c r="M4955">
        <v>20.6501595856733</v>
      </c>
      <c r="N4955">
        <v>62.663802637595097</v>
      </c>
      <c r="O4955">
        <v>61.680972326656402</v>
      </c>
      <c r="P4955">
        <v>-7.8437067089624099E-2</v>
      </c>
      <c r="Q4955">
        <v>6.2876830357639094E-2</v>
      </c>
      <c r="R4955">
        <v>0.97586714803133301</v>
      </c>
      <c r="S4955" t="s">
        <v>10781</v>
      </c>
      <c r="T4955" t="s">
        <v>11650</v>
      </c>
      <c r="U4955" t="s">
        <v>11650</v>
      </c>
      <c r="V4955" t="s">
        <v>11650</v>
      </c>
      <c r="W4955" t="s">
        <v>16550</v>
      </c>
      <c r="X4955">
        <v>19</v>
      </c>
      <c r="Y4955" t="s">
        <v>22219</v>
      </c>
      <c r="Z4955" t="s">
        <v>28017</v>
      </c>
      <c r="AA4955">
        <v>0.76051559943446279</v>
      </c>
      <c r="AB4955" t="str">
        <f>HYPERLINK("Melting_Curves/meltCurve_Q9H0U4_RAB1B.pdf", "Melting_Curves/meltCurve_Q9H0U4_RAB1B.pdf")</f>
        <v>Melting_Curves/meltCurve_Q9H0U4_RAB1B.pdf</v>
      </c>
    </row>
    <row r="4956" spans="1:28" x14ac:dyDescent="0.25">
      <c r="A4956" t="s">
        <v>4960</v>
      </c>
      <c r="B4956">
        <v>0.99996721820229495</v>
      </c>
      <c r="C4956">
        <v>1.02403050084884</v>
      </c>
      <c r="D4956">
        <v>1.0022666245640399</v>
      </c>
      <c r="E4956">
        <v>1.05756826608211</v>
      </c>
      <c r="F4956">
        <v>1.1636697166443599</v>
      </c>
      <c r="G4956">
        <v>1.47176281094647</v>
      </c>
      <c r="H4956">
        <v>0.99966645131654996</v>
      </c>
      <c r="I4956">
        <v>0.93704952772754602</v>
      </c>
      <c r="J4956">
        <v>0.81871397162766002</v>
      </c>
      <c r="K4956">
        <v>0.61505938111335601</v>
      </c>
      <c r="L4956">
        <v>2598.22048105984</v>
      </c>
      <c r="M4956">
        <v>38.234549360619098</v>
      </c>
      <c r="O4956">
        <v>67.769689425925094</v>
      </c>
      <c r="P4956">
        <v>-7.1853589983579394E-2</v>
      </c>
      <c r="Q4956">
        <v>0.49056720919635699</v>
      </c>
      <c r="R4956">
        <v>0.41937163772505798</v>
      </c>
      <c r="S4956" t="s">
        <v>10782</v>
      </c>
      <c r="T4956" t="s">
        <v>11650</v>
      </c>
      <c r="U4956" t="s">
        <v>11650</v>
      </c>
      <c r="V4956" t="s">
        <v>11650</v>
      </c>
      <c r="W4956" t="s">
        <v>16551</v>
      </c>
      <c r="X4956">
        <v>3</v>
      </c>
      <c r="Y4956" t="s">
        <v>22220</v>
      </c>
      <c r="Z4956" t="s">
        <v>28018</v>
      </c>
      <c r="AA4956">
        <v>0.95825240326790617</v>
      </c>
      <c r="AB4956" t="str">
        <f>HYPERLINK("Melting_Curves/meltCurve_Q9H0U9_TSPYL1.pdf", "Melting_Curves/meltCurve_Q9H0U9_TSPYL1.pdf")</f>
        <v>Melting_Curves/meltCurve_Q9H0U9_TSPYL1.pdf</v>
      </c>
    </row>
    <row r="4957" spans="1:28" x14ac:dyDescent="0.25">
      <c r="A4957" t="s">
        <v>4961</v>
      </c>
      <c r="B4957">
        <v>0.99996721820229495</v>
      </c>
      <c r="C4957">
        <v>0.99000415567471001</v>
      </c>
      <c r="D4957">
        <v>0.93194032762377899</v>
      </c>
      <c r="E4957">
        <v>0.93607822169347599</v>
      </c>
      <c r="F4957">
        <v>0.55539187990505701</v>
      </c>
      <c r="G4957">
        <v>0.38728034738765499</v>
      </c>
      <c r="H4957">
        <v>0.22557677430966899</v>
      </c>
      <c r="I4957">
        <v>0.16913070927617499</v>
      </c>
      <c r="J4957">
        <v>0.120847163185169</v>
      </c>
      <c r="K4957">
        <v>0.117494705428682</v>
      </c>
      <c r="L4957">
        <v>1033.8991173760701</v>
      </c>
      <c r="M4957">
        <v>19.143570910384899</v>
      </c>
      <c r="N4957">
        <v>54.780935312865402</v>
      </c>
      <c r="O4957">
        <v>53.428664867667301</v>
      </c>
      <c r="P4957">
        <v>-7.8972875270909099E-2</v>
      </c>
      <c r="Q4957">
        <v>0.11839812036009401</v>
      </c>
      <c r="R4957">
        <v>0.98590438589171303</v>
      </c>
      <c r="S4957" t="s">
        <v>10783</v>
      </c>
      <c r="T4957" t="s">
        <v>11650</v>
      </c>
      <c r="U4957" t="s">
        <v>11650</v>
      </c>
      <c r="V4957" t="s">
        <v>11650</v>
      </c>
      <c r="W4957" t="s">
        <v>16552</v>
      </c>
      <c r="X4957">
        <v>10</v>
      </c>
      <c r="Y4957" t="s">
        <v>22221</v>
      </c>
      <c r="Z4957" t="s">
        <v>28019</v>
      </c>
      <c r="AA4957">
        <v>0.54287787515811703</v>
      </c>
      <c r="AB4957" t="str">
        <f>HYPERLINK("Melting_Curves/meltCurve_Q9H0V9_LMAN2L.pdf", "Melting_Curves/meltCurve_Q9H0V9_LMAN2L.pdf")</f>
        <v>Melting_Curves/meltCurve_Q9H0V9_LMAN2L.pdf</v>
      </c>
    </row>
    <row r="4958" spans="1:28" x14ac:dyDescent="0.25">
      <c r="A4958" t="s">
        <v>4962</v>
      </c>
      <c r="B4958">
        <v>0.99996721820229495</v>
      </c>
      <c r="C4958">
        <v>0.98812616936842301</v>
      </c>
      <c r="D4958">
        <v>0.70629180735240304</v>
      </c>
      <c r="E4958">
        <v>0.350993832686678</v>
      </c>
      <c r="F4958">
        <v>0.38743175101014998</v>
      </c>
      <c r="G4958">
        <v>0.36912959603776901</v>
      </c>
      <c r="H4958">
        <v>0.26001832089243798</v>
      </c>
      <c r="I4958">
        <v>0.25833083377650101</v>
      </c>
      <c r="J4958">
        <v>0.219667827791408</v>
      </c>
      <c r="K4958">
        <v>0.162518346392936</v>
      </c>
      <c r="L4958">
        <v>1175.1240653679899</v>
      </c>
      <c r="M4958">
        <v>25.0359632773946</v>
      </c>
      <c r="N4958">
        <v>48.360128649935398</v>
      </c>
      <c r="O4958">
        <v>46.641074410084002</v>
      </c>
      <c r="P4958">
        <v>-9.9223664759845301E-2</v>
      </c>
      <c r="Q4958">
        <v>0.26061016135445397</v>
      </c>
      <c r="R4958">
        <v>0.96188746367803701</v>
      </c>
      <c r="S4958" t="s">
        <v>10784</v>
      </c>
      <c r="T4958" t="s">
        <v>11650</v>
      </c>
      <c r="U4958" t="s">
        <v>11650</v>
      </c>
      <c r="V4958" t="s">
        <v>11650</v>
      </c>
      <c r="W4958" t="s">
        <v>16553</v>
      </c>
      <c r="X4958">
        <v>8</v>
      </c>
      <c r="Y4958" t="s">
        <v>22222</v>
      </c>
      <c r="Z4958" t="s">
        <v>28020</v>
      </c>
      <c r="AA4958">
        <v>0.43818162252935933</v>
      </c>
      <c r="AB4958" t="str">
        <f>HYPERLINK("Melting_Curves/meltCurve_Q9H0W8_SMG9.pdf", "Melting_Curves/meltCurve_Q9H0W8_SMG9.pdf")</f>
        <v>Melting_Curves/meltCurve_Q9H0W8_SMG9.pdf</v>
      </c>
    </row>
    <row r="4959" spans="1:28" x14ac:dyDescent="0.25">
      <c r="A4959" t="s">
        <v>4963</v>
      </c>
      <c r="B4959">
        <v>0.99996721820229495</v>
      </c>
      <c r="C4959">
        <v>0.79847858351368495</v>
      </c>
      <c r="D4959">
        <v>0.71833450185782999</v>
      </c>
      <c r="E4959">
        <v>0.81294665737184602</v>
      </c>
      <c r="F4959">
        <v>0.84348848100062102</v>
      </c>
      <c r="G4959">
        <v>0.55969431456733099</v>
      </c>
      <c r="H4959">
        <v>0.30838878266433101</v>
      </c>
      <c r="I4959">
        <v>0.17029792427614601</v>
      </c>
      <c r="J4959">
        <v>0.122656035891613</v>
      </c>
      <c r="K4959">
        <v>0.109128363183165</v>
      </c>
      <c r="L4959">
        <v>629.31459094278102</v>
      </c>
      <c r="M4959">
        <v>11.0157773027943</v>
      </c>
      <c r="N4959">
        <v>57.128477834045803</v>
      </c>
      <c r="O4959">
        <v>55.342664633547599</v>
      </c>
      <c r="P4959">
        <v>-4.9778384721842199E-2</v>
      </c>
      <c r="Q4959">
        <v>0</v>
      </c>
      <c r="R4959">
        <v>0.89523307284938602</v>
      </c>
      <c r="S4959" t="s">
        <v>10785</v>
      </c>
      <c r="T4959" t="s">
        <v>11650</v>
      </c>
      <c r="U4959" t="s">
        <v>11650</v>
      </c>
      <c r="V4959" t="s">
        <v>11650</v>
      </c>
      <c r="W4959" t="s">
        <v>16554</v>
      </c>
      <c r="X4959">
        <v>11</v>
      </c>
      <c r="Y4959" t="s">
        <v>22223</v>
      </c>
      <c r="Z4959" t="s">
        <v>28021</v>
      </c>
      <c r="AA4959">
        <v>0.58693293805631919</v>
      </c>
      <c r="AB4959" t="str">
        <f>HYPERLINK("Melting_Curves/meltCurve_Q9H0W9_C11orf54.pdf", "Melting_Curves/meltCurve_Q9H0W9_C11orf54.pdf")</f>
        <v>Melting_Curves/meltCurve_Q9H0W9_C11orf54.pdf</v>
      </c>
    </row>
    <row r="4960" spans="1:28" x14ac:dyDescent="0.25">
      <c r="A4960" t="s">
        <v>4964</v>
      </c>
      <c r="B4960">
        <v>0.99996721820229495</v>
      </c>
      <c r="C4960">
        <v>0.77680095949649397</v>
      </c>
      <c r="D4960">
        <v>0.96564140239057095</v>
      </c>
      <c r="E4960">
        <v>1.1352998246431301</v>
      </c>
      <c r="F4960">
        <v>1.4440122436720699</v>
      </c>
      <c r="G4960">
        <v>1.48373215908739</v>
      </c>
      <c r="H4960">
        <v>0.971124810417483</v>
      </c>
      <c r="I4960">
        <v>0.47385098957049498</v>
      </c>
      <c r="J4960">
        <v>0.29294857407684699</v>
      </c>
      <c r="K4960">
        <v>0.35731690953255202</v>
      </c>
      <c r="L4960">
        <v>5967.1112569963298</v>
      </c>
      <c r="M4960">
        <v>94.509299098201197</v>
      </c>
      <c r="N4960">
        <v>63.844418325140303</v>
      </c>
      <c r="O4960">
        <v>63.109567750438202</v>
      </c>
      <c r="P4960">
        <v>-0.25296276525273997</v>
      </c>
      <c r="Q4960">
        <v>0.32432597204151697</v>
      </c>
      <c r="R4960">
        <v>0.67981706993062896</v>
      </c>
      <c r="S4960" t="s">
        <v>10786</v>
      </c>
      <c r="T4960" t="s">
        <v>11650</v>
      </c>
      <c r="U4960" t="s">
        <v>11650</v>
      </c>
      <c r="V4960" t="s">
        <v>11650</v>
      </c>
      <c r="W4960" t="s">
        <v>16555</v>
      </c>
      <c r="X4960">
        <v>4</v>
      </c>
      <c r="Y4960" t="s">
        <v>22224</v>
      </c>
      <c r="Z4960" t="s">
        <v>28022</v>
      </c>
      <c r="AA4960">
        <v>0.84596958958292612</v>
      </c>
      <c r="AB4960" t="str">
        <f>HYPERLINK("Melting_Curves/meltCurve_Q9H0X4_ITFG3.pdf", "Melting_Curves/meltCurve_Q9H0X4_ITFG3.pdf")</f>
        <v>Melting_Curves/meltCurve_Q9H0X4_ITFG3.pdf</v>
      </c>
    </row>
    <row r="4961" spans="1:28" x14ac:dyDescent="0.25">
      <c r="A4961" t="s">
        <v>4965</v>
      </c>
      <c r="B4961">
        <v>0.99996721820229495</v>
      </c>
      <c r="C4961">
        <v>0.62807090460120896</v>
      </c>
      <c r="D4961">
        <v>0.29309369968517102</v>
      </c>
      <c r="E4961">
        <v>6.5254079967327697E-2</v>
      </c>
      <c r="F4961">
        <v>0.139278886355161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1065.6297087447099</v>
      </c>
      <c r="M4961">
        <v>24.167942425828802</v>
      </c>
      <c r="N4961">
        <v>44.160557833454703</v>
      </c>
      <c r="O4961">
        <v>43.794138539341901</v>
      </c>
      <c r="P4961">
        <v>-0.1354504561648</v>
      </c>
      <c r="Q4961">
        <v>1.8229248968132699E-2</v>
      </c>
      <c r="R4961">
        <v>0.98060213760516801</v>
      </c>
      <c r="S4961" t="s">
        <v>10787</v>
      </c>
      <c r="T4961" t="s">
        <v>11650</v>
      </c>
      <c r="U4961" t="s">
        <v>11650</v>
      </c>
      <c r="V4961" t="s">
        <v>11650</v>
      </c>
      <c r="W4961" t="s">
        <v>16556</v>
      </c>
      <c r="X4961">
        <v>2</v>
      </c>
      <c r="Y4961" t="s">
        <v>22225</v>
      </c>
      <c r="Z4961" t="s">
        <v>28023</v>
      </c>
      <c r="AA4961">
        <v>0.16417824449615631</v>
      </c>
      <c r="AB4961" t="str">
        <f>HYPERLINK("Melting_Curves/meltCurve_Q9H0X9_2_OSBPL5.pdf", "Melting_Curves/meltCurve_Q9H0X9_2_OSBPL5.pdf")</f>
        <v>Melting_Curves/meltCurve_Q9H0X9_2_OSBPL5.pdf</v>
      </c>
    </row>
    <row r="4962" spans="1:28" x14ac:dyDescent="0.25">
      <c r="A4962" t="s">
        <v>4966</v>
      </c>
      <c r="B4962">
        <v>0.99996721820229495</v>
      </c>
      <c r="C4962">
        <v>1.0297933243972699</v>
      </c>
      <c r="D4962">
        <v>0.93763732216457896</v>
      </c>
      <c r="E4962">
        <v>0.63550877686064799</v>
      </c>
      <c r="F4962">
        <v>0.450264182459443</v>
      </c>
      <c r="G4962">
        <v>0.45200416078455502</v>
      </c>
      <c r="H4962">
        <v>0.29036587136478698</v>
      </c>
      <c r="I4962">
        <v>0.229746807745148</v>
      </c>
      <c r="J4962">
        <v>0.16741922202319801</v>
      </c>
      <c r="K4962">
        <v>0.122339363378751</v>
      </c>
      <c r="L4962">
        <v>690.64316372878602</v>
      </c>
      <c r="M4962">
        <v>13.2391353871572</v>
      </c>
      <c r="N4962">
        <v>53.553862108175899</v>
      </c>
      <c r="O4962">
        <v>51.019659062052</v>
      </c>
      <c r="P4962">
        <v>-5.5465885306861702E-2</v>
      </c>
      <c r="Q4962">
        <v>0.145145097364444</v>
      </c>
      <c r="R4962">
        <v>0.97008611587225702</v>
      </c>
      <c r="S4962" t="s">
        <v>10788</v>
      </c>
      <c r="T4962" t="s">
        <v>11650</v>
      </c>
      <c r="U4962" t="s">
        <v>11650</v>
      </c>
      <c r="V4962" t="s">
        <v>11650</v>
      </c>
      <c r="W4962" t="s">
        <v>16557</v>
      </c>
      <c r="X4962">
        <v>2</v>
      </c>
      <c r="Y4962" t="s">
        <v>22226</v>
      </c>
      <c r="Z4962" t="s">
        <v>28024</v>
      </c>
      <c r="AA4962">
        <v>0.51457570911015826</v>
      </c>
      <c r="AB4962" t="str">
        <f>HYPERLINK("Melting_Curves/meltCurve_Q9H115_NAPB.pdf", "Melting_Curves/meltCurve_Q9H115_NAPB.pdf")</f>
        <v>Melting_Curves/meltCurve_Q9H115_NAPB.pdf</v>
      </c>
    </row>
    <row r="4963" spans="1:28" x14ac:dyDescent="0.25">
      <c r="A4963" t="s">
        <v>4967</v>
      </c>
      <c r="B4963">
        <v>0.99996721820229495</v>
      </c>
      <c r="C4963">
        <v>1.02532492350791</v>
      </c>
      <c r="D4963">
        <v>0.72743187756635996</v>
      </c>
      <c r="E4963">
        <v>0.67779538247083104</v>
      </c>
      <c r="F4963">
        <v>0.49034412120055798</v>
      </c>
      <c r="G4963">
        <v>0.29523719609644</v>
      </c>
      <c r="H4963">
        <v>0.19033282518954001</v>
      </c>
      <c r="I4963">
        <v>0.12477627308849901</v>
      </c>
      <c r="J4963">
        <v>9.3497821155469105E-2</v>
      </c>
      <c r="K4963">
        <v>9.3014209024925104E-2</v>
      </c>
      <c r="L4963">
        <v>608.66971820977403</v>
      </c>
      <c r="M4963">
        <v>11.6280924552645</v>
      </c>
      <c r="N4963">
        <v>52.635420739590202</v>
      </c>
      <c r="O4963">
        <v>50.868503711989</v>
      </c>
      <c r="P4963">
        <v>-5.5385750452557898E-2</v>
      </c>
      <c r="Q4963">
        <v>3.10970508260483E-2</v>
      </c>
      <c r="R4963">
        <v>0.98064287200915801</v>
      </c>
      <c r="S4963" t="s">
        <v>10789</v>
      </c>
      <c r="T4963" t="s">
        <v>11650</v>
      </c>
      <c r="U4963" t="s">
        <v>11650</v>
      </c>
      <c r="V4963" t="s">
        <v>11650</v>
      </c>
      <c r="W4963" t="s">
        <v>16558</v>
      </c>
      <c r="X4963">
        <v>15</v>
      </c>
      <c r="Y4963" t="s">
        <v>22227</v>
      </c>
      <c r="Z4963" t="s">
        <v>28025</v>
      </c>
      <c r="AA4963">
        <v>0.45987551604604621</v>
      </c>
      <c r="AB4963" t="str">
        <f>HYPERLINK("Melting_Curves/meltCurve_Q9H173_SIL1.pdf", "Melting_Curves/meltCurve_Q9H173_SIL1.pdf")</f>
        <v>Melting_Curves/meltCurve_Q9H173_SIL1.pdf</v>
      </c>
    </row>
    <row r="4964" spans="1:28" x14ac:dyDescent="0.25">
      <c r="A4964" t="s">
        <v>4968</v>
      </c>
      <c r="B4964">
        <v>0.99996721820229495</v>
      </c>
      <c r="C4964">
        <v>0.91982003451384897</v>
      </c>
      <c r="D4964">
        <v>0.74277099023249604</v>
      </c>
      <c r="E4964">
        <v>0.459327004972654</v>
      </c>
      <c r="F4964">
        <v>0.29067823237618301</v>
      </c>
      <c r="G4964">
        <v>0.259192981313075</v>
      </c>
      <c r="H4964">
        <v>0.16342917991310099</v>
      </c>
      <c r="I4964">
        <v>0.12314805675238601</v>
      </c>
      <c r="J4964">
        <v>9.7627660527693699E-2</v>
      </c>
      <c r="K4964">
        <v>9.3865426887370207E-2</v>
      </c>
      <c r="L4964">
        <v>743.61044551095199</v>
      </c>
      <c r="M4964">
        <v>15.231241821237299</v>
      </c>
      <c r="N4964">
        <v>49.596264711863903</v>
      </c>
      <c r="O4964">
        <v>48.003016651942801</v>
      </c>
      <c r="P4964">
        <v>-7.0931829282258399E-2</v>
      </c>
      <c r="Q4964">
        <v>0.10588547427075801</v>
      </c>
      <c r="R4964">
        <v>0.99351385230179801</v>
      </c>
      <c r="S4964" t="s">
        <v>10790</v>
      </c>
      <c r="T4964" t="s">
        <v>11650</v>
      </c>
      <c r="U4964" t="s">
        <v>11650</v>
      </c>
      <c r="V4964" t="s">
        <v>11650</v>
      </c>
      <c r="W4964" t="s">
        <v>16559</v>
      </c>
      <c r="X4964">
        <v>7</v>
      </c>
      <c r="Y4964" t="s">
        <v>22228</v>
      </c>
      <c r="Z4964" t="s">
        <v>28026</v>
      </c>
      <c r="AA4964">
        <v>0.39037568036234582</v>
      </c>
      <c r="AB4964" t="str">
        <f>HYPERLINK("Melting_Curves/meltCurve_Q9H1B7_IRF2BPL.pdf", "Melting_Curves/meltCurve_Q9H1B7_IRF2BPL.pdf")</f>
        <v>Melting_Curves/meltCurve_Q9H1B7_IRF2BPL.pdf</v>
      </c>
    </row>
    <row r="4965" spans="1:28" x14ac:dyDescent="0.25">
      <c r="A4965" t="s">
        <v>4969</v>
      </c>
      <c r="B4965">
        <v>0.99996721820229495</v>
      </c>
      <c r="C4965">
        <v>0.90859715373491501</v>
      </c>
      <c r="D4965">
        <v>0.84616967529065101</v>
      </c>
      <c r="E4965">
        <v>1.1236588773646301</v>
      </c>
      <c r="F4965">
        <v>1.43427858155989</v>
      </c>
      <c r="G4965">
        <v>2.3567606152338301</v>
      </c>
      <c r="H4965">
        <v>2.0097920587486602</v>
      </c>
      <c r="I4965">
        <v>1.9063602298412801</v>
      </c>
      <c r="J4965">
        <v>1.5067557166004</v>
      </c>
      <c r="K4965">
        <v>1.0525816783012101</v>
      </c>
      <c r="L4965">
        <v>3326.2587606699899</v>
      </c>
      <c r="M4965">
        <v>65.330651624593301</v>
      </c>
      <c r="O4965">
        <v>50.866572094306598</v>
      </c>
      <c r="P4965">
        <v>0.16054421426968399</v>
      </c>
      <c r="Q4965">
        <v>1.5</v>
      </c>
      <c r="R4965">
        <v>0.433511096774159</v>
      </c>
      <c r="S4965" t="s">
        <v>10791</v>
      </c>
      <c r="T4965" t="s">
        <v>11650</v>
      </c>
      <c r="U4965" t="s">
        <v>11650</v>
      </c>
      <c r="V4965" t="s">
        <v>11650</v>
      </c>
      <c r="W4965" t="s">
        <v>16560</v>
      </c>
      <c r="X4965">
        <v>16</v>
      </c>
      <c r="Y4965" t="s">
        <v>22229</v>
      </c>
      <c r="Z4965" t="s">
        <v>28027</v>
      </c>
      <c r="AA4965">
        <v>1.3174402226062421</v>
      </c>
      <c r="AB4965" t="str">
        <f>HYPERLINK("Melting_Curves/meltCurve_Q9H1E3_NUCKS1.pdf", "Melting_Curves/meltCurve_Q9H1E3_NUCKS1.pdf")</f>
        <v>Melting_Curves/meltCurve_Q9H1E3_NUCKS1.pdf</v>
      </c>
    </row>
    <row r="4966" spans="1:28" x14ac:dyDescent="0.25">
      <c r="A4966" t="s">
        <v>4970</v>
      </c>
      <c r="B4966">
        <v>0.99996721820229495</v>
      </c>
      <c r="C4966">
        <v>0.99277335877201001</v>
      </c>
      <c r="D4966">
        <v>0.93171691005920798</v>
      </c>
      <c r="E4966">
        <v>0.86911850017030201</v>
      </c>
      <c r="F4966">
        <v>1.1359377220401601</v>
      </c>
      <c r="G4966">
        <v>1.0009864957473</v>
      </c>
      <c r="H4966">
        <v>0.75005996106149297</v>
      </c>
      <c r="I4966">
        <v>0.47229302685954599</v>
      </c>
      <c r="J4966">
        <v>0.37162051346848701</v>
      </c>
      <c r="K4966">
        <v>0.30385700526084197</v>
      </c>
      <c r="L4966">
        <v>2397.0053255814801</v>
      </c>
      <c r="M4966">
        <v>38.682441182550399</v>
      </c>
      <c r="N4966">
        <v>63.6030560754877</v>
      </c>
      <c r="O4966">
        <v>61.801324908479799</v>
      </c>
      <c r="P4966">
        <v>-0.107152597731588</v>
      </c>
      <c r="Q4966">
        <v>0.315228674624771</v>
      </c>
      <c r="R4966">
        <v>0.94672537210883201</v>
      </c>
      <c r="S4966" t="s">
        <v>10792</v>
      </c>
      <c r="T4966" t="s">
        <v>11650</v>
      </c>
      <c r="U4966" t="s">
        <v>11650</v>
      </c>
      <c r="V4966" t="s">
        <v>11650</v>
      </c>
      <c r="W4966" t="s">
        <v>16561</v>
      </c>
      <c r="X4966">
        <v>2</v>
      </c>
      <c r="Y4966" t="s">
        <v>22230</v>
      </c>
      <c r="Z4966" t="s">
        <v>28028</v>
      </c>
      <c r="AA4966">
        <v>0.81918005305098196</v>
      </c>
      <c r="AB4966" t="str">
        <f>HYPERLINK("Melting_Curves/meltCurve_Q9H1I8_3_ASCC2.pdf", "Melting_Curves/meltCurve_Q9H1I8_3_ASCC2.pdf")</f>
        <v>Melting_Curves/meltCurve_Q9H1I8_3_ASCC2.pdf</v>
      </c>
    </row>
    <row r="4967" spans="1:28" x14ac:dyDescent="0.25">
      <c r="A4967" t="s">
        <v>4971</v>
      </c>
      <c r="B4967">
        <v>0.99996721820229495</v>
      </c>
      <c r="C4967">
        <v>0.86272645518136903</v>
      </c>
      <c r="D4967">
        <v>0.87204717127353903</v>
      </c>
      <c r="E4967">
        <v>1.12943475813772</v>
      </c>
      <c r="F4967">
        <v>1.20208957107495</v>
      </c>
      <c r="G4967">
        <v>1.5576928542269599</v>
      </c>
      <c r="H4967">
        <v>1.7837553771919801</v>
      </c>
      <c r="I4967">
        <v>1.8600460668866701</v>
      </c>
      <c r="J4967">
        <v>1.73265522316322</v>
      </c>
      <c r="K4967">
        <v>1.2383908456655901</v>
      </c>
      <c r="L4967">
        <v>2633.08184794932</v>
      </c>
      <c r="M4967">
        <v>49.533762966562598</v>
      </c>
      <c r="O4967">
        <v>53.070906576006799</v>
      </c>
      <c r="P4967">
        <v>0.11666896653559999</v>
      </c>
      <c r="Q4967">
        <v>1.5</v>
      </c>
      <c r="R4967">
        <v>0.70301224332659396</v>
      </c>
      <c r="S4967" t="s">
        <v>10793</v>
      </c>
      <c r="T4967" t="s">
        <v>11650</v>
      </c>
      <c r="U4967" t="s">
        <v>11650</v>
      </c>
      <c r="V4967" t="s">
        <v>11650</v>
      </c>
      <c r="W4967" t="s">
        <v>16562</v>
      </c>
      <c r="X4967">
        <v>1</v>
      </c>
      <c r="Y4967" t="s">
        <v>22231</v>
      </c>
      <c r="Z4967" t="s">
        <v>28029</v>
      </c>
      <c r="AA4967">
        <v>1.279516934158146</v>
      </c>
      <c r="AB4967" t="str">
        <f>HYPERLINK("Melting_Curves/meltCurve_Q9H1J1_3_UPF3A.pdf", "Melting_Curves/meltCurve_Q9H1J1_3_UPF3A.pdf")</f>
        <v>Melting_Curves/meltCurve_Q9H1J1_3_UPF3A.pdf</v>
      </c>
    </row>
    <row r="4968" spans="1:28" x14ac:dyDescent="0.25">
      <c r="A4968" t="s">
        <v>4972</v>
      </c>
      <c r="B4968">
        <v>0.99996721820229495</v>
      </c>
      <c r="C4968">
        <v>1.00723927265098</v>
      </c>
      <c r="D4968">
        <v>0.93078347421278596</v>
      </c>
      <c r="E4968">
        <v>0.72320292361570704</v>
      </c>
      <c r="F4968">
        <v>0.74691003573989501</v>
      </c>
      <c r="G4968">
        <v>0.45531603140444799</v>
      </c>
      <c r="H4968">
        <v>0.29038684530548298</v>
      </c>
      <c r="I4968">
        <v>0.22342846568504801</v>
      </c>
      <c r="J4968">
        <v>0.232619447373898</v>
      </c>
      <c r="K4968">
        <v>0.13334396642997801</v>
      </c>
      <c r="L4968">
        <v>659.91987422767897</v>
      </c>
      <c r="M4968">
        <v>11.890028747161001</v>
      </c>
      <c r="N4968">
        <v>56.328878913600597</v>
      </c>
      <c r="O4968">
        <v>54.001836708006003</v>
      </c>
      <c r="P4968">
        <v>-5.0649134043547303E-2</v>
      </c>
      <c r="Q4968">
        <v>8.0081902327727897E-2</v>
      </c>
      <c r="R4968">
        <v>0.98334441531335404</v>
      </c>
      <c r="S4968" t="s">
        <v>10794</v>
      </c>
      <c r="T4968" t="s">
        <v>11650</v>
      </c>
      <c r="U4968" t="s">
        <v>11650</v>
      </c>
      <c r="V4968" t="s">
        <v>11650</v>
      </c>
      <c r="W4968" t="s">
        <v>16563</v>
      </c>
      <c r="X4968">
        <v>9</v>
      </c>
      <c r="Y4968" t="s">
        <v>22232</v>
      </c>
      <c r="Z4968" t="s">
        <v>28030</v>
      </c>
      <c r="AA4968">
        <v>0.57574208623944689</v>
      </c>
      <c r="AB4968" t="str">
        <f>HYPERLINK("Melting_Curves/meltCurve_Q9H1K0_ZFYVE20.pdf", "Melting_Curves/meltCurve_Q9H1K0_ZFYVE20.pdf")</f>
        <v>Melting_Curves/meltCurve_Q9H1K0_ZFYVE20.pdf</v>
      </c>
    </row>
    <row r="4969" spans="1:28" x14ac:dyDescent="0.25">
      <c r="A4969" t="s">
        <v>4973</v>
      </c>
      <c r="B4969">
        <v>0.99996721820229495</v>
      </c>
      <c r="C4969">
        <v>0.87610250730383299</v>
      </c>
      <c r="D4969">
        <v>0.75404573060327496</v>
      </c>
      <c r="E4969">
        <v>0.79598527570097</v>
      </c>
      <c r="F4969">
        <v>0.87210064803215803</v>
      </c>
      <c r="G4969">
        <v>0.66264346260849305</v>
      </c>
      <c r="H4969">
        <v>0.50369149835014704</v>
      </c>
      <c r="I4969">
        <v>0.49276626250111399</v>
      </c>
      <c r="J4969">
        <v>0.473427429285038</v>
      </c>
      <c r="K4969">
        <v>0.31038631245481102</v>
      </c>
      <c r="L4969">
        <v>336.18163663655099</v>
      </c>
      <c r="M4969">
        <v>5.3085791286606501</v>
      </c>
      <c r="N4969">
        <v>63.327988308969601</v>
      </c>
      <c r="O4969">
        <v>56.015946691866098</v>
      </c>
      <c r="P4969">
        <v>-2.3810355339990801E-2</v>
      </c>
      <c r="Q4969">
        <v>0</v>
      </c>
      <c r="R4969">
        <v>0.89241521481879904</v>
      </c>
      <c r="S4969" t="s">
        <v>10795</v>
      </c>
      <c r="T4969" t="s">
        <v>11650</v>
      </c>
      <c r="U4969" t="s">
        <v>11650</v>
      </c>
      <c r="V4969" t="s">
        <v>11650</v>
      </c>
      <c r="W4969" t="s">
        <v>16564</v>
      </c>
      <c r="X4969">
        <v>14</v>
      </c>
      <c r="Y4969" t="s">
        <v>22233</v>
      </c>
      <c r="Z4969" t="s">
        <v>28031</v>
      </c>
      <c r="AA4969">
        <v>0.68344528353935341</v>
      </c>
      <c r="AB4969" t="str">
        <f>HYPERLINK("Melting_Curves/meltCurve_Q9H1K1_ISCU.pdf", "Melting_Curves/meltCurve_Q9H1K1_ISCU.pdf")</f>
        <v>Melting_Curves/meltCurve_Q9H1K1_ISCU.pdf</v>
      </c>
    </row>
    <row r="4970" spans="1:28" x14ac:dyDescent="0.25">
      <c r="A4970" t="s">
        <v>4974</v>
      </c>
      <c r="B4970">
        <v>0.99996721820229495</v>
      </c>
      <c r="C4970">
        <v>0.96137496092639696</v>
      </c>
      <c r="D4970">
        <v>0.65816576061618504</v>
      </c>
      <c r="E4970">
        <v>0.22432881915897099</v>
      </c>
      <c r="F4970">
        <v>0.193201534614758</v>
      </c>
      <c r="G4970">
        <v>0.173527055050121</v>
      </c>
      <c r="H4970">
        <v>0.136071005866335</v>
      </c>
      <c r="I4970">
        <v>0.111187555860032</v>
      </c>
      <c r="J4970">
        <v>0.124111598402079</v>
      </c>
      <c r="K4970">
        <v>8.4507706713994907E-2</v>
      </c>
      <c r="L4970">
        <v>1412.47683407259</v>
      </c>
      <c r="M4970">
        <v>30.2477436291015</v>
      </c>
      <c r="N4970">
        <v>47.169126545608002</v>
      </c>
      <c r="O4970">
        <v>46.494251193087102</v>
      </c>
      <c r="P4970">
        <v>-0.141397683940793</v>
      </c>
      <c r="Q4970">
        <v>0.13062764808318</v>
      </c>
      <c r="R4970">
        <v>0.994822272345526</v>
      </c>
      <c r="S4970" t="s">
        <v>10796</v>
      </c>
      <c r="T4970" t="s">
        <v>11650</v>
      </c>
      <c r="U4970" t="s">
        <v>11650</v>
      </c>
      <c r="V4970" t="s">
        <v>11650</v>
      </c>
      <c r="W4970" t="s">
        <v>16565</v>
      </c>
      <c r="X4970">
        <v>7</v>
      </c>
      <c r="Y4970" t="s">
        <v>22234</v>
      </c>
      <c r="Z4970" t="s">
        <v>28032</v>
      </c>
      <c r="AA4970">
        <v>0.32983185413487182</v>
      </c>
      <c r="AB4970" t="str">
        <f>HYPERLINK("Melting_Curves/meltCurve_Q9H1P3_2_OSBPL2.pdf", "Melting_Curves/meltCurve_Q9H1P3_2_OSBPL2.pdf")</f>
        <v>Melting_Curves/meltCurve_Q9H1P3_2_OSBPL2.pdf</v>
      </c>
    </row>
    <row r="4971" spans="1:28" x14ac:dyDescent="0.25">
      <c r="A4971" t="s">
        <v>4975</v>
      </c>
      <c r="B4971">
        <v>0.99996721820229495</v>
      </c>
      <c r="C4971">
        <v>0.92661942726602997</v>
      </c>
      <c r="D4971">
        <v>0.97143034052768895</v>
      </c>
      <c r="E4971">
        <v>1.13244867338656</v>
      </c>
      <c r="F4971">
        <v>1.2202108452167499</v>
      </c>
      <c r="G4971">
        <v>0.42535303128490398</v>
      </c>
      <c r="H4971">
        <v>0.18988486758204901</v>
      </c>
      <c r="I4971">
        <v>0.12870109244477199</v>
      </c>
      <c r="J4971">
        <v>9.4514573621242298E-2</v>
      </c>
      <c r="K4971">
        <v>8.9565941257271894E-2</v>
      </c>
      <c r="L4971">
        <v>14212.891912512599</v>
      </c>
      <c r="M4971">
        <v>250</v>
      </c>
      <c r="N4971">
        <v>56.917470604842698</v>
      </c>
      <c r="O4971">
        <v>56.847918667795199</v>
      </c>
      <c r="P4971">
        <v>-0.96126345608844199</v>
      </c>
      <c r="Q4971">
        <v>0.12566660519068701</v>
      </c>
      <c r="R4971">
        <v>0.96080497719906899</v>
      </c>
      <c r="S4971" t="s">
        <v>10797</v>
      </c>
      <c r="T4971" t="s">
        <v>11650</v>
      </c>
      <c r="U4971" t="s">
        <v>11650</v>
      </c>
      <c r="V4971" t="s">
        <v>11650</v>
      </c>
      <c r="W4971" t="s">
        <v>16566</v>
      </c>
      <c r="X4971">
        <v>7</v>
      </c>
      <c r="Y4971" t="s">
        <v>22235</v>
      </c>
      <c r="Z4971" t="s">
        <v>28033</v>
      </c>
      <c r="AA4971">
        <v>0.61688345230635577</v>
      </c>
      <c r="AB4971" t="str">
        <f>HYPERLINK("Melting_Curves/meltCurve_Q9H1Y0_ATG5.pdf", "Melting_Curves/meltCurve_Q9H1Y0_ATG5.pdf")</f>
        <v>Melting_Curves/meltCurve_Q9H1Y0_ATG5.pdf</v>
      </c>
    </row>
    <row r="4972" spans="1:28" x14ac:dyDescent="0.25">
      <c r="A4972" t="s">
        <v>4976</v>
      </c>
      <c r="B4972">
        <v>0.99996721820229495</v>
      </c>
      <c r="C4972">
        <v>1.13397239790065</v>
      </c>
      <c r="D4972">
        <v>1.12326519765652</v>
      </c>
      <c r="E4972">
        <v>1.01190990154765</v>
      </c>
      <c r="F4972">
        <v>1.17915053881871</v>
      </c>
      <c r="G4972">
        <v>1.0223145143772501</v>
      </c>
      <c r="H4972">
        <v>0.77689745801043197</v>
      </c>
      <c r="I4972">
        <v>0.65758211067817895</v>
      </c>
      <c r="J4972">
        <v>0.45571221538890599</v>
      </c>
      <c r="K4972">
        <v>0.35014554748659799</v>
      </c>
      <c r="L4972">
        <v>1658.3961071492499</v>
      </c>
      <c r="M4972">
        <v>26.0179187876623</v>
      </c>
      <c r="N4972">
        <v>66.021262912199802</v>
      </c>
      <c r="O4972">
        <v>63.367542499278798</v>
      </c>
      <c r="P4972">
        <v>-7.2215897364812903E-2</v>
      </c>
      <c r="Q4972">
        <v>0.29647059145917398</v>
      </c>
      <c r="R4972">
        <v>0.90628435602162805</v>
      </c>
      <c r="S4972" t="s">
        <v>10798</v>
      </c>
      <c r="T4972" t="s">
        <v>11650</v>
      </c>
      <c r="U4972" t="s">
        <v>11650</v>
      </c>
      <c r="V4972" t="s">
        <v>11650</v>
      </c>
      <c r="W4972" t="s">
        <v>16567</v>
      </c>
      <c r="X4972">
        <v>3</v>
      </c>
      <c r="Y4972" t="s">
        <v>22236</v>
      </c>
      <c r="Z4972" t="s">
        <v>28034</v>
      </c>
      <c r="AA4972">
        <v>0.85353025934387594</v>
      </c>
      <c r="AB4972" t="str">
        <f>HYPERLINK("Melting_Curves/meltCurve_Q9H1Z9_TSPAN10.pdf", "Melting_Curves/meltCurve_Q9H1Z9_TSPAN10.pdf")</f>
        <v>Melting_Curves/meltCurve_Q9H1Z9_TSPAN10.pdf</v>
      </c>
    </row>
    <row r="4973" spans="1:28" x14ac:dyDescent="0.25">
      <c r="A4973" t="s">
        <v>4977</v>
      </c>
      <c r="B4973">
        <v>0.99996721820229495</v>
      </c>
      <c r="C4973">
        <v>0.97109836302063202</v>
      </c>
      <c r="D4973">
        <v>0.860358532664251</v>
      </c>
      <c r="E4973">
        <v>0.60786462477858905</v>
      </c>
      <c r="F4973">
        <v>0.27878153615442702</v>
      </c>
      <c r="G4973">
        <v>0.21864466239932301</v>
      </c>
      <c r="H4973">
        <v>0.128582174717563</v>
      </c>
      <c r="I4973">
        <v>8.0092964668245198E-2</v>
      </c>
      <c r="J4973">
        <v>5.7107782137560903E-2</v>
      </c>
      <c r="K4973">
        <v>4.9052106827738001E-2</v>
      </c>
      <c r="L4973">
        <v>929.74124808933902</v>
      </c>
      <c r="M4973">
        <v>18.408604374617401</v>
      </c>
      <c r="N4973">
        <v>50.887407784157503</v>
      </c>
      <c r="O4973">
        <v>49.921112320705298</v>
      </c>
      <c r="P4973">
        <v>-8.6248833542673001E-2</v>
      </c>
      <c r="Q4973">
        <v>6.4471580568058795E-2</v>
      </c>
      <c r="R4973">
        <v>0.99340514553944703</v>
      </c>
      <c r="S4973" t="s">
        <v>10799</v>
      </c>
      <c r="T4973" t="s">
        <v>11650</v>
      </c>
      <c r="U4973" t="s">
        <v>11650</v>
      </c>
      <c r="V4973" t="s">
        <v>11650</v>
      </c>
      <c r="W4973" t="s">
        <v>16568</v>
      </c>
      <c r="X4973">
        <v>23</v>
      </c>
      <c r="Y4973" t="s">
        <v>22237</v>
      </c>
      <c r="Z4973" t="s">
        <v>28035</v>
      </c>
      <c r="AA4973">
        <v>0.4072941826427311</v>
      </c>
      <c r="AB4973" t="str">
        <f>HYPERLINK("Melting_Curves/meltCurve_Q9H223_EHD4.pdf", "Melting_Curves/meltCurve_Q9H223_EHD4.pdf")</f>
        <v>Melting_Curves/meltCurve_Q9H223_EHD4.pdf</v>
      </c>
    </row>
    <row r="4974" spans="1:28" x14ac:dyDescent="0.25">
      <c r="A4974" t="s">
        <v>4978</v>
      </c>
      <c r="B4974">
        <v>0.99996721820229495</v>
      </c>
      <c r="C4974">
        <v>0.96187320784394104</v>
      </c>
      <c r="D4974">
        <v>1.0446108050296601</v>
      </c>
      <c r="E4974">
        <v>1.40073668880298</v>
      </c>
      <c r="F4974">
        <v>2.4028489206940802</v>
      </c>
      <c r="G4974">
        <v>2.7754940904570802</v>
      </c>
      <c r="H4974">
        <v>2.4893551392835298</v>
      </c>
      <c r="I4974">
        <v>1.82467343782423</v>
      </c>
      <c r="J4974">
        <v>1.3711154197000801</v>
      </c>
      <c r="K4974">
        <v>1.37733812787712</v>
      </c>
      <c r="S4974" t="s">
        <v>10800</v>
      </c>
      <c r="T4974" t="s">
        <v>11650</v>
      </c>
      <c r="U4974" t="s">
        <v>11651</v>
      </c>
      <c r="V4974" t="s">
        <v>11650</v>
      </c>
      <c r="W4974" t="s">
        <v>16569</v>
      </c>
      <c r="X4974">
        <v>6</v>
      </c>
      <c r="Y4974" t="s">
        <v>22238</v>
      </c>
      <c r="Z4974" t="s">
        <v>28036</v>
      </c>
      <c r="AB4974" t="str">
        <f>HYPERLINK("Melting_Curves/meltCurve_Q9H246_C1orf21.pdf", "Melting_Curves/meltCurve_Q9H246_C1orf21.pdf")</f>
        <v>Melting_Curves/meltCurve_Q9H246_C1orf21.pdf</v>
      </c>
    </row>
    <row r="4975" spans="1:28" x14ac:dyDescent="0.25">
      <c r="A4975" t="s">
        <v>4979</v>
      </c>
      <c r="B4975">
        <v>0.99996721820229495</v>
      </c>
      <c r="C4975">
        <v>0.96487992516980503</v>
      </c>
      <c r="D4975">
        <v>1.01733983747915</v>
      </c>
      <c r="E4975">
        <v>0.92418649501015004</v>
      </c>
      <c r="F4975">
        <v>0.69394309066651605</v>
      </c>
      <c r="G4975">
        <v>0.606096622527864</v>
      </c>
      <c r="H4975">
        <v>0.457006368410315</v>
      </c>
      <c r="I4975">
        <v>0.384280034139791</v>
      </c>
      <c r="J4975">
        <v>0.26279259305702402</v>
      </c>
      <c r="K4975">
        <v>0.237427479170191</v>
      </c>
      <c r="L4975">
        <v>670.40690756302297</v>
      </c>
      <c r="M4975">
        <v>11.637090643706699</v>
      </c>
      <c r="N4975">
        <v>59.403562962849598</v>
      </c>
      <c r="O4975">
        <v>55.987153637655901</v>
      </c>
      <c r="P4975">
        <v>-4.4275993928456998E-2</v>
      </c>
      <c r="Q4975">
        <v>0.14816713850718</v>
      </c>
      <c r="R4975">
        <v>0.98304604782990102</v>
      </c>
      <c r="S4975" t="s">
        <v>10801</v>
      </c>
      <c r="T4975" t="s">
        <v>11650</v>
      </c>
      <c r="U4975" t="s">
        <v>11650</v>
      </c>
      <c r="V4975" t="s">
        <v>11650</v>
      </c>
      <c r="W4975" t="s">
        <v>16570</v>
      </c>
      <c r="X4975">
        <v>3</v>
      </c>
      <c r="Y4975" t="s">
        <v>22239</v>
      </c>
      <c r="Z4975" t="s">
        <v>28037</v>
      </c>
      <c r="AA4975">
        <v>0.66025477130688526</v>
      </c>
      <c r="AB4975" t="str">
        <f>HYPERLINK("Melting_Curves/meltCurve_Q9H267_VPS33B.pdf", "Melting_Curves/meltCurve_Q9H267_VPS33B.pdf")</f>
        <v>Melting_Curves/meltCurve_Q9H267_VPS33B.pdf</v>
      </c>
    </row>
    <row r="4976" spans="1:28" x14ac:dyDescent="0.25">
      <c r="A4976" t="s">
        <v>4980</v>
      </c>
      <c r="B4976">
        <v>0.99996721820229495</v>
      </c>
      <c r="C4976">
        <v>0.85694563306779603</v>
      </c>
      <c r="D4976">
        <v>1.0149268784560701</v>
      </c>
      <c r="E4976">
        <v>1.5194376598196999</v>
      </c>
      <c r="F4976">
        <v>0.61609857539635304</v>
      </c>
      <c r="G4976">
        <v>0.46491137892331402</v>
      </c>
      <c r="H4976">
        <v>0.20462436951226101</v>
      </c>
      <c r="I4976">
        <v>0.121472089800953</v>
      </c>
      <c r="J4976">
        <v>6.9764766021451693E-2</v>
      </c>
      <c r="K4976">
        <v>4.3557588024772401E-2</v>
      </c>
      <c r="L4976">
        <v>1556.8001136118</v>
      </c>
      <c r="M4976">
        <v>27.8327022594226</v>
      </c>
      <c r="N4976">
        <v>56.286882373142298</v>
      </c>
      <c r="O4976">
        <v>55.647847947200098</v>
      </c>
      <c r="P4976">
        <v>-0.115035311980152</v>
      </c>
      <c r="Q4976">
        <v>8.0015832214979293E-2</v>
      </c>
      <c r="R4976">
        <v>0.83003848380422396</v>
      </c>
      <c r="S4976" t="s">
        <v>10802</v>
      </c>
      <c r="T4976" t="s">
        <v>11650</v>
      </c>
      <c r="U4976" t="s">
        <v>11650</v>
      </c>
      <c r="V4976" t="s">
        <v>11650</v>
      </c>
      <c r="W4976" t="s">
        <v>16571</v>
      </c>
      <c r="X4976">
        <v>2</v>
      </c>
      <c r="Y4976" t="s">
        <v>22240</v>
      </c>
      <c r="Z4976" t="s">
        <v>28038</v>
      </c>
      <c r="AA4976">
        <v>0.57568050060357945</v>
      </c>
      <c r="AB4976" t="str">
        <f>HYPERLINK("Melting_Curves/meltCurve_Q9H269_2_VPS16.pdf", "Melting_Curves/meltCurve_Q9H269_2_VPS16.pdf")</f>
        <v>Melting_Curves/meltCurve_Q9H269_2_VPS16.pdf</v>
      </c>
    </row>
    <row r="4977" spans="1:28" x14ac:dyDescent="0.25">
      <c r="A4977" t="s">
        <v>4981</v>
      </c>
      <c r="B4977">
        <v>0.99996721820229495</v>
      </c>
      <c r="C4977">
        <v>0.98588895562755396</v>
      </c>
      <c r="D4977">
        <v>0.944594968978273</v>
      </c>
      <c r="E4977">
        <v>0.85186384796404302</v>
      </c>
      <c r="F4977">
        <v>0.33149969733352203</v>
      </c>
      <c r="G4977">
        <v>0.27260269729259101</v>
      </c>
      <c r="H4977">
        <v>0.15461232537512301</v>
      </c>
      <c r="I4977">
        <v>9.3983833671946002E-2</v>
      </c>
      <c r="J4977">
        <v>7.3420186799390594E-2</v>
      </c>
      <c r="K4977">
        <v>5.1809799575606198E-2</v>
      </c>
      <c r="L4977">
        <v>1996.9978333046299</v>
      </c>
      <c r="M4977">
        <v>38.5818796247992</v>
      </c>
      <c r="N4977">
        <v>52.124817647702201</v>
      </c>
      <c r="O4977">
        <v>51.621526029260203</v>
      </c>
      <c r="P4977">
        <v>-0.16474007134008101</v>
      </c>
      <c r="Q4977">
        <v>0.118330823998058</v>
      </c>
      <c r="R4977">
        <v>0.98045163727203499</v>
      </c>
      <c r="S4977" t="s">
        <v>10803</v>
      </c>
      <c r="T4977" t="s">
        <v>11650</v>
      </c>
      <c r="U4977" t="s">
        <v>11650</v>
      </c>
      <c r="V4977" t="s">
        <v>11650</v>
      </c>
      <c r="W4977" t="s">
        <v>16572</v>
      </c>
      <c r="X4977">
        <v>14</v>
      </c>
      <c r="Y4977" t="s">
        <v>22241</v>
      </c>
      <c r="Z4977" t="s">
        <v>28039</v>
      </c>
      <c r="AA4977">
        <v>0.46733569729304208</v>
      </c>
      <c r="AB4977" t="str">
        <f>HYPERLINK("Melting_Curves/meltCurve_Q9H270_VPS11.pdf", "Melting_Curves/meltCurve_Q9H270_VPS11.pdf")</f>
        <v>Melting_Curves/meltCurve_Q9H270_VPS11.pdf</v>
      </c>
    </row>
    <row r="4978" spans="1:28" x14ac:dyDescent="0.25">
      <c r="A4978" t="s">
        <v>4982</v>
      </c>
      <c r="B4978">
        <v>0.99996721820229495</v>
      </c>
      <c r="C4978">
        <v>0.93489832422063601</v>
      </c>
      <c r="D4978">
        <v>0.94008185653748999</v>
      </c>
      <c r="E4978">
        <v>1.1114231047441001</v>
      </c>
      <c r="F4978">
        <v>1.16825075675217</v>
      </c>
      <c r="G4978">
        <v>1.45362978161541</v>
      </c>
      <c r="H4978">
        <v>0.82320180436900003</v>
      </c>
      <c r="I4978">
        <v>0.22581452393519399</v>
      </c>
      <c r="J4978">
        <v>0.146978323140355</v>
      </c>
      <c r="K4978">
        <v>8.8429858183751195E-2</v>
      </c>
      <c r="L4978">
        <v>4528.4882436357502</v>
      </c>
      <c r="M4978">
        <v>72.789930088687001</v>
      </c>
      <c r="N4978">
        <v>62.4425025784548</v>
      </c>
      <c r="O4978">
        <v>62.1662056737499</v>
      </c>
      <c r="P4978">
        <v>-0.25838499337260901</v>
      </c>
      <c r="Q4978">
        <v>0.117305837806878</v>
      </c>
      <c r="R4978">
        <v>0.87149474897115597</v>
      </c>
      <c r="S4978" t="s">
        <v>10804</v>
      </c>
      <c r="T4978" t="s">
        <v>11650</v>
      </c>
      <c r="U4978" t="s">
        <v>11650</v>
      </c>
      <c r="V4978" t="s">
        <v>11650</v>
      </c>
      <c r="W4978" t="s">
        <v>16573</v>
      </c>
      <c r="X4978">
        <v>2</v>
      </c>
      <c r="Y4978" t="s">
        <v>22242</v>
      </c>
      <c r="Z4978" t="s">
        <v>28040</v>
      </c>
      <c r="AA4978">
        <v>0.77201495918059493</v>
      </c>
      <c r="AB4978" t="str">
        <f>HYPERLINK("Melting_Curves/meltCurve_Q9H2D1_SLC25A32.pdf", "Melting_Curves/meltCurve_Q9H2D1_SLC25A32.pdf")</f>
        <v>Melting_Curves/meltCurve_Q9H2D1_SLC25A32.pdf</v>
      </c>
    </row>
    <row r="4979" spans="1:28" x14ac:dyDescent="0.25">
      <c r="A4979" t="s">
        <v>4983</v>
      </c>
      <c r="B4979">
        <v>0.99996721820229495</v>
      </c>
      <c r="C4979">
        <v>0.86644881387913697</v>
      </c>
      <c r="D4979">
        <v>0.78173826843347105</v>
      </c>
      <c r="E4979">
        <v>0.78969971831115104</v>
      </c>
      <c r="F4979">
        <v>0.74357037536218795</v>
      </c>
      <c r="G4979">
        <v>0.63785340451332495</v>
      </c>
      <c r="H4979">
        <v>0.48763347176448502</v>
      </c>
      <c r="I4979">
        <v>0.41265640920327501</v>
      </c>
      <c r="J4979">
        <v>0.35720660196964399</v>
      </c>
      <c r="K4979">
        <v>0.29343048303576003</v>
      </c>
      <c r="L4979">
        <v>352.47191408034399</v>
      </c>
      <c r="M4979">
        <v>5.8083625140125799</v>
      </c>
      <c r="N4979">
        <v>60.683527638637003</v>
      </c>
      <c r="O4979">
        <v>54.649690564179899</v>
      </c>
      <c r="P4979">
        <v>-2.6667462436087599E-2</v>
      </c>
      <c r="Q4979">
        <v>0</v>
      </c>
      <c r="R4979">
        <v>0.96720844086985802</v>
      </c>
      <c r="S4979" t="s">
        <v>10805</v>
      </c>
      <c r="T4979" t="s">
        <v>11650</v>
      </c>
      <c r="U4979" t="s">
        <v>11650</v>
      </c>
      <c r="V4979" t="s">
        <v>11650</v>
      </c>
      <c r="W4979" t="s">
        <v>16574</v>
      </c>
      <c r="X4979">
        <v>41</v>
      </c>
      <c r="Y4979" t="s">
        <v>22243</v>
      </c>
      <c r="Z4979" t="s">
        <v>28041</v>
      </c>
      <c r="AA4979">
        <v>0.64378332133704563</v>
      </c>
      <c r="AB4979" t="str">
        <f>HYPERLINK("Melting_Curves/meltCurve_Q9H2D6_5_TRIOBP.pdf", "Melting_Curves/meltCurve_Q9H2D6_5_TRIOBP.pdf")</f>
        <v>Melting_Curves/meltCurve_Q9H2D6_5_TRIOBP.pdf</v>
      </c>
    </row>
    <row r="4980" spans="1:28" x14ac:dyDescent="0.25">
      <c r="A4980" t="s">
        <v>4984</v>
      </c>
      <c r="B4980">
        <v>0.99996721820229495</v>
      </c>
      <c r="C4980">
        <v>0.73807571040123998</v>
      </c>
      <c r="D4980">
        <v>0.78544882085726597</v>
      </c>
      <c r="E4980">
        <v>1.6370191826749201</v>
      </c>
      <c r="F4980">
        <v>0.43318464728992001</v>
      </c>
      <c r="G4980">
        <v>0.40041804609530401</v>
      </c>
      <c r="H4980">
        <v>0.27154560008457002</v>
      </c>
      <c r="I4980">
        <v>0.16038899899255099</v>
      </c>
      <c r="J4980">
        <v>0.12838200490966101</v>
      </c>
      <c r="K4980">
        <v>0.10272191056538101</v>
      </c>
      <c r="L4980">
        <v>13199.9602012741</v>
      </c>
      <c r="M4980">
        <v>250</v>
      </c>
      <c r="N4980">
        <v>52.917117121739899</v>
      </c>
      <c r="O4980">
        <v>52.796462065540602</v>
      </c>
      <c r="P4980">
        <v>-0.93200964761129901</v>
      </c>
      <c r="Q4980">
        <v>0.21269101033739601</v>
      </c>
      <c r="R4980">
        <v>0.72533817901512598</v>
      </c>
      <c r="S4980" t="s">
        <v>10806</v>
      </c>
      <c r="T4980" t="s">
        <v>11650</v>
      </c>
      <c r="U4980" t="s">
        <v>11650</v>
      </c>
      <c r="V4980" t="s">
        <v>11650</v>
      </c>
      <c r="W4980" t="s">
        <v>16575</v>
      </c>
      <c r="X4980">
        <v>60</v>
      </c>
      <c r="Y4980" t="s">
        <v>22244</v>
      </c>
      <c r="Z4980" t="s">
        <v>28042</v>
      </c>
      <c r="AA4980">
        <v>0.54867828907410188</v>
      </c>
      <c r="AB4980" t="str">
        <f>HYPERLINK("Melting_Curves/meltCurve_Q9H2G2_2_SLK.pdf", "Melting_Curves/meltCurve_Q9H2G2_2_SLK.pdf")</f>
        <v>Melting_Curves/meltCurve_Q9H2G2_2_SLK.pdf</v>
      </c>
    </row>
    <row r="4981" spans="1:28" x14ac:dyDescent="0.25">
      <c r="A4981" t="s">
        <v>4985</v>
      </c>
      <c r="B4981">
        <v>0.99996721820229495</v>
      </c>
      <c r="C4981">
        <v>1.0313033435343399</v>
      </c>
      <c r="D4981">
        <v>0.88503537927202502</v>
      </c>
      <c r="E4981">
        <v>0.51951999761217404</v>
      </c>
      <c r="F4981">
        <v>0.34352198611041301</v>
      </c>
      <c r="G4981">
        <v>0.27666787986778502</v>
      </c>
      <c r="H4981">
        <v>0.16712427866926899</v>
      </c>
      <c r="I4981">
        <v>0.123169258705257</v>
      </c>
      <c r="J4981">
        <v>8.5360482626442302E-2</v>
      </c>
      <c r="K4981">
        <v>7.2111195747714699E-2</v>
      </c>
      <c r="L4981">
        <v>920.34091792881304</v>
      </c>
      <c r="M4981">
        <v>18.341121199986102</v>
      </c>
      <c r="N4981">
        <v>50.854322375675601</v>
      </c>
      <c r="O4981">
        <v>49.593976710540602</v>
      </c>
      <c r="P4981">
        <v>-8.2468362962815803E-2</v>
      </c>
      <c r="Q4981">
        <v>0.108070218653085</v>
      </c>
      <c r="R4981">
        <v>0.986780714343235</v>
      </c>
      <c r="S4981" t="s">
        <v>10807</v>
      </c>
      <c r="T4981" t="s">
        <v>11650</v>
      </c>
      <c r="U4981" t="s">
        <v>11650</v>
      </c>
      <c r="V4981" t="s">
        <v>11650</v>
      </c>
      <c r="W4981" t="s">
        <v>16576</v>
      </c>
      <c r="X4981">
        <v>9</v>
      </c>
      <c r="Y4981" t="s">
        <v>22245</v>
      </c>
      <c r="Z4981" t="s">
        <v>28043</v>
      </c>
      <c r="AA4981">
        <v>0.42535237868527409</v>
      </c>
      <c r="AB4981" t="str">
        <f>HYPERLINK("Melting_Curves/meltCurve_Q9H2H8_PPIL3.pdf", "Melting_Curves/meltCurve_Q9H2H8_PPIL3.pdf")</f>
        <v>Melting_Curves/meltCurve_Q9H2H8_PPIL3.pdf</v>
      </c>
    </row>
    <row r="4982" spans="1:28" x14ac:dyDescent="0.25">
      <c r="A4982" t="s">
        <v>4986</v>
      </c>
      <c r="B4982">
        <v>0.99996721820229495</v>
      </c>
      <c r="C4982">
        <v>0.74734847989845699</v>
      </c>
      <c r="D4982">
        <v>0.67279623380254605</v>
      </c>
      <c r="E4982">
        <v>0.64777621678358199</v>
      </c>
      <c r="F4982">
        <v>0.68377411722534498</v>
      </c>
      <c r="G4982">
        <v>1.2120834094428501</v>
      </c>
      <c r="H4982">
        <v>0.704476395571627</v>
      </c>
      <c r="I4982">
        <v>0.26014400387567299</v>
      </c>
      <c r="J4982">
        <v>0.14063423571092801</v>
      </c>
      <c r="K4982">
        <v>0.100208716721398</v>
      </c>
      <c r="L4982">
        <v>3461.8650255964899</v>
      </c>
      <c r="M4982">
        <v>55.965070234824701</v>
      </c>
      <c r="N4982">
        <v>62.165585768053703</v>
      </c>
      <c r="O4982">
        <v>61.7787709645036</v>
      </c>
      <c r="P4982">
        <v>-0.199053918264434</v>
      </c>
      <c r="Q4982">
        <v>0.12107321896428</v>
      </c>
      <c r="R4982">
        <v>0.61521745546924</v>
      </c>
      <c r="S4982" t="s">
        <v>10808</v>
      </c>
      <c r="T4982" t="s">
        <v>11650</v>
      </c>
      <c r="U4982" t="s">
        <v>11650</v>
      </c>
      <c r="V4982" t="s">
        <v>11650</v>
      </c>
      <c r="W4982" t="s">
        <v>16577</v>
      </c>
      <c r="X4982">
        <v>2</v>
      </c>
      <c r="Y4982" t="s">
        <v>22246</v>
      </c>
      <c r="Z4982" t="s">
        <v>28044</v>
      </c>
      <c r="AA4982">
        <v>0.76329530804710888</v>
      </c>
      <c r="AB4982" t="str">
        <f>HYPERLINK("Melting_Curves/meltCurve_Q9H2J4_PDCL3.pdf", "Melting_Curves/meltCurve_Q9H2J4_PDCL3.pdf")</f>
        <v>Melting_Curves/meltCurve_Q9H2J4_PDCL3.pdf</v>
      </c>
    </row>
    <row r="4983" spans="1:28" x14ac:dyDescent="0.25">
      <c r="A4983" t="s">
        <v>4987</v>
      </c>
      <c r="B4983">
        <v>0.99996721820229495</v>
      </c>
      <c r="C4983">
        <v>1.0608402157121699</v>
      </c>
      <c r="D4983">
        <v>0.91917261301324604</v>
      </c>
      <c r="E4983">
        <v>0.99628217414341502</v>
      </c>
      <c r="F4983">
        <v>0.37335081979124102</v>
      </c>
      <c r="G4983">
        <v>0.31666030958388602</v>
      </c>
      <c r="H4983">
        <v>0.20032181252109199</v>
      </c>
      <c r="I4983">
        <v>0.11984735057208</v>
      </c>
      <c r="J4983">
        <v>7.1986518639802793E-2</v>
      </c>
      <c r="K4983">
        <v>7.3198367272269999E-2</v>
      </c>
      <c r="L4983">
        <v>4553.7059222391099</v>
      </c>
      <c r="M4983">
        <v>86.968594212221902</v>
      </c>
      <c r="N4983">
        <v>52.586540387970601</v>
      </c>
      <c r="O4983">
        <v>52.332703548976198</v>
      </c>
      <c r="P4983">
        <v>-0.35063223019535</v>
      </c>
      <c r="Q4983">
        <v>0.15603909524219001</v>
      </c>
      <c r="R4983">
        <v>0.96750232556062699</v>
      </c>
      <c r="S4983" t="s">
        <v>10809</v>
      </c>
      <c r="T4983" t="s">
        <v>11650</v>
      </c>
      <c r="U4983" t="s">
        <v>11650</v>
      </c>
      <c r="V4983" t="s">
        <v>11650</v>
      </c>
      <c r="W4983" t="s">
        <v>16578</v>
      </c>
      <c r="X4983">
        <v>17</v>
      </c>
      <c r="Y4983" t="s">
        <v>22247</v>
      </c>
      <c r="Z4983" t="s">
        <v>28045</v>
      </c>
      <c r="AA4983">
        <v>0.50440267769500979</v>
      </c>
      <c r="AB4983" t="str">
        <f>HYPERLINK("Melting_Curves/meltCurve_Q9H2K8_TAOK3.pdf", "Melting_Curves/meltCurve_Q9H2K8_TAOK3.pdf")</f>
        <v>Melting_Curves/meltCurve_Q9H2K8_TAOK3.pdf</v>
      </c>
    </row>
    <row r="4984" spans="1:28" x14ac:dyDescent="0.25">
      <c r="A4984" t="s">
        <v>4988</v>
      </c>
      <c r="B4984">
        <v>0.99996721820229495</v>
      </c>
      <c r="C4984">
        <v>0.87271926968566904</v>
      </c>
      <c r="D4984">
        <v>1.0665855313680499</v>
      </c>
      <c r="E4984">
        <v>0.43972536194088002</v>
      </c>
      <c r="F4984">
        <v>0.37159696804040998</v>
      </c>
      <c r="G4984">
        <v>0.27889188034533602</v>
      </c>
      <c r="H4984">
        <v>0.203168328686649</v>
      </c>
      <c r="I4984">
        <v>0.13459191684858399</v>
      </c>
      <c r="J4984">
        <v>0.103382945340454</v>
      </c>
      <c r="K4984">
        <v>8.7264715478619206E-2</v>
      </c>
      <c r="L4984">
        <v>1354.7618946181101</v>
      </c>
      <c r="M4984">
        <v>27.267479220146299</v>
      </c>
      <c r="N4984">
        <v>50.395695863916202</v>
      </c>
      <c r="O4984">
        <v>49.419242572687402</v>
      </c>
      <c r="P4984">
        <v>-0.115902041503006</v>
      </c>
      <c r="Q4984">
        <v>0.15977029170972001</v>
      </c>
      <c r="R4984">
        <v>0.94358467193640005</v>
      </c>
      <c r="S4984" t="s">
        <v>10810</v>
      </c>
      <c r="T4984" t="s">
        <v>11650</v>
      </c>
      <c r="U4984" t="s">
        <v>11650</v>
      </c>
      <c r="V4984" t="s">
        <v>11650</v>
      </c>
      <c r="W4984" t="s">
        <v>16579</v>
      </c>
      <c r="X4984">
        <v>9</v>
      </c>
      <c r="Y4984" t="s">
        <v>22248</v>
      </c>
      <c r="Z4984" t="s">
        <v>28046</v>
      </c>
      <c r="AA4984">
        <v>0.4372786968611197</v>
      </c>
      <c r="AB4984" t="str">
        <f>HYPERLINK("Melting_Curves/meltCurve_Q9H2M9_RAB3GAP2.pdf", "Melting_Curves/meltCurve_Q9H2M9_RAB3GAP2.pdf")</f>
        <v>Melting_Curves/meltCurve_Q9H2M9_RAB3GAP2.pdf</v>
      </c>
    </row>
    <row r="4985" spans="1:28" x14ac:dyDescent="0.25">
      <c r="A4985" t="s">
        <v>4989</v>
      </c>
      <c r="B4985">
        <v>0.99996721820229495</v>
      </c>
      <c r="C4985">
        <v>0.90283705006261405</v>
      </c>
      <c r="D4985">
        <v>0.88624276341526498</v>
      </c>
      <c r="E4985">
        <v>0.828187466705535</v>
      </c>
      <c r="F4985">
        <v>0.613437065205507</v>
      </c>
      <c r="G4985">
        <v>0.28499941816895702</v>
      </c>
      <c r="H4985">
        <v>0.17252057231442</v>
      </c>
      <c r="I4985">
        <v>0.144452013769165</v>
      </c>
      <c r="J4985">
        <v>0.118609456062808</v>
      </c>
      <c r="K4985">
        <v>0.108452183250091</v>
      </c>
      <c r="L4985">
        <v>954.92423184880897</v>
      </c>
      <c r="M4985">
        <v>17.824924762489498</v>
      </c>
      <c r="N4985">
        <v>54.159769154203502</v>
      </c>
      <c r="O4985">
        <v>52.911788107228503</v>
      </c>
      <c r="P4985">
        <v>-7.6822220540852304E-2</v>
      </c>
      <c r="Q4985">
        <v>8.7885619058705303E-2</v>
      </c>
      <c r="R4985">
        <v>0.98810172927527196</v>
      </c>
      <c r="S4985" t="s">
        <v>10811</v>
      </c>
      <c r="T4985" t="s">
        <v>11650</v>
      </c>
      <c r="U4985" t="s">
        <v>11650</v>
      </c>
      <c r="V4985" t="s">
        <v>11650</v>
      </c>
      <c r="W4985" t="s">
        <v>16580</v>
      </c>
      <c r="X4985">
        <v>5</v>
      </c>
      <c r="Y4985" t="s">
        <v>22249</v>
      </c>
      <c r="Z4985" t="s">
        <v>28047</v>
      </c>
      <c r="AA4985">
        <v>0.51551542432187314</v>
      </c>
      <c r="AB4985" t="str">
        <f>HYPERLINK("Melting_Curves/meltCurve_Q9H2P9_3_DPH5.pdf", "Melting_Curves/meltCurve_Q9H2P9_3_DPH5.pdf")</f>
        <v>Melting_Curves/meltCurve_Q9H2P9_3_DPH5.pdf</v>
      </c>
    </row>
    <row r="4986" spans="1:28" x14ac:dyDescent="0.25">
      <c r="A4986" t="s">
        <v>4990</v>
      </c>
      <c r="B4986">
        <v>0.99996721820229495</v>
      </c>
      <c r="C4986">
        <v>1.07047281928072</v>
      </c>
      <c r="D4986">
        <v>1.06648342500765</v>
      </c>
      <c r="E4986">
        <v>1.10930809530175</v>
      </c>
      <c r="F4986">
        <v>1.1545940747030801</v>
      </c>
      <c r="G4986">
        <v>0.75441761770750104</v>
      </c>
      <c r="H4986">
        <v>0.298120004179043</v>
      </c>
      <c r="I4986">
        <v>0.141244075625586</v>
      </c>
      <c r="J4986">
        <v>8.6305078983163294E-2</v>
      </c>
      <c r="K4986">
        <v>5.1800741210753801E-2</v>
      </c>
      <c r="L4986">
        <v>2125.0816966422699</v>
      </c>
      <c r="M4986">
        <v>36.051976610071698</v>
      </c>
      <c r="N4986">
        <v>59.202486913703197</v>
      </c>
      <c r="O4986">
        <v>58.764473536343999</v>
      </c>
      <c r="P4986">
        <v>-0.14224418251158</v>
      </c>
      <c r="Q4986">
        <v>7.2574920552896299E-2</v>
      </c>
      <c r="R4986">
        <v>0.97347278032448203</v>
      </c>
      <c r="S4986" t="s">
        <v>10812</v>
      </c>
      <c r="T4986" t="s">
        <v>11650</v>
      </c>
      <c r="U4986" t="s">
        <v>11650</v>
      </c>
      <c r="V4986" t="s">
        <v>11650</v>
      </c>
      <c r="W4986" t="s">
        <v>16581</v>
      </c>
      <c r="X4986">
        <v>12</v>
      </c>
      <c r="Y4986" t="s">
        <v>22250</v>
      </c>
      <c r="Z4986" t="s">
        <v>28048</v>
      </c>
      <c r="AA4986">
        <v>0.66264750078227408</v>
      </c>
      <c r="AB4986" t="str">
        <f>HYPERLINK("Melting_Curves/meltCurve_Q9H2U2_PPA2.pdf", "Melting_Curves/meltCurve_Q9H2U2_PPA2.pdf")</f>
        <v>Melting_Curves/meltCurve_Q9H2U2_PPA2.pdf</v>
      </c>
    </row>
    <row r="4987" spans="1:28" x14ac:dyDescent="0.25">
      <c r="A4987" t="s">
        <v>4991</v>
      </c>
      <c r="B4987">
        <v>0.99996721820229495</v>
      </c>
      <c r="C4987">
        <v>1.0956824146025399</v>
      </c>
      <c r="D4987">
        <v>1.44178166205239</v>
      </c>
      <c r="E4987">
        <v>1.82323467387061</v>
      </c>
      <c r="F4987">
        <v>0.66516874345075405</v>
      </c>
      <c r="G4987">
        <v>0.57792948118232501</v>
      </c>
      <c r="H4987">
        <v>0.25940851291278</v>
      </c>
      <c r="I4987">
        <v>0.15909118237314601</v>
      </c>
      <c r="J4987">
        <v>0.100803366264772</v>
      </c>
      <c r="K4987">
        <v>0.11006817895462501</v>
      </c>
      <c r="L4987">
        <v>1697.63857448778</v>
      </c>
      <c r="M4987">
        <v>29.790028573047302</v>
      </c>
      <c r="N4987">
        <v>57.503611932370603</v>
      </c>
      <c r="O4987">
        <v>56.731862639540203</v>
      </c>
      <c r="P4987">
        <v>-0.115858765013839</v>
      </c>
      <c r="Q4987">
        <v>0.117444371752896</v>
      </c>
      <c r="R4987">
        <v>0.70269576430971603</v>
      </c>
      <c r="S4987" t="s">
        <v>10813</v>
      </c>
      <c r="T4987" t="s">
        <v>11650</v>
      </c>
      <c r="U4987" t="s">
        <v>11650</v>
      </c>
      <c r="V4987" t="s">
        <v>11650</v>
      </c>
      <c r="W4987" t="s">
        <v>16582</v>
      </c>
      <c r="X4987">
        <v>2</v>
      </c>
      <c r="Y4987" t="s">
        <v>22251</v>
      </c>
      <c r="Z4987" t="s">
        <v>28049</v>
      </c>
      <c r="AA4987">
        <v>0.6231213844701281</v>
      </c>
      <c r="AB4987" t="str">
        <f>HYPERLINK("Melting_Curves/meltCurve_Q9H2W6_MRPL46.pdf", "Melting_Curves/meltCurve_Q9H2W6_MRPL46.pdf")</f>
        <v>Melting_Curves/meltCurve_Q9H2W6_MRPL46.pdf</v>
      </c>
    </row>
    <row r="4988" spans="1:28" x14ac:dyDescent="0.25">
      <c r="A4988" t="s">
        <v>4992</v>
      </c>
      <c r="B4988">
        <v>0.99996721820229495</v>
      </c>
      <c r="C4988">
        <v>1.0503100756828001</v>
      </c>
      <c r="D4988">
        <v>1.11251312632925</v>
      </c>
      <c r="E4988">
        <v>1.28649832936683</v>
      </c>
      <c r="F4988">
        <v>1.8431179608428501</v>
      </c>
      <c r="G4988">
        <v>2.17775701697582</v>
      </c>
      <c r="H4988">
        <v>1.4302713038317001</v>
      </c>
      <c r="I4988">
        <v>1.51824311072478</v>
      </c>
      <c r="J4988">
        <v>1.14542820226193</v>
      </c>
      <c r="K4988">
        <v>0.91543929632002097</v>
      </c>
      <c r="L4988">
        <v>12485.2953045349</v>
      </c>
      <c r="M4988">
        <v>250</v>
      </c>
      <c r="O4988">
        <v>49.937995979805699</v>
      </c>
      <c r="P4988">
        <v>0.62577614651506597</v>
      </c>
      <c r="Q4988">
        <v>1.5</v>
      </c>
      <c r="R4988">
        <v>0.27385591183213298</v>
      </c>
      <c r="S4988" t="s">
        <v>10814</v>
      </c>
      <c r="T4988" t="s">
        <v>11650</v>
      </c>
      <c r="U4988" t="s">
        <v>11650</v>
      </c>
      <c r="V4988" t="s">
        <v>11650</v>
      </c>
      <c r="W4988" t="s">
        <v>16583</v>
      </c>
      <c r="X4988">
        <v>4</v>
      </c>
      <c r="Y4988" t="s">
        <v>22252</v>
      </c>
      <c r="Z4988" t="s">
        <v>28050</v>
      </c>
      <c r="AA4988">
        <v>1.3342698233664489</v>
      </c>
      <c r="AB4988" t="str">
        <f>HYPERLINK("Melting_Curves/meltCurve_Q9H307_PNN.pdf", "Melting_Curves/meltCurve_Q9H307_PNN.pdf")</f>
        <v>Melting_Curves/meltCurve_Q9H307_PNN.pdf</v>
      </c>
    </row>
    <row r="4989" spans="1:28" x14ac:dyDescent="0.25">
      <c r="A4989" t="s">
        <v>4993</v>
      </c>
      <c r="B4989">
        <v>0.99996721820229495</v>
      </c>
      <c r="C4989">
        <v>1.07208153772078</v>
      </c>
      <c r="D4989">
        <v>1.0042528941839199</v>
      </c>
      <c r="E4989">
        <v>0.99677989678767098</v>
      </c>
      <c r="F4989">
        <v>1.98332701443408</v>
      </c>
      <c r="G4989">
        <v>2.7118626719121099</v>
      </c>
      <c r="H4989">
        <v>3.1477509245282902</v>
      </c>
      <c r="I4989">
        <v>1.54758473872574</v>
      </c>
      <c r="J4989">
        <v>0.74187977047125397</v>
      </c>
      <c r="K4989">
        <v>1.70851826825554</v>
      </c>
      <c r="L4989">
        <v>12753.7089890512</v>
      </c>
      <c r="M4989">
        <v>250</v>
      </c>
      <c r="O4989">
        <v>51.011571395025904</v>
      </c>
      <c r="P4989">
        <v>0.61260610509784796</v>
      </c>
      <c r="Q4989">
        <v>1.5</v>
      </c>
      <c r="R4989">
        <v>0.14326379199749301</v>
      </c>
      <c r="S4989" t="s">
        <v>10815</v>
      </c>
      <c r="T4989" t="s">
        <v>11650</v>
      </c>
      <c r="U4989" t="s">
        <v>11650</v>
      </c>
      <c r="V4989" t="s">
        <v>11650</v>
      </c>
      <c r="W4989" t="s">
        <v>16584</v>
      </c>
      <c r="X4989">
        <v>1</v>
      </c>
      <c r="Y4989" t="s">
        <v>22253</v>
      </c>
      <c r="Z4989" t="s">
        <v>28051</v>
      </c>
      <c r="AA4989">
        <v>1.316374635608351</v>
      </c>
      <c r="AB4989" t="str">
        <f>HYPERLINK("Melting_Curves/meltCurve_Q9H329_2_EPB41L4B.pdf", "Melting_Curves/meltCurve_Q9H329_2_EPB41L4B.pdf")</f>
        <v>Melting_Curves/meltCurve_Q9H329_2_EPB41L4B.pdf</v>
      </c>
    </row>
    <row r="4990" spans="1:28" x14ac:dyDescent="0.25">
      <c r="A4990" t="s">
        <v>4994</v>
      </c>
      <c r="B4990">
        <v>0.99996721820229495</v>
      </c>
      <c r="C4990">
        <v>0.92258905022766502</v>
      </c>
      <c r="D4990">
        <v>1.0956029436783501</v>
      </c>
      <c r="E4990">
        <v>1.3041992851858699</v>
      </c>
      <c r="F4990">
        <v>1.87962657428091</v>
      </c>
      <c r="G4990">
        <v>2.1693421989310901</v>
      </c>
      <c r="H4990">
        <v>1.5389498896217699</v>
      </c>
      <c r="I4990">
        <v>0.65790227313930905</v>
      </c>
      <c r="J4990">
        <v>0.26676014230092499</v>
      </c>
      <c r="K4990">
        <v>0.22708491016874399</v>
      </c>
      <c r="L4990">
        <v>15000</v>
      </c>
      <c r="M4990">
        <v>234.19140542360401</v>
      </c>
      <c r="N4990">
        <v>64.236926879480805</v>
      </c>
      <c r="O4990">
        <v>64.0454920146136</v>
      </c>
      <c r="P4990">
        <v>-0.68844747319300803</v>
      </c>
      <c r="Q4990">
        <v>0.24690722167988699</v>
      </c>
      <c r="R4990">
        <v>0.309495895758582</v>
      </c>
      <c r="S4990" t="s">
        <v>10816</v>
      </c>
      <c r="T4990" t="s">
        <v>11650</v>
      </c>
      <c r="U4990" t="s">
        <v>11650</v>
      </c>
      <c r="V4990" t="s">
        <v>11650</v>
      </c>
      <c r="W4990" t="s">
        <v>16585</v>
      </c>
      <c r="X4990">
        <v>5</v>
      </c>
      <c r="Y4990" t="s">
        <v>22254</v>
      </c>
      <c r="Z4990" t="s">
        <v>28052</v>
      </c>
      <c r="AA4990">
        <v>0.85073740858900415</v>
      </c>
      <c r="AB4990" t="str">
        <f>HYPERLINK("Melting_Curves/meltCurve_Q9H330_2_TMEM245.pdf", "Melting_Curves/meltCurve_Q9H330_2_TMEM245.pdf")</f>
        <v>Melting_Curves/meltCurve_Q9H330_2_TMEM245.pdf</v>
      </c>
    </row>
    <row r="4991" spans="1:28" x14ac:dyDescent="0.25">
      <c r="A4991" t="s">
        <v>4995</v>
      </c>
      <c r="B4991">
        <v>0.99996721820229495</v>
      </c>
      <c r="C4991">
        <v>1.0692761809289</v>
      </c>
      <c r="D4991">
        <v>1.1452447147346101</v>
      </c>
      <c r="E4991">
        <v>1.42737011768417</v>
      </c>
      <c r="F4991">
        <v>1.5789743434672601</v>
      </c>
      <c r="G4991">
        <v>2.3175306496540098</v>
      </c>
      <c r="H4991">
        <v>1.5708969393499199</v>
      </c>
      <c r="I4991">
        <v>0.68875890365079295</v>
      </c>
      <c r="J4991">
        <v>0.35546362441250301</v>
      </c>
      <c r="K4991">
        <v>0.19800180731505099</v>
      </c>
      <c r="L4991">
        <v>15000</v>
      </c>
      <c r="M4991">
        <v>234.09427094626</v>
      </c>
      <c r="N4991">
        <v>64.298177810813101</v>
      </c>
      <c r="O4991">
        <v>64.072073126048096</v>
      </c>
      <c r="P4991">
        <v>-0.66065108988711396</v>
      </c>
      <c r="Q4991">
        <v>0.27671386929224301</v>
      </c>
      <c r="R4991">
        <v>0.26840106657913998</v>
      </c>
      <c r="S4991" t="s">
        <v>10817</v>
      </c>
      <c r="T4991" t="s">
        <v>11650</v>
      </c>
      <c r="U4991" t="s">
        <v>11650</v>
      </c>
      <c r="V4991" t="s">
        <v>11650</v>
      </c>
      <c r="W4991" t="s">
        <v>16586</v>
      </c>
      <c r="X4991">
        <v>5</v>
      </c>
      <c r="Y4991" t="s">
        <v>22255</v>
      </c>
      <c r="Z4991" t="s">
        <v>28053</v>
      </c>
      <c r="AA4991">
        <v>0.85728594053889695</v>
      </c>
      <c r="AB4991" t="str">
        <f>HYPERLINK("Melting_Curves/meltCurve_Q9H3F6_KCTD10.pdf", "Melting_Curves/meltCurve_Q9H3F6_KCTD10.pdf")</f>
        <v>Melting_Curves/meltCurve_Q9H3F6_KCTD10.pdf</v>
      </c>
    </row>
    <row r="4992" spans="1:28" x14ac:dyDescent="0.25">
      <c r="A4992" t="s">
        <v>4996</v>
      </c>
      <c r="B4992">
        <v>0.99996721820229495</v>
      </c>
      <c r="C4992">
        <v>1.09542776438068</v>
      </c>
      <c r="D4992">
        <v>1.2279495519755901</v>
      </c>
      <c r="E4992">
        <v>1.39843301385737</v>
      </c>
      <c r="F4992">
        <v>1.01346631770041</v>
      </c>
      <c r="G4992">
        <v>0.30795008057877199</v>
      </c>
      <c r="H4992">
        <v>0.130309510480487</v>
      </c>
      <c r="I4992">
        <v>7.1103175527049894E-2</v>
      </c>
      <c r="J4992">
        <v>4.9528333190837798E-2</v>
      </c>
      <c r="K4992">
        <v>4.1939993275686697E-2</v>
      </c>
      <c r="L4992">
        <v>5824.5550051284199</v>
      </c>
      <c r="M4992">
        <v>103.264477387163</v>
      </c>
      <c r="N4992">
        <v>56.490679880382203</v>
      </c>
      <c r="O4992">
        <v>56.3830812408181</v>
      </c>
      <c r="P4992">
        <v>-0.424409481863052</v>
      </c>
      <c r="Q4992">
        <v>7.3078276512798496E-2</v>
      </c>
      <c r="R4992">
        <v>0.91963027349864501</v>
      </c>
      <c r="S4992" t="s">
        <v>10818</v>
      </c>
      <c r="T4992" t="s">
        <v>11650</v>
      </c>
      <c r="U4992" t="s">
        <v>11650</v>
      </c>
      <c r="V4992" t="s">
        <v>11650</v>
      </c>
      <c r="W4992" t="s">
        <v>16587</v>
      </c>
      <c r="X4992">
        <v>9</v>
      </c>
      <c r="Y4992" t="s">
        <v>22256</v>
      </c>
      <c r="Z4992" t="s">
        <v>28054</v>
      </c>
      <c r="AA4992">
        <v>0.58046504324987069</v>
      </c>
      <c r="AB4992" t="str">
        <f>HYPERLINK("Melting_Curves/meltCurve_Q9H3H3_2_C11orf68.pdf", "Melting_Curves/meltCurve_Q9H3H3_2_C11orf68.pdf")</f>
        <v>Melting_Curves/meltCurve_Q9H3H3_2_C11orf68.pdf</v>
      </c>
    </row>
    <row r="4993" spans="1:28" x14ac:dyDescent="0.25">
      <c r="A4993" t="s">
        <v>4997</v>
      </c>
      <c r="B4993">
        <v>0.99996721820229495</v>
      </c>
      <c r="C4993">
        <v>0.87630578366693501</v>
      </c>
      <c r="D4993">
        <v>1.1369981790667001</v>
      </c>
      <c r="E4993">
        <v>1.4211610192517099</v>
      </c>
      <c r="F4993">
        <v>1.4627826602358001</v>
      </c>
      <c r="G4993">
        <v>1.65991625388346</v>
      </c>
      <c r="H4993">
        <v>1.3614813135274899</v>
      </c>
      <c r="I4993">
        <v>0.82792922190961804</v>
      </c>
      <c r="J4993">
        <v>0.242621491567617</v>
      </c>
      <c r="K4993">
        <v>0.200892123997883</v>
      </c>
      <c r="L4993">
        <v>8546.8326584941697</v>
      </c>
      <c r="M4993">
        <v>132.265805291269</v>
      </c>
      <c r="N4993">
        <v>64.899668961029604</v>
      </c>
      <c r="O4993">
        <v>64.603842298198103</v>
      </c>
      <c r="P4993">
        <v>-0.40024222401154802</v>
      </c>
      <c r="Q4993">
        <v>0.21802358732205099</v>
      </c>
      <c r="R4993">
        <v>0.55488126582969499</v>
      </c>
      <c r="S4993" t="s">
        <v>10819</v>
      </c>
      <c r="T4993" t="s">
        <v>11650</v>
      </c>
      <c r="U4993" t="s">
        <v>11650</v>
      </c>
      <c r="V4993" t="s">
        <v>11650</v>
      </c>
      <c r="W4993" t="s">
        <v>16588</v>
      </c>
      <c r="X4993">
        <v>2</v>
      </c>
      <c r="Y4993" t="s">
        <v>22257</v>
      </c>
      <c r="Z4993" t="s">
        <v>28055</v>
      </c>
      <c r="AA4993">
        <v>0.86004578045959168</v>
      </c>
      <c r="AB4993" t="str">
        <f>HYPERLINK("Melting_Curves/meltCurve_Q9H3H5_2_DPAGT1.pdf", "Melting_Curves/meltCurve_Q9H3H5_2_DPAGT1.pdf")</f>
        <v>Melting_Curves/meltCurve_Q9H3H5_2_DPAGT1.pdf</v>
      </c>
    </row>
    <row r="4994" spans="1:28" x14ac:dyDescent="0.25">
      <c r="A4994" t="s">
        <v>4998</v>
      </c>
      <c r="B4994">
        <v>0.99996721820229495</v>
      </c>
      <c r="C4994">
        <v>1.0765755356472699</v>
      </c>
      <c r="D4994">
        <v>0.99948429406186801</v>
      </c>
      <c r="E4994">
        <v>0.868760548719957</v>
      </c>
      <c r="F4994">
        <v>0.85922331327595203</v>
      </c>
      <c r="G4994">
        <v>0.63959586227629694</v>
      </c>
      <c r="H4994">
        <v>0.36482238597534999</v>
      </c>
      <c r="I4994">
        <v>0.258806072916623</v>
      </c>
      <c r="J4994">
        <v>0.2028119119273</v>
      </c>
      <c r="K4994">
        <v>0.12568758700750399</v>
      </c>
      <c r="L4994">
        <v>881.93340574565104</v>
      </c>
      <c r="M4994">
        <v>15.086348681568801</v>
      </c>
      <c r="N4994">
        <v>58.979177721710499</v>
      </c>
      <c r="O4994">
        <v>57.460742074854998</v>
      </c>
      <c r="P4994">
        <v>-6.1555263809512401E-2</v>
      </c>
      <c r="Q4994">
        <v>6.2288214446783702E-2</v>
      </c>
      <c r="R4994">
        <v>0.98964216650451897</v>
      </c>
      <c r="S4994" t="s">
        <v>10820</v>
      </c>
      <c r="T4994" t="s">
        <v>11650</v>
      </c>
      <c r="U4994" t="s">
        <v>11650</v>
      </c>
      <c r="V4994" t="s">
        <v>11650</v>
      </c>
      <c r="W4994" t="s">
        <v>16589</v>
      </c>
      <c r="X4994">
        <v>7</v>
      </c>
      <c r="Y4994" t="s">
        <v>22258</v>
      </c>
      <c r="Z4994" t="s">
        <v>28056</v>
      </c>
      <c r="AA4994">
        <v>0.65066419506600526</v>
      </c>
      <c r="AB4994" t="str">
        <f>HYPERLINK("Melting_Curves/meltCurve_Q9H3K6_BOLA2.pdf", "Melting_Curves/meltCurve_Q9H3K6_BOLA2.pdf")</f>
        <v>Melting_Curves/meltCurve_Q9H3K6_BOLA2.pdf</v>
      </c>
    </row>
    <row r="4995" spans="1:28" x14ac:dyDescent="0.25">
      <c r="A4995" t="s">
        <v>4999</v>
      </c>
      <c r="B4995">
        <v>0.99996721820229495</v>
      </c>
      <c r="C4995">
        <v>1.03714917583941</v>
      </c>
      <c r="D4995">
        <v>1.06811146915753</v>
      </c>
      <c r="E4995">
        <v>1.04805658802815</v>
      </c>
      <c r="F4995">
        <v>1.05814648345975</v>
      </c>
      <c r="G4995">
        <v>0.69283363361472305</v>
      </c>
      <c r="H4995">
        <v>0.34170080505401901</v>
      </c>
      <c r="I4995">
        <v>0.21799370109039101</v>
      </c>
      <c r="J4995">
        <v>0.17436158361214299</v>
      </c>
      <c r="K4995">
        <v>0.143452202708795</v>
      </c>
      <c r="L4995">
        <v>1911.63621257771</v>
      </c>
      <c r="M4995">
        <v>32.815044866742802</v>
      </c>
      <c r="N4995">
        <v>58.965326315725399</v>
      </c>
      <c r="O4995">
        <v>58.039807775867203</v>
      </c>
      <c r="P4995">
        <v>-0.11826766016116499</v>
      </c>
      <c r="Q4995">
        <v>0.163286121111859</v>
      </c>
      <c r="R4995">
        <v>0.98755488114623002</v>
      </c>
      <c r="S4995" t="s">
        <v>10821</v>
      </c>
      <c r="T4995" t="s">
        <v>11650</v>
      </c>
      <c r="U4995" t="s">
        <v>11650</v>
      </c>
      <c r="V4995" t="s">
        <v>11650</v>
      </c>
      <c r="W4995" t="s">
        <v>16590</v>
      </c>
      <c r="X4995">
        <v>10</v>
      </c>
      <c r="Y4995" t="s">
        <v>22259</v>
      </c>
      <c r="Z4995" t="s">
        <v>28057</v>
      </c>
      <c r="AA4995">
        <v>0.67713860168737505</v>
      </c>
      <c r="AB4995" t="str">
        <f>HYPERLINK("Melting_Curves/meltCurve_Q9H3N1_TMX1.pdf", "Melting_Curves/meltCurve_Q9H3N1_TMX1.pdf")</f>
        <v>Melting_Curves/meltCurve_Q9H3N1_TMX1.pdf</v>
      </c>
    </row>
    <row r="4996" spans="1:28" x14ac:dyDescent="0.25">
      <c r="A4996" t="s">
        <v>5000</v>
      </c>
      <c r="B4996">
        <v>0.99996721820229495</v>
      </c>
      <c r="C4996">
        <v>1.035555176051</v>
      </c>
      <c r="D4996">
        <v>0.90429151459600698</v>
      </c>
      <c r="E4996">
        <v>0.69210626504239603</v>
      </c>
      <c r="F4996">
        <v>0.30714220632851702</v>
      </c>
      <c r="G4996">
        <v>0.23334216288014301</v>
      </c>
      <c r="H4996">
        <v>0.14023992670112201</v>
      </c>
      <c r="I4996">
        <v>0.101227943790538</v>
      </c>
      <c r="J4996">
        <v>7.7405785536198493E-2</v>
      </c>
      <c r="K4996">
        <v>6.6100121535970002E-2</v>
      </c>
      <c r="L4996">
        <v>1167.33489826135</v>
      </c>
      <c r="M4996">
        <v>22.862868003737301</v>
      </c>
      <c r="N4996">
        <v>51.5283210850017</v>
      </c>
      <c r="O4996">
        <v>50.672286470925499</v>
      </c>
      <c r="P4996">
        <v>-0.102179499573451</v>
      </c>
      <c r="Q4996">
        <v>9.4151853356676293E-2</v>
      </c>
      <c r="R4996">
        <v>0.99058119550810397</v>
      </c>
      <c r="S4996" t="s">
        <v>10822</v>
      </c>
      <c r="T4996" t="s">
        <v>11650</v>
      </c>
      <c r="U4996" t="s">
        <v>11650</v>
      </c>
      <c r="V4996" t="s">
        <v>11650</v>
      </c>
      <c r="W4996" t="s">
        <v>16591</v>
      </c>
      <c r="X4996">
        <v>16</v>
      </c>
      <c r="Y4996" t="s">
        <v>22260</v>
      </c>
      <c r="Z4996" t="s">
        <v>28058</v>
      </c>
      <c r="AA4996">
        <v>0.4377984359104577</v>
      </c>
      <c r="AB4996" t="str">
        <f>HYPERLINK("Melting_Curves/meltCurve_Q9H3P7_ACBD3.pdf", "Melting_Curves/meltCurve_Q9H3P7_ACBD3.pdf")</f>
        <v>Melting_Curves/meltCurve_Q9H3P7_ACBD3.pdf</v>
      </c>
    </row>
    <row r="4997" spans="1:28" x14ac:dyDescent="0.25">
      <c r="A4997" t="s">
        <v>5001</v>
      </c>
      <c r="B4997">
        <v>0.99996721820229495</v>
      </c>
      <c r="C4997">
        <v>1.02589497393208</v>
      </c>
      <c r="D4997">
        <v>0.91376223081794705</v>
      </c>
      <c r="E4997">
        <v>0.85949893031023905</v>
      </c>
      <c r="F4997">
        <v>0.92957473329621598</v>
      </c>
      <c r="G4997">
        <v>1.0420986999175501</v>
      </c>
      <c r="H4997">
        <v>0.80057097296277901</v>
      </c>
      <c r="I4997">
        <v>0.85649150356067705</v>
      </c>
      <c r="J4997">
        <v>0.87266650110838095</v>
      </c>
      <c r="K4997">
        <v>0.688009794350527</v>
      </c>
      <c r="L4997">
        <v>361.01189358569297</v>
      </c>
      <c r="M4997">
        <v>4.0189062292367801</v>
      </c>
      <c r="Q4997">
        <v>0</v>
      </c>
      <c r="R4997">
        <v>0.53542084359662601</v>
      </c>
      <c r="S4997" t="s">
        <v>10823</v>
      </c>
      <c r="T4997" t="s">
        <v>11650</v>
      </c>
      <c r="U4997" t="s">
        <v>11650</v>
      </c>
      <c r="V4997" t="s">
        <v>11650</v>
      </c>
      <c r="W4997" t="s">
        <v>16592</v>
      </c>
      <c r="X4997">
        <v>15</v>
      </c>
      <c r="Y4997" t="s">
        <v>22261</v>
      </c>
      <c r="Z4997" t="s">
        <v>28059</v>
      </c>
      <c r="AA4997">
        <v>0.90898848313865654</v>
      </c>
      <c r="AB4997" t="str">
        <f>HYPERLINK("Melting_Curves/meltCurve_Q9H3Q1_CDC42EP4.pdf", "Melting_Curves/meltCurve_Q9H3Q1_CDC42EP4.pdf")</f>
        <v>Melting_Curves/meltCurve_Q9H3Q1_CDC42EP4.pdf</v>
      </c>
    </row>
    <row r="4998" spans="1:28" x14ac:dyDescent="0.25">
      <c r="A4998" t="s">
        <v>5002</v>
      </c>
      <c r="B4998">
        <v>0.99996721820229495</v>
      </c>
      <c r="C4998">
        <v>1.0038348899884</v>
      </c>
      <c r="D4998">
        <v>0.96650639774165203</v>
      </c>
      <c r="E4998">
        <v>0.63307668159114105</v>
      </c>
      <c r="F4998">
        <v>0.39629203428987297</v>
      </c>
      <c r="G4998">
        <v>0.310897869097855</v>
      </c>
      <c r="H4998">
        <v>0.19181638017351699</v>
      </c>
      <c r="I4998">
        <v>0.126375668686216</v>
      </c>
      <c r="J4998">
        <v>8.9727663898401797E-2</v>
      </c>
      <c r="K4998">
        <v>7.2128574127591993E-2</v>
      </c>
      <c r="L4998">
        <v>899.47633359123097</v>
      </c>
      <c r="M4998">
        <v>17.465368520544601</v>
      </c>
      <c r="N4998">
        <v>52.163264943299097</v>
      </c>
      <c r="O4998">
        <v>50.839631109688902</v>
      </c>
      <c r="P4998">
        <v>-7.7343811638710402E-2</v>
      </c>
      <c r="Q4998">
        <v>9.9495124627968695E-2</v>
      </c>
      <c r="R4998">
        <v>0.98789797939633905</v>
      </c>
      <c r="S4998" t="s">
        <v>10824</v>
      </c>
      <c r="T4998" t="s">
        <v>11650</v>
      </c>
      <c r="U4998" t="s">
        <v>11650</v>
      </c>
      <c r="V4998" t="s">
        <v>11650</v>
      </c>
      <c r="W4998" t="s">
        <v>16593</v>
      </c>
      <c r="X4998">
        <v>39</v>
      </c>
      <c r="Y4998" t="s">
        <v>22262</v>
      </c>
      <c r="Z4998" t="s">
        <v>28060</v>
      </c>
      <c r="AA4998">
        <v>0.46060212648380089</v>
      </c>
      <c r="AB4998" t="str">
        <f>HYPERLINK("Melting_Curves/meltCurve_Q9H3S7_PTPN23.pdf", "Melting_Curves/meltCurve_Q9H3S7_PTPN23.pdf")</f>
        <v>Melting_Curves/meltCurve_Q9H3S7_PTPN23.pdf</v>
      </c>
    </row>
    <row r="4999" spans="1:28" x14ac:dyDescent="0.25">
      <c r="A4999" t="s">
        <v>5003</v>
      </c>
      <c r="B4999">
        <v>0.99996721820229495</v>
      </c>
      <c r="C4999">
        <v>0.97808384551949801</v>
      </c>
      <c r="D4999">
        <v>0.76100357566337695</v>
      </c>
      <c r="E4999">
        <v>0.24243124822343301</v>
      </c>
      <c r="F4999">
        <v>0.24374377667851099</v>
      </c>
      <c r="G4999">
        <v>0.19096273690633001</v>
      </c>
      <c r="H4999">
        <v>0.122691232428319</v>
      </c>
      <c r="I4999">
        <v>7.8616923691475396E-2</v>
      </c>
      <c r="J4999">
        <v>5.6481891731504398E-2</v>
      </c>
      <c r="K4999">
        <v>4.7151956276618397E-2</v>
      </c>
      <c r="L4999">
        <v>1297.5400494953401</v>
      </c>
      <c r="M4999">
        <v>27.2612095092488</v>
      </c>
      <c r="N4999">
        <v>48.012257452134897</v>
      </c>
      <c r="O4999">
        <v>47.342664188446001</v>
      </c>
      <c r="P4999">
        <v>-0.12882570554242001</v>
      </c>
      <c r="Q4999">
        <v>0.105117631972417</v>
      </c>
      <c r="R4999">
        <v>0.98246189017153396</v>
      </c>
      <c r="S4999" t="s">
        <v>10825</v>
      </c>
      <c r="T4999" t="s">
        <v>11650</v>
      </c>
      <c r="U4999" t="s">
        <v>11650</v>
      </c>
      <c r="V4999" t="s">
        <v>11650</v>
      </c>
      <c r="W4999" t="s">
        <v>16594</v>
      </c>
      <c r="X4999">
        <v>27</v>
      </c>
      <c r="Y4999" t="s">
        <v>22263</v>
      </c>
      <c r="Z4999" t="s">
        <v>28061</v>
      </c>
      <c r="AA4999">
        <v>0.33830064643099622</v>
      </c>
      <c r="AB4999" t="str">
        <f>HYPERLINK("Melting_Curves/meltCurve_Q9H3U1_2_UNC45A.pdf", "Melting_Curves/meltCurve_Q9H3U1_2_UNC45A.pdf")</f>
        <v>Melting_Curves/meltCurve_Q9H3U1_2_UNC45A.pdf</v>
      </c>
    </row>
    <row r="5000" spans="1:28" x14ac:dyDescent="0.25">
      <c r="A5000" t="s">
        <v>5004</v>
      </c>
      <c r="B5000">
        <v>0.99996721820229495</v>
      </c>
      <c r="C5000">
        <v>0.80904654816714605</v>
      </c>
      <c r="D5000">
        <v>0.99457897355217395</v>
      </c>
      <c r="E5000">
        <v>1.07264121950516</v>
      </c>
      <c r="F5000">
        <v>1.4715114557048099</v>
      </c>
      <c r="G5000">
        <v>1.68073446302595</v>
      </c>
      <c r="H5000">
        <v>1.31827008864259</v>
      </c>
      <c r="I5000">
        <v>1.00132085921781</v>
      </c>
      <c r="J5000">
        <v>0.608214672777319</v>
      </c>
      <c r="K5000">
        <v>0.71198547145192204</v>
      </c>
      <c r="L5000">
        <v>15000</v>
      </c>
      <c r="M5000">
        <v>230.189670266089</v>
      </c>
      <c r="O5000">
        <v>65.158735717784296</v>
      </c>
      <c r="P5000">
        <v>-0.30038394170906901</v>
      </c>
      <c r="Q5000">
        <v>0.65988677617816205</v>
      </c>
      <c r="R5000">
        <v>0.18254493406407099</v>
      </c>
      <c r="S5000" t="s">
        <v>10826</v>
      </c>
      <c r="T5000" t="s">
        <v>11650</v>
      </c>
      <c r="U5000" t="s">
        <v>11650</v>
      </c>
      <c r="V5000" t="s">
        <v>11650</v>
      </c>
      <c r="W5000" t="s">
        <v>16595</v>
      </c>
      <c r="X5000">
        <v>3</v>
      </c>
      <c r="Y5000" t="s">
        <v>22264</v>
      </c>
      <c r="Z5000" t="s">
        <v>28062</v>
      </c>
      <c r="AA5000">
        <v>0.94521570432489121</v>
      </c>
      <c r="AB5000" t="str">
        <f>HYPERLINK("Melting_Curves/meltCurve_Q9H3U5_3_MFSD1.pdf", "Melting_Curves/meltCurve_Q9H3U5_3_MFSD1.pdf")</f>
        <v>Melting_Curves/meltCurve_Q9H3U5_3_MFSD1.pdf</v>
      </c>
    </row>
    <row r="5001" spans="1:28" x14ac:dyDescent="0.25">
      <c r="A5001" t="s">
        <v>5005</v>
      </c>
      <c r="B5001">
        <v>0.99996721820229495</v>
      </c>
      <c r="C5001">
        <v>0.79606376046796501</v>
      </c>
      <c r="D5001">
        <v>0.64933683602085401</v>
      </c>
      <c r="E5001">
        <v>1.22980391827552</v>
      </c>
      <c r="F5001">
        <v>1.70751402952334</v>
      </c>
      <c r="G5001">
        <v>1.1624977622436901</v>
      </c>
      <c r="H5001">
        <v>1.5676783585992899</v>
      </c>
      <c r="I5001">
        <v>1.38818850790033</v>
      </c>
      <c r="J5001">
        <v>1.0750733199595699</v>
      </c>
      <c r="K5001">
        <v>1.2120545739361701</v>
      </c>
      <c r="L5001">
        <v>12468.4882339056</v>
      </c>
      <c r="M5001">
        <v>250</v>
      </c>
      <c r="O5001">
        <v>49.8707619591395</v>
      </c>
      <c r="P5001">
        <v>0.44135041008996601</v>
      </c>
      <c r="Q5001">
        <v>1.35216769504426</v>
      </c>
      <c r="R5001">
        <v>0.50328463887021802</v>
      </c>
      <c r="S5001" t="s">
        <v>10827</v>
      </c>
      <c r="T5001" t="s">
        <v>11650</v>
      </c>
      <c r="U5001" t="s">
        <v>11650</v>
      </c>
      <c r="V5001" t="s">
        <v>11650</v>
      </c>
      <c r="W5001" t="s">
        <v>16596</v>
      </c>
      <c r="X5001">
        <v>1</v>
      </c>
      <c r="Y5001" t="s">
        <v>22265</v>
      </c>
      <c r="Z5001" t="s">
        <v>28063</v>
      </c>
      <c r="AA5001">
        <v>1.2362272956291851</v>
      </c>
      <c r="AB5001" t="str">
        <f>HYPERLINK("Melting_Curves/meltCurve_Q9H3Y8_PPDPF.pdf", "Melting_Curves/meltCurve_Q9H3Y8_PPDPF.pdf")</f>
        <v>Melting_Curves/meltCurve_Q9H3Y8_PPDPF.pdf</v>
      </c>
    </row>
    <row r="5002" spans="1:28" x14ac:dyDescent="0.25">
      <c r="A5002" t="s">
        <v>5006</v>
      </c>
      <c r="B5002">
        <v>0.99996721820229495</v>
      </c>
      <c r="C5002">
        <v>1.42521705610241</v>
      </c>
      <c r="D5002">
        <v>1.2351435738722101</v>
      </c>
      <c r="E5002">
        <v>1.2527800476322</v>
      </c>
      <c r="F5002">
        <v>1.54325386638961</v>
      </c>
      <c r="G5002">
        <v>1.82188266283163</v>
      </c>
      <c r="H5002">
        <v>1.4906383908477601</v>
      </c>
      <c r="I5002">
        <v>1.3041355211405801</v>
      </c>
      <c r="J5002">
        <v>1.26811868743598</v>
      </c>
      <c r="K5002">
        <v>0.84435042211927402</v>
      </c>
      <c r="L5002">
        <v>10253.9294505702</v>
      </c>
      <c r="M5002">
        <v>250</v>
      </c>
      <c r="O5002">
        <v>41.013093085668302</v>
      </c>
      <c r="P5002">
        <v>0.53938125970071404</v>
      </c>
      <c r="Q5002">
        <v>1.35394710044036</v>
      </c>
      <c r="R5002">
        <v>0.164574573169918</v>
      </c>
      <c r="S5002" t="s">
        <v>10828</v>
      </c>
      <c r="T5002" t="s">
        <v>11650</v>
      </c>
      <c r="U5002" t="s">
        <v>11650</v>
      </c>
      <c r="V5002" t="s">
        <v>11650</v>
      </c>
      <c r="W5002" t="s">
        <v>16597</v>
      </c>
      <c r="X5002">
        <v>5</v>
      </c>
      <c r="Y5002" t="s">
        <v>22266</v>
      </c>
      <c r="Z5002" t="s">
        <v>28064</v>
      </c>
      <c r="AA5002">
        <v>1.3419347498677709</v>
      </c>
      <c r="AB5002" t="str">
        <f>HYPERLINK("Melting_Curves/meltCurve_Q9H3Z4_2_DNAJC5.pdf", "Melting_Curves/meltCurve_Q9H3Z4_2_DNAJC5.pdf")</f>
        <v>Melting_Curves/meltCurve_Q9H3Z4_2_DNAJC5.pdf</v>
      </c>
    </row>
    <row r="5003" spans="1:28" x14ac:dyDescent="0.25">
      <c r="A5003" t="s">
        <v>5007</v>
      </c>
      <c r="B5003">
        <v>0.99996721820229495</v>
      </c>
      <c r="C5003">
        <v>1.00497680199116</v>
      </c>
      <c r="D5003">
        <v>0.94749194656444202</v>
      </c>
      <c r="E5003">
        <v>0.89704942017414802</v>
      </c>
      <c r="F5003">
        <v>1.08863237463103</v>
      </c>
      <c r="G5003">
        <v>1.0681136821186701</v>
      </c>
      <c r="H5003">
        <v>0.79922529198107195</v>
      </c>
      <c r="I5003">
        <v>0.78071287259372502</v>
      </c>
      <c r="J5003">
        <v>0.78769068214327098</v>
      </c>
      <c r="K5003">
        <v>0.55449807098359205</v>
      </c>
      <c r="L5003">
        <v>878.29312520424901</v>
      </c>
      <c r="M5003">
        <v>12.2192537483843</v>
      </c>
      <c r="Q5003">
        <v>0</v>
      </c>
      <c r="R5003">
        <v>0.78453317085086505</v>
      </c>
      <c r="S5003" t="s">
        <v>10829</v>
      </c>
      <c r="T5003" t="s">
        <v>11650</v>
      </c>
      <c r="U5003" t="s">
        <v>11650</v>
      </c>
      <c r="V5003" t="s">
        <v>11650</v>
      </c>
      <c r="W5003" t="s">
        <v>16598</v>
      </c>
      <c r="X5003">
        <v>26</v>
      </c>
      <c r="Y5003" t="s">
        <v>22267</v>
      </c>
      <c r="Z5003" t="s">
        <v>28065</v>
      </c>
      <c r="AA5003">
        <v>0.91389668743458752</v>
      </c>
      <c r="AB5003" t="str">
        <f>HYPERLINK("Melting_Curves/meltCurve_Q9H425_C1orf198.pdf", "Melting_Curves/meltCurve_Q9H425_C1orf198.pdf")</f>
        <v>Melting_Curves/meltCurve_Q9H425_C1orf198.pdf</v>
      </c>
    </row>
    <row r="5004" spans="1:28" x14ac:dyDescent="0.25">
      <c r="A5004" t="s">
        <v>5008</v>
      </c>
      <c r="B5004">
        <v>0.99996721820229495</v>
      </c>
      <c r="C5004">
        <v>0.80951843473018104</v>
      </c>
      <c r="D5004">
        <v>0.74186278531751204</v>
      </c>
      <c r="E5004">
        <v>0.948250124567106</v>
      </c>
      <c r="F5004">
        <v>1.2035239157908999</v>
      </c>
      <c r="G5004">
        <v>1.1480087735189</v>
      </c>
      <c r="H5004">
        <v>1.07605123287174</v>
      </c>
      <c r="I5004">
        <v>1.3319671973099301</v>
      </c>
      <c r="J5004">
        <v>1.3401351478946899</v>
      </c>
      <c r="K5004">
        <v>0.95055065841881203</v>
      </c>
      <c r="L5004">
        <v>7789.9360027231896</v>
      </c>
      <c r="M5004">
        <v>151.095142048642</v>
      </c>
      <c r="O5004">
        <v>51.547456812042</v>
      </c>
      <c r="P5004">
        <v>0.12849112832265699</v>
      </c>
      <c r="Q5004">
        <v>1.1753436084353299</v>
      </c>
      <c r="R5004">
        <v>0.41110998687964201</v>
      </c>
      <c r="S5004" t="s">
        <v>10830</v>
      </c>
      <c r="T5004" t="s">
        <v>11650</v>
      </c>
      <c r="U5004" t="s">
        <v>11650</v>
      </c>
      <c r="V5004" t="s">
        <v>11650</v>
      </c>
      <c r="W5004" t="s">
        <v>16599</v>
      </c>
      <c r="X5004">
        <v>19</v>
      </c>
      <c r="Y5004" t="s">
        <v>22268</v>
      </c>
      <c r="Z5004" t="s">
        <v>28066</v>
      </c>
      <c r="AA5004">
        <v>1.10775490440677</v>
      </c>
      <c r="AB5004" t="str">
        <f>HYPERLINK("Melting_Curves/meltCurve_Q9H444_CHMP4B.pdf", "Melting_Curves/meltCurve_Q9H444_CHMP4B.pdf")</f>
        <v>Melting_Curves/meltCurve_Q9H444_CHMP4B.pdf</v>
      </c>
    </row>
    <row r="5005" spans="1:28" x14ac:dyDescent="0.25">
      <c r="A5005" t="s">
        <v>5009</v>
      </c>
      <c r="B5005">
        <v>0.99996721820229495</v>
      </c>
      <c r="C5005">
        <v>0.79127222486534399</v>
      </c>
      <c r="D5005">
        <v>0.81433636603638604</v>
      </c>
      <c r="E5005">
        <v>0.57384464170507798</v>
      </c>
      <c r="F5005">
        <v>0.32992016270943397</v>
      </c>
      <c r="G5005">
        <v>0.19866590786401001</v>
      </c>
      <c r="H5005">
        <v>2.63374807964518E-2</v>
      </c>
      <c r="I5005">
        <v>3.2051459433677799E-2</v>
      </c>
      <c r="J5005">
        <v>0</v>
      </c>
      <c r="K5005">
        <v>0</v>
      </c>
      <c r="L5005">
        <v>693.971260155354</v>
      </c>
      <c r="M5005">
        <v>13.753259122477999</v>
      </c>
      <c r="N5005">
        <v>50.458676039294602</v>
      </c>
      <c r="O5005">
        <v>49.4277716420263</v>
      </c>
      <c r="P5005">
        <v>-6.9572273761109998E-2</v>
      </c>
      <c r="Q5005">
        <v>0</v>
      </c>
      <c r="R5005">
        <v>0.98115395511828096</v>
      </c>
      <c r="S5005" t="s">
        <v>10831</v>
      </c>
      <c r="T5005" t="s">
        <v>11650</v>
      </c>
      <c r="U5005" t="s">
        <v>11650</v>
      </c>
      <c r="V5005" t="s">
        <v>11650</v>
      </c>
      <c r="W5005" t="s">
        <v>16600</v>
      </c>
      <c r="X5005">
        <v>3</v>
      </c>
      <c r="Y5005" t="s">
        <v>22269</v>
      </c>
      <c r="Z5005" t="s">
        <v>28067</v>
      </c>
      <c r="AA5005">
        <v>0.37581097062039692</v>
      </c>
      <c r="AB5005" t="str">
        <f>HYPERLINK("Melting_Curves/meltCurve_Q9H446_2_RWDD1.pdf", "Melting_Curves/meltCurve_Q9H446_2_RWDD1.pdf")</f>
        <v>Melting_Curves/meltCurve_Q9H446_2_RWDD1.pdf</v>
      </c>
    </row>
    <row r="5006" spans="1:28" x14ac:dyDescent="0.25">
      <c r="A5006" t="s">
        <v>5010</v>
      </c>
      <c r="B5006">
        <v>0.99996721820229495</v>
      </c>
      <c r="C5006">
        <v>1.1129624849967901</v>
      </c>
      <c r="D5006">
        <v>1.01259879114255</v>
      </c>
      <c r="E5006">
        <v>0.98770615750825996</v>
      </c>
      <c r="F5006">
        <v>0.93083119170510797</v>
      </c>
      <c r="G5006">
        <v>0.84962531558280396</v>
      </c>
      <c r="H5006">
        <v>0.567417613233267</v>
      </c>
      <c r="I5006">
        <v>0.50474756384227104</v>
      </c>
      <c r="J5006">
        <v>0.41755151531447499</v>
      </c>
      <c r="K5006">
        <v>0.28858894547011699</v>
      </c>
      <c r="L5006">
        <v>1008.09323114223</v>
      </c>
      <c r="M5006">
        <v>16.520106412873801</v>
      </c>
      <c r="N5006">
        <v>63.510515358462499</v>
      </c>
      <c r="O5006">
        <v>60.149073827409403</v>
      </c>
      <c r="P5006">
        <v>-5.2307214869046902E-2</v>
      </c>
      <c r="Q5006">
        <v>0.238258481018431</v>
      </c>
      <c r="R5006">
        <v>0.97409736324493001</v>
      </c>
      <c r="S5006" t="s">
        <v>10832</v>
      </c>
      <c r="T5006" t="s">
        <v>11650</v>
      </c>
      <c r="U5006" t="s">
        <v>11650</v>
      </c>
      <c r="V5006" t="s">
        <v>11650</v>
      </c>
      <c r="W5006" t="s">
        <v>16601</v>
      </c>
      <c r="X5006">
        <v>5</v>
      </c>
      <c r="Y5006" t="s">
        <v>22270</v>
      </c>
      <c r="Z5006" t="s">
        <v>28068</v>
      </c>
      <c r="AA5006">
        <v>0.77518651825914942</v>
      </c>
      <c r="AB5006" t="str">
        <f>HYPERLINK("Melting_Curves/meltCurve_Q9H467_CUEDC2.pdf", "Melting_Curves/meltCurve_Q9H467_CUEDC2.pdf")</f>
        <v>Melting_Curves/meltCurve_Q9H467_CUEDC2.pdf</v>
      </c>
    </row>
    <row r="5007" spans="1:28" x14ac:dyDescent="0.25">
      <c r="A5007" t="s">
        <v>5011</v>
      </c>
      <c r="B5007">
        <v>0.99996721820229495</v>
      </c>
      <c r="C5007">
        <v>0.90598813379253196</v>
      </c>
      <c r="D5007">
        <v>0.48529342290944499</v>
      </c>
      <c r="E5007">
        <v>0.29915371018152898</v>
      </c>
      <c r="F5007">
        <v>0.24995580304898701</v>
      </c>
      <c r="G5007">
        <v>0.198902000353229</v>
      </c>
      <c r="H5007">
        <v>0.13294981361949301</v>
      </c>
      <c r="I5007">
        <v>0.122485374010447</v>
      </c>
      <c r="J5007">
        <v>0.110780344319789</v>
      </c>
      <c r="K5007">
        <v>7.5896235812195401E-2</v>
      </c>
      <c r="L5007">
        <v>976.65274655296002</v>
      </c>
      <c r="M5007">
        <v>21.263392803039</v>
      </c>
      <c r="N5007">
        <v>46.630336324899098</v>
      </c>
      <c r="O5007">
        <v>45.530719190864801</v>
      </c>
      <c r="P5007">
        <v>-0.100819414493745</v>
      </c>
      <c r="Q5007">
        <v>0.13649465354887</v>
      </c>
      <c r="R5007">
        <v>0.97680308156552298</v>
      </c>
      <c r="S5007" t="s">
        <v>10833</v>
      </c>
      <c r="T5007" t="s">
        <v>11650</v>
      </c>
      <c r="U5007" t="s">
        <v>11650</v>
      </c>
      <c r="V5007" t="s">
        <v>11650</v>
      </c>
      <c r="W5007" t="s">
        <v>16602</v>
      </c>
      <c r="X5007">
        <v>3</v>
      </c>
      <c r="Y5007" t="s">
        <v>22271</v>
      </c>
      <c r="Z5007" t="s">
        <v>28069</v>
      </c>
      <c r="AA5007">
        <v>0.31886457007231589</v>
      </c>
      <c r="AB5007" t="str">
        <f>HYPERLINK("Melting_Curves/meltCurve_Q9H469_FBXL15.pdf", "Melting_Curves/meltCurve_Q9H469_FBXL15.pdf")</f>
        <v>Melting_Curves/meltCurve_Q9H469_FBXL15.pdf</v>
      </c>
    </row>
    <row r="5008" spans="1:28" x14ac:dyDescent="0.25">
      <c r="A5008" t="s">
        <v>5012</v>
      </c>
      <c r="B5008">
        <v>0.99996721820229495</v>
      </c>
      <c r="C5008">
        <v>0.96462506918346602</v>
      </c>
      <c r="D5008">
        <v>0.90941872127090495</v>
      </c>
      <c r="E5008">
        <v>0.92791456915235604</v>
      </c>
      <c r="F5008">
        <v>1.0973035425691999</v>
      </c>
      <c r="G5008">
        <v>0.97259388180640005</v>
      </c>
      <c r="H5008">
        <v>0.55945498900300805</v>
      </c>
      <c r="I5008">
        <v>0.346340451578382</v>
      </c>
      <c r="J5008">
        <v>0.17519772072523901</v>
      </c>
      <c r="K5008">
        <v>0.11639842287801901</v>
      </c>
      <c r="L5008">
        <v>1985.3170618301101</v>
      </c>
      <c r="M5008">
        <v>32.3602695321675</v>
      </c>
      <c r="N5008">
        <v>61.878495200864201</v>
      </c>
      <c r="O5008">
        <v>61.117576172286</v>
      </c>
      <c r="P5008">
        <v>-0.11639965624694899</v>
      </c>
      <c r="Q5008">
        <v>0.120646171001892</v>
      </c>
      <c r="R5008">
        <v>0.97532757918958402</v>
      </c>
      <c r="S5008" t="s">
        <v>10834</v>
      </c>
      <c r="T5008" t="s">
        <v>11650</v>
      </c>
      <c r="U5008" t="s">
        <v>11650</v>
      </c>
      <c r="V5008" t="s">
        <v>11650</v>
      </c>
      <c r="W5008" t="s">
        <v>16603</v>
      </c>
      <c r="X5008">
        <v>7</v>
      </c>
      <c r="Y5008" t="s">
        <v>22272</v>
      </c>
      <c r="Z5008" t="s">
        <v>28070</v>
      </c>
      <c r="AA5008">
        <v>0.75077298017459648</v>
      </c>
      <c r="AB5008" t="str">
        <f>HYPERLINK("Melting_Curves/meltCurve_Q9H479_FN3K.pdf", "Melting_Curves/meltCurve_Q9H479_FN3K.pdf")</f>
        <v>Melting_Curves/meltCurve_Q9H479_FN3K.pdf</v>
      </c>
    </row>
    <row r="5009" spans="1:28" x14ac:dyDescent="0.25">
      <c r="A5009" t="s">
        <v>5013</v>
      </c>
      <c r="B5009">
        <v>0.99996721820229495</v>
      </c>
      <c r="C5009">
        <v>1.00629943962169</v>
      </c>
      <c r="D5009">
        <v>0.98215369237439498</v>
      </c>
      <c r="E5009">
        <v>0.89414500883178905</v>
      </c>
      <c r="F5009">
        <v>1.0357260865639399</v>
      </c>
      <c r="G5009">
        <v>0.74214756743218302</v>
      </c>
      <c r="H5009">
        <v>0.24634474644378099</v>
      </c>
      <c r="I5009">
        <v>0.154134153590544</v>
      </c>
      <c r="J5009">
        <v>0.108220158812097</v>
      </c>
      <c r="K5009">
        <v>8.61029923928706E-2</v>
      </c>
      <c r="L5009">
        <v>2246.4149526207202</v>
      </c>
      <c r="M5009">
        <v>38.467735930855902</v>
      </c>
      <c r="N5009">
        <v>58.747781742847003</v>
      </c>
      <c r="O5009">
        <v>58.240235710925099</v>
      </c>
      <c r="P5009">
        <v>-0.148198405937743</v>
      </c>
      <c r="Q5009">
        <v>0.10251141395299999</v>
      </c>
      <c r="R5009">
        <v>0.99061093840302095</v>
      </c>
      <c r="S5009" t="s">
        <v>10835</v>
      </c>
      <c r="T5009" t="s">
        <v>11650</v>
      </c>
      <c r="U5009" t="s">
        <v>11650</v>
      </c>
      <c r="V5009" t="s">
        <v>11650</v>
      </c>
      <c r="W5009" t="s">
        <v>11823</v>
      </c>
      <c r="X5009">
        <v>16</v>
      </c>
      <c r="Y5009" t="s">
        <v>17585</v>
      </c>
      <c r="Z5009" t="s">
        <v>28071</v>
      </c>
      <c r="AA5009">
        <v>0.65669518113876901</v>
      </c>
      <c r="AB5009" t="str">
        <f>HYPERLINK("Melting_Curves/meltCurve_Q9H488_POFUT1.pdf", "Melting_Curves/meltCurve_Q9H488_POFUT1.pdf")</f>
        <v>Melting_Curves/meltCurve_Q9H488_POFUT1.pdf</v>
      </c>
    </row>
    <row r="5010" spans="1:28" x14ac:dyDescent="0.25">
      <c r="A5010" t="s">
        <v>5014</v>
      </c>
      <c r="B5010">
        <v>0.99996721820229495</v>
      </c>
      <c r="C5010">
        <v>0.63883042870057705</v>
      </c>
      <c r="D5010">
        <v>0.52028043684085001</v>
      </c>
      <c r="E5010">
        <v>0.88959821819781604</v>
      </c>
      <c r="F5010">
        <v>0.52577668261966204</v>
      </c>
      <c r="G5010">
        <v>0.240280081821418</v>
      </c>
      <c r="H5010">
        <v>0.14079167876618801</v>
      </c>
      <c r="I5010">
        <v>0.121174374391762</v>
      </c>
      <c r="J5010">
        <v>0.10375707394339299</v>
      </c>
      <c r="K5010">
        <v>8.9787238933959498E-2</v>
      </c>
      <c r="L5010">
        <v>414.884002670938</v>
      </c>
      <c r="M5010">
        <v>8.0600247637007794</v>
      </c>
      <c r="N5010">
        <v>51.474279703917503</v>
      </c>
      <c r="O5010">
        <v>48.595973857885099</v>
      </c>
      <c r="P5010">
        <v>-4.1510071222386202E-2</v>
      </c>
      <c r="Q5010">
        <v>0</v>
      </c>
      <c r="R5010">
        <v>0.78836583306633101</v>
      </c>
      <c r="S5010" t="s">
        <v>10836</v>
      </c>
      <c r="T5010" t="s">
        <v>11650</v>
      </c>
      <c r="U5010" t="s">
        <v>11650</v>
      </c>
      <c r="V5010" t="s">
        <v>11650</v>
      </c>
      <c r="W5010" t="s">
        <v>16604</v>
      </c>
      <c r="X5010">
        <v>6</v>
      </c>
      <c r="Y5010" t="s">
        <v>22273</v>
      </c>
      <c r="Z5010" t="s">
        <v>28072</v>
      </c>
      <c r="AA5010">
        <v>0.43253908593585338</v>
      </c>
      <c r="AB5010" t="str">
        <f>HYPERLINK("Melting_Curves/meltCurve_Q9H492_MAP1LC3A.pdf", "Melting_Curves/meltCurve_Q9H492_MAP1LC3A.pdf")</f>
        <v>Melting_Curves/meltCurve_Q9H492_MAP1LC3A.pdf</v>
      </c>
    </row>
    <row r="5011" spans="1:28" x14ac:dyDescent="0.25">
      <c r="A5011" t="s">
        <v>5015</v>
      </c>
      <c r="B5011">
        <v>0.99996721820229495</v>
      </c>
      <c r="C5011">
        <v>1.1412378447290701</v>
      </c>
      <c r="D5011">
        <v>1.01532781565844</v>
      </c>
      <c r="E5011">
        <v>0.81367106910801701</v>
      </c>
      <c r="F5011">
        <v>0.656219436450862</v>
      </c>
      <c r="G5011">
        <v>0.590823419136282</v>
      </c>
      <c r="H5011">
        <v>0.32195348686647901</v>
      </c>
      <c r="I5011">
        <v>0.158917747762467</v>
      </c>
      <c r="J5011">
        <v>0.102117082168377</v>
      </c>
      <c r="K5011">
        <v>6.2948160711469303E-2</v>
      </c>
      <c r="L5011">
        <v>753.996260194294</v>
      </c>
      <c r="M5011">
        <v>13.2101176874756</v>
      </c>
      <c r="N5011">
        <v>57.077161286307799</v>
      </c>
      <c r="O5011">
        <v>55.816756511841398</v>
      </c>
      <c r="P5011">
        <v>-5.9177170087047398E-2</v>
      </c>
      <c r="Q5011">
        <v>0</v>
      </c>
      <c r="R5011">
        <v>0.96927420754086402</v>
      </c>
      <c r="S5011" t="s">
        <v>10837</v>
      </c>
      <c r="T5011" t="s">
        <v>11650</v>
      </c>
      <c r="U5011" t="s">
        <v>11650</v>
      </c>
      <c r="V5011" t="s">
        <v>11650</v>
      </c>
      <c r="W5011" t="s">
        <v>16605</v>
      </c>
      <c r="X5011">
        <v>3</v>
      </c>
      <c r="Y5011" t="s">
        <v>22274</v>
      </c>
      <c r="Z5011" t="s">
        <v>28073</v>
      </c>
      <c r="AA5011">
        <v>0.58566691808722338</v>
      </c>
      <c r="AB5011" t="str">
        <f>HYPERLINK("Melting_Curves/meltCurve_Q9H497_TOR3A.pdf", "Melting_Curves/meltCurve_Q9H497_TOR3A.pdf")</f>
        <v>Melting_Curves/meltCurve_Q9H497_TOR3A.pdf</v>
      </c>
    </row>
    <row r="5012" spans="1:28" x14ac:dyDescent="0.25">
      <c r="A5012" t="s">
        <v>5016</v>
      </c>
      <c r="B5012">
        <v>0.99996721820229495</v>
      </c>
      <c r="C5012">
        <v>1.01607072578269</v>
      </c>
      <c r="D5012">
        <v>0.98137171309309801</v>
      </c>
      <c r="E5012">
        <v>0.87839728370860004</v>
      </c>
      <c r="F5012">
        <v>0.65225891834467198</v>
      </c>
      <c r="G5012">
        <v>0.299847906216828</v>
      </c>
      <c r="H5012">
        <v>0.16945015466328101</v>
      </c>
      <c r="I5012">
        <v>0.123911557965883</v>
      </c>
      <c r="J5012">
        <v>8.1878915656476495E-2</v>
      </c>
      <c r="K5012">
        <v>6.6619767794087098E-2</v>
      </c>
      <c r="L5012">
        <v>1183.9591913435299</v>
      </c>
      <c r="M5012">
        <v>21.836926839654001</v>
      </c>
      <c r="N5012">
        <v>54.630708464522002</v>
      </c>
      <c r="O5012">
        <v>53.769671793552803</v>
      </c>
      <c r="P5012">
        <v>-9.38156008567851E-2</v>
      </c>
      <c r="Q5012">
        <v>7.6002216870936307E-2</v>
      </c>
      <c r="R5012">
        <v>0.99905044906262297</v>
      </c>
      <c r="S5012" t="s">
        <v>10838</v>
      </c>
      <c r="T5012" t="s">
        <v>11650</v>
      </c>
      <c r="U5012" t="s">
        <v>11650</v>
      </c>
      <c r="V5012" t="s">
        <v>11650</v>
      </c>
      <c r="W5012" t="s">
        <v>16606</v>
      </c>
      <c r="X5012">
        <v>37</v>
      </c>
      <c r="Y5012" t="s">
        <v>22275</v>
      </c>
      <c r="Z5012" t="s">
        <v>28074</v>
      </c>
      <c r="AA5012">
        <v>0.5247589841097009</v>
      </c>
      <c r="AB5012" t="str">
        <f>HYPERLINK("Melting_Curves/meltCurve_Q9H4A4_RNPEP.pdf", "Melting_Curves/meltCurve_Q9H4A4_RNPEP.pdf")</f>
        <v>Melting_Curves/meltCurve_Q9H4A4_RNPEP.pdf</v>
      </c>
    </row>
    <row r="5013" spans="1:28" x14ac:dyDescent="0.25">
      <c r="A5013" t="s">
        <v>5017</v>
      </c>
      <c r="B5013">
        <v>0.99996721820229495</v>
      </c>
      <c r="C5013">
        <v>1.13821362536931</v>
      </c>
      <c r="D5013">
        <v>0.86694217633773296</v>
      </c>
      <c r="E5013">
        <v>0.347280089977341</v>
      </c>
      <c r="F5013">
        <v>0.34197401433353403</v>
      </c>
      <c r="G5013">
        <v>0.30825328265265001</v>
      </c>
      <c r="H5013">
        <v>0.21572337340980299</v>
      </c>
      <c r="I5013">
        <v>0.13168082018075</v>
      </c>
      <c r="J5013">
        <v>0.100785156740842</v>
      </c>
      <c r="K5013">
        <v>7.6882174898644698E-2</v>
      </c>
      <c r="L5013">
        <v>1471.1843382996001</v>
      </c>
      <c r="M5013">
        <v>30.376856757219102</v>
      </c>
      <c r="N5013">
        <v>49.137351991246398</v>
      </c>
      <c r="O5013">
        <v>48.2226613088094</v>
      </c>
      <c r="P5013">
        <v>-0.12962623567607801</v>
      </c>
      <c r="Q5013">
        <v>0.17688884431940799</v>
      </c>
      <c r="R5013">
        <v>0.947787311309776</v>
      </c>
      <c r="S5013" t="s">
        <v>10839</v>
      </c>
      <c r="T5013" t="s">
        <v>11650</v>
      </c>
      <c r="U5013" t="s">
        <v>11650</v>
      </c>
      <c r="V5013" t="s">
        <v>11650</v>
      </c>
      <c r="W5013" t="s">
        <v>16607</v>
      </c>
      <c r="X5013">
        <v>5</v>
      </c>
      <c r="Y5013" t="s">
        <v>22276</v>
      </c>
      <c r="Z5013" t="s">
        <v>28075</v>
      </c>
      <c r="AA5013">
        <v>0.41306225793794682</v>
      </c>
      <c r="AB5013" t="str">
        <f>HYPERLINK("Melting_Curves/meltCurve_Q9H4A5_GOLPH3L.pdf", "Melting_Curves/meltCurve_Q9H4A5_GOLPH3L.pdf")</f>
        <v>Melting_Curves/meltCurve_Q9H4A5_GOLPH3L.pdf</v>
      </c>
    </row>
    <row r="5014" spans="1:28" x14ac:dyDescent="0.25">
      <c r="A5014" t="s">
        <v>5018</v>
      </c>
      <c r="B5014">
        <v>0.99996721820229495</v>
      </c>
      <c r="C5014">
        <v>0.99937907880970001</v>
      </c>
      <c r="D5014">
        <v>0.98653286699725296</v>
      </c>
      <c r="E5014">
        <v>0.94586572328846397</v>
      </c>
      <c r="F5014">
        <v>0.62544447205192799</v>
      </c>
      <c r="G5014">
        <v>0.33446628560643299</v>
      </c>
      <c r="H5014">
        <v>0.195697199528688</v>
      </c>
      <c r="I5014">
        <v>0.112918037099284</v>
      </c>
      <c r="J5014">
        <v>7.6046022818883993E-2</v>
      </c>
      <c r="K5014">
        <v>6.2754683909106004E-2</v>
      </c>
      <c r="L5014">
        <v>1185.5567254066</v>
      </c>
      <c r="M5014">
        <v>21.7685336359452</v>
      </c>
      <c r="N5014">
        <v>54.871392492965299</v>
      </c>
      <c r="O5014">
        <v>54.008586025119698</v>
      </c>
      <c r="P5014">
        <v>-9.3212764383202501E-2</v>
      </c>
      <c r="Q5014">
        <v>7.4963361400805797E-2</v>
      </c>
      <c r="R5014">
        <v>0.994825136796751</v>
      </c>
      <c r="S5014" t="s">
        <v>10840</v>
      </c>
      <c r="T5014" t="s">
        <v>11650</v>
      </c>
      <c r="U5014" t="s">
        <v>11650</v>
      </c>
      <c r="V5014" t="s">
        <v>11650</v>
      </c>
      <c r="W5014" t="s">
        <v>16608</v>
      </c>
      <c r="X5014">
        <v>13</v>
      </c>
      <c r="Y5014" t="s">
        <v>22277</v>
      </c>
      <c r="Z5014" t="s">
        <v>28076</v>
      </c>
      <c r="AA5014">
        <v>0.53177030324798102</v>
      </c>
      <c r="AB5014" t="str">
        <f>HYPERLINK("Melting_Curves/meltCurve_Q9H4A6_GOLPH3.pdf", "Melting_Curves/meltCurve_Q9H4A6_GOLPH3.pdf")</f>
        <v>Melting_Curves/meltCurve_Q9H4A6_GOLPH3.pdf</v>
      </c>
    </row>
    <row r="5015" spans="1:28" x14ac:dyDescent="0.25">
      <c r="A5015" t="s">
        <v>5019</v>
      </c>
      <c r="B5015">
        <v>0.99996721820229495</v>
      </c>
      <c r="C5015">
        <v>0.91329837885785603</v>
      </c>
      <c r="D5015">
        <v>0.964692366160253</v>
      </c>
      <c r="E5015">
        <v>0.85394983015094394</v>
      </c>
      <c r="F5015">
        <v>0.98572978181822402</v>
      </c>
      <c r="G5015">
        <v>0.87524051785773305</v>
      </c>
      <c r="H5015">
        <v>0.66930329309236503</v>
      </c>
      <c r="I5015">
        <v>0.58056811241370998</v>
      </c>
      <c r="J5015">
        <v>0.54291308034247199</v>
      </c>
      <c r="K5015">
        <v>0.40961793719252598</v>
      </c>
      <c r="L5015">
        <v>573.01659672097401</v>
      </c>
      <c r="M5015">
        <v>8.5129715828578298</v>
      </c>
      <c r="N5015">
        <v>67.310995867653304</v>
      </c>
      <c r="O5015">
        <v>63.905004219880396</v>
      </c>
      <c r="P5015">
        <v>-3.33330638994443E-2</v>
      </c>
      <c r="Q5015">
        <v>0</v>
      </c>
      <c r="R5015">
        <v>0.93112557644777005</v>
      </c>
      <c r="S5015" t="s">
        <v>10841</v>
      </c>
      <c r="T5015" t="s">
        <v>11650</v>
      </c>
      <c r="U5015" t="s">
        <v>11650</v>
      </c>
      <c r="V5015" t="s">
        <v>11650</v>
      </c>
      <c r="W5015" t="s">
        <v>16609</v>
      </c>
      <c r="X5015">
        <v>3</v>
      </c>
      <c r="Y5015" t="s">
        <v>22278</v>
      </c>
      <c r="Z5015" t="s">
        <v>28077</v>
      </c>
      <c r="AA5015">
        <v>0.80650710916959767</v>
      </c>
      <c r="AB5015" t="str">
        <f>HYPERLINK("Melting_Curves/meltCurve_Q9H4B0_OSGEPL1.pdf", "Melting_Curves/meltCurve_Q9H4B0_OSGEPL1.pdf")</f>
        <v>Melting_Curves/meltCurve_Q9H4B0_OSGEPL1.pdf</v>
      </c>
    </row>
    <row r="5016" spans="1:28" x14ac:dyDescent="0.25">
      <c r="A5016" t="s">
        <v>5020</v>
      </c>
      <c r="B5016">
        <v>0.99996721820229495</v>
      </c>
      <c r="C5016">
        <v>1.01715262054398</v>
      </c>
      <c r="D5016">
        <v>1.0218807126831699</v>
      </c>
      <c r="E5016">
        <v>0.86045896307375502</v>
      </c>
      <c r="F5016">
        <v>0.485186862353365</v>
      </c>
      <c r="G5016">
        <v>0.42945607825917897</v>
      </c>
      <c r="H5016">
        <v>0.30317676567412599</v>
      </c>
      <c r="I5016">
        <v>0.19594742091068301</v>
      </c>
      <c r="J5016">
        <v>0.17707802651820001</v>
      </c>
      <c r="K5016">
        <v>0.120708060541558</v>
      </c>
      <c r="L5016">
        <v>940.55898146327604</v>
      </c>
      <c r="M5016">
        <v>17.623111102190599</v>
      </c>
      <c r="N5016">
        <v>54.563436654082899</v>
      </c>
      <c r="O5016">
        <v>52.697785203471199</v>
      </c>
      <c r="P5016">
        <v>-7.0244516396480897E-2</v>
      </c>
      <c r="Q5016">
        <v>0.15984596869221401</v>
      </c>
      <c r="R5016">
        <v>0.97343308205989398</v>
      </c>
      <c r="S5016" t="s">
        <v>10842</v>
      </c>
      <c r="T5016" t="s">
        <v>11650</v>
      </c>
      <c r="U5016" t="s">
        <v>11650</v>
      </c>
      <c r="V5016" t="s">
        <v>11650</v>
      </c>
      <c r="W5016" t="s">
        <v>16610</v>
      </c>
      <c r="X5016">
        <v>15</v>
      </c>
      <c r="Y5016" t="s">
        <v>22279</v>
      </c>
      <c r="Z5016" t="s">
        <v>28078</v>
      </c>
      <c r="AA5016">
        <v>0.54840330833693562</v>
      </c>
      <c r="AB5016" t="str">
        <f>HYPERLINK("Melting_Curves/meltCurve_Q9H4G0_2_EPB41L1.pdf", "Melting_Curves/meltCurve_Q9H4G0_2_EPB41L1.pdf")</f>
        <v>Melting_Curves/meltCurve_Q9H4G0_2_EPB41L1.pdf</v>
      </c>
    </row>
    <row r="5017" spans="1:28" x14ac:dyDescent="0.25">
      <c r="A5017" t="s">
        <v>5021</v>
      </c>
      <c r="B5017">
        <v>0.99996721820229495</v>
      </c>
      <c r="C5017">
        <v>0.83352242775752095</v>
      </c>
      <c r="D5017">
        <v>1.02494727436986</v>
      </c>
      <c r="E5017">
        <v>1.2025229161319799</v>
      </c>
      <c r="F5017">
        <v>0.71846194713894096</v>
      </c>
      <c r="G5017">
        <v>0.60063702644756101</v>
      </c>
      <c r="H5017">
        <v>0.39279385264108602</v>
      </c>
      <c r="I5017">
        <v>0.305638895992559</v>
      </c>
      <c r="J5017">
        <v>0.28083114928963998</v>
      </c>
      <c r="K5017">
        <v>0.27961301881295397</v>
      </c>
      <c r="L5017">
        <v>1326.5625142515401</v>
      </c>
      <c r="M5017">
        <v>23.6655598842637</v>
      </c>
      <c r="N5017">
        <v>58.0440023615744</v>
      </c>
      <c r="O5017">
        <v>55.658912108463198</v>
      </c>
      <c r="P5017">
        <v>-7.67667817572317E-2</v>
      </c>
      <c r="Q5017">
        <v>0.27782243030576098</v>
      </c>
      <c r="R5017">
        <v>0.90002906647512004</v>
      </c>
      <c r="S5017" t="s">
        <v>10843</v>
      </c>
      <c r="T5017" t="s">
        <v>11650</v>
      </c>
      <c r="U5017" t="s">
        <v>11650</v>
      </c>
      <c r="V5017" t="s">
        <v>11650</v>
      </c>
      <c r="W5017" t="s">
        <v>16611</v>
      </c>
      <c r="X5017">
        <v>6</v>
      </c>
      <c r="Y5017" t="s">
        <v>22280</v>
      </c>
      <c r="Z5017" t="s">
        <v>28079</v>
      </c>
      <c r="AA5017">
        <v>0.67153889484598039</v>
      </c>
      <c r="AB5017" t="str">
        <f>HYPERLINK("Melting_Curves/meltCurve_Q9H4G4_GLIPR2.pdf", "Melting_Curves/meltCurve_Q9H4G4_GLIPR2.pdf")</f>
        <v>Melting_Curves/meltCurve_Q9H4G4_GLIPR2.pdf</v>
      </c>
    </row>
    <row r="5018" spans="1:28" x14ac:dyDescent="0.25">
      <c r="A5018" t="s">
        <v>5022</v>
      </c>
      <c r="B5018">
        <v>0.99996721820229495</v>
      </c>
      <c r="C5018">
        <v>1.10479643316024</v>
      </c>
      <c r="D5018">
        <v>0.87301446609158295</v>
      </c>
      <c r="E5018">
        <v>0.63052911923155097</v>
      </c>
      <c r="F5018">
        <v>0.62687704435976599</v>
      </c>
      <c r="G5018">
        <v>0.62613621564114597</v>
      </c>
      <c r="H5018">
        <v>0.441767565335762</v>
      </c>
      <c r="I5018">
        <v>0.37856296442374798</v>
      </c>
      <c r="J5018">
        <v>0.329280752827664</v>
      </c>
      <c r="K5018">
        <v>0.25341525303651702</v>
      </c>
      <c r="L5018">
        <v>489.03534496761102</v>
      </c>
      <c r="M5018">
        <v>8.8979490020754497</v>
      </c>
      <c r="N5018">
        <v>58.073782435785503</v>
      </c>
      <c r="O5018">
        <v>52.396999030563798</v>
      </c>
      <c r="P5018">
        <v>-3.4427615485809603E-2</v>
      </c>
      <c r="Q5018">
        <v>0.18968428434475301</v>
      </c>
      <c r="R5018">
        <v>0.92269211528600903</v>
      </c>
      <c r="S5018" t="s">
        <v>10844</v>
      </c>
      <c r="T5018" t="s">
        <v>11650</v>
      </c>
      <c r="U5018" t="s">
        <v>11650</v>
      </c>
      <c r="V5018" t="s">
        <v>11650</v>
      </c>
      <c r="W5018" t="s">
        <v>16612</v>
      </c>
      <c r="X5018">
        <v>10</v>
      </c>
      <c r="Y5018" t="s">
        <v>22281</v>
      </c>
      <c r="Z5018" t="s">
        <v>28080</v>
      </c>
      <c r="AA5018">
        <v>0.61566785652209499</v>
      </c>
      <c r="AB5018" t="str">
        <f>HYPERLINK("Melting_Curves/meltCurve_Q9H4I2_ZHX3.pdf", "Melting_Curves/meltCurve_Q9H4I2_ZHX3.pdf")</f>
        <v>Melting_Curves/meltCurve_Q9H4I2_ZHX3.pdf</v>
      </c>
    </row>
    <row r="5019" spans="1:28" x14ac:dyDescent="0.25">
      <c r="A5019" t="s">
        <v>5023</v>
      </c>
      <c r="B5019">
        <v>0.99996721820229495</v>
      </c>
      <c r="C5019">
        <v>0.81230998874888405</v>
      </c>
      <c r="D5019">
        <v>0.65653086098743296</v>
      </c>
      <c r="E5019">
        <v>0.55578270229044202</v>
      </c>
      <c r="F5019">
        <v>0.97237897901838</v>
      </c>
      <c r="G5019">
        <v>0.89614005504287797</v>
      </c>
      <c r="H5019">
        <v>0.614792473809741</v>
      </c>
      <c r="I5019">
        <v>0.21745467336996999</v>
      </c>
      <c r="J5019">
        <v>9.3720796098899897E-2</v>
      </c>
      <c r="K5019">
        <v>0.21799708049281699</v>
      </c>
      <c r="L5019">
        <v>2756.4472004357799</v>
      </c>
      <c r="M5019">
        <v>45.092191206816203</v>
      </c>
      <c r="N5019">
        <v>61.5804903625557</v>
      </c>
      <c r="O5019">
        <v>61.009284505660197</v>
      </c>
      <c r="P5019">
        <v>-0.15877520806505199</v>
      </c>
      <c r="Q5019">
        <v>0.14071601874311199</v>
      </c>
      <c r="R5019">
        <v>0.62738857217489596</v>
      </c>
      <c r="S5019" t="s">
        <v>10845</v>
      </c>
      <c r="T5019" t="s">
        <v>11650</v>
      </c>
      <c r="U5019" t="s">
        <v>11650</v>
      </c>
      <c r="V5019" t="s">
        <v>11650</v>
      </c>
      <c r="W5019" t="s">
        <v>16613</v>
      </c>
      <c r="X5019">
        <v>2</v>
      </c>
      <c r="Y5019" t="s">
        <v>22282</v>
      </c>
      <c r="Z5019" t="s">
        <v>28081</v>
      </c>
      <c r="AA5019">
        <v>0.74858955108127723</v>
      </c>
      <c r="AB5019" t="str">
        <f>HYPERLINK("Melting_Curves/meltCurve_Q9H4L5_2_OSBPL3.pdf", "Melting_Curves/meltCurve_Q9H4L5_2_OSBPL3.pdf")</f>
        <v>Melting_Curves/meltCurve_Q9H4L5_2_OSBPL3.pdf</v>
      </c>
    </row>
    <row r="5020" spans="1:28" x14ac:dyDescent="0.25">
      <c r="A5020" t="s">
        <v>5024</v>
      </c>
      <c r="B5020">
        <v>0.99996721820229495</v>
      </c>
      <c r="C5020">
        <v>1.0418323966534899</v>
      </c>
      <c r="D5020">
        <v>0.99395715680381302</v>
      </c>
      <c r="E5020">
        <v>0.79478754589619205</v>
      </c>
      <c r="F5020">
        <v>0.30751713021514598</v>
      </c>
      <c r="G5020">
        <v>0.26625776957263397</v>
      </c>
      <c r="H5020">
        <v>0.15634588668339899</v>
      </c>
      <c r="I5020">
        <v>0.10130092940902501</v>
      </c>
      <c r="J5020">
        <v>8.0280628738873205E-2</v>
      </c>
      <c r="K5020">
        <v>5.7946431232522702E-2</v>
      </c>
      <c r="L5020">
        <v>1910.6027528910199</v>
      </c>
      <c r="M5020">
        <v>37.1382033634045</v>
      </c>
      <c r="N5020">
        <v>51.836633299060097</v>
      </c>
      <c r="O5020">
        <v>51.297268466511603</v>
      </c>
      <c r="P5020">
        <v>-0.158890700050866</v>
      </c>
      <c r="Q5020">
        <v>0.122129189112769</v>
      </c>
      <c r="R5020">
        <v>0.98419165213303905</v>
      </c>
      <c r="S5020" t="s">
        <v>10846</v>
      </c>
      <c r="T5020" t="s">
        <v>11650</v>
      </c>
      <c r="U5020" t="s">
        <v>11650</v>
      </c>
      <c r="V5020" t="s">
        <v>11650</v>
      </c>
      <c r="W5020" t="s">
        <v>16614</v>
      </c>
      <c r="X5020">
        <v>33</v>
      </c>
      <c r="Y5020" t="s">
        <v>22283</v>
      </c>
      <c r="Z5020" t="s">
        <v>28082</v>
      </c>
      <c r="AA5020">
        <v>0.46068278970595722</v>
      </c>
      <c r="AB5020" t="str">
        <f>HYPERLINK("Melting_Curves/meltCurve_Q9H4M9_EHD1.pdf", "Melting_Curves/meltCurve_Q9H4M9_EHD1.pdf")</f>
        <v>Melting_Curves/meltCurve_Q9H4M9_EHD1.pdf</v>
      </c>
    </row>
    <row r="5021" spans="1:28" x14ac:dyDescent="0.25">
      <c r="A5021" t="s">
        <v>5025</v>
      </c>
      <c r="B5021">
        <v>0.99996721820229495</v>
      </c>
      <c r="C5021">
        <v>0.99405579904242303</v>
      </c>
      <c r="D5021">
        <v>0.93214191826711101</v>
      </c>
      <c r="E5021">
        <v>0.77378649445555303</v>
      </c>
      <c r="F5021">
        <v>0.51826675382993903</v>
      </c>
      <c r="G5021">
        <v>0.496222596286024</v>
      </c>
      <c r="H5021">
        <v>0.330196571355026</v>
      </c>
      <c r="I5021">
        <v>0.20353233945242599</v>
      </c>
      <c r="J5021">
        <v>0.142041388713049</v>
      </c>
      <c r="K5021">
        <v>0.10095978978393599</v>
      </c>
      <c r="L5021">
        <v>569.45083845526096</v>
      </c>
      <c r="M5021">
        <v>10.2361886062063</v>
      </c>
      <c r="N5021">
        <v>55.679513839591102</v>
      </c>
      <c r="O5021">
        <v>53.633340211203901</v>
      </c>
      <c r="P5021">
        <v>-4.7523648274658603E-2</v>
      </c>
      <c r="Q5021">
        <v>4.4268655493976197E-3</v>
      </c>
      <c r="R5021">
        <v>0.98256149693858696</v>
      </c>
      <c r="S5021" t="s">
        <v>10847</v>
      </c>
      <c r="T5021" t="s">
        <v>11650</v>
      </c>
      <c r="U5021" t="s">
        <v>11650</v>
      </c>
      <c r="V5021" t="s">
        <v>11650</v>
      </c>
      <c r="W5021" t="s">
        <v>16615</v>
      </c>
      <c r="X5021">
        <v>2</v>
      </c>
      <c r="Y5021" t="s">
        <v>22284</v>
      </c>
      <c r="Z5021" t="s">
        <v>28083</v>
      </c>
      <c r="AA5021">
        <v>0.5458783699546268</v>
      </c>
      <c r="AB5021" t="str">
        <f>HYPERLINK("Melting_Curves/meltCurve_Q9H4P4_2_RNF41.pdf", "Melting_Curves/meltCurve_Q9H4P4_2_RNF41.pdf")</f>
        <v>Melting_Curves/meltCurve_Q9H4P4_2_RNF41.pdf</v>
      </c>
    </row>
    <row r="5022" spans="1:28" x14ac:dyDescent="0.25">
      <c r="A5022" t="s">
        <v>5026</v>
      </c>
      <c r="B5022">
        <v>0.99996721820229495</v>
      </c>
      <c r="C5022">
        <v>0.99258596798332399</v>
      </c>
      <c r="D5022">
        <v>1.0549769341800199</v>
      </c>
      <c r="E5022">
        <v>0.96146862128418698</v>
      </c>
      <c r="F5022">
        <v>1.3345660087798901</v>
      </c>
      <c r="G5022">
        <v>3.08488979070966</v>
      </c>
      <c r="H5022">
        <v>2.6412162319916099</v>
      </c>
      <c r="I5022">
        <v>2.1916867086127101</v>
      </c>
      <c r="J5022">
        <v>1.6890620554818601</v>
      </c>
      <c r="K5022">
        <v>1.01626333741261</v>
      </c>
      <c r="L5022">
        <v>13212.6741377368</v>
      </c>
      <c r="M5022">
        <v>250</v>
      </c>
      <c r="O5022">
        <v>52.847330571216801</v>
      </c>
      <c r="P5022">
        <v>0.59132616883979705</v>
      </c>
      <c r="Q5022">
        <v>1.5</v>
      </c>
      <c r="R5022">
        <v>0.16841535390822401</v>
      </c>
      <c r="S5022" t="s">
        <v>10848</v>
      </c>
      <c r="T5022" t="s">
        <v>11650</v>
      </c>
      <c r="U5022" t="s">
        <v>11650</v>
      </c>
      <c r="V5022" t="s">
        <v>11650</v>
      </c>
      <c r="W5022" t="s">
        <v>16616</v>
      </c>
      <c r="X5022">
        <v>3</v>
      </c>
      <c r="Y5022" t="s">
        <v>22285</v>
      </c>
      <c r="Z5022" t="s">
        <v>28084</v>
      </c>
      <c r="AA5022">
        <v>1.285775348075928</v>
      </c>
      <c r="AB5022" t="str">
        <f>HYPERLINK("Melting_Curves/meltCurve_Q9H4X1_2_RGCC.pdf", "Melting_Curves/meltCurve_Q9H4X1_2_RGCC.pdf")</f>
        <v>Melting_Curves/meltCurve_Q9H4X1_2_RGCC.pdf</v>
      </c>
    </row>
    <row r="5023" spans="1:28" x14ac:dyDescent="0.25">
      <c r="A5023" t="s">
        <v>5027</v>
      </c>
      <c r="B5023">
        <v>0.99996721820229495</v>
      </c>
      <c r="C5023">
        <v>1.0423563020504201</v>
      </c>
      <c r="D5023">
        <v>0.84101421943869903</v>
      </c>
      <c r="E5023">
        <v>0.451664970992114</v>
      </c>
      <c r="F5023">
        <v>0.57627520232787699</v>
      </c>
      <c r="G5023">
        <v>0.37210093318346399</v>
      </c>
      <c r="H5023">
        <v>0.259219029794792</v>
      </c>
      <c r="I5023">
        <v>0.19661979302202301</v>
      </c>
      <c r="J5023">
        <v>0.105254222277151</v>
      </c>
      <c r="K5023">
        <v>0.1157984320111</v>
      </c>
      <c r="L5023">
        <v>574.70944017880902</v>
      </c>
      <c r="M5023">
        <v>11.0612742190622</v>
      </c>
      <c r="N5023">
        <v>52.793714031737899</v>
      </c>
      <c r="O5023">
        <v>50.345400475939002</v>
      </c>
      <c r="P5023">
        <v>-5.0526956127398902E-2</v>
      </c>
      <c r="Q5023">
        <v>8.0409837624533798E-2</v>
      </c>
      <c r="R5023">
        <v>0.94389297333559197</v>
      </c>
      <c r="S5023" t="s">
        <v>10849</v>
      </c>
      <c r="T5023" t="s">
        <v>11650</v>
      </c>
      <c r="U5023" t="s">
        <v>11650</v>
      </c>
      <c r="V5023" t="s">
        <v>11650</v>
      </c>
      <c r="W5023" t="s">
        <v>16617</v>
      </c>
      <c r="X5023">
        <v>2</v>
      </c>
      <c r="Y5023" t="s">
        <v>22286</v>
      </c>
      <c r="Z5023" t="s">
        <v>28085</v>
      </c>
      <c r="AA5023">
        <v>0.47816102110929731</v>
      </c>
      <c r="AB5023" t="str">
        <f>HYPERLINK("Melting_Curves/meltCurve_Q9H4Z3_PCIF1.pdf", "Melting_Curves/meltCurve_Q9H4Z3_PCIF1.pdf")</f>
        <v>Melting_Curves/meltCurve_Q9H4Z3_PCIF1.pdf</v>
      </c>
    </row>
    <row r="5024" spans="1:28" x14ac:dyDescent="0.25">
      <c r="A5024" t="s">
        <v>5028</v>
      </c>
      <c r="B5024">
        <v>0.99996721820229495</v>
      </c>
      <c r="C5024">
        <v>0.98469048518433699</v>
      </c>
      <c r="D5024">
        <v>0.91548798874007098</v>
      </c>
      <c r="E5024">
        <v>0.59998804811648598</v>
      </c>
      <c r="F5024">
        <v>0.29884514258900702</v>
      </c>
      <c r="G5024">
        <v>0.24342116729320201</v>
      </c>
      <c r="H5024">
        <v>0.15004968449565501</v>
      </c>
      <c r="I5024">
        <v>0.104756788552816</v>
      </c>
      <c r="J5024">
        <v>7.9936892390887998E-2</v>
      </c>
      <c r="K5024">
        <v>6.4823760671497505E-2</v>
      </c>
      <c r="L5024">
        <v>1047.8379275252501</v>
      </c>
      <c r="M5024">
        <v>20.745758201702198</v>
      </c>
      <c r="N5024">
        <v>51.040195727775</v>
      </c>
      <c r="O5024">
        <v>50.046258630674203</v>
      </c>
      <c r="P5024">
        <v>-9.3565428505649001E-2</v>
      </c>
      <c r="Q5024">
        <v>9.71710710106308E-2</v>
      </c>
      <c r="R5024">
        <v>0.992932722525248</v>
      </c>
      <c r="S5024" t="s">
        <v>10850</v>
      </c>
      <c r="T5024" t="s">
        <v>11650</v>
      </c>
      <c r="U5024" t="s">
        <v>11650</v>
      </c>
      <c r="V5024" t="s">
        <v>11650</v>
      </c>
      <c r="W5024" t="s">
        <v>16618</v>
      </c>
      <c r="X5024">
        <v>8</v>
      </c>
      <c r="Y5024" t="s">
        <v>22287</v>
      </c>
      <c r="Z5024" t="s">
        <v>28086</v>
      </c>
      <c r="AA5024">
        <v>0.42511496379176478</v>
      </c>
      <c r="AB5024" t="str">
        <f>HYPERLINK("Melting_Curves/meltCurve_Q9H553_ALG2.pdf", "Melting_Curves/meltCurve_Q9H553_ALG2.pdf")</f>
        <v>Melting_Curves/meltCurve_Q9H553_ALG2.pdf</v>
      </c>
    </row>
    <row r="5025" spans="1:28" x14ac:dyDescent="0.25">
      <c r="A5025" t="s">
        <v>5029</v>
      </c>
      <c r="B5025">
        <v>0.99996721820229495</v>
      </c>
      <c r="C5025">
        <v>1.03823117759329</v>
      </c>
      <c r="D5025">
        <v>0.89251805703995002</v>
      </c>
      <c r="E5025">
        <v>0.57121854290792795</v>
      </c>
      <c r="F5025">
        <v>0.50662552422987395</v>
      </c>
      <c r="G5025">
        <v>0.46714270219519499</v>
      </c>
      <c r="H5025">
        <v>0.328331969709239</v>
      </c>
      <c r="I5025">
        <v>0.250323490505589</v>
      </c>
      <c r="J5025">
        <v>0.21653954078961499</v>
      </c>
      <c r="K5025">
        <v>0.17462111514770501</v>
      </c>
      <c r="L5025">
        <v>647.67747467023696</v>
      </c>
      <c r="M5025">
        <v>12.554737976750999</v>
      </c>
      <c r="N5025">
        <v>53.622454050149003</v>
      </c>
      <c r="O5025">
        <v>50.331928783267898</v>
      </c>
      <c r="P5025">
        <v>-5.05558477681732E-2</v>
      </c>
      <c r="Q5025">
        <v>0.18945065621686</v>
      </c>
      <c r="R5025">
        <v>0.96469230580366605</v>
      </c>
      <c r="S5025" t="s">
        <v>10851</v>
      </c>
      <c r="T5025" t="s">
        <v>11650</v>
      </c>
      <c r="U5025" t="s">
        <v>11650</v>
      </c>
      <c r="V5025" t="s">
        <v>11650</v>
      </c>
      <c r="W5025" t="s">
        <v>16619</v>
      </c>
      <c r="X5025">
        <v>30</v>
      </c>
      <c r="Y5025" t="s">
        <v>22288</v>
      </c>
      <c r="Z5025" t="s">
        <v>28087</v>
      </c>
      <c r="AA5025">
        <v>0.52649956931064479</v>
      </c>
      <c r="AB5025" t="str">
        <f>HYPERLINK("Melting_Curves/meltCurve_Q9H5N1_RABEP2.pdf", "Melting_Curves/meltCurve_Q9H5N1_RABEP2.pdf")</f>
        <v>Melting_Curves/meltCurve_Q9H5N1_RABEP2.pdf</v>
      </c>
    </row>
    <row r="5026" spans="1:28" x14ac:dyDescent="0.25">
      <c r="A5026" t="s">
        <v>5030</v>
      </c>
      <c r="B5026">
        <v>0.99996721820229495</v>
      </c>
      <c r="C5026">
        <v>0.93776420959085605</v>
      </c>
      <c r="D5026">
        <v>0.90726502856652902</v>
      </c>
      <c r="E5026">
        <v>0.70751961089609094</v>
      </c>
      <c r="F5026">
        <v>0.381640421525614</v>
      </c>
      <c r="G5026">
        <v>0.28935661895091003</v>
      </c>
      <c r="H5026">
        <v>0.11179064091517001</v>
      </c>
      <c r="I5026">
        <v>7.5903330415022993E-2</v>
      </c>
      <c r="J5026">
        <v>4.3640682292296E-2</v>
      </c>
      <c r="K5026">
        <v>5.2346539502443203E-2</v>
      </c>
      <c r="L5026">
        <v>820.18923141933396</v>
      </c>
      <c r="M5026">
        <v>15.738443026914601</v>
      </c>
      <c r="N5026">
        <v>52.321921484732101</v>
      </c>
      <c r="O5026">
        <v>51.294128604201902</v>
      </c>
      <c r="P5026">
        <v>-7.4385032441227697E-2</v>
      </c>
      <c r="Q5026">
        <v>3.0349377446894601E-2</v>
      </c>
      <c r="R5026">
        <v>0.99207755348427096</v>
      </c>
      <c r="S5026" t="s">
        <v>10852</v>
      </c>
      <c r="T5026" t="s">
        <v>11650</v>
      </c>
      <c r="U5026" t="s">
        <v>11650</v>
      </c>
      <c r="V5026" t="s">
        <v>11650</v>
      </c>
      <c r="W5026" t="s">
        <v>16620</v>
      </c>
      <c r="X5026">
        <v>1</v>
      </c>
      <c r="Y5026" t="s">
        <v>22289</v>
      </c>
      <c r="Z5026" t="s">
        <v>28088</v>
      </c>
      <c r="AA5026">
        <v>0.44193869674125702</v>
      </c>
      <c r="AB5026" t="str">
        <f>HYPERLINK("Melting_Curves/meltCurve_Q9H5Q4_TFB2M.pdf", "Melting_Curves/meltCurve_Q9H5Q4_TFB2M.pdf")</f>
        <v>Melting_Curves/meltCurve_Q9H5Q4_TFB2M.pdf</v>
      </c>
    </row>
    <row r="5027" spans="1:28" x14ac:dyDescent="0.25">
      <c r="A5027" t="s">
        <v>5031</v>
      </c>
      <c r="B5027">
        <v>0.99996721820229495</v>
      </c>
      <c r="C5027">
        <v>0.80283508177796903</v>
      </c>
      <c r="D5027">
        <v>0.95157456900236503</v>
      </c>
      <c r="E5027">
        <v>1.1186791035325401</v>
      </c>
      <c r="F5027">
        <v>1.3993080180750499</v>
      </c>
      <c r="G5027">
        <v>1.1209437470561501</v>
      </c>
      <c r="H5027">
        <v>0.73501437071653097</v>
      </c>
      <c r="I5027">
        <v>0.62603684989818598</v>
      </c>
      <c r="J5027">
        <v>0.41637012082262997</v>
      </c>
      <c r="K5027">
        <v>0.43625038231294899</v>
      </c>
      <c r="L5027">
        <v>2402.9221570550499</v>
      </c>
      <c r="M5027">
        <v>38.756137435603797</v>
      </c>
      <c r="N5027">
        <v>65.2198523476509</v>
      </c>
      <c r="O5027">
        <v>61.836692559751</v>
      </c>
      <c r="P5027">
        <v>-8.9913590479770697E-2</v>
      </c>
      <c r="Q5027">
        <v>0.42616098811210101</v>
      </c>
      <c r="R5027">
        <v>0.72837943558646201</v>
      </c>
      <c r="S5027" t="s">
        <v>10853</v>
      </c>
      <c r="T5027" t="s">
        <v>11650</v>
      </c>
      <c r="U5027" t="s">
        <v>11650</v>
      </c>
      <c r="V5027" t="s">
        <v>11650</v>
      </c>
      <c r="W5027" t="s">
        <v>16621</v>
      </c>
      <c r="X5027">
        <v>7</v>
      </c>
      <c r="Y5027" t="s">
        <v>22290</v>
      </c>
      <c r="Z5027" t="s">
        <v>28089</v>
      </c>
      <c r="AA5027">
        <v>0.84912647121042084</v>
      </c>
      <c r="AB5027" t="str">
        <f>HYPERLINK("Melting_Curves/meltCurve_Q9H5V8_CDCP1.pdf", "Melting_Curves/meltCurve_Q9H5V8_CDCP1.pdf")</f>
        <v>Melting_Curves/meltCurve_Q9H5V8_CDCP1.pdf</v>
      </c>
    </row>
    <row r="5028" spans="1:28" x14ac:dyDescent="0.25">
      <c r="A5028" t="s">
        <v>5032</v>
      </c>
      <c r="B5028">
        <v>0.99996721820229495</v>
      </c>
      <c r="C5028">
        <v>0.96245605384377297</v>
      </c>
      <c r="D5028">
        <v>0.92222985243426203</v>
      </c>
      <c r="E5028">
        <v>0.77696881365091996</v>
      </c>
      <c r="F5028">
        <v>0.763718556995855</v>
      </c>
      <c r="G5028">
        <v>0.69163398689478495</v>
      </c>
      <c r="H5028">
        <v>0.45745235101169701</v>
      </c>
      <c r="I5028">
        <v>0.26249733001090902</v>
      </c>
      <c r="J5028">
        <v>0.155011545000626</v>
      </c>
      <c r="K5028">
        <v>0.135399189542079</v>
      </c>
      <c r="L5028">
        <v>640.81625243114297</v>
      </c>
      <c r="M5028">
        <v>10.8610437899186</v>
      </c>
      <c r="N5028">
        <v>59.001374393428797</v>
      </c>
      <c r="O5028">
        <v>57.106850797656001</v>
      </c>
      <c r="P5028">
        <v>-4.7563872755526398E-2</v>
      </c>
      <c r="Q5028">
        <v>0</v>
      </c>
      <c r="R5028">
        <v>0.97188167832282102</v>
      </c>
      <c r="S5028" t="s">
        <v>10854</v>
      </c>
      <c r="T5028" t="s">
        <v>11650</v>
      </c>
      <c r="U5028" t="s">
        <v>11650</v>
      </c>
      <c r="V5028" t="s">
        <v>11650</v>
      </c>
      <c r="W5028" t="s">
        <v>16622</v>
      </c>
      <c r="X5028">
        <v>2</v>
      </c>
      <c r="Y5028" t="s">
        <v>22291</v>
      </c>
      <c r="Z5028" t="s">
        <v>28090</v>
      </c>
      <c r="AA5028">
        <v>0.63907337224868632</v>
      </c>
      <c r="AB5028" t="str">
        <f>HYPERLINK("Melting_Curves/meltCurve_Q9H5V9_2_CXorf56.pdf", "Melting_Curves/meltCurve_Q9H5V9_2_CXorf56.pdf")</f>
        <v>Melting_Curves/meltCurve_Q9H5V9_2_CXorf56.pdf</v>
      </c>
    </row>
    <row r="5029" spans="1:28" x14ac:dyDescent="0.25">
      <c r="A5029" t="s">
        <v>5033</v>
      </c>
      <c r="B5029">
        <v>0.99996721820229495</v>
      </c>
      <c r="C5029">
        <v>0.94288714202093604</v>
      </c>
      <c r="D5029">
        <v>0.910485849458743</v>
      </c>
      <c r="E5029">
        <v>0.925611685322414</v>
      </c>
      <c r="F5029">
        <v>1.01842191180387</v>
      </c>
      <c r="G5029">
        <v>0.822605434642394</v>
      </c>
      <c r="H5029">
        <v>0.44723761153769798</v>
      </c>
      <c r="I5029">
        <v>0.28624034997253001</v>
      </c>
      <c r="J5029">
        <v>0.159550067985577</v>
      </c>
      <c r="K5029">
        <v>0.101231933206823</v>
      </c>
      <c r="L5029">
        <v>1496.37837224538</v>
      </c>
      <c r="M5029">
        <v>24.856746273941301</v>
      </c>
      <c r="N5029">
        <v>60.675987413173097</v>
      </c>
      <c r="O5029">
        <v>59.814525747451299</v>
      </c>
      <c r="P5029">
        <v>-9.4691127591486901E-2</v>
      </c>
      <c r="Q5029">
        <v>8.8565269672697802E-2</v>
      </c>
      <c r="R5029">
        <v>0.983886033771463</v>
      </c>
      <c r="S5029" t="s">
        <v>10855</v>
      </c>
      <c r="T5029" t="s">
        <v>11650</v>
      </c>
      <c r="U5029" t="s">
        <v>11650</v>
      </c>
      <c r="V5029" t="s">
        <v>11650</v>
      </c>
      <c r="W5029" t="s">
        <v>16623</v>
      </c>
      <c r="X5029">
        <v>3</v>
      </c>
      <c r="Y5029" t="s">
        <v>22292</v>
      </c>
      <c r="Z5029" t="s">
        <v>28091</v>
      </c>
      <c r="AA5029">
        <v>0.70888237422564582</v>
      </c>
      <c r="AB5029" t="str">
        <f>HYPERLINK("Melting_Curves/meltCurve_Q9H5X1_FAM96A.pdf", "Melting_Curves/meltCurve_Q9H5X1_FAM96A.pdf")</f>
        <v>Melting_Curves/meltCurve_Q9H5X1_FAM96A.pdf</v>
      </c>
    </row>
    <row r="5030" spans="1:28" x14ac:dyDescent="0.25">
      <c r="A5030" t="s">
        <v>5034</v>
      </c>
      <c r="B5030">
        <v>0.99996721820229495</v>
      </c>
      <c r="C5030">
        <v>0.91193067970299002</v>
      </c>
      <c r="D5030">
        <v>0.81056300749564403</v>
      </c>
      <c r="E5030">
        <v>0.44197171336972901</v>
      </c>
      <c r="F5030">
        <v>0.38758434019877802</v>
      </c>
      <c r="G5030">
        <v>0.27544691504657898</v>
      </c>
      <c r="H5030">
        <v>0.225969616216154</v>
      </c>
      <c r="I5030">
        <v>0.190583744065461</v>
      </c>
      <c r="J5030">
        <v>0.13236009418862699</v>
      </c>
      <c r="K5030">
        <v>0.13758811558127099</v>
      </c>
      <c r="L5030">
        <v>756.40844264833504</v>
      </c>
      <c r="M5030">
        <v>15.442724755906401</v>
      </c>
      <c r="N5030">
        <v>50.204051959317603</v>
      </c>
      <c r="O5030">
        <v>48.1822221573847</v>
      </c>
      <c r="P5030">
        <v>-6.7575819169582399E-2</v>
      </c>
      <c r="Q5030">
        <v>0.15671367210082801</v>
      </c>
      <c r="R5030">
        <v>0.98765620574090995</v>
      </c>
      <c r="S5030" t="s">
        <v>10856</v>
      </c>
      <c r="T5030" t="s">
        <v>11650</v>
      </c>
      <c r="U5030" t="s">
        <v>11650</v>
      </c>
      <c r="V5030" t="s">
        <v>11650</v>
      </c>
      <c r="W5030" t="s">
        <v>16624</v>
      </c>
      <c r="X5030">
        <v>2</v>
      </c>
      <c r="Y5030" t="s">
        <v>22293</v>
      </c>
      <c r="Z5030" t="s">
        <v>28092</v>
      </c>
      <c r="AA5030">
        <v>0.42889143296199211</v>
      </c>
      <c r="AB5030" t="str">
        <f>HYPERLINK("Melting_Curves/meltCurve_Q9H668_OBFC1.pdf", "Melting_Curves/meltCurve_Q9H668_OBFC1.pdf")</f>
        <v>Melting_Curves/meltCurve_Q9H668_OBFC1.pdf</v>
      </c>
    </row>
    <row r="5031" spans="1:28" x14ac:dyDescent="0.25">
      <c r="A5031" t="s">
        <v>5035</v>
      </c>
      <c r="B5031">
        <v>0.99996721820229495</v>
      </c>
      <c r="C5031">
        <v>0.85789463229486695</v>
      </c>
      <c r="D5031">
        <v>0.857635904191971</v>
      </c>
      <c r="E5031">
        <v>0.96403019940025003</v>
      </c>
      <c r="F5031">
        <v>1.3163399989214699</v>
      </c>
      <c r="G5031">
        <v>1.32679299384978</v>
      </c>
      <c r="H5031">
        <v>0.81579197229209799</v>
      </c>
      <c r="I5031">
        <v>0.38794215402355797</v>
      </c>
      <c r="J5031">
        <v>0.229653511820404</v>
      </c>
      <c r="K5031">
        <v>0.29621471273841499</v>
      </c>
      <c r="L5031">
        <v>3951.4016870843402</v>
      </c>
      <c r="M5031">
        <v>63.558694863604799</v>
      </c>
      <c r="N5031">
        <v>62.921282697148001</v>
      </c>
      <c r="O5031">
        <v>62.107876496285698</v>
      </c>
      <c r="P5031">
        <v>-0.187768692411899</v>
      </c>
      <c r="Q5031">
        <v>0.26606982868041501</v>
      </c>
      <c r="R5031">
        <v>0.81443493892389895</v>
      </c>
      <c r="S5031" t="s">
        <v>10857</v>
      </c>
      <c r="T5031" t="s">
        <v>11650</v>
      </c>
      <c r="U5031" t="s">
        <v>11650</v>
      </c>
      <c r="V5031" t="s">
        <v>11650</v>
      </c>
      <c r="W5031" t="s">
        <v>16625</v>
      </c>
      <c r="X5031">
        <v>6</v>
      </c>
      <c r="Y5031" t="s">
        <v>22294</v>
      </c>
      <c r="Z5031" t="s">
        <v>28093</v>
      </c>
      <c r="AA5031">
        <v>0.80964510795429001</v>
      </c>
      <c r="AB5031" t="str">
        <f>HYPERLINK("Melting_Curves/meltCurve_Q9H6B4_CLMP.pdf", "Melting_Curves/meltCurve_Q9H6B4_CLMP.pdf")</f>
        <v>Melting_Curves/meltCurve_Q9H6B4_CLMP.pdf</v>
      </c>
    </row>
    <row r="5032" spans="1:28" x14ac:dyDescent="0.25">
      <c r="A5032" t="s">
        <v>5036</v>
      </c>
      <c r="B5032">
        <v>0.99996721820229495</v>
      </c>
      <c r="C5032">
        <v>1.0525236963476301</v>
      </c>
      <c r="D5032">
        <v>0.99090215319327402</v>
      </c>
      <c r="E5032">
        <v>1.2743627534759701</v>
      </c>
      <c r="F5032">
        <v>1.62576897537436</v>
      </c>
      <c r="G5032">
        <v>1.5987392042083099</v>
      </c>
      <c r="H5032">
        <v>1.15013130074453</v>
      </c>
      <c r="I5032">
        <v>0.83054537052716704</v>
      </c>
      <c r="J5032">
        <v>0.23964674819996801</v>
      </c>
      <c r="K5032">
        <v>0.42439899420745197</v>
      </c>
      <c r="L5032">
        <v>15000</v>
      </c>
      <c r="M5032">
        <v>233.296192593396</v>
      </c>
      <c r="N5032">
        <v>64.597949888874695</v>
      </c>
      <c r="O5032">
        <v>64.291221244269593</v>
      </c>
      <c r="P5032">
        <v>-0.60599574903919595</v>
      </c>
      <c r="Q5032">
        <v>0.33200438710604402</v>
      </c>
      <c r="R5032">
        <v>0.513942490332012</v>
      </c>
      <c r="S5032" t="s">
        <v>10858</v>
      </c>
      <c r="T5032" t="s">
        <v>11650</v>
      </c>
      <c r="U5032" t="s">
        <v>11650</v>
      </c>
      <c r="V5032" t="s">
        <v>11650</v>
      </c>
      <c r="W5032" t="s">
        <v>16626</v>
      </c>
      <c r="X5032">
        <v>1</v>
      </c>
      <c r="Y5032" t="s">
        <v>22295</v>
      </c>
      <c r="Z5032" t="s">
        <v>28094</v>
      </c>
      <c r="AA5032">
        <v>0.87307718065392215</v>
      </c>
      <c r="AB5032" t="str">
        <f>HYPERLINK("Melting_Curves/meltCurve_Q9H6D3_XKR8.pdf", "Melting_Curves/meltCurve_Q9H6D3_XKR8.pdf")</f>
        <v>Melting_Curves/meltCurve_Q9H6D3_XKR8.pdf</v>
      </c>
    </row>
    <row r="5033" spans="1:28" x14ac:dyDescent="0.25">
      <c r="A5033" t="s">
        <v>5037</v>
      </c>
      <c r="B5033">
        <v>0.99996721820229495</v>
      </c>
      <c r="C5033">
        <v>1.1862193958288001</v>
      </c>
      <c r="D5033">
        <v>1.1153600485478801</v>
      </c>
      <c r="E5033">
        <v>0.92980804492250302</v>
      </c>
      <c r="F5033">
        <v>0.62991560439860605</v>
      </c>
      <c r="G5033">
        <v>0.49883849844899197</v>
      </c>
      <c r="H5033">
        <v>0.29036065815428103</v>
      </c>
      <c r="I5033">
        <v>0.19034608371068401</v>
      </c>
      <c r="J5033">
        <v>0.107495003272558</v>
      </c>
      <c r="K5033">
        <v>8.51641196977454E-2</v>
      </c>
      <c r="L5033">
        <v>932.12827893121698</v>
      </c>
      <c r="M5033">
        <v>16.654455081428601</v>
      </c>
      <c r="N5033">
        <v>56.495087759834597</v>
      </c>
      <c r="O5033">
        <v>55.180450962896799</v>
      </c>
      <c r="P5033">
        <v>-7.0036478419050099E-2</v>
      </c>
      <c r="Q5033">
        <v>7.1867430326550796E-2</v>
      </c>
      <c r="R5033">
        <v>0.95612218051018505</v>
      </c>
      <c r="S5033" t="s">
        <v>10859</v>
      </c>
      <c r="T5033" t="s">
        <v>11650</v>
      </c>
      <c r="U5033" t="s">
        <v>11650</v>
      </c>
      <c r="V5033" t="s">
        <v>11650</v>
      </c>
      <c r="W5033" t="s">
        <v>16627</v>
      </c>
      <c r="X5033">
        <v>5</v>
      </c>
      <c r="Y5033" t="s">
        <v>22296</v>
      </c>
      <c r="Z5033" t="s">
        <v>28095</v>
      </c>
      <c r="AA5033">
        <v>0.58084906804439795</v>
      </c>
      <c r="AB5033" t="str">
        <f>HYPERLINK("Melting_Curves/meltCurve_Q9H6E4_CCDC134.pdf", "Melting_Curves/meltCurve_Q9H6E4_CCDC134.pdf")</f>
        <v>Melting_Curves/meltCurve_Q9H6E4_CCDC134.pdf</v>
      </c>
    </row>
    <row r="5034" spans="1:28" x14ac:dyDescent="0.25">
      <c r="A5034" t="s">
        <v>5038</v>
      </c>
      <c r="B5034">
        <v>0.99996721820229495</v>
      </c>
      <c r="C5034">
        <v>0.86336474408180797</v>
      </c>
      <c r="D5034">
        <v>0.90977961547684405</v>
      </c>
      <c r="E5034">
        <v>0.92543298449170996</v>
      </c>
      <c r="F5034">
        <v>0.90168107192880198</v>
      </c>
      <c r="G5034">
        <v>0.76027706874016099</v>
      </c>
      <c r="H5034">
        <v>0.58695303727368797</v>
      </c>
      <c r="I5034">
        <v>0.46093573603476401</v>
      </c>
      <c r="J5034">
        <v>0.39333743537943</v>
      </c>
      <c r="K5034">
        <v>0.31376669217683201</v>
      </c>
      <c r="L5034">
        <v>569.32084555351901</v>
      </c>
      <c r="M5034">
        <v>8.9458637098095792</v>
      </c>
      <c r="N5034">
        <v>63.640671773163199</v>
      </c>
      <c r="O5034">
        <v>60.7017102562533</v>
      </c>
      <c r="P5034">
        <v>-3.6870928982182298E-2</v>
      </c>
      <c r="Q5034">
        <v>0</v>
      </c>
      <c r="R5034">
        <v>0.96123564078787405</v>
      </c>
      <c r="S5034" t="s">
        <v>10860</v>
      </c>
      <c r="T5034" t="s">
        <v>11650</v>
      </c>
      <c r="U5034" t="s">
        <v>11650</v>
      </c>
      <c r="V5034" t="s">
        <v>11650</v>
      </c>
      <c r="W5034" t="s">
        <v>16628</v>
      </c>
      <c r="X5034">
        <v>5</v>
      </c>
      <c r="Y5034" t="s">
        <v>22297</v>
      </c>
      <c r="Z5034" t="s">
        <v>28096</v>
      </c>
      <c r="AA5034">
        <v>0.7409120402878614</v>
      </c>
      <c r="AB5034" t="str">
        <f>HYPERLINK("Melting_Curves/meltCurve_Q9H6H4_REEP4.pdf", "Melting_Curves/meltCurve_Q9H6H4_REEP4.pdf")</f>
        <v>Melting_Curves/meltCurve_Q9H6H4_REEP4.pdf</v>
      </c>
    </row>
    <row r="5035" spans="1:28" x14ac:dyDescent="0.25">
      <c r="A5035" t="s">
        <v>5039</v>
      </c>
      <c r="B5035">
        <v>0.99996721820229495</v>
      </c>
      <c r="C5035">
        <v>1.2057317146564801</v>
      </c>
      <c r="D5035">
        <v>1.0091351598084399</v>
      </c>
      <c r="E5035">
        <v>0.77344013774729004</v>
      </c>
      <c r="F5035">
        <v>0.46131692104646299</v>
      </c>
      <c r="G5035">
        <v>0.42503161543749701</v>
      </c>
      <c r="H5035">
        <v>0.25671016067844499</v>
      </c>
      <c r="I5035">
        <v>0.17149531842607199</v>
      </c>
      <c r="J5035">
        <v>0.2348602174013</v>
      </c>
      <c r="K5035">
        <v>0.17285027615721499</v>
      </c>
      <c r="L5035">
        <v>1150.79594441932</v>
      </c>
      <c r="M5035">
        <v>22.104661723550802</v>
      </c>
      <c r="N5035">
        <v>53.391070621374801</v>
      </c>
      <c r="O5035">
        <v>51.640764728918398</v>
      </c>
      <c r="P5035">
        <v>-8.43599292565511E-2</v>
      </c>
      <c r="Q5035">
        <v>0.211692832257425</v>
      </c>
      <c r="R5035">
        <v>0.94938118352859702</v>
      </c>
      <c r="S5035" t="s">
        <v>10861</v>
      </c>
      <c r="T5035" t="s">
        <v>11650</v>
      </c>
      <c r="U5035" t="s">
        <v>11650</v>
      </c>
      <c r="V5035" t="s">
        <v>11650</v>
      </c>
      <c r="W5035" t="s">
        <v>16629</v>
      </c>
      <c r="X5035">
        <v>3</v>
      </c>
      <c r="Y5035" t="s">
        <v>22298</v>
      </c>
      <c r="Z5035" t="s">
        <v>28097</v>
      </c>
      <c r="AA5035">
        <v>0.53771264983115541</v>
      </c>
      <c r="AB5035" t="str">
        <f>HYPERLINK("Melting_Curves/meltCurve_Q9H6K1_C6orf106.pdf", "Melting_Curves/meltCurve_Q9H6K1_C6orf106.pdf")</f>
        <v>Melting_Curves/meltCurve_Q9H6K1_C6orf106.pdf</v>
      </c>
    </row>
    <row r="5036" spans="1:28" x14ac:dyDescent="0.25">
      <c r="A5036" t="s">
        <v>5040</v>
      </c>
      <c r="B5036">
        <v>0.99996721820229495</v>
      </c>
      <c r="C5036">
        <v>0.66960858042993399</v>
      </c>
      <c r="D5036">
        <v>0.54074883428321896</v>
      </c>
      <c r="E5036">
        <v>0.93502678390454896</v>
      </c>
      <c r="F5036">
        <v>1.2357657032827201</v>
      </c>
      <c r="G5036">
        <v>0.84742291032216899</v>
      </c>
      <c r="H5036">
        <v>0.84255414456883304</v>
      </c>
      <c r="I5036">
        <v>0.51481565327711398</v>
      </c>
      <c r="J5036">
        <v>0.211836705592654</v>
      </c>
      <c r="K5036">
        <v>0.52993683845927098</v>
      </c>
      <c r="L5036">
        <v>3421.5508789062001</v>
      </c>
      <c r="M5036">
        <v>55.000622358857797</v>
      </c>
      <c r="N5036">
        <v>63.834189505408197</v>
      </c>
      <c r="O5036">
        <v>62.1272356576779</v>
      </c>
      <c r="P5036">
        <v>-0.137949021899302</v>
      </c>
      <c r="Q5036">
        <v>0.37670623471579501</v>
      </c>
      <c r="R5036">
        <v>0.422435561569385</v>
      </c>
      <c r="S5036" t="s">
        <v>10862</v>
      </c>
      <c r="T5036" t="s">
        <v>11650</v>
      </c>
      <c r="U5036" t="s">
        <v>11650</v>
      </c>
      <c r="V5036" t="s">
        <v>11650</v>
      </c>
      <c r="W5036" t="s">
        <v>16630</v>
      </c>
      <c r="X5036">
        <v>4</v>
      </c>
      <c r="Y5036" t="s">
        <v>22299</v>
      </c>
      <c r="Z5036" t="s">
        <v>28098</v>
      </c>
      <c r="AA5036">
        <v>0.83948110257015285</v>
      </c>
      <c r="AB5036" t="str">
        <f>HYPERLINK("Melting_Curves/meltCurve_Q9H6K4_2_OPA3.pdf", "Melting_Curves/meltCurve_Q9H6K4_2_OPA3.pdf")</f>
        <v>Melting_Curves/meltCurve_Q9H6K4_2_OPA3.pdf</v>
      </c>
    </row>
    <row r="5037" spans="1:28" x14ac:dyDescent="0.25">
      <c r="A5037" t="s">
        <v>5041</v>
      </c>
      <c r="B5037">
        <v>0.99996721820229495</v>
      </c>
      <c r="C5037">
        <v>0.969853011117359</v>
      </c>
      <c r="D5037">
        <v>1.01388195596373</v>
      </c>
      <c r="E5037">
        <v>1.1204586442379301</v>
      </c>
      <c r="F5037">
        <v>1.03751680649441</v>
      </c>
      <c r="G5037">
        <v>0.75430636368182202</v>
      </c>
      <c r="H5037">
        <v>0.35042756676971298</v>
      </c>
      <c r="I5037">
        <v>0.22967020996387399</v>
      </c>
      <c r="J5037">
        <v>0.169268426949756</v>
      </c>
      <c r="K5037">
        <v>0.16432258554128601</v>
      </c>
      <c r="L5037">
        <v>2015.9016502080999</v>
      </c>
      <c r="M5037">
        <v>34.385143552911302</v>
      </c>
      <c r="N5037">
        <v>59.340189904183802</v>
      </c>
      <c r="O5037">
        <v>58.429879848599903</v>
      </c>
      <c r="P5037">
        <v>-0.122223834941993</v>
      </c>
      <c r="Q5037">
        <v>0.16923459097247601</v>
      </c>
      <c r="R5037">
        <v>0.98600563133132402</v>
      </c>
      <c r="S5037" t="s">
        <v>10863</v>
      </c>
      <c r="T5037" t="s">
        <v>11650</v>
      </c>
      <c r="U5037" t="s">
        <v>11650</v>
      </c>
      <c r="V5037" t="s">
        <v>11650</v>
      </c>
      <c r="W5037" t="s">
        <v>16631</v>
      </c>
      <c r="X5037">
        <v>6</v>
      </c>
      <c r="Y5037" t="s">
        <v>22300</v>
      </c>
      <c r="Z5037" t="s">
        <v>28099</v>
      </c>
      <c r="AA5037">
        <v>0.68936018559555079</v>
      </c>
      <c r="AB5037" t="str">
        <f>HYPERLINK("Melting_Curves/meltCurve_Q9H6Q4_NARFL.pdf", "Melting_Curves/meltCurve_Q9H6Q4_NARFL.pdf")</f>
        <v>Melting_Curves/meltCurve_Q9H6Q4_NARFL.pdf</v>
      </c>
    </row>
    <row r="5038" spans="1:28" x14ac:dyDescent="0.25">
      <c r="A5038" t="s">
        <v>5042</v>
      </c>
      <c r="B5038">
        <v>0.99996721820229495</v>
      </c>
      <c r="C5038">
        <v>1.05410886906058</v>
      </c>
      <c r="D5038">
        <v>0.99153262910277895</v>
      </c>
      <c r="E5038">
        <v>0.92742804488606401</v>
      </c>
      <c r="F5038">
        <v>0.76924699655764806</v>
      </c>
      <c r="G5038">
        <v>0.39591590831029599</v>
      </c>
      <c r="H5038">
        <v>0.18269492108567301</v>
      </c>
      <c r="I5038">
        <v>8.6265956566660904E-2</v>
      </c>
      <c r="J5038">
        <v>7.9878648158186197E-2</v>
      </c>
      <c r="K5038">
        <v>6.9060284223542504E-2</v>
      </c>
      <c r="L5038">
        <v>1260.17930466235</v>
      </c>
      <c r="M5038">
        <v>22.665277966429599</v>
      </c>
      <c r="N5038">
        <v>55.898890766189503</v>
      </c>
      <c r="O5038">
        <v>55.1721777153532</v>
      </c>
      <c r="P5038">
        <v>-9.6835155913216495E-2</v>
      </c>
      <c r="Q5038">
        <v>5.71482365939949E-2</v>
      </c>
      <c r="R5038">
        <v>0.99785128055677896</v>
      </c>
      <c r="S5038" t="s">
        <v>10864</v>
      </c>
      <c r="T5038" t="s">
        <v>11650</v>
      </c>
      <c r="U5038" t="s">
        <v>11650</v>
      </c>
      <c r="V5038" t="s">
        <v>11650</v>
      </c>
      <c r="W5038" t="s">
        <v>16632</v>
      </c>
      <c r="X5038">
        <v>7</v>
      </c>
      <c r="Y5038" t="s">
        <v>22301</v>
      </c>
      <c r="Z5038" t="s">
        <v>28100</v>
      </c>
      <c r="AA5038">
        <v>0.55763050422005855</v>
      </c>
      <c r="AB5038" t="str">
        <f>HYPERLINK("Melting_Curves/meltCurve_Q9H6R3_ACSS3.pdf", "Melting_Curves/meltCurve_Q9H6R3_ACSS3.pdf")</f>
        <v>Melting_Curves/meltCurve_Q9H6R3_ACSS3.pdf</v>
      </c>
    </row>
    <row r="5039" spans="1:28" x14ac:dyDescent="0.25">
      <c r="A5039" t="s">
        <v>5043</v>
      </c>
      <c r="B5039">
        <v>0.99996721820229495</v>
      </c>
      <c r="C5039">
        <v>0.84067094111696805</v>
      </c>
      <c r="D5039">
        <v>0.71237802699983599</v>
      </c>
      <c r="E5039">
        <v>0.46515381699327601</v>
      </c>
      <c r="F5039">
        <v>0.514303424386226</v>
      </c>
      <c r="G5039">
        <v>0.39575333620661401</v>
      </c>
      <c r="H5039">
        <v>0.30021726981673902</v>
      </c>
      <c r="I5039">
        <v>0.30284186300648402</v>
      </c>
      <c r="J5039">
        <v>0.26231541220348098</v>
      </c>
      <c r="K5039">
        <v>0.22189033196163799</v>
      </c>
      <c r="L5039">
        <v>529.87212430071997</v>
      </c>
      <c r="M5039">
        <v>10.960996416161001</v>
      </c>
      <c r="N5039">
        <v>51.324450573828102</v>
      </c>
      <c r="O5039">
        <v>46.816100315489699</v>
      </c>
      <c r="P5039">
        <v>-4.4759164431536803E-2</v>
      </c>
      <c r="Q5039">
        <v>0.23556834602803001</v>
      </c>
      <c r="R5039">
        <v>0.96834229562303098</v>
      </c>
      <c r="S5039" t="s">
        <v>10865</v>
      </c>
      <c r="T5039" t="s">
        <v>11650</v>
      </c>
      <c r="U5039" t="s">
        <v>11650</v>
      </c>
      <c r="V5039" t="s">
        <v>11650</v>
      </c>
      <c r="W5039" t="s">
        <v>16633</v>
      </c>
      <c r="X5039">
        <v>3</v>
      </c>
      <c r="Y5039" t="s">
        <v>22302</v>
      </c>
      <c r="Z5039" t="s">
        <v>28101</v>
      </c>
      <c r="AA5039">
        <v>0.48220684808731412</v>
      </c>
      <c r="AB5039" t="str">
        <f>HYPERLINK("Melting_Curves/meltCurve_Q9H6S1_AZI2.pdf", "Melting_Curves/meltCurve_Q9H6S1_AZI2.pdf")</f>
        <v>Melting_Curves/meltCurve_Q9H6S1_AZI2.pdf</v>
      </c>
    </row>
    <row r="5040" spans="1:28" x14ac:dyDescent="0.25">
      <c r="A5040" t="s">
        <v>5044</v>
      </c>
      <c r="B5040">
        <v>0.99996721820229495</v>
      </c>
      <c r="C5040">
        <v>1.0014999474522299</v>
      </c>
      <c r="D5040">
        <v>0.91390322754231401</v>
      </c>
      <c r="E5040">
        <v>0.65090719246642403</v>
      </c>
      <c r="F5040">
        <v>0.361354362534481</v>
      </c>
      <c r="G5040">
        <v>0.27839794443041599</v>
      </c>
      <c r="H5040">
        <v>0.16970300415739401</v>
      </c>
      <c r="I5040">
        <v>0.12669713755256401</v>
      </c>
      <c r="J5040">
        <v>9.6979290944818206E-2</v>
      </c>
      <c r="K5040">
        <v>7.3895544484592096E-2</v>
      </c>
      <c r="L5040">
        <v>936.631986926536</v>
      </c>
      <c r="M5040">
        <v>18.309046628500401</v>
      </c>
      <c r="N5040">
        <v>51.795118883087497</v>
      </c>
      <c r="O5040">
        <v>50.558231457967999</v>
      </c>
      <c r="P5040">
        <v>-8.1394330549604904E-2</v>
      </c>
      <c r="Q5040">
        <v>0.10099885738806801</v>
      </c>
      <c r="R5040">
        <v>0.99332119089725301</v>
      </c>
      <c r="S5040" t="s">
        <v>10866</v>
      </c>
      <c r="T5040" t="s">
        <v>11650</v>
      </c>
      <c r="U5040" t="s">
        <v>11650</v>
      </c>
      <c r="V5040" t="s">
        <v>11650</v>
      </c>
      <c r="W5040" t="s">
        <v>16634</v>
      </c>
      <c r="X5040">
        <v>21</v>
      </c>
      <c r="Y5040" t="s">
        <v>22303</v>
      </c>
      <c r="Z5040" t="s">
        <v>28102</v>
      </c>
      <c r="AA5040">
        <v>0.44999580743365369</v>
      </c>
      <c r="AB5040" t="str">
        <f>HYPERLINK("Melting_Curves/meltCurve_Q9H6S3_EPS8L2.pdf", "Melting_Curves/meltCurve_Q9H6S3_EPS8L2.pdf")</f>
        <v>Melting_Curves/meltCurve_Q9H6S3_EPS8L2.pdf</v>
      </c>
    </row>
    <row r="5041" spans="1:28" x14ac:dyDescent="0.25">
      <c r="A5041" t="s">
        <v>5045</v>
      </c>
      <c r="B5041">
        <v>0.99996721820229495</v>
      </c>
      <c r="C5041">
        <v>1.04153535635812</v>
      </c>
      <c r="D5041">
        <v>1.0420838788876801</v>
      </c>
      <c r="E5041">
        <v>1.04557774695843</v>
      </c>
      <c r="F5041">
        <v>0.928052444960489</v>
      </c>
      <c r="G5041">
        <v>1.01525986785282</v>
      </c>
      <c r="H5041">
        <v>0.65557667645614204</v>
      </c>
      <c r="I5041">
        <v>0.452623680757683</v>
      </c>
      <c r="J5041">
        <v>0.36575205471121103</v>
      </c>
      <c r="K5041">
        <v>0.242993796070155</v>
      </c>
      <c r="L5041">
        <v>1959.4020675525501</v>
      </c>
      <c r="M5041">
        <v>31.811558439031401</v>
      </c>
      <c r="N5041">
        <v>63.129522644713802</v>
      </c>
      <c r="O5041">
        <v>61.352142260993602</v>
      </c>
      <c r="P5041">
        <v>-9.47113942443846E-2</v>
      </c>
      <c r="Q5041">
        <v>0.26935755660667798</v>
      </c>
      <c r="R5041">
        <v>0.97824889123730396</v>
      </c>
      <c r="S5041" t="s">
        <v>10867</v>
      </c>
      <c r="T5041" t="s">
        <v>11650</v>
      </c>
      <c r="U5041" t="s">
        <v>11650</v>
      </c>
      <c r="V5041" t="s">
        <v>11650</v>
      </c>
      <c r="W5041" t="s">
        <v>16635</v>
      </c>
      <c r="X5041">
        <v>4</v>
      </c>
      <c r="Y5041" t="s">
        <v>22304</v>
      </c>
      <c r="Z5041" t="s">
        <v>28103</v>
      </c>
      <c r="AA5041">
        <v>0.79879237755909194</v>
      </c>
      <c r="AB5041" t="str">
        <f>HYPERLINK("Melting_Curves/meltCurve_Q9H6T3_RPAP3.pdf", "Melting_Curves/meltCurve_Q9H6T3_RPAP3.pdf")</f>
        <v>Melting_Curves/meltCurve_Q9H6T3_RPAP3.pdf</v>
      </c>
    </row>
    <row r="5042" spans="1:28" x14ac:dyDescent="0.25">
      <c r="A5042" t="s">
        <v>5046</v>
      </c>
      <c r="B5042">
        <v>0.99996721820229495</v>
      </c>
      <c r="C5042">
        <v>1.15112488516193</v>
      </c>
      <c r="D5042">
        <v>1.0731043862593299</v>
      </c>
      <c r="E5042">
        <v>1.0394647167278399</v>
      </c>
      <c r="F5042">
        <v>1.1455967488045999</v>
      </c>
      <c r="G5042">
        <v>0.78332093561584604</v>
      </c>
      <c r="H5042">
        <v>0.423585287045119</v>
      </c>
      <c r="I5042">
        <v>0.32440178324742502</v>
      </c>
      <c r="J5042">
        <v>0.31162403989646098</v>
      </c>
      <c r="K5042">
        <v>0.23715741594797299</v>
      </c>
      <c r="L5042">
        <v>2248.1169913805702</v>
      </c>
      <c r="M5042">
        <v>38.400227326752898</v>
      </c>
      <c r="N5042">
        <v>59.840515853873903</v>
      </c>
      <c r="O5042">
        <v>58.386273962489398</v>
      </c>
      <c r="P5042">
        <v>-0.11799726279379801</v>
      </c>
      <c r="Q5042">
        <v>0.28235806206223102</v>
      </c>
      <c r="R5042">
        <v>0.95507191557684501</v>
      </c>
      <c r="S5042" t="s">
        <v>10868</v>
      </c>
      <c r="T5042" t="s">
        <v>11650</v>
      </c>
      <c r="U5042" t="s">
        <v>11650</v>
      </c>
      <c r="V5042" t="s">
        <v>11650</v>
      </c>
      <c r="W5042" t="s">
        <v>16636</v>
      </c>
      <c r="X5042">
        <v>9</v>
      </c>
      <c r="Y5042" t="s">
        <v>22305</v>
      </c>
      <c r="Z5042" t="s">
        <v>28104</v>
      </c>
      <c r="AA5042">
        <v>0.72901580207333982</v>
      </c>
      <c r="AB5042" t="str">
        <f>HYPERLINK("Melting_Curves/meltCurve_Q9H6U6_7_BCAS3.pdf", "Melting_Curves/meltCurve_Q9H6U6_7_BCAS3.pdf")</f>
        <v>Melting_Curves/meltCurve_Q9H6U6_7_BCAS3.pdf</v>
      </c>
    </row>
    <row r="5043" spans="1:28" x14ac:dyDescent="0.25">
      <c r="A5043" t="s">
        <v>5047</v>
      </c>
      <c r="B5043">
        <v>0.99996721820229495</v>
      </c>
      <c r="C5043">
        <v>0.78039490200491102</v>
      </c>
      <c r="D5043">
        <v>1.1558617179439299</v>
      </c>
      <c r="E5043">
        <v>1.0730379567697701</v>
      </c>
      <c r="F5043">
        <v>0.92433329139777198</v>
      </c>
      <c r="G5043">
        <v>0.680830942258705</v>
      </c>
      <c r="H5043">
        <v>0.30200228952562802</v>
      </c>
      <c r="I5043">
        <v>0.239745597791716</v>
      </c>
      <c r="J5043">
        <v>0.178688657358123</v>
      </c>
      <c r="K5043">
        <v>7.38678628665769E-2</v>
      </c>
      <c r="L5043">
        <v>1509.0959206129801</v>
      </c>
      <c r="M5043">
        <v>25.907317910698499</v>
      </c>
      <c r="N5043">
        <v>58.8555916394997</v>
      </c>
      <c r="O5043">
        <v>57.906058856725799</v>
      </c>
      <c r="P5043">
        <v>-9.8761711436151395E-2</v>
      </c>
      <c r="Q5043">
        <v>0.117031760502189</v>
      </c>
      <c r="R5043">
        <v>0.94189488793591103</v>
      </c>
      <c r="S5043" t="s">
        <v>10869</v>
      </c>
      <c r="T5043" t="s">
        <v>11650</v>
      </c>
      <c r="U5043" t="s">
        <v>11650</v>
      </c>
      <c r="V5043" t="s">
        <v>11650</v>
      </c>
      <c r="W5043" t="s">
        <v>16637</v>
      </c>
      <c r="X5043">
        <v>2</v>
      </c>
      <c r="Y5043" t="s">
        <v>22306</v>
      </c>
      <c r="Z5043" t="s">
        <v>28105</v>
      </c>
      <c r="AA5043">
        <v>0.6613890248051828</v>
      </c>
      <c r="AB5043" t="str">
        <f>HYPERLINK("Melting_Curves/meltCurve_Q9H6U8_ALG9.pdf", "Melting_Curves/meltCurve_Q9H6U8_ALG9.pdf")</f>
        <v>Melting_Curves/meltCurve_Q9H6U8_ALG9.pdf</v>
      </c>
    </row>
    <row r="5044" spans="1:28" x14ac:dyDescent="0.25">
      <c r="A5044" t="s">
        <v>5048</v>
      </c>
      <c r="B5044">
        <v>0.99996721820229495</v>
      </c>
      <c r="C5044">
        <v>0.91833327354896299</v>
      </c>
      <c r="D5044">
        <v>0.91986306835908005</v>
      </c>
      <c r="E5044">
        <v>1.05989225886432</v>
      </c>
      <c r="F5044">
        <v>1.14606685587305</v>
      </c>
      <c r="G5044">
        <v>0.93239035040519802</v>
      </c>
      <c r="H5044">
        <v>0.56063665962121401</v>
      </c>
      <c r="I5044">
        <v>0.31546847334420097</v>
      </c>
      <c r="J5044">
        <v>0.18754211826804401</v>
      </c>
      <c r="K5044">
        <v>0.258114260805</v>
      </c>
      <c r="L5044">
        <v>2487.8324205743002</v>
      </c>
      <c r="M5044">
        <v>41.037299849027001</v>
      </c>
      <c r="N5044">
        <v>61.493909806635202</v>
      </c>
      <c r="O5044">
        <v>60.480262310510803</v>
      </c>
      <c r="P5044">
        <v>-0.132268934023307</v>
      </c>
      <c r="Q5044">
        <v>0.22025624205185701</v>
      </c>
      <c r="R5044">
        <v>0.96404878338467004</v>
      </c>
      <c r="S5044" t="s">
        <v>10870</v>
      </c>
      <c r="T5044" t="s">
        <v>11650</v>
      </c>
      <c r="U5044" t="s">
        <v>11650</v>
      </c>
      <c r="V5044" t="s">
        <v>11650</v>
      </c>
      <c r="W5044" t="s">
        <v>16638</v>
      </c>
      <c r="X5044">
        <v>9</v>
      </c>
      <c r="Y5044" t="s">
        <v>22307</v>
      </c>
      <c r="Z5044" t="s">
        <v>28106</v>
      </c>
      <c r="AA5044">
        <v>0.75917749704331305</v>
      </c>
      <c r="AB5044" t="str">
        <f>HYPERLINK("Melting_Curves/meltCurve_Q9H6X2_ANTXR1.pdf", "Melting_Curves/meltCurve_Q9H6X2_ANTXR1.pdf")</f>
        <v>Melting_Curves/meltCurve_Q9H6X2_ANTXR1.pdf</v>
      </c>
    </row>
    <row r="5045" spans="1:28" x14ac:dyDescent="0.25">
      <c r="A5045" t="s">
        <v>5049</v>
      </c>
      <c r="B5045">
        <v>0.99996721820229495</v>
      </c>
      <c r="C5045">
        <v>0.99509589510681296</v>
      </c>
      <c r="D5045">
        <v>1.01626592253829</v>
      </c>
      <c r="E5045">
        <v>1.1404602254813501</v>
      </c>
      <c r="F5045">
        <v>1.50620514684827</v>
      </c>
      <c r="G5045">
        <v>1.76357089268062</v>
      </c>
      <c r="H5045">
        <v>1.4343716831347499</v>
      </c>
      <c r="I5045">
        <v>1.3813332839483801</v>
      </c>
      <c r="J5045">
        <v>1.3173503783245499</v>
      </c>
      <c r="K5045">
        <v>1.18573812944524</v>
      </c>
      <c r="L5045">
        <v>12536.4142208303</v>
      </c>
      <c r="M5045">
        <v>250</v>
      </c>
      <c r="O5045">
        <v>50.1424481003517</v>
      </c>
      <c r="P5045">
        <v>0.53775335419752401</v>
      </c>
      <c r="Q5045">
        <v>1.4314283121762299</v>
      </c>
      <c r="R5045">
        <v>0.66745443839482499</v>
      </c>
      <c r="S5045" t="s">
        <v>10871</v>
      </c>
      <c r="T5045" t="s">
        <v>11650</v>
      </c>
      <c r="U5045" t="s">
        <v>11650</v>
      </c>
      <c r="V5045" t="s">
        <v>11650</v>
      </c>
      <c r="W5045" t="s">
        <v>16639</v>
      </c>
      <c r="X5045">
        <v>4</v>
      </c>
      <c r="Y5045" t="s">
        <v>22308</v>
      </c>
      <c r="Z5045" t="s">
        <v>28107</v>
      </c>
      <c r="AA5045">
        <v>1.2854862235570621</v>
      </c>
      <c r="AB5045" t="str">
        <f>HYPERLINK("Melting_Curves/meltCurve_Q9H6X4_2_TMEM134.pdf", "Melting_Curves/meltCurve_Q9H6X4_2_TMEM134.pdf")</f>
        <v>Melting_Curves/meltCurve_Q9H6X4_2_TMEM134.pdf</v>
      </c>
    </row>
    <row r="5046" spans="1:28" x14ac:dyDescent="0.25">
      <c r="A5046" t="s">
        <v>5050</v>
      </c>
      <c r="B5046">
        <v>0.99996721820229495</v>
      </c>
      <c r="C5046">
        <v>0.99758528081901798</v>
      </c>
      <c r="D5046">
        <v>0.97155690468568501</v>
      </c>
      <c r="E5046">
        <v>1.01319768970044</v>
      </c>
      <c r="F5046">
        <v>0.916273144242713</v>
      </c>
      <c r="G5046">
        <v>0.71005883901759503</v>
      </c>
      <c r="H5046">
        <v>0.45609837322012697</v>
      </c>
      <c r="I5046">
        <v>0.29131890999481402</v>
      </c>
      <c r="J5046">
        <v>0.19391230823593</v>
      </c>
      <c r="K5046">
        <v>0.20261122470354201</v>
      </c>
      <c r="L5046">
        <v>1201.4787859068199</v>
      </c>
      <c r="M5046">
        <v>20.362633910267601</v>
      </c>
      <c r="N5046">
        <v>60.060845501294303</v>
      </c>
      <c r="O5046">
        <v>58.443868444806803</v>
      </c>
      <c r="P5046">
        <v>-7.3991591405689297E-2</v>
      </c>
      <c r="Q5046">
        <v>0.15055709318045299</v>
      </c>
      <c r="R5046">
        <v>0.99703714077820405</v>
      </c>
      <c r="S5046" t="s">
        <v>10872</v>
      </c>
      <c r="T5046" t="s">
        <v>11650</v>
      </c>
      <c r="U5046" t="s">
        <v>11650</v>
      </c>
      <c r="V5046" t="s">
        <v>11650</v>
      </c>
      <c r="W5046" t="s">
        <v>16640</v>
      </c>
      <c r="X5046">
        <v>7</v>
      </c>
      <c r="Y5046" t="s">
        <v>22309</v>
      </c>
      <c r="Z5046" t="s">
        <v>28108</v>
      </c>
      <c r="AA5046">
        <v>0.69710060386834993</v>
      </c>
      <c r="AB5046" t="str">
        <f>HYPERLINK("Melting_Curves/meltCurve_Q9H6Y2_WDR55.pdf", "Melting_Curves/meltCurve_Q9H6Y2_WDR55.pdf")</f>
        <v>Melting_Curves/meltCurve_Q9H6Y2_WDR55.pdf</v>
      </c>
    </row>
    <row r="5047" spans="1:28" x14ac:dyDescent="0.25">
      <c r="A5047" t="s">
        <v>5051</v>
      </c>
      <c r="B5047">
        <v>0.99996721820229495</v>
      </c>
      <c r="C5047">
        <v>1.6703786770329501</v>
      </c>
      <c r="D5047">
        <v>1.79832361372343</v>
      </c>
      <c r="E5047">
        <v>1.7414157527627101</v>
      </c>
      <c r="F5047">
        <v>1.81118015521806</v>
      </c>
      <c r="G5047">
        <v>3.8090515067593298</v>
      </c>
      <c r="H5047">
        <v>2.6969111687396898</v>
      </c>
      <c r="I5047">
        <v>1.0311759461219301</v>
      </c>
      <c r="J5047">
        <v>0.33490782362538302</v>
      </c>
      <c r="K5047">
        <v>0.194720738379421</v>
      </c>
      <c r="L5047">
        <v>15000</v>
      </c>
      <c r="M5047">
        <v>225.43707599343</v>
      </c>
      <c r="N5047">
        <v>66.683323734448393</v>
      </c>
      <c r="O5047">
        <v>66.532194984417501</v>
      </c>
      <c r="P5047">
        <v>-0.68217675116631404</v>
      </c>
      <c r="Q5047">
        <v>0.194689614235108</v>
      </c>
      <c r="R5047">
        <v>-0.25029418142870702</v>
      </c>
      <c r="S5047" t="s">
        <v>10873</v>
      </c>
      <c r="T5047" t="s">
        <v>11650</v>
      </c>
      <c r="U5047" t="s">
        <v>11650</v>
      </c>
      <c r="V5047" t="s">
        <v>11650</v>
      </c>
      <c r="W5047" t="s">
        <v>16641</v>
      </c>
      <c r="X5047">
        <v>12</v>
      </c>
      <c r="Y5047" t="s">
        <v>22310</v>
      </c>
      <c r="Z5047" t="s">
        <v>28109</v>
      </c>
      <c r="AA5047">
        <v>0.90716696950469211</v>
      </c>
      <c r="AB5047" t="str">
        <f>HYPERLINK("Melting_Curves/meltCurve_Q9H6Z4_3_RANBP3.pdf", "Melting_Curves/meltCurve_Q9H6Z4_3_RANBP3.pdf")</f>
        <v>Melting_Curves/meltCurve_Q9H6Z4_3_RANBP3.pdf</v>
      </c>
    </row>
    <row r="5048" spans="1:28" x14ac:dyDescent="0.25">
      <c r="A5048" t="s">
        <v>5052</v>
      </c>
      <c r="B5048">
        <v>0.99996721820229495</v>
      </c>
      <c r="C5048">
        <v>0.976208608587944</v>
      </c>
      <c r="D5048">
        <v>0.94688280242140599</v>
      </c>
      <c r="E5048">
        <v>0.98465813453254902</v>
      </c>
      <c r="F5048">
        <v>1.10076726843454</v>
      </c>
      <c r="G5048">
        <v>1.00499423016315</v>
      </c>
      <c r="H5048">
        <v>0.68182109926389201</v>
      </c>
      <c r="I5048">
        <v>0.553148237799991</v>
      </c>
      <c r="J5048">
        <v>0.41528490652502098</v>
      </c>
      <c r="K5048">
        <v>0.242767346410625</v>
      </c>
      <c r="L5048">
        <v>1479.65754610352</v>
      </c>
      <c r="M5048">
        <v>23.478367302501901</v>
      </c>
      <c r="N5048">
        <v>64.521309319088004</v>
      </c>
      <c r="O5048">
        <v>62.570306382867301</v>
      </c>
      <c r="P5048">
        <v>-7.4088085131707698E-2</v>
      </c>
      <c r="Q5048">
        <v>0.210228904046283</v>
      </c>
      <c r="R5048">
        <v>0.96355683013629601</v>
      </c>
      <c r="S5048" t="s">
        <v>10874</v>
      </c>
      <c r="T5048" t="s">
        <v>11650</v>
      </c>
      <c r="U5048" t="s">
        <v>11650</v>
      </c>
      <c r="V5048" t="s">
        <v>11650</v>
      </c>
      <c r="W5048" t="s">
        <v>16642</v>
      </c>
      <c r="X5048">
        <v>9</v>
      </c>
      <c r="Y5048" t="s">
        <v>22311</v>
      </c>
      <c r="Z5048" t="s">
        <v>28110</v>
      </c>
      <c r="AA5048">
        <v>0.81753922839788407</v>
      </c>
      <c r="AB5048" t="str">
        <f>HYPERLINK("Melting_Curves/meltCurve_Q9H773_DCTPP1.pdf", "Melting_Curves/meltCurve_Q9H773_DCTPP1.pdf")</f>
        <v>Melting_Curves/meltCurve_Q9H773_DCTPP1.pdf</v>
      </c>
    </row>
    <row r="5049" spans="1:28" x14ac:dyDescent="0.25">
      <c r="A5049" t="s">
        <v>5053</v>
      </c>
      <c r="B5049">
        <v>0.99996721820229495</v>
      </c>
      <c r="C5049">
        <v>0.99959250231505403</v>
      </c>
      <c r="D5049">
        <v>0.86684250239296901</v>
      </c>
      <c r="E5049">
        <v>0.50524887158012799</v>
      </c>
      <c r="F5049">
        <v>0.38380611078945798</v>
      </c>
      <c r="G5049">
        <v>0.339593341053534</v>
      </c>
      <c r="H5049">
        <v>0.21837731280040701</v>
      </c>
      <c r="I5049">
        <v>0.155174965760914</v>
      </c>
      <c r="J5049">
        <v>0.12660982871801499</v>
      </c>
      <c r="K5049">
        <v>9.8383515226632606E-2</v>
      </c>
      <c r="L5049">
        <v>786.56873107664103</v>
      </c>
      <c r="M5049">
        <v>15.6854600806818</v>
      </c>
      <c r="N5049">
        <v>51.173312384342204</v>
      </c>
      <c r="O5049">
        <v>49.352520772326699</v>
      </c>
      <c r="P5049">
        <v>-6.8733574239262601E-2</v>
      </c>
      <c r="Q5049">
        <v>0.13502399601718101</v>
      </c>
      <c r="R5049">
        <v>0.98083599749360895</v>
      </c>
      <c r="S5049" t="s">
        <v>10875</v>
      </c>
      <c r="T5049" t="s">
        <v>11650</v>
      </c>
      <c r="U5049" t="s">
        <v>11650</v>
      </c>
      <c r="V5049" t="s">
        <v>11650</v>
      </c>
      <c r="W5049" t="s">
        <v>16643</v>
      </c>
      <c r="X5049">
        <v>10</v>
      </c>
      <c r="Y5049" t="s">
        <v>22312</v>
      </c>
      <c r="Z5049" t="s">
        <v>28111</v>
      </c>
      <c r="AA5049">
        <v>0.44653564259140072</v>
      </c>
      <c r="AB5049" t="str">
        <f>HYPERLINK("Melting_Curves/meltCurve_Q9H788_2_SH2D4A.pdf", "Melting_Curves/meltCurve_Q9H788_2_SH2D4A.pdf")</f>
        <v>Melting_Curves/meltCurve_Q9H788_2_SH2D4A.pdf</v>
      </c>
    </row>
    <row r="5050" spans="1:28" x14ac:dyDescent="0.25">
      <c r="A5050" t="s">
        <v>5054</v>
      </c>
      <c r="B5050">
        <v>0.99996721820229495</v>
      </c>
      <c r="C5050">
        <v>0.898324050535656</v>
      </c>
      <c r="D5050">
        <v>0.77167841999535303</v>
      </c>
      <c r="E5050">
        <v>0.794340598691887</v>
      </c>
      <c r="F5050">
        <v>0.86040270478105996</v>
      </c>
      <c r="G5050">
        <v>0.81198960861789804</v>
      </c>
      <c r="H5050">
        <v>0.62170263650664903</v>
      </c>
      <c r="I5050">
        <v>0.64744910301471503</v>
      </c>
      <c r="J5050">
        <v>0.56146336440563405</v>
      </c>
      <c r="K5050">
        <v>0.46204476376339398</v>
      </c>
      <c r="L5050">
        <v>268.71123100500603</v>
      </c>
      <c r="M5050">
        <v>3.7576377257139799</v>
      </c>
      <c r="O5050">
        <v>57.507906847207899</v>
      </c>
      <c r="P5050">
        <v>-1.6591376362934701E-2</v>
      </c>
      <c r="Q5050">
        <v>0</v>
      </c>
      <c r="R5050">
        <v>0.84694217959259699</v>
      </c>
      <c r="S5050" t="s">
        <v>10876</v>
      </c>
      <c r="T5050" t="s">
        <v>11650</v>
      </c>
      <c r="U5050" t="s">
        <v>11650</v>
      </c>
      <c r="V5050" t="s">
        <v>11650</v>
      </c>
      <c r="W5050" t="s">
        <v>16644</v>
      </c>
      <c r="X5050">
        <v>12</v>
      </c>
      <c r="Y5050" t="s">
        <v>22313</v>
      </c>
      <c r="Z5050" t="s">
        <v>28112</v>
      </c>
      <c r="AA5050">
        <v>0.74916735513070265</v>
      </c>
      <c r="AB5050" t="str">
        <f>HYPERLINK("Melting_Curves/meltCurve_Q9H792_PEAK1.pdf", "Melting_Curves/meltCurve_Q9H792_PEAK1.pdf")</f>
        <v>Melting_Curves/meltCurve_Q9H792_PEAK1.pdf</v>
      </c>
    </row>
    <row r="5051" spans="1:28" x14ac:dyDescent="0.25">
      <c r="A5051" t="s">
        <v>5055</v>
      </c>
      <c r="B5051">
        <v>0.99996721820229495</v>
      </c>
      <c r="C5051">
        <v>0.80825737405666698</v>
      </c>
      <c r="D5051">
        <v>0.39989533406737399</v>
      </c>
      <c r="E5051">
        <v>0.23949423851044599</v>
      </c>
      <c r="F5051">
        <v>0.34406617744778201</v>
      </c>
      <c r="G5051">
        <v>0.202976549168319</v>
      </c>
      <c r="H5051">
        <v>0.12634546509646399</v>
      </c>
      <c r="I5051">
        <v>7.6048726728699903E-2</v>
      </c>
      <c r="J5051">
        <v>5.11261558506068E-2</v>
      </c>
      <c r="K5051">
        <v>4.1756721217328298E-2</v>
      </c>
      <c r="L5051">
        <v>814.66803625845796</v>
      </c>
      <c r="M5051">
        <v>17.970585377141301</v>
      </c>
      <c r="N5051">
        <v>45.990173465294802</v>
      </c>
      <c r="O5051">
        <v>44.783233918760502</v>
      </c>
      <c r="P5051">
        <v>-8.8970902961126294E-2</v>
      </c>
      <c r="Q5051">
        <v>0.113171481184205</v>
      </c>
      <c r="R5051">
        <v>0.93629532459614695</v>
      </c>
      <c r="S5051" t="s">
        <v>10877</v>
      </c>
      <c r="T5051" t="s">
        <v>11650</v>
      </c>
      <c r="U5051" t="s">
        <v>11650</v>
      </c>
      <c r="V5051" t="s">
        <v>11650</v>
      </c>
      <c r="W5051" t="s">
        <v>16645</v>
      </c>
      <c r="X5051">
        <v>2</v>
      </c>
      <c r="Y5051" t="s">
        <v>22314</v>
      </c>
      <c r="Z5051" t="s">
        <v>28113</v>
      </c>
      <c r="AA5051">
        <v>0.28936186023872412</v>
      </c>
      <c r="AB5051" t="str">
        <f>HYPERLINK("Melting_Curves/meltCurve_Q9H7B4_SMYD3.pdf", "Melting_Curves/meltCurve_Q9H7B4_SMYD3.pdf")</f>
        <v>Melting_Curves/meltCurve_Q9H7B4_SMYD3.pdf</v>
      </c>
    </row>
    <row r="5052" spans="1:28" x14ac:dyDescent="0.25">
      <c r="A5052" t="s">
        <v>5056</v>
      </c>
      <c r="B5052">
        <v>0.99996721820229495</v>
      </c>
      <c r="C5052">
        <v>0.99433147939910604</v>
      </c>
      <c r="D5052">
        <v>0.88189447944654098</v>
      </c>
      <c r="E5052">
        <v>0.61301102274063002</v>
      </c>
      <c r="F5052">
        <v>0.48410335141622302</v>
      </c>
      <c r="G5052">
        <v>0.40508331357956701</v>
      </c>
      <c r="H5052">
        <v>0.26733425316645198</v>
      </c>
      <c r="I5052">
        <v>0.20013011225552901</v>
      </c>
      <c r="J5052">
        <v>0.16686531760688</v>
      </c>
      <c r="K5052">
        <v>0.139564868954481</v>
      </c>
      <c r="L5052">
        <v>648.22567883444901</v>
      </c>
      <c r="M5052">
        <v>12.47945024247</v>
      </c>
      <c r="N5052">
        <v>53.209417215866303</v>
      </c>
      <c r="O5052">
        <v>50.663748196644796</v>
      </c>
      <c r="P5052">
        <v>-5.36812457736578E-2</v>
      </c>
      <c r="Q5052">
        <v>0.12844557243412499</v>
      </c>
      <c r="R5052">
        <v>0.98820416038106496</v>
      </c>
      <c r="S5052" t="s">
        <v>10878</v>
      </c>
      <c r="T5052" t="s">
        <v>11650</v>
      </c>
      <c r="U5052" t="s">
        <v>11650</v>
      </c>
      <c r="V5052" t="s">
        <v>11650</v>
      </c>
      <c r="W5052" t="s">
        <v>16646</v>
      </c>
      <c r="X5052">
        <v>22</v>
      </c>
      <c r="Y5052" t="s">
        <v>22315</v>
      </c>
      <c r="Z5052" t="s">
        <v>28114</v>
      </c>
      <c r="AA5052">
        <v>0.50085444655069544</v>
      </c>
      <c r="AB5052" t="str">
        <f>HYPERLINK("Melting_Curves/meltCurve_Q9H7C4_2_SYNC.pdf", "Melting_Curves/meltCurve_Q9H7C4_2_SYNC.pdf")</f>
        <v>Melting_Curves/meltCurve_Q9H7C4_2_SYNC.pdf</v>
      </c>
    </row>
    <row r="5053" spans="1:28" x14ac:dyDescent="0.25">
      <c r="A5053" t="s">
        <v>5057</v>
      </c>
      <c r="B5053">
        <v>0.99996721820229495</v>
      </c>
      <c r="C5053">
        <v>0.92932226609209101</v>
      </c>
      <c r="D5053">
        <v>0.90735377243728199</v>
      </c>
      <c r="E5053">
        <v>0.85645049384400895</v>
      </c>
      <c r="F5053">
        <v>0.979593900179763</v>
      </c>
      <c r="G5053">
        <v>0.915362261492216</v>
      </c>
      <c r="H5053">
        <v>0.61905779226254098</v>
      </c>
      <c r="I5053">
        <v>0.50074158918983502</v>
      </c>
      <c r="J5053">
        <v>0.40902721364896899</v>
      </c>
      <c r="K5053">
        <v>0.31049789526793298</v>
      </c>
      <c r="L5053">
        <v>1173.30756502445</v>
      </c>
      <c r="M5053">
        <v>19.083133405589599</v>
      </c>
      <c r="N5053">
        <v>63.917117390975399</v>
      </c>
      <c r="O5053">
        <v>60.820777767607098</v>
      </c>
      <c r="P5053">
        <v>-5.81904123029389E-2</v>
      </c>
      <c r="Q5053">
        <v>0.25818315226092298</v>
      </c>
      <c r="R5053">
        <v>0.93935900508258297</v>
      </c>
      <c r="S5053" t="s">
        <v>10879</v>
      </c>
      <c r="T5053" t="s">
        <v>11650</v>
      </c>
      <c r="U5053" t="s">
        <v>11650</v>
      </c>
      <c r="V5053" t="s">
        <v>11650</v>
      </c>
      <c r="W5053" t="s">
        <v>16647</v>
      </c>
      <c r="X5053">
        <v>14</v>
      </c>
      <c r="Y5053" t="s">
        <v>22316</v>
      </c>
      <c r="Z5053" t="s">
        <v>28115</v>
      </c>
      <c r="AA5053">
        <v>0.79259757180254475</v>
      </c>
      <c r="AB5053" t="str">
        <f>HYPERLINK("Melting_Curves/meltCurve_Q9H7C9_AAMDC.pdf", "Melting_Curves/meltCurve_Q9H7C9_AAMDC.pdf")</f>
        <v>Melting_Curves/meltCurve_Q9H7C9_AAMDC.pdf</v>
      </c>
    </row>
    <row r="5054" spans="1:28" x14ac:dyDescent="0.25">
      <c r="A5054" t="s">
        <v>5058</v>
      </c>
      <c r="B5054">
        <v>0.99996721820229495</v>
      </c>
      <c r="C5054">
        <v>1.2196756872513901</v>
      </c>
      <c r="D5054">
        <v>1.3248053780762701</v>
      </c>
      <c r="E5054">
        <v>1.6844402719446501</v>
      </c>
      <c r="F5054">
        <v>1.5821005766975</v>
      </c>
      <c r="G5054">
        <v>0.79518385220305798</v>
      </c>
      <c r="H5054">
        <v>0.389548657351109</v>
      </c>
      <c r="I5054">
        <v>0.25349049960875802</v>
      </c>
      <c r="J5054">
        <v>0.18924720632914799</v>
      </c>
      <c r="K5054">
        <v>0.142259262734548</v>
      </c>
      <c r="L5054">
        <v>2466.1226716696601</v>
      </c>
      <c r="M5054">
        <v>41.647929304824601</v>
      </c>
      <c r="N5054">
        <v>59.869915508390598</v>
      </c>
      <c r="O5054">
        <v>59.077544431617099</v>
      </c>
      <c r="P5054">
        <v>-0.14394210327898399</v>
      </c>
      <c r="Q5054">
        <v>0.18327455122431399</v>
      </c>
      <c r="R5054">
        <v>0.68729251167798</v>
      </c>
      <c r="S5054" t="s">
        <v>10880</v>
      </c>
      <c r="T5054" t="s">
        <v>11650</v>
      </c>
      <c r="U5054" t="s">
        <v>11650</v>
      </c>
      <c r="V5054" t="s">
        <v>11650</v>
      </c>
      <c r="W5054" t="s">
        <v>16648</v>
      </c>
      <c r="X5054">
        <v>1</v>
      </c>
      <c r="Y5054" t="s">
        <v>22317</v>
      </c>
      <c r="Z5054" t="s">
        <v>28116</v>
      </c>
      <c r="AA5054">
        <v>0.70933691914895447</v>
      </c>
      <c r="AB5054" t="str">
        <f>HYPERLINK("Melting_Curves/meltCurve_Q9H7D7_2_WDR26.pdf", "Melting_Curves/meltCurve_Q9H7D7_2_WDR26.pdf")</f>
        <v>Melting_Curves/meltCurve_Q9H7D7_2_WDR26.pdf</v>
      </c>
    </row>
    <row r="5055" spans="1:28" x14ac:dyDescent="0.25">
      <c r="A5055" t="s">
        <v>5059</v>
      </c>
      <c r="B5055">
        <v>0.99996721820229495</v>
      </c>
      <c r="C5055">
        <v>0.63355225260154402</v>
      </c>
      <c r="D5055">
        <v>0.75831970957254702</v>
      </c>
      <c r="E5055">
        <v>1.06203929795269</v>
      </c>
      <c r="F5055">
        <v>1.1005895704856801</v>
      </c>
      <c r="G5055">
        <v>0.54799026938684703</v>
      </c>
      <c r="H5055">
        <v>0.30565857684662401</v>
      </c>
      <c r="I5055">
        <v>0.28020186314249801</v>
      </c>
      <c r="J5055">
        <v>0.188733876854764</v>
      </c>
      <c r="K5055">
        <v>0.21657506603987201</v>
      </c>
      <c r="L5055">
        <v>8702.3929411177396</v>
      </c>
      <c r="M5055">
        <v>153.08272187557299</v>
      </c>
      <c r="N5055">
        <v>57.102915928667798</v>
      </c>
      <c r="O5055">
        <v>56.837949008767097</v>
      </c>
      <c r="P5055">
        <v>-0.50648895432145802</v>
      </c>
      <c r="Q5055">
        <v>0.24778465468167701</v>
      </c>
      <c r="R5055">
        <v>0.81374413753540698</v>
      </c>
      <c r="S5055" t="s">
        <v>10881</v>
      </c>
      <c r="T5055" t="s">
        <v>11650</v>
      </c>
      <c r="U5055" t="s">
        <v>11650</v>
      </c>
      <c r="V5055" t="s">
        <v>11650</v>
      </c>
      <c r="W5055" t="s">
        <v>16649</v>
      </c>
      <c r="X5055">
        <v>2</v>
      </c>
      <c r="Y5055" t="s">
        <v>22318</v>
      </c>
      <c r="Z5055" t="s">
        <v>28117</v>
      </c>
      <c r="AA5055">
        <v>0.670420231970975</v>
      </c>
      <c r="AB5055" t="str">
        <f>HYPERLINK("Melting_Curves/meltCurve_Q9H7F0_ATP13A3.pdf", "Melting_Curves/meltCurve_Q9H7F0_ATP13A3.pdf")</f>
        <v>Melting_Curves/meltCurve_Q9H7F0_ATP13A3.pdf</v>
      </c>
    </row>
    <row r="5056" spans="1:28" x14ac:dyDescent="0.25">
      <c r="A5056" t="s">
        <v>5060</v>
      </c>
      <c r="B5056">
        <v>0.99996721820229495</v>
      </c>
      <c r="C5056">
        <v>0.98538257140935503</v>
      </c>
      <c r="D5056">
        <v>1.05264990722776</v>
      </c>
      <c r="E5056">
        <v>1.0508734933067401</v>
      </c>
      <c r="F5056">
        <v>1.8581369119183</v>
      </c>
      <c r="G5056">
        <v>1.6937434246235701</v>
      </c>
      <c r="H5056">
        <v>1.1324282582507701</v>
      </c>
      <c r="I5056">
        <v>0.71259259774428696</v>
      </c>
      <c r="J5056">
        <v>0.482590972673059</v>
      </c>
      <c r="K5056">
        <v>0.44519216172319498</v>
      </c>
      <c r="L5056">
        <v>15000</v>
      </c>
      <c r="M5056">
        <v>234.51955803261299</v>
      </c>
      <c r="N5056">
        <v>64.685369220263794</v>
      </c>
      <c r="O5056">
        <v>63.955898994279501</v>
      </c>
      <c r="P5056">
        <v>-0.491470650175162</v>
      </c>
      <c r="Q5056">
        <v>0.46388356577397599</v>
      </c>
      <c r="R5056">
        <v>0.34026926303391603</v>
      </c>
      <c r="S5056" t="s">
        <v>10882</v>
      </c>
      <c r="T5056" t="s">
        <v>11650</v>
      </c>
      <c r="U5056" t="s">
        <v>11650</v>
      </c>
      <c r="V5056" t="s">
        <v>11650</v>
      </c>
      <c r="W5056" t="s">
        <v>16650</v>
      </c>
      <c r="X5056">
        <v>1</v>
      </c>
      <c r="Y5056" t="s">
        <v>22319</v>
      </c>
      <c r="Z5056" t="s">
        <v>28118</v>
      </c>
      <c r="AA5056">
        <v>0.89214011426652218</v>
      </c>
      <c r="AB5056" t="str">
        <f>HYPERLINK("Melting_Curves/meltCurve_Q9H7F4_TMEM185B.pdf", "Melting_Curves/meltCurve_Q9H7F4_TMEM185B.pdf")</f>
        <v>Melting_Curves/meltCurve_Q9H7F4_TMEM185B.pdf</v>
      </c>
    </row>
    <row r="5057" spans="1:28" x14ac:dyDescent="0.25">
      <c r="A5057" t="s">
        <v>5061</v>
      </c>
      <c r="B5057">
        <v>0.99996721820229495</v>
      </c>
      <c r="C5057">
        <v>0.81307508312981402</v>
      </c>
      <c r="D5057">
        <v>0.52068093617173095</v>
      </c>
      <c r="E5057">
        <v>1.3570305041169299</v>
      </c>
      <c r="F5057">
        <v>1.43091345012564</v>
      </c>
      <c r="G5057">
        <v>0.52157369984365698</v>
      </c>
      <c r="H5057">
        <v>1.2679795055470899</v>
      </c>
      <c r="I5057">
        <v>1.5535986679396201</v>
      </c>
      <c r="J5057">
        <v>1.0550239724525401</v>
      </c>
      <c r="K5057">
        <v>1.32981565094156</v>
      </c>
      <c r="L5057">
        <v>15000</v>
      </c>
      <c r="M5057">
        <v>247.68970266574999</v>
      </c>
      <c r="O5057">
        <v>60.555695060599803</v>
      </c>
      <c r="P5057">
        <v>0.31987235560236099</v>
      </c>
      <c r="Q5057">
        <v>1.3128122421081301</v>
      </c>
      <c r="R5057">
        <v>0.239398816681135</v>
      </c>
      <c r="S5057" t="s">
        <v>10883</v>
      </c>
      <c r="T5057" t="s">
        <v>11650</v>
      </c>
      <c r="U5057" t="s">
        <v>11650</v>
      </c>
      <c r="V5057" t="s">
        <v>11650</v>
      </c>
      <c r="W5057" t="s">
        <v>16651</v>
      </c>
      <c r="X5057">
        <v>4</v>
      </c>
      <c r="Y5057" t="s">
        <v>22320</v>
      </c>
      <c r="Z5057" t="s">
        <v>28119</v>
      </c>
      <c r="AA5057">
        <v>1.098401437343367</v>
      </c>
      <c r="AB5057" t="str">
        <f>HYPERLINK("Melting_Curves/meltCurve_Q9H7M9_C10orf54.pdf", "Melting_Curves/meltCurve_Q9H7M9_C10orf54.pdf")</f>
        <v>Melting_Curves/meltCurve_Q9H7M9_C10orf54.pdf</v>
      </c>
    </row>
    <row r="5058" spans="1:28" x14ac:dyDescent="0.25">
      <c r="A5058" t="s">
        <v>5062</v>
      </c>
      <c r="B5058">
        <v>0.99996721820229495</v>
      </c>
      <c r="C5058">
        <v>0.94128273642946303</v>
      </c>
      <c r="D5058">
        <v>0.97111112775919795</v>
      </c>
      <c r="E5058">
        <v>0.94964863519384402</v>
      </c>
      <c r="F5058">
        <v>1.01357415257526</v>
      </c>
      <c r="G5058">
        <v>0.71661367041495905</v>
      </c>
      <c r="H5058">
        <v>0.323874423675243</v>
      </c>
      <c r="I5058">
        <v>0.14741085353106501</v>
      </c>
      <c r="J5058">
        <v>9.4073019050700604E-2</v>
      </c>
      <c r="K5058">
        <v>7.0877950028420594E-2</v>
      </c>
      <c r="L5058">
        <v>1685.70672807182</v>
      </c>
      <c r="M5058">
        <v>28.650610144938899</v>
      </c>
      <c r="N5058">
        <v>59.124637064816604</v>
      </c>
      <c r="O5058">
        <v>58.552283615987399</v>
      </c>
      <c r="P5058">
        <v>-0.114363955708476</v>
      </c>
      <c r="Q5058">
        <v>6.5120420094477494E-2</v>
      </c>
      <c r="R5058">
        <v>0.99389483909345799</v>
      </c>
      <c r="S5058" t="s">
        <v>10884</v>
      </c>
      <c r="T5058" t="s">
        <v>11650</v>
      </c>
      <c r="U5058" t="s">
        <v>11650</v>
      </c>
      <c r="V5058" t="s">
        <v>11650</v>
      </c>
      <c r="W5058" t="s">
        <v>16652</v>
      </c>
      <c r="X5058">
        <v>11</v>
      </c>
      <c r="Y5058" t="s">
        <v>22321</v>
      </c>
      <c r="Z5058" t="s">
        <v>28120</v>
      </c>
      <c r="AA5058">
        <v>0.65857464502041718</v>
      </c>
      <c r="AB5058" t="str">
        <f>HYPERLINK("Melting_Curves/meltCurve_Q9H7Z7_PTGES2.pdf", "Melting_Curves/meltCurve_Q9H7Z7_PTGES2.pdf")</f>
        <v>Melting_Curves/meltCurve_Q9H7Z7_PTGES2.pdf</v>
      </c>
    </row>
    <row r="5059" spans="1:28" x14ac:dyDescent="0.25">
      <c r="A5059" t="s">
        <v>5063</v>
      </c>
      <c r="B5059">
        <v>0.99996721820229495</v>
      </c>
      <c r="C5059">
        <v>1.0156775954485699</v>
      </c>
      <c r="D5059">
        <v>1.0292622256952799</v>
      </c>
      <c r="E5059">
        <v>1.1142276508217399</v>
      </c>
      <c r="F5059">
        <v>1.11431987555352</v>
      </c>
      <c r="G5059">
        <v>1.0358872239399901</v>
      </c>
      <c r="H5059">
        <v>0.65445066327094703</v>
      </c>
      <c r="I5059">
        <v>0.54425841120402596</v>
      </c>
      <c r="J5059">
        <v>0.44903691796948803</v>
      </c>
      <c r="K5059">
        <v>0.440778479747301</v>
      </c>
      <c r="L5059">
        <v>3664.2525189411199</v>
      </c>
      <c r="M5059">
        <v>60.583955766600198</v>
      </c>
      <c r="N5059">
        <v>63.371922765501502</v>
      </c>
      <c r="O5059">
        <v>60.416431364764897</v>
      </c>
      <c r="P5059">
        <v>-0.133259541944558</v>
      </c>
      <c r="Q5059">
        <v>0.46843596866005</v>
      </c>
      <c r="R5059">
        <v>0.95205725736559199</v>
      </c>
      <c r="S5059" t="s">
        <v>10885</v>
      </c>
      <c r="T5059" t="s">
        <v>11650</v>
      </c>
      <c r="U5059" t="s">
        <v>11650</v>
      </c>
      <c r="V5059" t="s">
        <v>11650</v>
      </c>
      <c r="W5059" t="s">
        <v>16653</v>
      </c>
      <c r="X5059">
        <v>3</v>
      </c>
      <c r="Y5059" t="s">
        <v>22322</v>
      </c>
      <c r="Z5059" t="s">
        <v>28121</v>
      </c>
      <c r="AA5059">
        <v>0.83231414765670109</v>
      </c>
      <c r="AB5059" t="str">
        <f>HYPERLINK("Melting_Curves/meltCurve_Q9H814_PHAX.pdf", "Melting_Curves/meltCurve_Q9H814_PHAX.pdf")</f>
        <v>Melting_Curves/meltCurve_Q9H814_PHAX.pdf</v>
      </c>
    </row>
    <row r="5060" spans="1:28" x14ac:dyDescent="0.25">
      <c r="A5060" t="s">
        <v>5064</v>
      </c>
      <c r="B5060">
        <v>0.99996721820229495</v>
      </c>
      <c r="C5060">
        <v>1.0182270168687599</v>
      </c>
      <c r="D5060">
        <v>0.95653574832803601</v>
      </c>
      <c r="E5060">
        <v>0.85810918626383004</v>
      </c>
      <c r="F5060">
        <v>0.68120207178756897</v>
      </c>
      <c r="G5060">
        <v>0.29925361656814298</v>
      </c>
      <c r="H5060">
        <v>0.17301578418104699</v>
      </c>
      <c r="I5060">
        <v>0.10930304532565099</v>
      </c>
      <c r="J5060">
        <v>8.1751102927142202E-2</v>
      </c>
      <c r="K5060">
        <v>6.8589497588401799E-2</v>
      </c>
      <c r="L5060">
        <v>1136.0218555067299</v>
      </c>
      <c r="M5060">
        <v>20.8882321785835</v>
      </c>
      <c r="N5060">
        <v>54.758619122654999</v>
      </c>
      <c r="O5060">
        <v>53.894633720339897</v>
      </c>
      <c r="P5060">
        <v>-9.0472947115083996E-2</v>
      </c>
      <c r="Q5060">
        <v>6.6292899830052501E-2</v>
      </c>
      <c r="R5060">
        <v>0.99816363915783601</v>
      </c>
      <c r="S5060" t="s">
        <v>10886</v>
      </c>
      <c r="T5060" t="s">
        <v>11650</v>
      </c>
      <c r="U5060" t="s">
        <v>11650</v>
      </c>
      <c r="V5060" t="s">
        <v>11650</v>
      </c>
      <c r="W5060" t="s">
        <v>16654</v>
      </c>
      <c r="X5060">
        <v>20</v>
      </c>
      <c r="Y5060" t="s">
        <v>22323</v>
      </c>
      <c r="Z5060" t="s">
        <v>28122</v>
      </c>
      <c r="AA5060">
        <v>0.52578980108600992</v>
      </c>
      <c r="AB5060" t="str">
        <f>HYPERLINK("Melting_Curves/meltCurve_Q9H832_UBE2Z.pdf", "Melting_Curves/meltCurve_Q9H832_UBE2Z.pdf")</f>
        <v>Melting_Curves/meltCurve_Q9H832_UBE2Z.pdf</v>
      </c>
    </row>
    <row r="5061" spans="1:28" x14ac:dyDescent="0.25">
      <c r="A5061" t="s">
        <v>5065</v>
      </c>
      <c r="B5061">
        <v>0.99996721820229495</v>
      </c>
      <c r="C5061">
        <v>1.26763152863716</v>
      </c>
      <c r="D5061">
        <v>1.1126187230495299</v>
      </c>
      <c r="E5061">
        <v>1.3548576648427</v>
      </c>
      <c r="F5061">
        <v>1.7796144896245201</v>
      </c>
      <c r="G5061">
        <v>1.89205387082175</v>
      </c>
      <c r="H5061">
        <v>1.1085340957196199</v>
      </c>
      <c r="I5061">
        <v>0.65988905626340699</v>
      </c>
      <c r="J5061">
        <v>0.19014443506541501</v>
      </c>
      <c r="K5061">
        <v>0.128316890535182</v>
      </c>
      <c r="L5061">
        <v>8946.1174254615507</v>
      </c>
      <c r="M5061">
        <v>139.390492512148</v>
      </c>
      <c r="N5061">
        <v>64.355474685790497</v>
      </c>
      <c r="O5061">
        <v>64.167046444367998</v>
      </c>
      <c r="P5061">
        <v>-0.45732532012304</v>
      </c>
      <c r="Q5061">
        <v>0.15789909410726699</v>
      </c>
      <c r="R5061">
        <v>0.480470110145166</v>
      </c>
      <c r="S5061" t="s">
        <v>10887</v>
      </c>
      <c r="T5061" t="s">
        <v>11650</v>
      </c>
      <c r="U5061" t="s">
        <v>11650</v>
      </c>
      <c r="V5061" t="s">
        <v>11650</v>
      </c>
      <c r="W5061" t="s">
        <v>16655</v>
      </c>
      <c r="X5061">
        <v>1</v>
      </c>
      <c r="Y5061" t="s">
        <v>22324</v>
      </c>
      <c r="Z5061" t="s">
        <v>28123</v>
      </c>
      <c r="AA5061">
        <v>0.83694470878884342</v>
      </c>
      <c r="AB5061" t="str">
        <f>HYPERLINK("Melting_Curves/meltCurve_Q9H840_GEMIN7.pdf", "Melting_Curves/meltCurve_Q9H840_GEMIN7.pdf")</f>
        <v>Melting_Curves/meltCurve_Q9H840_GEMIN7.pdf</v>
      </c>
    </row>
    <row r="5062" spans="1:28" x14ac:dyDescent="0.25">
      <c r="A5062" t="s">
        <v>5066</v>
      </c>
      <c r="B5062">
        <v>0.99996721820229495</v>
      </c>
      <c r="C5062">
        <v>1.09913858702963</v>
      </c>
      <c r="D5062">
        <v>1.09448905815524</v>
      </c>
      <c r="E5062">
        <v>1.02698824640327</v>
      </c>
      <c r="F5062">
        <v>0.74980409507733803</v>
      </c>
      <c r="G5062">
        <v>0.77826040632643601</v>
      </c>
      <c r="H5062">
        <v>0.37049248060642798</v>
      </c>
      <c r="I5062">
        <v>0.163949264385399</v>
      </c>
      <c r="J5062">
        <v>0.18247239944785101</v>
      </c>
      <c r="K5062">
        <v>8.5397525620414902E-2</v>
      </c>
      <c r="L5062">
        <v>1107.7404409194301</v>
      </c>
      <c r="M5062">
        <v>18.717992926776599</v>
      </c>
      <c r="N5062">
        <v>59.4205248662483</v>
      </c>
      <c r="O5062">
        <v>58.517446666727103</v>
      </c>
      <c r="P5062">
        <v>-7.7059331553870403E-2</v>
      </c>
      <c r="Q5062">
        <v>3.6408506543259202E-2</v>
      </c>
      <c r="R5062">
        <v>0.95998442292462405</v>
      </c>
      <c r="S5062" t="s">
        <v>10888</v>
      </c>
      <c r="T5062" t="s">
        <v>11650</v>
      </c>
      <c r="U5062" t="s">
        <v>11650</v>
      </c>
      <c r="V5062" t="s">
        <v>11650</v>
      </c>
      <c r="W5062" t="s">
        <v>16656</v>
      </c>
      <c r="X5062">
        <v>14</v>
      </c>
      <c r="Y5062" t="s">
        <v>22325</v>
      </c>
      <c r="Z5062" t="s">
        <v>28124</v>
      </c>
      <c r="AA5062">
        <v>0.6622127131672626</v>
      </c>
      <c r="AB5062" t="str">
        <f>HYPERLINK("Melting_Curves/meltCurve_Q9H845_ACAD9.pdf", "Melting_Curves/meltCurve_Q9H845_ACAD9.pdf")</f>
        <v>Melting_Curves/meltCurve_Q9H845_ACAD9.pdf</v>
      </c>
    </row>
    <row r="5063" spans="1:28" x14ac:dyDescent="0.25">
      <c r="A5063" t="s">
        <v>5067</v>
      </c>
      <c r="B5063">
        <v>0.99996721820229495</v>
      </c>
      <c r="C5063">
        <v>0.93167718979921199</v>
      </c>
      <c r="D5063">
        <v>0.98721224167171895</v>
      </c>
      <c r="E5063">
        <v>1.0638767285178601</v>
      </c>
      <c r="F5063">
        <v>0.94871344258210999</v>
      </c>
      <c r="G5063">
        <v>0.73002405767726497</v>
      </c>
      <c r="H5063">
        <v>0.42010122076329998</v>
      </c>
      <c r="I5063">
        <v>0.33175080033659399</v>
      </c>
      <c r="J5063">
        <v>0.22173550512632301</v>
      </c>
      <c r="K5063">
        <v>0.23064370660366901</v>
      </c>
      <c r="L5063">
        <v>1484.2659448499301</v>
      </c>
      <c r="M5063">
        <v>25.346463783980798</v>
      </c>
      <c r="N5063">
        <v>59.904940042833303</v>
      </c>
      <c r="O5063">
        <v>58.198243951342199</v>
      </c>
      <c r="P5063">
        <v>-8.5245342896120999E-2</v>
      </c>
      <c r="Q5063">
        <v>0.21707975510130001</v>
      </c>
      <c r="R5063">
        <v>0.98874545159087002</v>
      </c>
      <c r="S5063" t="s">
        <v>10889</v>
      </c>
      <c r="T5063" t="s">
        <v>11650</v>
      </c>
      <c r="U5063" t="s">
        <v>11650</v>
      </c>
      <c r="V5063" t="s">
        <v>11650</v>
      </c>
      <c r="W5063" t="s">
        <v>16657</v>
      </c>
      <c r="X5063">
        <v>5</v>
      </c>
      <c r="Y5063" t="s">
        <v>22326</v>
      </c>
      <c r="Z5063" t="s">
        <v>28125</v>
      </c>
      <c r="AA5063">
        <v>0.70791740680558357</v>
      </c>
      <c r="AB5063" t="str">
        <f>HYPERLINK("Melting_Curves/meltCurve_Q9H857_2_NT5DC2.pdf", "Melting_Curves/meltCurve_Q9H857_2_NT5DC2.pdf")</f>
        <v>Melting_Curves/meltCurve_Q9H857_2_NT5DC2.pdf</v>
      </c>
    </row>
    <row r="5064" spans="1:28" x14ac:dyDescent="0.25">
      <c r="A5064" t="s">
        <v>5068</v>
      </c>
      <c r="B5064">
        <v>0.99996721820229495</v>
      </c>
      <c r="C5064">
        <v>1.0720574431761001</v>
      </c>
      <c r="D5064">
        <v>1.0259416421257199</v>
      </c>
      <c r="E5064">
        <v>1.08156202294367</v>
      </c>
      <c r="F5064">
        <v>1.5698036761577201</v>
      </c>
      <c r="G5064">
        <v>1.7767040506874101</v>
      </c>
      <c r="H5064">
        <v>1.4598420719140099</v>
      </c>
      <c r="I5064">
        <v>1.4627039774705599</v>
      </c>
      <c r="J5064">
        <v>1.4216372317202199</v>
      </c>
      <c r="K5064">
        <v>1.01729586535016</v>
      </c>
      <c r="L5064">
        <v>12575.5740859127</v>
      </c>
      <c r="M5064">
        <v>250</v>
      </c>
      <c r="O5064">
        <v>50.299077705574803</v>
      </c>
      <c r="P5064">
        <v>0.56080954615183998</v>
      </c>
      <c r="Q5064">
        <v>1.4513312431430301</v>
      </c>
      <c r="R5064">
        <v>0.55619862419913002</v>
      </c>
      <c r="S5064" t="s">
        <v>10890</v>
      </c>
      <c r="T5064" t="s">
        <v>11650</v>
      </c>
      <c r="U5064" t="s">
        <v>11650</v>
      </c>
      <c r="V5064" t="s">
        <v>11650</v>
      </c>
      <c r="W5064" t="s">
        <v>16658</v>
      </c>
      <c r="X5064">
        <v>7</v>
      </c>
      <c r="Y5064" t="s">
        <v>22327</v>
      </c>
      <c r="Z5064" t="s">
        <v>28126</v>
      </c>
      <c r="AA5064">
        <v>1.2962997925347179</v>
      </c>
      <c r="AB5064" t="str">
        <f>HYPERLINK("Melting_Curves/meltCurve_Q9H8G2_CAAP1.pdf", "Melting_Curves/meltCurve_Q9H8G2_CAAP1.pdf")</f>
        <v>Melting_Curves/meltCurve_Q9H8G2_CAAP1.pdf</v>
      </c>
    </row>
    <row r="5065" spans="1:28" x14ac:dyDescent="0.25">
      <c r="A5065" t="s">
        <v>5069</v>
      </c>
      <c r="B5065">
        <v>0.99996721820229495</v>
      </c>
      <c r="C5065">
        <v>1.12763343610281</v>
      </c>
      <c r="D5065">
        <v>1.13190700829331</v>
      </c>
      <c r="E5065">
        <v>1.16057215251743</v>
      </c>
      <c r="F5065">
        <v>1.9398156178580701</v>
      </c>
      <c r="G5065">
        <v>1.09442561926302</v>
      </c>
      <c r="H5065">
        <v>0.496641963574802</v>
      </c>
      <c r="I5065">
        <v>0.25944661662155</v>
      </c>
      <c r="J5065">
        <v>0.15970593078166601</v>
      </c>
      <c r="K5065">
        <v>0.139435446719086</v>
      </c>
      <c r="L5065">
        <v>4634.2098742550397</v>
      </c>
      <c r="M5065">
        <v>76.391186115919893</v>
      </c>
      <c r="N5065">
        <v>61.018772233922398</v>
      </c>
      <c r="O5065">
        <v>60.622662191243599</v>
      </c>
      <c r="P5065">
        <v>-0.25856295218877001</v>
      </c>
      <c r="Q5065">
        <v>0.17923663184865299</v>
      </c>
      <c r="R5065">
        <v>0.67791969111109496</v>
      </c>
      <c r="S5065" t="s">
        <v>10891</v>
      </c>
      <c r="T5065" t="s">
        <v>11650</v>
      </c>
      <c r="U5065" t="s">
        <v>11650</v>
      </c>
      <c r="V5065" t="s">
        <v>11650</v>
      </c>
      <c r="W5065" t="s">
        <v>16659</v>
      </c>
      <c r="X5065">
        <v>3</v>
      </c>
      <c r="Y5065" t="s">
        <v>22328</v>
      </c>
      <c r="Z5065" t="s">
        <v>28127</v>
      </c>
      <c r="AA5065">
        <v>0.74552056908894293</v>
      </c>
      <c r="AB5065" t="str">
        <f>HYPERLINK("Melting_Curves/meltCurve_Q9H8K7_C10orf88.pdf", "Melting_Curves/meltCurve_Q9H8K7_C10orf88.pdf")</f>
        <v>Melting_Curves/meltCurve_Q9H8K7_C10orf88.pdf</v>
      </c>
    </row>
    <row r="5066" spans="1:28" x14ac:dyDescent="0.25">
      <c r="A5066" t="s">
        <v>5070</v>
      </c>
      <c r="B5066">
        <v>0.99996721820229495</v>
      </c>
      <c r="C5066">
        <v>1.05032511013408</v>
      </c>
      <c r="D5066">
        <v>1.02733560363285</v>
      </c>
      <c r="E5066">
        <v>0.927380596934958</v>
      </c>
      <c r="F5066">
        <v>0.83541991830159101</v>
      </c>
      <c r="G5066">
        <v>0.42789777793078099</v>
      </c>
      <c r="H5066">
        <v>0.244069599461294</v>
      </c>
      <c r="I5066">
        <v>0.132146799683654</v>
      </c>
      <c r="J5066">
        <v>8.8631966887660299E-2</v>
      </c>
      <c r="K5066">
        <v>6.8647033090308396E-2</v>
      </c>
      <c r="L5066">
        <v>1258.27042222624</v>
      </c>
      <c r="M5066">
        <v>22.395792492902601</v>
      </c>
      <c r="N5066">
        <v>56.573327435991203</v>
      </c>
      <c r="O5066">
        <v>55.741152309581302</v>
      </c>
      <c r="P5066">
        <v>-9.3263058237428503E-2</v>
      </c>
      <c r="Q5066">
        <v>7.1525293354142802E-2</v>
      </c>
      <c r="R5066">
        <v>0.99529478035623997</v>
      </c>
      <c r="S5066" t="s">
        <v>10892</v>
      </c>
      <c r="T5066" t="s">
        <v>11650</v>
      </c>
      <c r="U5066" t="s">
        <v>11650</v>
      </c>
      <c r="V5066" t="s">
        <v>11650</v>
      </c>
      <c r="W5066" t="s">
        <v>16660</v>
      </c>
      <c r="X5066">
        <v>4</v>
      </c>
      <c r="Y5066" t="s">
        <v>22329</v>
      </c>
      <c r="Z5066" t="s">
        <v>28128</v>
      </c>
      <c r="AA5066">
        <v>0.58249466229045821</v>
      </c>
      <c r="AB5066" t="str">
        <f>HYPERLINK("Melting_Curves/meltCurve_Q9H8M7_FAM188A.pdf", "Melting_Curves/meltCurve_Q9H8M7_FAM188A.pdf")</f>
        <v>Melting_Curves/meltCurve_Q9H8M7_FAM188A.pdf</v>
      </c>
    </row>
    <row r="5067" spans="1:28" x14ac:dyDescent="0.25">
      <c r="A5067" t="s">
        <v>5071</v>
      </c>
      <c r="B5067">
        <v>0.99996721820229495</v>
      </c>
      <c r="C5067">
        <v>1.1699088999611</v>
      </c>
      <c r="D5067">
        <v>1.06789814323927</v>
      </c>
      <c r="E5067">
        <v>1.1033273621003801</v>
      </c>
      <c r="F5067">
        <v>1.3101230724159001</v>
      </c>
      <c r="G5067">
        <v>1.0309932765818901</v>
      </c>
      <c r="H5067">
        <v>0.36749053182747599</v>
      </c>
      <c r="I5067">
        <v>0.206302241767612</v>
      </c>
      <c r="J5067">
        <v>0.17248505271769299</v>
      </c>
      <c r="K5067">
        <v>0.15537085398602801</v>
      </c>
      <c r="L5067">
        <v>7677.1199885336</v>
      </c>
      <c r="M5067">
        <v>127.05708832233201</v>
      </c>
      <c r="N5067">
        <v>60.632260157200001</v>
      </c>
      <c r="O5067">
        <v>60.407637937365401</v>
      </c>
      <c r="P5067">
        <v>-0.432355680557447</v>
      </c>
      <c r="Q5067">
        <v>0.17776851001351801</v>
      </c>
      <c r="R5067">
        <v>0.92817577917635596</v>
      </c>
      <c r="S5067" t="s">
        <v>10893</v>
      </c>
      <c r="T5067" t="s">
        <v>11650</v>
      </c>
      <c r="U5067" t="s">
        <v>11650</v>
      </c>
      <c r="V5067" t="s">
        <v>11650</v>
      </c>
      <c r="W5067" t="s">
        <v>16661</v>
      </c>
      <c r="X5067">
        <v>6</v>
      </c>
      <c r="Y5067" t="s">
        <v>22330</v>
      </c>
      <c r="Z5067" t="s">
        <v>28129</v>
      </c>
      <c r="AA5067">
        <v>0.73784318878972999</v>
      </c>
      <c r="AB5067" t="str">
        <f>HYPERLINK("Melting_Curves/meltCurve_Q9H8S9_MOB1A.pdf", "Melting_Curves/meltCurve_Q9H8S9_MOB1A.pdf")</f>
        <v>Melting_Curves/meltCurve_Q9H8S9_MOB1A.pdf</v>
      </c>
    </row>
    <row r="5068" spans="1:28" x14ac:dyDescent="0.25">
      <c r="A5068" t="s">
        <v>5072</v>
      </c>
      <c r="B5068">
        <v>0.99996721820229495</v>
      </c>
      <c r="C5068">
        <v>0.95753436023557903</v>
      </c>
      <c r="D5068">
        <v>0.87781097725453305</v>
      </c>
      <c r="E5068">
        <v>0.91739720051698004</v>
      </c>
      <c r="F5068">
        <v>1.0518969710684201</v>
      </c>
      <c r="G5068">
        <v>1.0193918055653699</v>
      </c>
      <c r="H5068">
        <v>0.66521553858946303</v>
      </c>
      <c r="I5068">
        <v>0.58550162650739401</v>
      </c>
      <c r="J5068">
        <v>0.53987288152419899</v>
      </c>
      <c r="K5068">
        <v>0.36388309073105102</v>
      </c>
      <c r="L5068">
        <v>1880.81678578932</v>
      </c>
      <c r="M5068">
        <v>30.7361044143397</v>
      </c>
      <c r="N5068">
        <v>65.362757771876105</v>
      </c>
      <c r="O5068">
        <v>60.935143625194101</v>
      </c>
      <c r="P5068">
        <v>-7.1923193747178496E-2</v>
      </c>
      <c r="Q5068">
        <v>0.42964480253374598</v>
      </c>
      <c r="R5068">
        <v>0.90569145062048795</v>
      </c>
      <c r="S5068" t="s">
        <v>10894</v>
      </c>
      <c r="T5068" t="s">
        <v>11650</v>
      </c>
      <c r="U5068" t="s">
        <v>11650</v>
      </c>
      <c r="V5068" t="s">
        <v>11650</v>
      </c>
      <c r="W5068" t="s">
        <v>16662</v>
      </c>
      <c r="X5068">
        <v>6</v>
      </c>
      <c r="Y5068" t="s">
        <v>22331</v>
      </c>
      <c r="Z5068" t="s">
        <v>28130</v>
      </c>
      <c r="AA5068">
        <v>0.83555239709783335</v>
      </c>
      <c r="AB5068" t="str">
        <f>HYPERLINK("Melting_Curves/meltCurve_Q9H8U3_ZFAND3.pdf", "Melting_Curves/meltCurve_Q9H8U3_ZFAND3.pdf")</f>
        <v>Melting_Curves/meltCurve_Q9H8U3_ZFAND3.pdf</v>
      </c>
    </row>
    <row r="5069" spans="1:28" x14ac:dyDescent="0.25">
      <c r="A5069" t="s">
        <v>5073</v>
      </c>
      <c r="B5069">
        <v>0.99996721820229495</v>
      </c>
      <c r="C5069">
        <v>0.99486844380682005</v>
      </c>
      <c r="D5069">
        <v>0.84914441700295795</v>
      </c>
      <c r="E5069">
        <v>0.43892725322034198</v>
      </c>
      <c r="F5069">
        <v>0.279684702032792</v>
      </c>
      <c r="G5069">
        <v>0.21231605602345899</v>
      </c>
      <c r="H5069">
        <v>0.12377643011270301</v>
      </c>
      <c r="I5069">
        <v>8.1605027404651295E-2</v>
      </c>
      <c r="J5069">
        <v>5.17026475888549E-2</v>
      </c>
      <c r="K5069">
        <v>4.6201594930107802E-2</v>
      </c>
      <c r="L5069">
        <v>972.55764817572799</v>
      </c>
      <c r="M5069">
        <v>19.686685608705101</v>
      </c>
      <c r="N5069">
        <v>49.838606315423696</v>
      </c>
      <c r="O5069">
        <v>48.900532303198503</v>
      </c>
      <c r="P5069">
        <v>-9.2674663651038602E-2</v>
      </c>
      <c r="Q5069">
        <v>7.9238991258443497E-2</v>
      </c>
      <c r="R5069">
        <v>0.99108433565006904</v>
      </c>
      <c r="S5069" t="s">
        <v>10895</v>
      </c>
      <c r="T5069" t="s">
        <v>11650</v>
      </c>
      <c r="U5069" t="s">
        <v>11650</v>
      </c>
      <c r="V5069" t="s">
        <v>11650</v>
      </c>
      <c r="W5069" t="s">
        <v>16663</v>
      </c>
      <c r="X5069">
        <v>7</v>
      </c>
      <c r="Y5069" t="s">
        <v>22332</v>
      </c>
      <c r="Z5069" t="s">
        <v>28131</v>
      </c>
      <c r="AA5069">
        <v>0.38106808831071548</v>
      </c>
      <c r="AB5069" t="str">
        <f>HYPERLINK("Melting_Curves/meltCurve_Q9H8W4_PLEKHF2.pdf", "Melting_Curves/meltCurve_Q9H8W4_PLEKHF2.pdf")</f>
        <v>Melting_Curves/meltCurve_Q9H8W4_PLEKHF2.pdf</v>
      </c>
    </row>
    <row r="5070" spans="1:28" x14ac:dyDescent="0.25">
      <c r="A5070" t="s">
        <v>5074</v>
      </c>
      <c r="B5070">
        <v>0.99996721820229495</v>
      </c>
      <c r="C5070">
        <v>1.0460192621917701</v>
      </c>
      <c r="D5070">
        <v>0.920859642420091</v>
      </c>
      <c r="E5070">
        <v>0.50249628508030497</v>
      </c>
      <c r="F5070">
        <v>0.28047808320524098</v>
      </c>
      <c r="G5070">
        <v>0.24861500462670499</v>
      </c>
      <c r="H5070">
        <v>0.14846417048546301</v>
      </c>
      <c r="I5070">
        <v>0.113061557052201</v>
      </c>
      <c r="J5070">
        <v>7.6565487698370793E-2</v>
      </c>
      <c r="K5070">
        <v>6.2591796302083905E-2</v>
      </c>
      <c r="L5070">
        <v>1190.0218006212301</v>
      </c>
      <c r="M5070">
        <v>23.8973004103863</v>
      </c>
      <c r="N5070">
        <v>50.343372235234803</v>
      </c>
      <c r="O5070">
        <v>49.452556755601996</v>
      </c>
      <c r="P5070">
        <v>-0.107019121747947</v>
      </c>
      <c r="Q5070">
        <v>0.114162030712033</v>
      </c>
      <c r="R5070">
        <v>0.98635151573774804</v>
      </c>
      <c r="S5070" t="s">
        <v>10896</v>
      </c>
      <c r="T5070" t="s">
        <v>11650</v>
      </c>
      <c r="U5070" t="s">
        <v>11650</v>
      </c>
      <c r="V5070" t="s">
        <v>11650</v>
      </c>
      <c r="W5070" t="s">
        <v>16664</v>
      </c>
      <c r="X5070">
        <v>13</v>
      </c>
      <c r="Y5070" t="s">
        <v>22333</v>
      </c>
      <c r="Z5070" t="s">
        <v>28132</v>
      </c>
      <c r="AA5070">
        <v>0.4121112925899767</v>
      </c>
      <c r="AB5070" t="str">
        <f>HYPERLINK("Melting_Curves/meltCurve_Q9H8Y8_GORASP2.pdf", "Melting_Curves/meltCurve_Q9H8Y8_GORASP2.pdf")</f>
        <v>Melting_Curves/meltCurve_Q9H8Y8_GORASP2.pdf</v>
      </c>
    </row>
    <row r="5071" spans="1:28" x14ac:dyDescent="0.25">
      <c r="A5071" t="s">
        <v>5075</v>
      </c>
      <c r="B5071">
        <v>0.99996721820229495</v>
      </c>
      <c r="C5071">
        <v>0.98391700311456898</v>
      </c>
      <c r="D5071">
        <v>1.02780096022915</v>
      </c>
      <c r="E5071">
        <v>1.2313300835504</v>
      </c>
      <c r="F5071">
        <v>1.3160374580637499</v>
      </c>
      <c r="G5071">
        <v>1.3946296064174399</v>
      </c>
      <c r="H5071">
        <v>0.91073459152146097</v>
      </c>
      <c r="I5071">
        <v>0.37442902382588999</v>
      </c>
      <c r="J5071">
        <v>9.8100927249571104E-2</v>
      </c>
      <c r="K5071">
        <v>6.4071115953167404E-2</v>
      </c>
      <c r="L5071">
        <v>4030.6039172307201</v>
      </c>
      <c r="M5071">
        <v>63.695780800524098</v>
      </c>
      <c r="N5071">
        <v>63.422325506528999</v>
      </c>
      <c r="O5071">
        <v>63.216692884091003</v>
      </c>
      <c r="P5071">
        <v>-0.23500647550732701</v>
      </c>
      <c r="Q5071">
        <v>6.7044806702786494E-2</v>
      </c>
      <c r="R5071">
        <v>0.85490028688873998</v>
      </c>
      <c r="S5071" t="s">
        <v>10897</v>
      </c>
      <c r="T5071" t="s">
        <v>11650</v>
      </c>
      <c r="U5071" t="s">
        <v>11650</v>
      </c>
      <c r="V5071" t="s">
        <v>11650</v>
      </c>
      <c r="W5071" t="s">
        <v>16665</v>
      </c>
      <c r="X5071">
        <v>6</v>
      </c>
      <c r="Y5071" t="s">
        <v>22334</v>
      </c>
      <c r="Z5071" t="s">
        <v>28133</v>
      </c>
      <c r="AA5071">
        <v>0.79250101148506502</v>
      </c>
      <c r="AB5071" t="str">
        <f>HYPERLINK("Melting_Curves/meltCurve_Q9H936_SLC25A22.pdf", "Melting_Curves/meltCurve_Q9H936_SLC25A22.pdf")</f>
        <v>Melting_Curves/meltCurve_Q9H936_SLC25A22.pdf</v>
      </c>
    </row>
    <row r="5072" spans="1:28" x14ac:dyDescent="0.25">
      <c r="A5072" t="s">
        <v>5076</v>
      </c>
      <c r="B5072">
        <v>0.99996721820229495</v>
      </c>
      <c r="C5072">
        <v>0.99970053439407702</v>
      </c>
      <c r="D5072">
        <v>0.60306108801005498</v>
      </c>
      <c r="E5072">
        <v>0.52966042558486004</v>
      </c>
      <c r="F5072">
        <v>0.283151946402174</v>
      </c>
      <c r="G5072">
        <v>0.24627350762026701</v>
      </c>
      <c r="H5072">
        <v>0.15742507401763001</v>
      </c>
      <c r="I5072">
        <v>0.105565499409099</v>
      </c>
      <c r="J5072">
        <v>7.0854227363397901E-2</v>
      </c>
      <c r="K5072">
        <v>7.0384609753990093E-2</v>
      </c>
      <c r="L5072">
        <v>663.50846845758804</v>
      </c>
      <c r="M5072">
        <v>13.5283045703772</v>
      </c>
      <c r="N5072">
        <v>49.6238666780175</v>
      </c>
      <c r="O5072">
        <v>48.011492385970698</v>
      </c>
      <c r="P5072">
        <v>-6.53188233153216E-2</v>
      </c>
      <c r="Q5072">
        <v>7.2883573987836403E-2</v>
      </c>
      <c r="R5072">
        <v>0.96592090682146603</v>
      </c>
      <c r="S5072" t="s">
        <v>10898</v>
      </c>
      <c r="T5072" t="s">
        <v>11650</v>
      </c>
      <c r="U5072" t="s">
        <v>11650</v>
      </c>
      <c r="V5072" t="s">
        <v>11650</v>
      </c>
      <c r="W5072" t="s">
        <v>16666</v>
      </c>
      <c r="X5072">
        <v>5</v>
      </c>
      <c r="Y5072" t="s">
        <v>22335</v>
      </c>
      <c r="Z5072" t="s">
        <v>28134</v>
      </c>
      <c r="AA5072">
        <v>0.38004236580365558</v>
      </c>
      <c r="AB5072" t="str">
        <f>HYPERLINK("Melting_Curves/meltCurve_Q9H939_PSTPIP2.pdf", "Melting_Curves/meltCurve_Q9H939_PSTPIP2.pdf")</f>
        <v>Melting_Curves/meltCurve_Q9H939_PSTPIP2.pdf</v>
      </c>
    </row>
    <row r="5073" spans="1:28" x14ac:dyDescent="0.25">
      <c r="A5073" t="s">
        <v>5077</v>
      </c>
      <c r="B5073">
        <v>0.99996721820229495</v>
      </c>
      <c r="C5073">
        <v>1.0469801636354099</v>
      </c>
      <c r="D5073">
        <v>1.0733758990567499</v>
      </c>
      <c r="E5073">
        <v>0.972924730465488</v>
      </c>
      <c r="F5073">
        <v>0.950741901707016</v>
      </c>
      <c r="G5073">
        <v>0.72146134620023195</v>
      </c>
      <c r="H5073">
        <v>0.27416845479227703</v>
      </c>
      <c r="I5073">
        <v>0.181767531490935</v>
      </c>
      <c r="J5073">
        <v>0.115150107089962</v>
      </c>
      <c r="K5073">
        <v>0.100682362945846</v>
      </c>
      <c r="L5073">
        <v>1806.4748331831099</v>
      </c>
      <c r="M5073">
        <v>30.943381461043501</v>
      </c>
      <c r="N5073">
        <v>58.817558723107297</v>
      </c>
      <c r="O5073">
        <v>58.1378059004468</v>
      </c>
      <c r="P5073">
        <v>-0.11938131649172699</v>
      </c>
      <c r="Q5073">
        <v>0.10280940505773301</v>
      </c>
      <c r="R5073">
        <v>0.99425380425306198</v>
      </c>
      <c r="S5073" t="s">
        <v>10899</v>
      </c>
      <c r="T5073" t="s">
        <v>11650</v>
      </c>
      <c r="U5073" t="s">
        <v>11650</v>
      </c>
      <c r="V5073" t="s">
        <v>11650</v>
      </c>
      <c r="W5073" t="s">
        <v>16667</v>
      </c>
      <c r="X5073">
        <v>8</v>
      </c>
      <c r="Y5073" t="s">
        <v>22336</v>
      </c>
      <c r="Z5073" t="s">
        <v>28135</v>
      </c>
      <c r="AA5073">
        <v>0.65805944656324067</v>
      </c>
      <c r="AB5073" t="str">
        <f>HYPERLINK("Melting_Curves/meltCurve_Q9H944_MED20.pdf", "Melting_Curves/meltCurve_Q9H944_MED20.pdf")</f>
        <v>Melting_Curves/meltCurve_Q9H944_MED20.pdf</v>
      </c>
    </row>
    <row r="5074" spans="1:28" x14ac:dyDescent="0.25">
      <c r="A5074" t="s">
        <v>5078</v>
      </c>
      <c r="B5074">
        <v>0.99996721820229495</v>
      </c>
      <c r="C5074">
        <v>1.05320610263854</v>
      </c>
      <c r="D5074">
        <v>1.0891560653507599</v>
      </c>
      <c r="E5074">
        <v>1.2251241681637399</v>
      </c>
      <c r="F5074">
        <v>1.6670210715271701</v>
      </c>
      <c r="G5074">
        <v>1.9311884345317301</v>
      </c>
      <c r="H5074">
        <v>1.2474905052705301</v>
      </c>
      <c r="I5074">
        <v>0.72537367497259997</v>
      </c>
      <c r="J5074">
        <v>0.46533281715488301</v>
      </c>
      <c r="K5074">
        <v>0.43623309430185397</v>
      </c>
      <c r="L5074">
        <v>15000</v>
      </c>
      <c r="M5074">
        <v>234.375012412101</v>
      </c>
      <c r="N5074">
        <v>64.639342043736207</v>
      </c>
      <c r="O5074">
        <v>63.995337015835503</v>
      </c>
      <c r="P5074">
        <v>-0.50286853728413405</v>
      </c>
      <c r="Q5074">
        <v>0.45077350966312202</v>
      </c>
      <c r="R5074">
        <v>0.29761868122508101</v>
      </c>
      <c r="S5074" t="s">
        <v>10900</v>
      </c>
      <c r="T5074" t="s">
        <v>11650</v>
      </c>
      <c r="U5074" t="s">
        <v>11650</v>
      </c>
      <c r="V5074" t="s">
        <v>11650</v>
      </c>
      <c r="W5074" t="s">
        <v>16668</v>
      </c>
      <c r="X5074">
        <v>12</v>
      </c>
      <c r="Y5074" t="s">
        <v>22337</v>
      </c>
      <c r="Z5074" t="s">
        <v>28136</v>
      </c>
      <c r="AA5074">
        <v>0.89022482988621132</v>
      </c>
      <c r="AB5074" t="str">
        <f>HYPERLINK("Melting_Curves/meltCurve_Q9H974_QTRTD1.pdf", "Melting_Curves/meltCurve_Q9H974_QTRTD1.pdf")</f>
        <v>Melting_Curves/meltCurve_Q9H974_QTRTD1.pdf</v>
      </c>
    </row>
    <row r="5075" spans="1:28" x14ac:dyDescent="0.25">
      <c r="A5075" t="s">
        <v>5079</v>
      </c>
      <c r="B5075">
        <v>0.99996721820229495</v>
      </c>
      <c r="C5075">
        <v>1.2423279909274101</v>
      </c>
      <c r="D5075">
        <v>1.2568396675770099</v>
      </c>
      <c r="E5075">
        <v>1.2781264646214301</v>
      </c>
      <c r="F5075">
        <v>1.0237853697377599</v>
      </c>
      <c r="G5075">
        <v>0.54565657442976401</v>
      </c>
      <c r="H5075">
        <v>0.25004357867214</v>
      </c>
      <c r="I5075">
        <v>0.184061989121586</v>
      </c>
      <c r="J5075">
        <v>9.9367154904723407E-2</v>
      </c>
      <c r="K5075">
        <v>9.1898623280530903E-2</v>
      </c>
      <c r="L5075">
        <v>2459.2560065428202</v>
      </c>
      <c r="M5075">
        <v>43.138603471307299</v>
      </c>
      <c r="N5075">
        <v>57.440291914442703</v>
      </c>
      <c r="O5075">
        <v>56.886147509843902</v>
      </c>
      <c r="P5075">
        <v>-0.16331722225216899</v>
      </c>
      <c r="Q5075">
        <v>0.13854672596922099</v>
      </c>
      <c r="R5075">
        <v>0.90825204893854095</v>
      </c>
      <c r="S5075" t="s">
        <v>10901</v>
      </c>
      <c r="T5075" t="s">
        <v>11650</v>
      </c>
      <c r="U5075" t="s">
        <v>11650</v>
      </c>
      <c r="V5075" t="s">
        <v>11650</v>
      </c>
      <c r="W5075" t="s">
        <v>16669</v>
      </c>
      <c r="X5075">
        <v>5</v>
      </c>
      <c r="Y5075" t="s">
        <v>22338</v>
      </c>
      <c r="Z5075" t="s">
        <v>28137</v>
      </c>
      <c r="AA5075">
        <v>0.62983586542998615</v>
      </c>
      <c r="AB5075" t="str">
        <f>HYPERLINK("Melting_Curves/meltCurve_Q9H977_WDR54.pdf", "Melting_Curves/meltCurve_Q9H977_WDR54.pdf")</f>
        <v>Melting_Curves/meltCurve_Q9H977_WDR54.pdf</v>
      </c>
    </row>
    <row r="5076" spans="1:28" x14ac:dyDescent="0.25">
      <c r="A5076" t="s">
        <v>5080</v>
      </c>
      <c r="B5076">
        <v>0.99996721820229495</v>
      </c>
      <c r="C5076">
        <v>1.0607050607659501</v>
      </c>
      <c r="D5076">
        <v>0.89608344377846205</v>
      </c>
      <c r="E5076">
        <v>0.38594259061963598</v>
      </c>
      <c r="F5076">
        <v>0.432362742814342</v>
      </c>
      <c r="G5076">
        <v>0.30309230993480901</v>
      </c>
      <c r="H5076">
        <v>0.16428833344584401</v>
      </c>
      <c r="I5076">
        <v>0.11300895014439701</v>
      </c>
      <c r="J5076">
        <v>9.8714288671379505E-2</v>
      </c>
      <c r="K5076">
        <v>6.6405049613505407E-2</v>
      </c>
      <c r="L5076">
        <v>862.73813454245305</v>
      </c>
      <c r="M5076">
        <v>17.295242916833899</v>
      </c>
      <c r="N5076">
        <v>50.639032418819497</v>
      </c>
      <c r="O5076">
        <v>49.230417178872102</v>
      </c>
      <c r="P5076">
        <v>-7.7838689232881605E-2</v>
      </c>
      <c r="Q5076">
        <v>0.11378871537879701</v>
      </c>
      <c r="R5076">
        <v>0.95372809586514096</v>
      </c>
      <c r="S5076" t="s">
        <v>10902</v>
      </c>
      <c r="T5076" t="s">
        <v>11650</v>
      </c>
      <c r="U5076" t="s">
        <v>11650</v>
      </c>
      <c r="V5076" t="s">
        <v>11650</v>
      </c>
      <c r="W5076" t="s">
        <v>16670</v>
      </c>
      <c r="X5076">
        <v>7</v>
      </c>
      <c r="Y5076" t="s">
        <v>22339</v>
      </c>
      <c r="Z5076" t="s">
        <v>28138</v>
      </c>
      <c r="AA5076">
        <v>0.4220643737994566</v>
      </c>
      <c r="AB5076" t="str">
        <f>HYPERLINK("Melting_Curves/meltCurve_Q9H993_C6orf211.pdf", "Melting_Curves/meltCurve_Q9H993_C6orf211.pdf")</f>
        <v>Melting_Curves/meltCurve_Q9H993_C6orf211.pdf</v>
      </c>
    </row>
    <row r="5077" spans="1:28" x14ac:dyDescent="0.25">
      <c r="A5077" t="s">
        <v>5081</v>
      </c>
      <c r="B5077">
        <v>0.99996721820229495</v>
      </c>
      <c r="C5077">
        <v>0.95279014566866904</v>
      </c>
      <c r="D5077">
        <v>0.96916758024146199</v>
      </c>
      <c r="E5077">
        <v>0.868462169997266</v>
      </c>
      <c r="F5077">
        <v>0.56451824954725605</v>
      </c>
      <c r="G5077">
        <v>0.29836272732577701</v>
      </c>
      <c r="H5077">
        <v>0.14177650565289199</v>
      </c>
      <c r="I5077">
        <v>0.103188501856308</v>
      </c>
      <c r="J5077">
        <v>4.5679352640523502E-2</v>
      </c>
      <c r="K5077">
        <v>6.0365369796840901E-2</v>
      </c>
      <c r="L5077">
        <v>1079.3995479574501</v>
      </c>
      <c r="M5077">
        <v>20.055089719358602</v>
      </c>
      <c r="N5077">
        <v>54.114222508301303</v>
      </c>
      <c r="O5077">
        <v>53.295167854546399</v>
      </c>
      <c r="P5077">
        <v>-8.9246190773090206E-2</v>
      </c>
      <c r="Q5077">
        <v>5.1365485855375599E-2</v>
      </c>
      <c r="R5077">
        <v>0.99657421766249299</v>
      </c>
      <c r="S5077" t="s">
        <v>10903</v>
      </c>
      <c r="T5077" t="s">
        <v>11650</v>
      </c>
      <c r="U5077" t="s">
        <v>11650</v>
      </c>
      <c r="V5077" t="s">
        <v>11650</v>
      </c>
      <c r="W5077" t="s">
        <v>16671</v>
      </c>
      <c r="X5077">
        <v>6</v>
      </c>
      <c r="Y5077" t="s">
        <v>22340</v>
      </c>
      <c r="Z5077" t="s">
        <v>28139</v>
      </c>
      <c r="AA5077">
        <v>0.50129415411666123</v>
      </c>
      <c r="AB5077" t="str">
        <f>HYPERLINK("Melting_Curves/meltCurve_Q9H999_PANK3.pdf", "Melting_Curves/meltCurve_Q9H999_PANK3.pdf")</f>
        <v>Melting_Curves/meltCurve_Q9H999_PANK3.pdf</v>
      </c>
    </row>
    <row r="5078" spans="1:28" x14ac:dyDescent="0.25">
      <c r="A5078" t="s">
        <v>5082</v>
      </c>
      <c r="B5078">
        <v>0.99996721820229495</v>
      </c>
      <c r="C5078">
        <v>1.01072306710896</v>
      </c>
      <c r="D5078">
        <v>0.89787723302189604</v>
      </c>
      <c r="E5078">
        <v>0.41988811562495798</v>
      </c>
      <c r="F5078">
        <v>0.241615454259863</v>
      </c>
      <c r="G5078">
        <v>0.182891000603946</v>
      </c>
      <c r="H5078">
        <v>0.10301148587140301</v>
      </c>
      <c r="I5078">
        <v>6.1366467770346898E-2</v>
      </c>
      <c r="J5078">
        <v>4.5695869096858098E-2</v>
      </c>
      <c r="K5078">
        <v>3.2129304542411599E-2</v>
      </c>
      <c r="L5078">
        <v>1207.2813958858501</v>
      </c>
      <c r="M5078">
        <v>24.4719006727702</v>
      </c>
      <c r="N5078">
        <v>49.663319968870397</v>
      </c>
      <c r="O5078">
        <v>49.007467496310603</v>
      </c>
      <c r="P5078">
        <v>-0.11547307585197999</v>
      </c>
      <c r="Q5078">
        <v>7.5026906869760907E-2</v>
      </c>
      <c r="R5078">
        <v>0.99101638270260906</v>
      </c>
      <c r="S5078" t="s">
        <v>10904</v>
      </c>
      <c r="T5078" t="s">
        <v>11650</v>
      </c>
      <c r="U5078" t="s">
        <v>11650</v>
      </c>
      <c r="V5078" t="s">
        <v>11650</v>
      </c>
      <c r="W5078" t="s">
        <v>16672</v>
      </c>
      <c r="X5078">
        <v>24</v>
      </c>
      <c r="Y5078" t="s">
        <v>22341</v>
      </c>
      <c r="Z5078" t="s">
        <v>28140</v>
      </c>
      <c r="AA5078">
        <v>0.37138021136852029</v>
      </c>
      <c r="AB5078" t="str">
        <f>HYPERLINK("Melting_Curves/meltCurve_Q9H9A6_LRRC40.pdf", "Melting_Curves/meltCurve_Q9H9A6_LRRC40.pdf")</f>
        <v>Melting_Curves/meltCurve_Q9H9A6_LRRC40.pdf</v>
      </c>
    </row>
    <row r="5079" spans="1:28" x14ac:dyDescent="0.25">
      <c r="A5079" t="s">
        <v>5083</v>
      </c>
      <c r="B5079">
        <v>0.99996721820229495</v>
      </c>
      <c r="C5079">
        <v>0.74177124955255802</v>
      </c>
      <c r="D5079">
        <v>0.94307315775329403</v>
      </c>
      <c r="E5079">
        <v>1.1351375074833601</v>
      </c>
      <c r="F5079">
        <v>1.6525360635134401</v>
      </c>
      <c r="G5079">
        <v>0.92710023215464299</v>
      </c>
      <c r="H5079">
        <v>0.44272802364638603</v>
      </c>
      <c r="I5079">
        <v>0.25758526110045599</v>
      </c>
      <c r="J5079">
        <v>0.17979308035974501</v>
      </c>
      <c r="K5079">
        <v>0.13505158775013201</v>
      </c>
      <c r="L5079">
        <v>2842.65635846035</v>
      </c>
      <c r="M5079">
        <v>47.261703912567</v>
      </c>
      <c r="N5079">
        <v>60.681110366315899</v>
      </c>
      <c r="O5079">
        <v>60.0397519820282</v>
      </c>
      <c r="P5079">
        <v>-0.16331473311838299</v>
      </c>
      <c r="Q5079">
        <v>0.170121711364281</v>
      </c>
      <c r="R5079">
        <v>0.75661389673151402</v>
      </c>
      <c r="S5079" t="s">
        <v>10905</v>
      </c>
      <c r="T5079" t="s">
        <v>11650</v>
      </c>
      <c r="U5079" t="s">
        <v>11650</v>
      </c>
      <c r="V5079" t="s">
        <v>11650</v>
      </c>
      <c r="W5079" t="s">
        <v>16673</v>
      </c>
      <c r="X5079">
        <v>11</v>
      </c>
      <c r="Y5079" t="s">
        <v>22342</v>
      </c>
      <c r="Z5079" t="s">
        <v>28141</v>
      </c>
      <c r="AA5079">
        <v>0.72984535268256101</v>
      </c>
      <c r="AB5079" t="str">
        <f>HYPERLINK("Melting_Curves/meltCurve_Q9H9B4_SFXN1.pdf", "Melting_Curves/meltCurve_Q9H9B4_SFXN1.pdf")</f>
        <v>Melting_Curves/meltCurve_Q9H9B4_SFXN1.pdf</v>
      </c>
    </row>
    <row r="5080" spans="1:28" x14ac:dyDescent="0.25">
      <c r="A5080" t="s">
        <v>5084</v>
      </c>
      <c r="B5080">
        <v>0.99996721820229495</v>
      </c>
      <c r="C5080">
        <v>0.98021720514796296</v>
      </c>
      <c r="D5080">
        <v>0.92089985296094401</v>
      </c>
      <c r="E5080">
        <v>0.83914374064048003</v>
      </c>
      <c r="F5080">
        <v>0.370598897921188</v>
      </c>
      <c r="G5080">
        <v>0.28507771937003301</v>
      </c>
      <c r="H5080">
        <v>0.183555758770691</v>
      </c>
      <c r="I5080">
        <v>0.16248445188918101</v>
      </c>
      <c r="J5080">
        <v>0.13176216686415501</v>
      </c>
      <c r="K5080">
        <v>9.0984806392258505E-2</v>
      </c>
      <c r="L5080">
        <v>1727.7016874055601</v>
      </c>
      <c r="M5080">
        <v>33.393366684209603</v>
      </c>
      <c r="N5080">
        <v>52.324788928814598</v>
      </c>
      <c r="O5080">
        <v>51.553387580263298</v>
      </c>
      <c r="P5080">
        <v>-0.136641748536245</v>
      </c>
      <c r="Q5080">
        <v>0.15620190886520599</v>
      </c>
      <c r="R5080">
        <v>0.98334087168640005</v>
      </c>
      <c r="S5080" t="s">
        <v>10906</v>
      </c>
      <c r="T5080" t="s">
        <v>11650</v>
      </c>
      <c r="U5080" t="s">
        <v>11650</v>
      </c>
      <c r="V5080" t="s">
        <v>11650</v>
      </c>
      <c r="W5080" t="s">
        <v>16674</v>
      </c>
      <c r="X5080">
        <v>3</v>
      </c>
      <c r="Y5080" t="s">
        <v>22343</v>
      </c>
      <c r="Z5080" t="s">
        <v>28142</v>
      </c>
      <c r="AA5080">
        <v>0.49068336794306511</v>
      </c>
      <c r="AB5080" t="str">
        <f>HYPERLINK("Melting_Curves/meltCurve_Q9H9H4_VPS37B.pdf", "Melting_Curves/meltCurve_Q9H9H4_VPS37B.pdf")</f>
        <v>Melting_Curves/meltCurve_Q9H9H4_VPS37B.pdf</v>
      </c>
    </row>
    <row r="5081" spans="1:28" x14ac:dyDescent="0.25">
      <c r="A5081" t="s">
        <v>5085</v>
      </c>
      <c r="B5081">
        <v>0.99996721820229495</v>
      </c>
      <c r="C5081">
        <v>1.1228572962371901</v>
      </c>
      <c r="D5081">
        <v>1.0719525919294599</v>
      </c>
      <c r="E5081">
        <v>1.0580312443482101</v>
      </c>
      <c r="F5081">
        <v>0.95210235852019798</v>
      </c>
      <c r="G5081">
        <v>0.54204086245849603</v>
      </c>
      <c r="H5081">
        <v>0.299044589368889</v>
      </c>
      <c r="I5081">
        <v>0.25391124271124399</v>
      </c>
      <c r="J5081">
        <v>0.21241417448255001</v>
      </c>
      <c r="K5081">
        <v>0.16224494613530299</v>
      </c>
      <c r="L5081">
        <v>2005.32436487062</v>
      </c>
      <c r="M5081">
        <v>35.412947320899299</v>
      </c>
      <c r="N5081">
        <v>57.514264531534998</v>
      </c>
      <c r="O5081">
        <v>56.447211166038997</v>
      </c>
      <c r="P5081">
        <v>-0.123828911567924</v>
      </c>
      <c r="Q5081">
        <v>0.21048393176924801</v>
      </c>
      <c r="R5081">
        <v>0.98038712007286899</v>
      </c>
      <c r="S5081" t="s">
        <v>10907</v>
      </c>
      <c r="T5081" t="s">
        <v>11650</v>
      </c>
      <c r="U5081" t="s">
        <v>11650</v>
      </c>
      <c r="V5081" t="s">
        <v>11650</v>
      </c>
      <c r="W5081" t="s">
        <v>16675</v>
      </c>
      <c r="X5081">
        <v>8</v>
      </c>
      <c r="Y5081" t="s">
        <v>22344</v>
      </c>
      <c r="Z5081" t="s">
        <v>28143</v>
      </c>
      <c r="AA5081">
        <v>0.65193039308330258</v>
      </c>
      <c r="AB5081" t="str">
        <f>HYPERLINK("Melting_Curves/meltCurve_Q9H9S4_CAB39L.pdf", "Melting_Curves/meltCurve_Q9H9S4_CAB39L.pdf")</f>
        <v>Melting_Curves/meltCurve_Q9H9S4_CAB39L.pdf</v>
      </c>
    </row>
    <row r="5082" spans="1:28" x14ac:dyDescent="0.25">
      <c r="A5082" t="s">
        <v>5086</v>
      </c>
      <c r="B5082">
        <v>0.99996721820229495</v>
      </c>
      <c r="C5082">
        <v>0.967695957756736</v>
      </c>
      <c r="D5082">
        <v>0.89500439405639298</v>
      </c>
      <c r="E5082">
        <v>0.58196038657869398</v>
      </c>
      <c r="F5082">
        <v>0.66652635163032403</v>
      </c>
      <c r="G5082">
        <v>0.68726704672419803</v>
      </c>
      <c r="H5082">
        <v>0.206266765146431</v>
      </c>
      <c r="I5082">
        <v>0.107525426922393</v>
      </c>
      <c r="J5082">
        <v>8.0655840948032798E-2</v>
      </c>
      <c r="K5082">
        <v>5.8389165748995803E-2</v>
      </c>
      <c r="L5082">
        <v>601.26704081133505</v>
      </c>
      <c r="M5082">
        <v>10.818286194235901</v>
      </c>
      <c r="N5082">
        <v>55.578770056924498</v>
      </c>
      <c r="O5082">
        <v>53.780776847075302</v>
      </c>
      <c r="P5082">
        <v>-5.03069000933958E-2</v>
      </c>
      <c r="Q5082">
        <v>0</v>
      </c>
      <c r="R5082">
        <v>0.90854634837301296</v>
      </c>
      <c r="S5082" t="s">
        <v>10908</v>
      </c>
      <c r="T5082" t="s">
        <v>11650</v>
      </c>
      <c r="U5082" t="s">
        <v>11650</v>
      </c>
      <c r="V5082" t="s">
        <v>11650</v>
      </c>
      <c r="W5082" t="s">
        <v>16676</v>
      </c>
      <c r="X5082">
        <v>5</v>
      </c>
      <c r="Y5082" t="s">
        <v>22345</v>
      </c>
      <c r="Z5082" t="s">
        <v>28144</v>
      </c>
      <c r="AA5082">
        <v>0.54200667746072884</v>
      </c>
      <c r="AB5082" t="str">
        <f>HYPERLINK("Melting_Curves/meltCurve_Q9H9V9_2_JMJD4.pdf", "Melting_Curves/meltCurve_Q9H9V9_2_JMJD4.pdf")</f>
        <v>Melting_Curves/meltCurve_Q9H9V9_2_JMJD4.pdf</v>
      </c>
    </row>
    <row r="5083" spans="1:28" x14ac:dyDescent="0.25">
      <c r="A5083" t="s">
        <v>5087</v>
      </c>
      <c r="B5083">
        <v>0.99996721820229495</v>
      </c>
      <c r="C5083">
        <v>1.0803204856425701</v>
      </c>
      <c r="D5083">
        <v>1.35051601229161</v>
      </c>
      <c r="E5083">
        <v>1.8408789128143801</v>
      </c>
      <c r="F5083">
        <v>2.2602114248632001</v>
      </c>
      <c r="G5083">
        <v>2.4006014949748899</v>
      </c>
      <c r="H5083">
        <v>1.40547411717594</v>
      </c>
      <c r="I5083">
        <v>0.552259364583224</v>
      </c>
      <c r="J5083">
        <v>0.206421033476479</v>
      </c>
      <c r="K5083">
        <v>0.112694601117484</v>
      </c>
      <c r="L5083">
        <v>15000</v>
      </c>
      <c r="M5083">
        <v>234.50601766920201</v>
      </c>
      <c r="N5083">
        <v>64.069261257451103</v>
      </c>
      <c r="O5083">
        <v>63.9595910642091</v>
      </c>
      <c r="P5083">
        <v>-0.770377698546719</v>
      </c>
      <c r="Q5083">
        <v>0.15954322581382299</v>
      </c>
      <c r="R5083">
        <v>0.19806733070496499</v>
      </c>
      <c r="S5083" t="s">
        <v>10909</v>
      </c>
      <c r="T5083" t="s">
        <v>11650</v>
      </c>
      <c r="U5083" t="s">
        <v>11650</v>
      </c>
      <c r="V5083" t="s">
        <v>11650</v>
      </c>
      <c r="W5083" t="s">
        <v>16677</v>
      </c>
      <c r="X5083">
        <v>4</v>
      </c>
      <c r="Y5083" t="s">
        <v>22346</v>
      </c>
      <c r="Z5083" t="s">
        <v>28145</v>
      </c>
      <c r="AA5083">
        <v>0.83101414547303809</v>
      </c>
      <c r="AB5083" t="str">
        <f>HYPERLINK("Melting_Curves/meltCurve_Q9H9Y4_GPN2.pdf", "Melting_Curves/meltCurve_Q9H9Y4_GPN2.pdf")</f>
        <v>Melting_Curves/meltCurve_Q9H9Y4_GPN2.pdf</v>
      </c>
    </row>
    <row r="5084" spans="1:28" x14ac:dyDescent="0.25">
      <c r="A5084" t="s">
        <v>5088</v>
      </c>
      <c r="B5084">
        <v>0.99996721820229495</v>
      </c>
      <c r="C5084">
        <v>0.87845616678389404</v>
      </c>
      <c r="D5084">
        <v>0.84937148074190905</v>
      </c>
      <c r="E5084">
        <v>1.01289059673883</v>
      </c>
      <c r="F5084">
        <v>1.28958781187768</v>
      </c>
      <c r="G5084">
        <v>1.1848817880520699</v>
      </c>
      <c r="H5084">
        <v>0.8914248613597</v>
      </c>
      <c r="I5084">
        <v>0.60414269109770502</v>
      </c>
      <c r="J5084">
        <v>0.229618015230967</v>
      </c>
      <c r="K5084">
        <v>0.13242145270824701</v>
      </c>
      <c r="L5084">
        <v>2802.96899055723</v>
      </c>
      <c r="M5084">
        <v>43.606995276167297</v>
      </c>
      <c r="N5084">
        <v>64.628101086856006</v>
      </c>
      <c r="O5084">
        <v>64.143228508352195</v>
      </c>
      <c r="P5084">
        <v>-0.15207869599738499</v>
      </c>
      <c r="Q5084">
        <v>0.1052073940035</v>
      </c>
      <c r="R5084">
        <v>0.87834067951781603</v>
      </c>
      <c r="S5084" t="s">
        <v>10910</v>
      </c>
      <c r="T5084" t="s">
        <v>11650</v>
      </c>
      <c r="U5084" t="s">
        <v>11650</v>
      </c>
      <c r="V5084" t="s">
        <v>11650</v>
      </c>
      <c r="W5084" t="s">
        <v>16678</v>
      </c>
      <c r="X5084">
        <v>14</v>
      </c>
      <c r="Y5084" t="s">
        <v>22347</v>
      </c>
      <c r="Z5084" t="s">
        <v>28146</v>
      </c>
      <c r="AA5084">
        <v>0.8311387291128981</v>
      </c>
      <c r="AB5084" t="str">
        <f>HYPERLINK("Melting_Curves/meltCurve_Q9HA64_FN3KRP.pdf", "Melting_Curves/meltCurve_Q9HA64_FN3KRP.pdf")</f>
        <v>Melting_Curves/meltCurve_Q9HA64_FN3KRP.pdf</v>
      </c>
    </row>
    <row r="5085" spans="1:28" x14ac:dyDescent="0.25">
      <c r="A5085" t="s">
        <v>5089</v>
      </c>
      <c r="B5085">
        <v>0.99996721820229495</v>
      </c>
      <c r="C5085">
        <v>1.0157118850865801</v>
      </c>
      <c r="D5085">
        <v>0.99165150111692102</v>
      </c>
      <c r="E5085">
        <v>0.982798233046561</v>
      </c>
      <c r="F5085">
        <v>0.399856792020852</v>
      </c>
      <c r="G5085">
        <v>0.28338991443600903</v>
      </c>
      <c r="H5085">
        <v>0.16428734373550699</v>
      </c>
      <c r="I5085">
        <v>0.108674377104792</v>
      </c>
      <c r="J5085">
        <v>9.4214331641245999E-2</v>
      </c>
      <c r="K5085">
        <v>5.4115821228773203E-2</v>
      </c>
      <c r="L5085">
        <v>3480.9274604613001</v>
      </c>
      <c r="M5085">
        <v>66.477562231149705</v>
      </c>
      <c r="N5085">
        <v>52.620948789013703</v>
      </c>
      <c r="O5085">
        <v>52.315118643848798</v>
      </c>
      <c r="P5085">
        <v>-0.27342406819627801</v>
      </c>
      <c r="Q5085">
        <v>0.13930607253341701</v>
      </c>
      <c r="R5085">
        <v>0.98137607127140103</v>
      </c>
      <c r="S5085" t="s">
        <v>10911</v>
      </c>
      <c r="T5085" t="s">
        <v>11650</v>
      </c>
      <c r="U5085" t="s">
        <v>11650</v>
      </c>
      <c r="V5085" t="s">
        <v>11650</v>
      </c>
      <c r="W5085" t="s">
        <v>16679</v>
      </c>
      <c r="X5085">
        <v>9</v>
      </c>
      <c r="Y5085" t="s">
        <v>22348</v>
      </c>
      <c r="Z5085" t="s">
        <v>28147</v>
      </c>
      <c r="AA5085">
        <v>0.49510387970836411</v>
      </c>
      <c r="AB5085" t="str">
        <f>HYPERLINK("Melting_Curves/meltCurve_Q9HA65_TBC1D17.pdf", "Melting_Curves/meltCurve_Q9HA65_TBC1D17.pdf")</f>
        <v>Melting_Curves/meltCurve_Q9HA65_TBC1D17.pdf</v>
      </c>
    </row>
    <row r="5086" spans="1:28" x14ac:dyDescent="0.25">
      <c r="A5086" t="s">
        <v>5090</v>
      </c>
      <c r="B5086">
        <v>0.99996721820229495</v>
      </c>
      <c r="C5086">
        <v>0.97054496542641799</v>
      </c>
      <c r="D5086">
        <v>0.98806158597953497</v>
      </c>
      <c r="E5086">
        <v>1.10416312990509</v>
      </c>
      <c r="F5086">
        <v>1.28274673838715</v>
      </c>
      <c r="G5086">
        <v>1.26480790613073</v>
      </c>
      <c r="H5086">
        <v>0.68483855277725303</v>
      </c>
      <c r="I5086">
        <v>0.27979135674467298</v>
      </c>
      <c r="J5086">
        <v>0.144713599757235</v>
      </c>
      <c r="K5086">
        <v>0.13666414797290299</v>
      </c>
      <c r="L5086">
        <v>3597.4445331360498</v>
      </c>
      <c r="M5086">
        <v>58.314262709621303</v>
      </c>
      <c r="N5086">
        <v>62.069521691293403</v>
      </c>
      <c r="O5086">
        <v>61.6182225181633</v>
      </c>
      <c r="P5086">
        <v>-0.20116576876657899</v>
      </c>
      <c r="Q5086">
        <v>0.14974685019532999</v>
      </c>
      <c r="R5086">
        <v>0.90645364931973404</v>
      </c>
      <c r="S5086" t="s">
        <v>10912</v>
      </c>
      <c r="T5086" t="s">
        <v>11650</v>
      </c>
      <c r="U5086" t="s">
        <v>11650</v>
      </c>
      <c r="V5086" t="s">
        <v>11650</v>
      </c>
      <c r="W5086" t="s">
        <v>16680</v>
      </c>
      <c r="X5086">
        <v>15</v>
      </c>
      <c r="Y5086" t="s">
        <v>22349</v>
      </c>
      <c r="Z5086" t="s">
        <v>28148</v>
      </c>
      <c r="AA5086">
        <v>0.76615702823329135</v>
      </c>
      <c r="AB5086" t="str">
        <f>HYPERLINK("Melting_Curves/meltCurve_Q9HA77_CARS2.pdf", "Melting_Curves/meltCurve_Q9HA77_CARS2.pdf")</f>
        <v>Melting_Curves/meltCurve_Q9HA77_CARS2.pdf</v>
      </c>
    </row>
    <row r="5087" spans="1:28" x14ac:dyDescent="0.25">
      <c r="A5087" t="s">
        <v>5091</v>
      </c>
      <c r="B5087">
        <v>0.99996721820229495</v>
      </c>
      <c r="C5087">
        <v>1.00236828521307</v>
      </c>
      <c r="D5087">
        <v>0.98291309364954904</v>
      </c>
      <c r="E5087">
        <v>0.89639459357366202</v>
      </c>
      <c r="F5087">
        <v>0.60654852195435804</v>
      </c>
      <c r="G5087">
        <v>0.228597182409528</v>
      </c>
      <c r="H5087">
        <v>0.12432319151286</v>
      </c>
      <c r="I5087">
        <v>7.0580158811931207E-2</v>
      </c>
      <c r="J5087">
        <v>4.5034030303795401E-2</v>
      </c>
      <c r="K5087">
        <v>3.8916775986968397E-2</v>
      </c>
      <c r="L5087">
        <v>1369.9636254526699</v>
      </c>
      <c r="M5087">
        <v>25.463490623263901</v>
      </c>
      <c r="N5087">
        <v>54.026721726516598</v>
      </c>
      <c r="O5087">
        <v>53.472562048102702</v>
      </c>
      <c r="P5087">
        <v>-0.113045739174882</v>
      </c>
      <c r="Q5087">
        <v>5.0441348313632402E-2</v>
      </c>
      <c r="R5087">
        <v>0.99907040622014598</v>
      </c>
      <c r="S5087" t="s">
        <v>10913</v>
      </c>
      <c r="T5087" t="s">
        <v>11650</v>
      </c>
      <c r="U5087" t="s">
        <v>11650</v>
      </c>
      <c r="V5087" t="s">
        <v>11650</v>
      </c>
      <c r="W5087" t="s">
        <v>16681</v>
      </c>
      <c r="X5087">
        <v>12</v>
      </c>
      <c r="Y5087" t="s">
        <v>22350</v>
      </c>
      <c r="Z5087" t="s">
        <v>28149</v>
      </c>
      <c r="AA5087">
        <v>0.49576238961176372</v>
      </c>
      <c r="AB5087" t="str">
        <f>HYPERLINK("Melting_Curves/meltCurve_Q9HAB8_PPCS.pdf", "Melting_Curves/meltCurve_Q9HAB8_PPCS.pdf")</f>
        <v>Melting_Curves/meltCurve_Q9HAB8_PPCS.pdf</v>
      </c>
    </row>
    <row r="5088" spans="1:28" x14ac:dyDescent="0.25">
      <c r="A5088" t="s">
        <v>5092</v>
      </c>
      <c r="B5088">
        <v>0.99996721820229495</v>
      </c>
      <c r="C5088">
        <v>0.94064561809811498</v>
      </c>
      <c r="D5088">
        <v>0.94984142918064596</v>
      </c>
      <c r="E5088">
        <v>0.79997417677962301</v>
      </c>
      <c r="F5088">
        <v>0.658363566825649</v>
      </c>
      <c r="G5088">
        <v>0.392363174337515</v>
      </c>
      <c r="H5088">
        <v>0.17891927067341601</v>
      </c>
      <c r="I5088">
        <v>0.111525601291955</v>
      </c>
      <c r="J5088">
        <v>8.1111504206889104E-2</v>
      </c>
      <c r="K5088">
        <v>7.3821612262015002E-2</v>
      </c>
      <c r="L5088">
        <v>812.81312444718105</v>
      </c>
      <c r="M5088">
        <v>14.7848888653181</v>
      </c>
      <c r="N5088">
        <v>55.092063894459002</v>
      </c>
      <c r="O5088">
        <v>53.9995829351856</v>
      </c>
      <c r="P5088">
        <v>-6.7406225942090697E-2</v>
      </c>
      <c r="Q5088">
        <v>1.53408619314116E-2</v>
      </c>
      <c r="R5088">
        <v>0.99732074092634604</v>
      </c>
      <c r="S5088" t="s">
        <v>10914</v>
      </c>
      <c r="T5088" t="s">
        <v>11650</v>
      </c>
      <c r="U5088" t="s">
        <v>11650</v>
      </c>
      <c r="V5088" t="s">
        <v>11650</v>
      </c>
      <c r="W5088" t="s">
        <v>16682</v>
      </c>
      <c r="X5088">
        <v>7</v>
      </c>
      <c r="Y5088" t="s">
        <v>22351</v>
      </c>
      <c r="Z5088" t="s">
        <v>28150</v>
      </c>
      <c r="AA5088">
        <v>0.52619220138306166</v>
      </c>
      <c r="AB5088" t="str">
        <f>HYPERLINK("Melting_Curves/meltCurve_Q9HAD4_WDR41.pdf", "Melting_Curves/meltCurve_Q9HAD4_WDR41.pdf")</f>
        <v>Melting_Curves/meltCurve_Q9HAD4_WDR41.pdf</v>
      </c>
    </row>
    <row r="5089" spans="1:28" x14ac:dyDescent="0.25">
      <c r="A5089" t="s">
        <v>5093</v>
      </c>
      <c r="B5089">
        <v>0.99996721820229495</v>
      </c>
      <c r="C5089">
        <v>0.79055272358428996</v>
      </c>
      <c r="D5089">
        <v>0.76501537485416105</v>
      </c>
      <c r="E5089">
        <v>0.96666268773298503</v>
      </c>
      <c r="F5089">
        <v>1.08461117765889</v>
      </c>
      <c r="G5089">
        <v>0.89486581128267395</v>
      </c>
      <c r="H5089">
        <v>0.87182029349789503</v>
      </c>
      <c r="I5089">
        <v>0.50377268783446805</v>
      </c>
      <c r="J5089">
        <v>0.25925909624811899</v>
      </c>
      <c r="K5089">
        <v>0.21142000235983699</v>
      </c>
      <c r="L5089">
        <v>2581.59324180456</v>
      </c>
      <c r="M5089">
        <v>40.777795786673003</v>
      </c>
      <c r="N5089">
        <v>64.053192105837198</v>
      </c>
      <c r="O5089">
        <v>63.157135624897002</v>
      </c>
      <c r="P5089">
        <v>-0.130953136697911</v>
      </c>
      <c r="Q5089">
        <v>0.188714723426952</v>
      </c>
      <c r="R5089">
        <v>0.86207684149702901</v>
      </c>
      <c r="S5089" t="s">
        <v>10915</v>
      </c>
      <c r="T5089" t="s">
        <v>11650</v>
      </c>
      <c r="U5089" t="s">
        <v>11650</v>
      </c>
      <c r="V5089" t="s">
        <v>11650</v>
      </c>
      <c r="W5089" t="s">
        <v>16683</v>
      </c>
      <c r="X5089">
        <v>5</v>
      </c>
      <c r="Y5089" t="s">
        <v>22352</v>
      </c>
      <c r="Z5089" t="s">
        <v>28151</v>
      </c>
      <c r="AA5089">
        <v>0.82137472240195852</v>
      </c>
      <c r="AB5089" t="str">
        <f>HYPERLINK("Melting_Curves/meltCurve_Q9HAT2_2_SIAE.pdf", "Melting_Curves/meltCurve_Q9HAT2_2_SIAE.pdf")</f>
        <v>Melting_Curves/meltCurve_Q9HAT2_2_SIAE.pdf</v>
      </c>
    </row>
    <row r="5090" spans="1:28" x14ac:dyDescent="0.25">
      <c r="A5090" t="s">
        <v>5094</v>
      </c>
      <c r="B5090">
        <v>0.99996721820229495</v>
      </c>
      <c r="C5090">
        <v>0.97813496967183999</v>
      </c>
      <c r="D5090">
        <v>0.92431589434688199</v>
      </c>
      <c r="E5090">
        <v>0.88308089464494</v>
      </c>
      <c r="F5090">
        <v>1.0224470997394599</v>
      </c>
      <c r="G5090">
        <v>0.89999776025989497</v>
      </c>
      <c r="H5090">
        <v>0.52560033389025396</v>
      </c>
      <c r="I5090">
        <v>0.399533339606644</v>
      </c>
      <c r="J5090">
        <v>0.35180430133938301</v>
      </c>
      <c r="K5090">
        <v>0.26354989123308098</v>
      </c>
      <c r="L5090">
        <v>1958.8711844823599</v>
      </c>
      <c r="M5090">
        <v>32.714081774607898</v>
      </c>
      <c r="N5090">
        <v>61.593969315942701</v>
      </c>
      <c r="O5090">
        <v>59.656116134191798</v>
      </c>
      <c r="P5090">
        <v>-9.6109194192276495E-2</v>
      </c>
      <c r="Q5090">
        <v>0.29895942260921798</v>
      </c>
      <c r="R5090">
        <v>0.97001311744926</v>
      </c>
      <c r="S5090" t="s">
        <v>10916</v>
      </c>
      <c r="T5090" t="s">
        <v>11650</v>
      </c>
      <c r="U5090" t="s">
        <v>11650</v>
      </c>
      <c r="V5090" t="s">
        <v>11650</v>
      </c>
      <c r="W5090" t="s">
        <v>16684</v>
      </c>
      <c r="X5090">
        <v>10</v>
      </c>
      <c r="Y5090" t="s">
        <v>22353</v>
      </c>
      <c r="Z5090" t="s">
        <v>28152</v>
      </c>
      <c r="AA5090">
        <v>0.76728490984531572</v>
      </c>
      <c r="AB5090" t="str">
        <f>HYPERLINK("Melting_Curves/meltCurve_Q9HAU0_PLEKHA5.pdf", "Melting_Curves/meltCurve_Q9HAU0_PLEKHA5.pdf")</f>
        <v>Melting_Curves/meltCurve_Q9HAU0_PLEKHA5.pdf</v>
      </c>
    </row>
    <row r="5091" spans="1:28" x14ac:dyDescent="0.25">
      <c r="A5091" t="s">
        <v>5095</v>
      </c>
      <c r="B5091">
        <v>0.99996721820229495</v>
      </c>
      <c r="C5091">
        <v>0.99490718047731297</v>
      </c>
      <c r="D5091">
        <v>0.92385554893000199</v>
      </c>
      <c r="E5091">
        <v>0.38515004473664299</v>
      </c>
      <c r="F5091">
        <v>0.36148260383783198</v>
      </c>
      <c r="G5091">
        <v>0.27589028256071202</v>
      </c>
      <c r="H5091">
        <v>0.24409617400699801</v>
      </c>
      <c r="I5091">
        <v>0.20117501408882499</v>
      </c>
      <c r="J5091">
        <v>0.198503750644624</v>
      </c>
      <c r="K5091">
        <v>0.10228917778612399</v>
      </c>
      <c r="L5091">
        <v>1569.4100702389001</v>
      </c>
      <c r="M5091">
        <v>32.3157021594808</v>
      </c>
      <c r="N5091">
        <v>49.422162574905997</v>
      </c>
      <c r="O5091">
        <v>48.380098577734699</v>
      </c>
      <c r="P5091">
        <v>-0.13116296338795</v>
      </c>
      <c r="Q5091">
        <v>0.21454328196063299</v>
      </c>
      <c r="R5091">
        <v>0.97360697732902102</v>
      </c>
      <c r="S5091" t="s">
        <v>10917</v>
      </c>
      <c r="T5091" t="s">
        <v>11650</v>
      </c>
      <c r="U5091" t="s">
        <v>11650</v>
      </c>
      <c r="V5091" t="s">
        <v>11650</v>
      </c>
      <c r="W5091" t="s">
        <v>16685</v>
      </c>
      <c r="X5091">
        <v>2</v>
      </c>
      <c r="Y5091" t="s">
        <v>22354</v>
      </c>
      <c r="Z5091" t="s">
        <v>28153</v>
      </c>
      <c r="AA5091">
        <v>0.44287046655859852</v>
      </c>
      <c r="AB5091" t="str">
        <f>HYPERLINK("Melting_Curves/meltCurve_Q9HAU4_SMURF2.pdf", "Melting_Curves/meltCurve_Q9HAU4_SMURF2.pdf")</f>
        <v>Melting_Curves/meltCurve_Q9HAU4_SMURF2.pdf</v>
      </c>
    </row>
    <row r="5092" spans="1:28" x14ac:dyDescent="0.25">
      <c r="A5092" t="s">
        <v>5096</v>
      </c>
      <c r="B5092">
        <v>0.99996721820229495</v>
      </c>
      <c r="C5092">
        <v>0.78749015020950197</v>
      </c>
      <c r="D5092">
        <v>1.1513857702191199</v>
      </c>
      <c r="E5092">
        <v>1.32476807689516</v>
      </c>
      <c r="F5092">
        <v>1.6152936544781</v>
      </c>
      <c r="G5092">
        <v>0.90448162125776099</v>
      </c>
      <c r="H5092">
        <v>0.22453666208428599</v>
      </c>
      <c r="I5092">
        <v>0.115168332790544</v>
      </c>
      <c r="J5092">
        <v>6.9459976677116703E-2</v>
      </c>
      <c r="K5092">
        <v>5.9925846254149498E-2</v>
      </c>
      <c r="L5092">
        <v>3478.2978382898</v>
      </c>
      <c r="M5092">
        <v>58.693488866224499</v>
      </c>
      <c r="N5092">
        <v>59.432047973871903</v>
      </c>
      <c r="O5092">
        <v>59.193395938219098</v>
      </c>
      <c r="P5092">
        <v>-0.22873568278353701</v>
      </c>
      <c r="Q5092">
        <v>7.7264897258211299E-2</v>
      </c>
      <c r="R5092">
        <v>0.81141081354067501</v>
      </c>
      <c r="S5092" t="s">
        <v>10918</v>
      </c>
      <c r="T5092" t="s">
        <v>11650</v>
      </c>
      <c r="U5092" t="s">
        <v>11650</v>
      </c>
      <c r="V5092" t="s">
        <v>11650</v>
      </c>
      <c r="W5092" t="s">
        <v>16686</v>
      </c>
      <c r="X5092">
        <v>14</v>
      </c>
      <c r="Y5092" t="s">
        <v>22355</v>
      </c>
      <c r="Z5092" t="s">
        <v>28154</v>
      </c>
      <c r="AA5092">
        <v>0.67146682183469075</v>
      </c>
      <c r="AB5092" t="str">
        <f>HYPERLINK("Melting_Curves/meltCurve_Q9HAV0_GNB4.pdf", "Melting_Curves/meltCurve_Q9HAV0_GNB4.pdf")</f>
        <v>Melting_Curves/meltCurve_Q9HAV0_GNB4.pdf</v>
      </c>
    </row>
    <row r="5093" spans="1:28" x14ac:dyDescent="0.25">
      <c r="A5093" t="s">
        <v>5097</v>
      </c>
      <c r="B5093">
        <v>0.99996721820229495</v>
      </c>
      <c r="C5093">
        <v>1.09547125316743</v>
      </c>
      <c r="D5093">
        <v>1.13293306312155</v>
      </c>
      <c r="E5093">
        <v>0.47962035393959901</v>
      </c>
      <c r="F5093">
        <v>0.41036981666532402</v>
      </c>
      <c r="G5093">
        <v>0.37445220106279897</v>
      </c>
      <c r="H5093">
        <v>0.23947074403777399</v>
      </c>
      <c r="I5093">
        <v>0.14659518236118399</v>
      </c>
      <c r="J5093">
        <v>0.124330146529327</v>
      </c>
      <c r="K5093">
        <v>7.8453105534899606E-2</v>
      </c>
      <c r="L5093">
        <v>1522.8025386107399</v>
      </c>
      <c r="M5093">
        <v>30.4845600151714</v>
      </c>
      <c r="N5093">
        <v>50.776781979836201</v>
      </c>
      <c r="O5093">
        <v>49.739756633440997</v>
      </c>
      <c r="P5093">
        <v>-0.12333714402073399</v>
      </c>
      <c r="Q5093">
        <v>0.195038788228523</v>
      </c>
      <c r="R5093">
        <v>0.92466850301223402</v>
      </c>
      <c r="S5093" t="s">
        <v>10919</v>
      </c>
      <c r="T5093" t="s">
        <v>11650</v>
      </c>
      <c r="U5093" t="s">
        <v>11650</v>
      </c>
      <c r="V5093" t="s">
        <v>11650</v>
      </c>
      <c r="W5093" t="s">
        <v>16687</v>
      </c>
      <c r="X5093">
        <v>12</v>
      </c>
      <c r="Y5093" t="s">
        <v>22356</v>
      </c>
      <c r="Z5093" t="s">
        <v>28155</v>
      </c>
      <c r="AA5093">
        <v>0.46692075884980988</v>
      </c>
      <c r="AB5093" t="str">
        <f>HYPERLINK("Melting_Curves/meltCurve_Q9HAV4_XPO5.pdf", "Melting_Curves/meltCurve_Q9HAV4_XPO5.pdf")</f>
        <v>Melting_Curves/meltCurve_Q9HAV4_XPO5.pdf</v>
      </c>
    </row>
    <row r="5094" spans="1:28" x14ac:dyDescent="0.25">
      <c r="A5094" t="s">
        <v>5098</v>
      </c>
      <c r="B5094">
        <v>0.99996721820229495</v>
      </c>
      <c r="C5094">
        <v>0.90591291878303404</v>
      </c>
      <c r="D5094">
        <v>1.03641326836667</v>
      </c>
      <c r="E5094">
        <v>0.98479189162678205</v>
      </c>
      <c r="F5094">
        <v>1.3540674614111201</v>
      </c>
      <c r="G5094">
        <v>1.52641566607708</v>
      </c>
      <c r="H5094">
        <v>1.0172381377359401</v>
      </c>
      <c r="I5094">
        <v>0.72196918624615702</v>
      </c>
      <c r="J5094">
        <v>0.49374917761840698</v>
      </c>
      <c r="K5094">
        <v>0.31383843558673902</v>
      </c>
      <c r="L5094">
        <v>2967.5952993312299</v>
      </c>
      <c r="M5094">
        <v>45.7249983232389</v>
      </c>
      <c r="N5094">
        <v>66.357140728102195</v>
      </c>
      <c r="O5094">
        <v>64.777167057231594</v>
      </c>
      <c r="P5094">
        <v>-0.120584240066178</v>
      </c>
      <c r="Q5094">
        <v>0.31668923261752202</v>
      </c>
      <c r="R5094">
        <v>0.64158165498785902</v>
      </c>
      <c r="S5094" t="s">
        <v>10920</v>
      </c>
      <c r="T5094" t="s">
        <v>11650</v>
      </c>
      <c r="U5094" t="s">
        <v>11650</v>
      </c>
      <c r="V5094" t="s">
        <v>11650</v>
      </c>
      <c r="W5094" t="s">
        <v>16688</v>
      </c>
      <c r="X5094">
        <v>1</v>
      </c>
      <c r="Y5094" t="s">
        <v>22357</v>
      </c>
      <c r="Z5094" t="s">
        <v>28156</v>
      </c>
      <c r="AA5094">
        <v>0.88481076463628627</v>
      </c>
      <c r="AB5094" t="str">
        <f>HYPERLINK("Melting_Curves/meltCurve_Q9HAV5_EDA2R.pdf", "Melting_Curves/meltCurve_Q9HAV5_EDA2R.pdf")</f>
        <v>Melting_Curves/meltCurve_Q9HAV5_EDA2R.pdf</v>
      </c>
    </row>
    <row r="5095" spans="1:28" x14ac:dyDescent="0.25">
      <c r="A5095" t="s">
        <v>5099</v>
      </c>
      <c r="B5095">
        <v>0.99996721820229495</v>
      </c>
      <c r="C5095">
        <v>1.16270649283603</v>
      </c>
      <c r="D5095">
        <v>1.0385165995857499</v>
      </c>
      <c r="E5095">
        <v>0.95468406975584996</v>
      </c>
      <c r="F5095">
        <v>0.34533624057266699</v>
      </c>
      <c r="G5095">
        <v>0.29496594705868701</v>
      </c>
      <c r="H5095">
        <v>0.19147288983452701</v>
      </c>
      <c r="I5095">
        <v>0.14029586196169899</v>
      </c>
      <c r="J5095">
        <v>0.104344934676995</v>
      </c>
      <c r="K5095">
        <v>7.6163217098948299E-2</v>
      </c>
      <c r="L5095">
        <v>3473.8753656578201</v>
      </c>
      <c r="M5095">
        <v>66.7752865690872</v>
      </c>
      <c r="N5095">
        <v>52.326104606598797</v>
      </c>
      <c r="O5095">
        <v>51.976765430504102</v>
      </c>
      <c r="P5095">
        <v>-0.26971717292223901</v>
      </c>
      <c r="Q5095">
        <v>0.160226823343876</v>
      </c>
      <c r="R5095">
        <v>0.96832991086904197</v>
      </c>
      <c r="S5095" t="s">
        <v>10921</v>
      </c>
      <c r="T5095" t="s">
        <v>11650</v>
      </c>
      <c r="U5095" t="s">
        <v>11650</v>
      </c>
      <c r="V5095" t="s">
        <v>11650</v>
      </c>
      <c r="W5095" t="s">
        <v>16689</v>
      </c>
      <c r="X5095">
        <v>13</v>
      </c>
      <c r="Y5095" t="s">
        <v>22358</v>
      </c>
      <c r="Z5095" t="s">
        <v>28157</v>
      </c>
      <c r="AA5095">
        <v>0.49786804776543991</v>
      </c>
      <c r="AB5095" t="str">
        <f>HYPERLINK("Melting_Curves/meltCurve_Q9HAV7_GRPEL1.pdf", "Melting_Curves/meltCurve_Q9HAV7_GRPEL1.pdf")</f>
        <v>Melting_Curves/meltCurve_Q9HAV7_GRPEL1.pdf</v>
      </c>
    </row>
    <row r="5096" spans="1:28" x14ac:dyDescent="0.25">
      <c r="A5096" t="s">
        <v>5100</v>
      </c>
      <c r="B5096">
        <v>0.99996721820229495</v>
      </c>
      <c r="C5096">
        <v>0.99403506373778705</v>
      </c>
      <c r="D5096">
        <v>0.89707285525213998</v>
      </c>
      <c r="E5096">
        <v>0.77002494730128301</v>
      </c>
      <c r="F5096">
        <v>0.81377257940454995</v>
      </c>
      <c r="G5096">
        <v>0.63605769269478596</v>
      </c>
      <c r="H5096">
        <v>0.31673058869211901</v>
      </c>
      <c r="I5096">
        <v>0.17801586059321101</v>
      </c>
      <c r="J5096">
        <v>0.115997106822015</v>
      </c>
      <c r="K5096">
        <v>7.4664805294285402E-2</v>
      </c>
      <c r="L5096">
        <v>774.12660844326797</v>
      </c>
      <c r="M5096">
        <v>13.379299876342399</v>
      </c>
      <c r="N5096">
        <v>57.860023771397003</v>
      </c>
      <c r="O5096">
        <v>56.613279720610002</v>
      </c>
      <c r="P5096">
        <v>-5.9091317219640602E-2</v>
      </c>
      <c r="Q5096">
        <v>0</v>
      </c>
      <c r="R5096">
        <v>0.97469885034717796</v>
      </c>
      <c r="S5096" t="s">
        <v>10922</v>
      </c>
      <c r="T5096" t="s">
        <v>11650</v>
      </c>
      <c r="U5096" t="s">
        <v>11650</v>
      </c>
      <c r="V5096" t="s">
        <v>11650</v>
      </c>
      <c r="W5096" t="s">
        <v>16690</v>
      </c>
      <c r="X5096">
        <v>11</v>
      </c>
      <c r="Y5096" t="s">
        <v>22359</v>
      </c>
      <c r="Z5096" t="s">
        <v>28158</v>
      </c>
      <c r="AA5096">
        <v>0.60921145706150359</v>
      </c>
      <c r="AB5096" t="str">
        <f>HYPERLINK("Melting_Curves/meltCurve_Q9HB07_C12orf10.pdf", "Melting_Curves/meltCurve_Q9HB07_C12orf10.pdf")</f>
        <v>Melting_Curves/meltCurve_Q9HB07_C12orf10.pdf</v>
      </c>
    </row>
    <row r="5097" spans="1:28" x14ac:dyDescent="0.25">
      <c r="A5097" t="s">
        <v>5101</v>
      </c>
      <c r="B5097">
        <v>0.99996721820229495</v>
      </c>
      <c r="C5097">
        <v>0.87557117623967196</v>
      </c>
      <c r="D5097">
        <v>0.77818529546332604</v>
      </c>
      <c r="E5097">
        <v>0.62808427198211902</v>
      </c>
      <c r="F5097">
        <v>0.62939544114291301</v>
      </c>
      <c r="G5097">
        <v>0.36547168390911899</v>
      </c>
      <c r="H5097">
        <v>0.26270304015317902</v>
      </c>
      <c r="I5097">
        <v>0.20577791694309999</v>
      </c>
      <c r="J5097">
        <v>0.15286911474149201</v>
      </c>
      <c r="K5097">
        <v>0.13941541427116699</v>
      </c>
      <c r="L5097">
        <v>453.87926090194497</v>
      </c>
      <c r="M5097">
        <v>8.4053940862643106</v>
      </c>
      <c r="N5097">
        <v>53.998569828491597</v>
      </c>
      <c r="O5097">
        <v>51.201705116812498</v>
      </c>
      <c r="P5097">
        <v>-4.1079146102637298E-2</v>
      </c>
      <c r="Q5097">
        <v>0</v>
      </c>
      <c r="R5097">
        <v>0.98412519367605</v>
      </c>
      <c r="S5097" t="s">
        <v>10923</v>
      </c>
      <c r="T5097" t="s">
        <v>11650</v>
      </c>
      <c r="U5097" t="s">
        <v>11650</v>
      </c>
      <c r="V5097" t="s">
        <v>11650</v>
      </c>
      <c r="W5097" t="s">
        <v>16691</v>
      </c>
      <c r="X5097">
        <v>4</v>
      </c>
      <c r="Y5097" t="s">
        <v>22360</v>
      </c>
      <c r="Z5097" t="s">
        <v>28159</v>
      </c>
      <c r="AA5097">
        <v>0.49999015456969159</v>
      </c>
      <c r="AB5097" t="str">
        <f>HYPERLINK("Melting_Curves/meltCurve_Q9HB09_BCL2L12.pdf", "Melting_Curves/meltCurve_Q9HB09_BCL2L12.pdf")</f>
        <v>Melting_Curves/meltCurve_Q9HB09_BCL2L12.pdf</v>
      </c>
    </row>
    <row r="5098" spans="1:28" x14ac:dyDescent="0.25">
      <c r="A5098" t="s">
        <v>5102</v>
      </c>
      <c r="B5098">
        <v>0.99996721820229495</v>
      </c>
      <c r="C5098">
        <v>0.84759622479175301</v>
      </c>
      <c r="D5098">
        <v>0.430612883142027</v>
      </c>
      <c r="E5098">
        <v>0.369390500248029</v>
      </c>
      <c r="F5098">
        <v>0.37715677919766399</v>
      </c>
      <c r="G5098">
        <v>0.32706288988027898</v>
      </c>
      <c r="H5098">
        <v>0.179863518415211</v>
      </c>
      <c r="I5098">
        <v>0.103968937526734</v>
      </c>
      <c r="J5098">
        <v>0.100247525584497</v>
      </c>
      <c r="K5098">
        <v>6.5668938340489494E-2</v>
      </c>
      <c r="L5098">
        <v>537.95527829337504</v>
      </c>
      <c r="M5098">
        <v>11.46280734864</v>
      </c>
      <c r="N5098">
        <v>47.894052965990902</v>
      </c>
      <c r="O5098">
        <v>45.570317045160998</v>
      </c>
      <c r="P5098">
        <v>-5.6425765821072803E-2</v>
      </c>
      <c r="Q5098">
        <v>0.102976934638934</v>
      </c>
      <c r="R5098">
        <v>0.91621064458047097</v>
      </c>
      <c r="S5098" t="s">
        <v>10924</v>
      </c>
      <c r="T5098" t="s">
        <v>11650</v>
      </c>
      <c r="U5098" t="s">
        <v>11650</v>
      </c>
      <c r="V5098" t="s">
        <v>11650</v>
      </c>
      <c r="W5098" t="s">
        <v>16692</v>
      </c>
      <c r="X5098">
        <v>3</v>
      </c>
      <c r="Y5098" t="s">
        <v>22361</v>
      </c>
      <c r="Z5098" t="s">
        <v>28160</v>
      </c>
      <c r="AA5098">
        <v>0.35132614076984631</v>
      </c>
      <c r="AB5098" t="str">
        <f>HYPERLINK("Melting_Curves/meltCurve_Q9HB19_PLEKHA2.pdf", "Melting_Curves/meltCurve_Q9HB19_PLEKHA2.pdf")</f>
        <v>Melting_Curves/meltCurve_Q9HB19_PLEKHA2.pdf</v>
      </c>
    </row>
    <row r="5099" spans="1:28" x14ac:dyDescent="0.25">
      <c r="A5099" t="s">
        <v>5103</v>
      </c>
      <c r="B5099">
        <v>0.99996721820229495</v>
      </c>
      <c r="C5099">
        <v>1.0154393099626999</v>
      </c>
      <c r="D5099">
        <v>0.86412799818224095</v>
      </c>
      <c r="E5099">
        <v>0.48332670406292</v>
      </c>
      <c r="F5099">
        <v>0.47057965430835502</v>
      </c>
      <c r="G5099">
        <v>0.463517682328278</v>
      </c>
      <c r="H5099">
        <v>0.29312042010580502</v>
      </c>
      <c r="I5099">
        <v>0.212106710255278</v>
      </c>
      <c r="J5099">
        <v>0.172802935889391</v>
      </c>
      <c r="K5099">
        <v>9.0607911226112406E-2</v>
      </c>
      <c r="L5099">
        <v>566.14731151535602</v>
      </c>
      <c r="M5099">
        <v>10.959616487985301</v>
      </c>
      <c r="N5099">
        <v>52.878631140446402</v>
      </c>
      <c r="O5099">
        <v>50.027054071362898</v>
      </c>
      <c r="P5099">
        <v>-4.8662272912142097E-2</v>
      </c>
      <c r="Q5099">
        <v>0.111794691391625</v>
      </c>
      <c r="R5099">
        <v>0.94497123036564401</v>
      </c>
      <c r="S5099" t="s">
        <v>10925</v>
      </c>
      <c r="T5099" t="s">
        <v>11650</v>
      </c>
      <c r="U5099" t="s">
        <v>11650</v>
      </c>
      <c r="V5099" t="s">
        <v>11650</v>
      </c>
      <c r="W5099" t="s">
        <v>16693</v>
      </c>
      <c r="X5099">
        <v>3</v>
      </c>
      <c r="Y5099" t="s">
        <v>22362</v>
      </c>
      <c r="Z5099" t="s">
        <v>28161</v>
      </c>
      <c r="AA5099">
        <v>0.48818058555120197</v>
      </c>
      <c r="AB5099" t="str">
        <f>HYPERLINK("Melting_Curves/meltCurve_Q9HB20_PLEKHA3.pdf", "Melting_Curves/meltCurve_Q9HB20_PLEKHA3.pdf")</f>
        <v>Melting_Curves/meltCurve_Q9HB20_PLEKHA3.pdf</v>
      </c>
    </row>
    <row r="5100" spans="1:28" x14ac:dyDescent="0.25">
      <c r="A5100" t="s">
        <v>5104</v>
      </c>
      <c r="B5100">
        <v>0.99996721820229495</v>
      </c>
      <c r="C5100">
        <v>1.02448519429129</v>
      </c>
      <c r="D5100">
        <v>1.0234314008921499</v>
      </c>
      <c r="E5100">
        <v>1.10596490397487</v>
      </c>
      <c r="F5100">
        <v>1.38055183017665</v>
      </c>
      <c r="G5100">
        <v>1.39393697436342</v>
      </c>
      <c r="H5100">
        <v>0.88845204783283505</v>
      </c>
      <c r="I5100">
        <v>0.42914679640355602</v>
      </c>
      <c r="J5100">
        <v>0.26660092645329497</v>
      </c>
      <c r="K5100">
        <v>0.206626220602632</v>
      </c>
      <c r="L5100">
        <v>3849.6000285810601</v>
      </c>
      <c r="M5100">
        <v>61.193381060963503</v>
      </c>
      <c r="N5100">
        <v>63.535421774642899</v>
      </c>
      <c r="O5100">
        <v>62.841700485623498</v>
      </c>
      <c r="P5100">
        <v>-0.18828698889058501</v>
      </c>
      <c r="Q5100">
        <v>0.226565550613927</v>
      </c>
      <c r="R5100">
        <v>0.80981477948982195</v>
      </c>
      <c r="S5100" t="s">
        <v>10926</v>
      </c>
      <c r="T5100" t="s">
        <v>11650</v>
      </c>
      <c r="U5100" t="s">
        <v>11650</v>
      </c>
      <c r="V5100" t="s">
        <v>11650</v>
      </c>
      <c r="W5100" t="s">
        <v>16694</v>
      </c>
      <c r="X5100">
        <v>9</v>
      </c>
      <c r="Y5100" t="s">
        <v>22363</v>
      </c>
      <c r="Z5100" t="s">
        <v>28162</v>
      </c>
      <c r="AA5100">
        <v>0.81854086066406329</v>
      </c>
      <c r="AB5100" t="str">
        <f>HYPERLINK("Melting_Curves/meltCurve_Q9HB40_SCPEP1.pdf", "Melting_Curves/meltCurve_Q9HB40_SCPEP1.pdf")</f>
        <v>Melting_Curves/meltCurve_Q9HB40_SCPEP1.pdf</v>
      </c>
    </row>
    <row r="5101" spans="1:28" x14ac:dyDescent="0.25">
      <c r="A5101" t="s">
        <v>5105</v>
      </c>
      <c r="B5101">
        <v>0.99996721820229495</v>
      </c>
      <c r="C5101">
        <v>0.88573046383748899</v>
      </c>
      <c r="D5101">
        <v>0.81775026674224205</v>
      </c>
      <c r="E5101">
        <v>0.84795791377503205</v>
      </c>
      <c r="F5101">
        <v>0.53402730553828603</v>
      </c>
      <c r="G5101">
        <v>0.268729661093982</v>
      </c>
      <c r="H5101">
        <v>0.135575491798614</v>
      </c>
      <c r="I5101">
        <v>0.11656484613885</v>
      </c>
      <c r="J5101">
        <v>7.9917787319204001E-2</v>
      </c>
      <c r="K5101">
        <v>6.1630027523513001E-2</v>
      </c>
      <c r="L5101">
        <v>802.26104943737698</v>
      </c>
      <c r="M5101">
        <v>15.006977675498799</v>
      </c>
      <c r="N5101">
        <v>53.648955414130597</v>
      </c>
      <c r="O5101">
        <v>52.536859078833601</v>
      </c>
      <c r="P5101">
        <v>-6.9572918747056706E-2</v>
      </c>
      <c r="Q5101">
        <v>2.58463116905467E-2</v>
      </c>
      <c r="R5101">
        <v>0.97604394145940898</v>
      </c>
      <c r="S5101" t="s">
        <v>10927</v>
      </c>
      <c r="T5101" t="s">
        <v>11650</v>
      </c>
      <c r="U5101" t="s">
        <v>11650</v>
      </c>
      <c r="V5101" t="s">
        <v>11650</v>
      </c>
      <c r="W5101" t="s">
        <v>16695</v>
      </c>
      <c r="X5101">
        <v>19</v>
      </c>
      <c r="Y5101" t="s">
        <v>22364</v>
      </c>
      <c r="Z5101" t="s">
        <v>28163</v>
      </c>
      <c r="AA5101">
        <v>0.48341663721181188</v>
      </c>
      <c r="AB5101" t="str">
        <f>HYPERLINK("Melting_Curves/meltCurve_Q9HB71_CACYBP.pdf", "Melting_Curves/meltCurve_Q9HB71_CACYBP.pdf")</f>
        <v>Melting_Curves/meltCurve_Q9HB71_CACYBP.pdf</v>
      </c>
    </row>
    <row r="5102" spans="1:28" x14ac:dyDescent="0.25">
      <c r="A5102" t="s">
        <v>5106</v>
      </c>
      <c r="B5102">
        <v>0.99996721820229495</v>
      </c>
      <c r="C5102">
        <v>0.94107240982499396</v>
      </c>
      <c r="D5102">
        <v>1.06561671965435</v>
      </c>
      <c r="E5102">
        <v>1.1388831735318601</v>
      </c>
      <c r="F5102">
        <v>1.2804012297631999</v>
      </c>
      <c r="G5102">
        <v>1.3199653992868501</v>
      </c>
      <c r="H5102">
        <v>0.93614935140410305</v>
      </c>
      <c r="I5102">
        <v>0.59478985256119898</v>
      </c>
      <c r="J5102">
        <v>0.24855220137700301</v>
      </c>
      <c r="K5102">
        <v>0.152809510526248</v>
      </c>
      <c r="L5102">
        <v>3300.9440369746299</v>
      </c>
      <c r="M5102">
        <v>51.466562087488398</v>
      </c>
      <c r="N5102">
        <v>64.589227178837106</v>
      </c>
      <c r="O5102">
        <v>64.041031588312094</v>
      </c>
      <c r="P5102">
        <v>-0.17055397192604499</v>
      </c>
      <c r="Q5102">
        <v>0.15110365681664001</v>
      </c>
      <c r="R5102">
        <v>0.85898479166071595</v>
      </c>
      <c r="S5102" t="s">
        <v>10928</v>
      </c>
      <c r="T5102" t="s">
        <v>11650</v>
      </c>
      <c r="U5102" t="s">
        <v>11650</v>
      </c>
      <c r="V5102" t="s">
        <v>11650</v>
      </c>
      <c r="W5102" t="s">
        <v>16696</v>
      </c>
      <c r="X5102">
        <v>11</v>
      </c>
      <c r="Y5102" t="s">
        <v>22365</v>
      </c>
      <c r="Z5102" t="s">
        <v>28164</v>
      </c>
      <c r="AA5102">
        <v>0.83579569198864856</v>
      </c>
      <c r="AB5102" t="str">
        <f>HYPERLINK("Melting_Curves/meltCurve_Q9HB90_RRAGC.pdf", "Melting_Curves/meltCurve_Q9HB90_RRAGC.pdf")</f>
        <v>Melting_Curves/meltCurve_Q9HB90_RRAGC.pdf</v>
      </c>
    </row>
    <row r="5103" spans="1:28" x14ac:dyDescent="0.25">
      <c r="A5103" t="s">
        <v>5107</v>
      </c>
      <c r="B5103">
        <v>0.99996721820229495</v>
      </c>
      <c r="C5103">
        <v>0.90979404848587797</v>
      </c>
      <c r="D5103">
        <v>0.91886158243139304</v>
      </c>
      <c r="E5103">
        <v>0.92698847048029998</v>
      </c>
      <c r="F5103">
        <v>1.0967093878072001</v>
      </c>
      <c r="G5103">
        <v>1.2104787495798299</v>
      </c>
      <c r="H5103">
        <v>0.87738029316886701</v>
      </c>
      <c r="I5103">
        <v>0.83003955898028503</v>
      </c>
      <c r="J5103">
        <v>0.66580000978173204</v>
      </c>
      <c r="K5103">
        <v>0.44395180931243</v>
      </c>
      <c r="L5103">
        <v>1647.5263603515</v>
      </c>
      <c r="M5103">
        <v>24.395130320060002</v>
      </c>
      <c r="N5103">
        <v>69.155313348828997</v>
      </c>
      <c r="O5103">
        <v>67.086132849778807</v>
      </c>
      <c r="P5103">
        <v>-7.1121752165375196E-2</v>
      </c>
      <c r="Q5103">
        <v>0.217677699949723</v>
      </c>
      <c r="R5103">
        <v>0.79955567435608998</v>
      </c>
      <c r="S5103" t="s">
        <v>10929</v>
      </c>
      <c r="T5103" t="s">
        <v>11650</v>
      </c>
      <c r="U5103" t="s">
        <v>11650</v>
      </c>
      <c r="V5103" t="s">
        <v>11650</v>
      </c>
      <c r="W5103" t="s">
        <v>16697</v>
      </c>
      <c r="X5103">
        <v>2</v>
      </c>
      <c r="Y5103" t="s">
        <v>22366</v>
      </c>
      <c r="Z5103" t="s">
        <v>28165</v>
      </c>
      <c r="AA5103">
        <v>0.91534780937341531</v>
      </c>
      <c r="AB5103" t="str">
        <f>HYPERLINK("Melting_Curves/meltCurve_Q9HBD4_SMARCA4.pdf", "Melting_Curves/meltCurve_Q9HBD4_SMARCA4.pdf")</f>
        <v>Melting_Curves/meltCurve_Q9HBD4_SMARCA4.pdf</v>
      </c>
    </row>
    <row r="5104" spans="1:28" x14ac:dyDescent="0.25">
      <c r="A5104" t="s">
        <v>5108</v>
      </c>
      <c r="B5104">
        <v>0.99996721820229495</v>
      </c>
      <c r="C5104">
        <v>0.82674838248808402</v>
      </c>
      <c r="D5104">
        <v>0.85522425265623503</v>
      </c>
      <c r="E5104">
        <v>0.62353177476885202</v>
      </c>
      <c r="F5104">
        <v>0.364252274104298</v>
      </c>
      <c r="G5104">
        <v>0.30009925789955999</v>
      </c>
      <c r="H5104">
        <v>0.19615939063857901</v>
      </c>
      <c r="I5104">
        <v>0.12980200410598799</v>
      </c>
      <c r="J5104">
        <v>0.121705194355732</v>
      </c>
      <c r="K5104">
        <v>0.113053972203967</v>
      </c>
      <c r="L5104">
        <v>630.62230553618497</v>
      </c>
      <c r="M5104">
        <v>12.390485645861901</v>
      </c>
      <c r="N5104">
        <v>51.607100387022498</v>
      </c>
      <c r="O5104">
        <v>49.624474099536101</v>
      </c>
      <c r="P5104">
        <v>-5.7532995875422002E-2</v>
      </c>
      <c r="Q5104">
        <v>7.8506850199578301E-2</v>
      </c>
      <c r="R5104">
        <v>0.98301888022270201</v>
      </c>
      <c r="S5104" t="s">
        <v>10930</v>
      </c>
      <c r="T5104" t="s">
        <v>11650</v>
      </c>
      <c r="U5104" t="s">
        <v>11650</v>
      </c>
      <c r="V5104" t="s">
        <v>11650</v>
      </c>
      <c r="W5104" t="s">
        <v>16698</v>
      </c>
      <c r="X5104">
        <v>12</v>
      </c>
      <c r="Y5104" t="s">
        <v>22367</v>
      </c>
      <c r="Z5104" t="s">
        <v>28166</v>
      </c>
      <c r="AA5104">
        <v>0.44204527932206661</v>
      </c>
      <c r="AB5104" t="str">
        <f>HYPERLINK("Melting_Curves/meltCurve_Q9HBH5_RDH14.pdf", "Melting_Curves/meltCurve_Q9HBH5_RDH14.pdf")</f>
        <v>Melting_Curves/meltCurve_Q9HBH5_RDH14.pdf</v>
      </c>
    </row>
    <row r="5105" spans="1:28" x14ac:dyDescent="0.25">
      <c r="A5105" t="s">
        <v>5109</v>
      </c>
      <c r="B5105">
        <v>0.99996721820229495</v>
      </c>
      <c r="C5105">
        <v>0.66722631589692705</v>
      </c>
      <c r="D5105">
        <v>0.59971676112518102</v>
      </c>
      <c r="E5105">
        <v>0.78025720195160397</v>
      </c>
      <c r="F5105">
        <v>0.48438886925052699</v>
      </c>
      <c r="G5105">
        <v>0.43149542354528603</v>
      </c>
      <c r="H5105">
        <v>0.31904320481668003</v>
      </c>
      <c r="I5105">
        <v>0.26282624740111898</v>
      </c>
      <c r="J5105">
        <v>0.21808248698291499</v>
      </c>
      <c r="K5105">
        <v>0.17145249308202401</v>
      </c>
      <c r="L5105">
        <v>312.59876403285199</v>
      </c>
      <c r="M5105">
        <v>5.8566370236813396</v>
      </c>
      <c r="N5105">
        <v>53.375130169867603</v>
      </c>
      <c r="O5105">
        <v>48.141558105602599</v>
      </c>
      <c r="P5105">
        <v>-3.0520966097267899E-2</v>
      </c>
      <c r="Q5105">
        <v>0</v>
      </c>
      <c r="R5105">
        <v>0.86905703187466898</v>
      </c>
      <c r="S5105" t="s">
        <v>10931</v>
      </c>
      <c r="T5105" t="s">
        <v>11650</v>
      </c>
      <c r="U5105" t="s">
        <v>11650</v>
      </c>
      <c r="V5105" t="s">
        <v>11650</v>
      </c>
      <c r="W5105" t="s">
        <v>16699</v>
      </c>
      <c r="X5105">
        <v>2</v>
      </c>
      <c r="Y5105" t="s">
        <v>22368</v>
      </c>
      <c r="Z5105" t="s">
        <v>28167</v>
      </c>
      <c r="AA5105">
        <v>0.48991039618375232</v>
      </c>
      <c r="AB5105" t="str">
        <f>HYPERLINK("Melting_Curves/meltCurve_Q9HBI1_PARVB.pdf", "Melting_Curves/meltCurve_Q9HBI1_PARVB.pdf")</f>
        <v>Melting_Curves/meltCurve_Q9HBI1_PARVB.pdf</v>
      </c>
    </row>
    <row r="5106" spans="1:28" x14ac:dyDescent="0.25">
      <c r="A5106" t="s">
        <v>5110</v>
      </c>
      <c r="B5106">
        <v>0.99996721820229495</v>
      </c>
      <c r="C5106">
        <v>0.77115975431566897</v>
      </c>
      <c r="D5106">
        <v>1.10749579506462</v>
      </c>
      <c r="E5106">
        <v>1.6757485954406801</v>
      </c>
      <c r="F5106">
        <v>2.6684196664337101</v>
      </c>
      <c r="G5106">
        <v>3.31727280604682</v>
      </c>
      <c r="H5106">
        <v>2.5298698473456902</v>
      </c>
      <c r="I5106">
        <v>1.3855418535476201</v>
      </c>
      <c r="J5106">
        <v>0.89830530536938602</v>
      </c>
      <c r="K5106">
        <v>1.25634033120769</v>
      </c>
      <c r="L5106">
        <v>11559.5743930961</v>
      </c>
      <c r="M5106">
        <v>250</v>
      </c>
      <c r="O5106">
        <v>46.235350323762198</v>
      </c>
      <c r="P5106">
        <v>0.67588993468476599</v>
      </c>
      <c r="Q5106">
        <v>1.5</v>
      </c>
      <c r="R5106">
        <v>9.0786763864722397E-2</v>
      </c>
      <c r="S5106" t="s">
        <v>10932</v>
      </c>
      <c r="T5106" t="s">
        <v>11650</v>
      </c>
      <c r="U5106" t="s">
        <v>11650</v>
      </c>
      <c r="V5106" t="s">
        <v>11650</v>
      </c>
      <c r="W5106" t="s">
        <v>16700</v>
      </c>
      <c r="X5106">
        <v>2</v>
      </c>
      <c r="Y5106" t="s">
        <v>22369</v>
      </c>
      <c r="Z5106" t="s">
        <v>28168</v>
      </c>
      <c r="AA5106">
        <v>1.3959878000473189</v>
      </c>
      <c r="AB5106" t="str">
        <f>HYPERLINK("Melting_Curves/meltCurve_Q9HBL7_PLGRKT.pdf", "Melting_Curves/meltCurve_Q9HBL7_PLGRKT.pdf")</f>
        <v>Melting_Curves/meltCurve_Q9HBL7_PLGRKT.pdf</v>
      </c>
    </row>
    <row r="5107" spans="1:28" x14ac:dyDescent="0.25">
      <c r="A5107" t="s">
        <v>5111</v>
      </c>
      <c r="B5107">
        <v>0.99996721820229495</v>
      </c>
      <c r="C5107">
        <v>0.95416216519158803</v>
      </c>
      <c r="D5107">
        <v>0.73658199392325996</v>
      </c>
      <c r="E5107">
        <v>0.36022085887671301</v>
      </c>
      <c r="F5107">
        <v>0.285846177492596</v>
      </c>
      <c r="G5107">
        <v>0.23615579041009199</v>
      </c>
      <c r="H5107">
        <v>0.137458969691616</v>
      </c>
      <c r="I5107">
        <v>0.108006530578604</v>
      </c>
      <c r="J5107">
        <v>7.2360556757771699E-2</v>
      </c>
      <c r="K5107">
        <v>5.9112201522123098E-2</v>
      </c>
      <c r="L5107">
        <v>852.12197576921301</v>
      </c>
      <c r="M5107">
        <v>17.643870123400799</v>
      </c>
      <c r="N5107">
        <v>48.9133256092015</v>
      </c>
      <c r="O5107">
        <v>47.688053603313399</v>
      </c>
      <c r="P5107">
        <v>-8.3263431597463397E-2</v>
      </c>
      <c r="Q5107">
        <v>9.9866638659269896E-2</v>
      </c>
      <c r="R5107">
        <v>0.98639916222950896</v>
      </c>
      <c r="S5107" t="s">
        <v>10933</v>
      </c>
      <c r="T5107" t="s">
        <v>11650</v>
      </c>
      <c r="U5107" t="s">
        <v>11650</v>
      </c>
      <c r="V5107" t="s">
        <v>11650</v>
      </c>
      <c r="W5107" t="s">
        <v>16701</v>
      </c>
      <c r="X5107">
        <v>11</v>
      </c>
      <c r="Y5107" t="s">
        <v>22370</v>
      </c>
      <c r="Z5107" t="s">
        <v>28169</v>
      </c>
      <c r="AA5107">
        <v>0.36527492822915941</v>
      </c>
      <c r="AB5107" t="str">
        <f>HYPERLINK("Melting_Curves/meltCurve_Q9HBL8_NMRAL1.pdf", "Melting_Curves/meltCurve_Q9HBL8_NMRAL1.pdf")</f>
        <v>Melting_Curves/meltCurve_Q9HBL8_NMRAL1.pdf</v>
      </c>
    </row>
    <row r="5108" spans="1:28" x14ac:dyDescent="0.25">
      <c r="A5108" t="s">
        <v>5112</v>
      </c>
      <c r="B5108">
        <v>0.99996721820229495</v>
      </c>
      <c r="C5108">
        <v>1.12525335933417</v>
      </c>
      <c r="D5108">
        <v>0.94625480656326799</v>
      </c>
      <c r="E5108">
        <v>0.90622668946176099</v>
      </c>
      <c r="F5108">
        <v>2.78808133386236</v>
      </c>
      <c r="G5108">
        <v>1.8912773985893101</v>
      </c>
      <c r="H5108">
        <v>1.46091074542405</v>
      </c>
      <c r="I5108">
        <v>1.5780459616254201</v>
      </c>
      <c r="J5108">
        <v>1.1018338775533401</v>
      </c>
      <c r="K5108">
        <v>0.75263686621861903</v>
      </c>
      <c r="L5108">
        <v>1190.2358480811399</v>
      </c>
      <c r="M5108">
        <v>10.5163241008154</v>
      </c>
      <c r="Q5108">
        <v>4.4913773588228796E-15</v>
      </c>
      <c r="R5108">
        <v>-0.37332623636902301</v>
      </c>
      <c r="S5108" t="s">
        <v>10934</v>
      </c>
      <c r="T5108" t="s">
        <v>11650</v>
      </c>
      <c r="U5108" t="s">
        <v>11650</v>
      </c>
      <c r="V5108" t="s">
        <v>11650</v>
      </c>
      <c r="W5108" t="s">
        <v>16702</v>
      </c>
      <c r="X5108">
        <v>2</v>
      </c>
      <c r="Y5108" t="s">
        <v>22371</v>
      </c>
      <c r="Z5108" t="s">
        <v>28170</v>
      </c>
      <c r="AA5108">
        <v>0.99981218944907391</v>
      </c>
      <c r="AB5108" t="str">
        <f>HYPERLINK("Melting_Curves/meltCurve_Q9HBM6_TAF9B.pdf", "Melting_Curves/meltCurve_Q9HBM6_TAF9B.pdf")</f>
        <v>Melting_Curves/meltCurve_Q9HBM6_TAF9B.pdf</v>
      </c>
    </row>
    <row r="5109" spans="1:28" x14ac:dyDescent="0.25">
      <c r="A5109" t="s">
        <v>5113</v>
      </c>
      <c r="B5109">
        <v>0.99996721820229495</v>
      </c>
      <c r="C5109">
        <v>0.96849330071100903</v>
      </c>
      <c r="D5109">
        <v>0.89707878126926899</v>
      </c>
      <c r="E5109">
        <v>0.75106965721815899</v>
      </c>
      <c r="F5109">
        <v>0.54249037138860201</v>
      </c>
      <c r="G5109">
        <v>0.38899498071753502</v>
      </c>
      <c r="H5109">
        <v>0.19354812201771901</v>
      </c>
      <c r="I5109">
        <v>0.117101483309451</v>
      </c>
      <c r="J5109">
        <v>5.1741204206661298E-2</v>
      </c>
      <c r="K5109">
        <v>5.7094733007460201E-2</v>
      </c>
      <c r="L5109">
        <v>687.65240774660901</v>
      </c>
      <c r="M5109">
        <v>12.6893023142076</v>
      </c>
      <c r="N5109">
        <v>54.191506256936499</v>
      </c>
      <c r="O5109">
        <v>52.898496608046599</v>
      </c>
      <c r="P5109">
        <v>-5.9981693056588098E-2</v>
      </c>
      <c r="Q5109">
        <v>0</v>
      </c>
      <c r="R5109">
        <v>0.99728801001139999</v>
      </c>
      <c r="S5109" t="s">
        <v>10935</v>
      </c>
      <c r="T5109" t="s">
        <v>11650</v>
      </c>
      <c r="U5109" t="s">
        <v>11650</v>
      </c>
      <c r="V5109" t="s">
        <v>11650</v>
      </c>
      <c r="W5109" t="s">
        <v>16703</v>
      </c>
      <c r="X5109">
        <v>6</v>
      </c>
      <c r="Y5109" t="s">
        <v>22372</v>
      </c>
      <c r="Z5109" t="s">
        <v>28171</v>
      </c>
      <c r="AA5109">
        <v>0.49739624586673248</v>
      </c>
      <c r="AB5109" t="str">
        <f>HYPERLINK("Melting_Curves/meltCurve_Q9HBM8_AGPAT1.pdf", "Melting_Curves/meltCurve_Q9HBM8_AGPAT1.pdf")</f>
        <v>Melting_Curves/meltCurve_Q9HBM8_AGPAT1.pdf</v>
      </c>
    </row>
    <row r="5110" spans="1:28" x14ac:dyDescent="0.25">
      <c r="A5110" t="s">
        <v>5114</v>
      </c>
      <c r="B5110">
        <v>0.99996721820229495</v>
      </c>
      <c r="C5110">
        <v>0.69983696658118</v>
      </c>
      <c r="D5110">
        <v>0.76506263600662605</v>
      </c>
      <c r="E5110">
        <v>1.1388636812083801</v>
      </c>
      <c r="F5110">
        <v>1.3280124821182</v>
      </c>
      <c r="G5110">
        <v>1.00644817231981</v>
      </c>
      <c r="H5110">
        <v>0.78005917604521202</v>
      </c>
      <c r="I5110">
        <v>0.52910745654418101</v>
      </c>
      <c r="J5110">
        <v>0.372497391311854</v>
      </c>
      <c r="K5110">
        <v>0.34209387110019501</v>
      </c>
      <c r="L5110">
        <v>2376.2544486585498</v>
      </c>
      <c r="M5110">
        <v>38.124997708780299</v>
      </c>
      <c r="N5110">
        <v>64.185642727065002</v>
      </c>
      <c r="O5110">
        <v>62.157252393669602</v>
      </c>
      <c r="P5110">
        <v>-0.102105505749177</v>
      </c>
      <c r="Q5110">
        <v>0.334129127685795</v>
      </c>
      <c r="R5110">
        <v>0.712745633340791</v>
      </c>
      <c r="S5110" t="s">
        <v>10936</v>
      </c>
      <c r="T5110" t="s">
        <v>11650</v>
      </c>
      <c r="U5110" t="s">
        <v>11650</v>
      </c>
      <c r="V5110" t="s">
        <v>11650</v>
      </c>
      <c r="W5110" t="s">
        <v>16704</v>
      </c>
      <c r="X5110">
        <v>22</v>
      </c>
      <c r="Y5110" t="s">
        <v>22373</v>
      </c>
      <c r="Z5110" t="s">
        <v>28172</v>
      </c>
      <c r="AA5110">
        <v>0.83213477887424103</v>
      </c>
      <c r="AB5110" t="str">
        <f>HYPERLINK("Melting_Curves/meltCurve_Q9HBR0_SLC38A10.pdf", "Melting_Curves/meltCurve_Q9HBR0_SLC38A10.pdf")</f>
        <v>Melting_Curves/meltCurve_Q9HBR0_SLC38A10.pdf</v>
      </c>
    </row>
    <row r="5111" spans="1:28" x14ac:dyDescent="0.25">
      <c r="A5111" t="s">
        <v>5115</v>
      </c>
      <c r="B5111">
        <v>0.99996721820229495</v>
      </c>
      <c r="C5111">
        <v>0.99176453629109296</v>
      </c>
      <c r="D5111">
        <v>0.93197782273080898</v>
      </c>
      <c r="E5111">
        <v>0.72797726220024495</v>
      </c>
      <c r="F5111">
        <v>0.69302279345170903</v>
      </c>
      <c r="G5111">
        <v>0.52804430975468797</v>
      </c>
      <c r="H5111">
        <v>0.29430150359724799</v>
      </c>
      <c r="I5111">
        <v>0.196298310795706</v>
      </c>
      <c r="J5111">
        <v>0.177229973599387</v>
      </c>
      <c r="K5111">
        <v>7.6019759524431102E-2</v>
      </c>
      <c r="L5111">
        <v>611.36103944180002</v>
      </c>
      <c r="M5111">
        <v>10.822904784994501</v>
      </c>
      <c r="N5111">
        <v>56.487704758692402</v>
      </c>
      <c r="O5111">
        <v>54.661786082054299</v>
      </c>
      <c r="P5111">
        <v>-4.9517185314566899E-2</v>
      </c>
      <c r="Q5111">
        <v>0</v>
      </c>
      <c r="R5111">
        <v>0.98951293873921597</v>
      </c>
      <c r="S5111" t="s">
        <v>10937</v>
      </c>
      <c r="T5111" t="s">
        <v>11650</v>
      </c>
      <c r="U5111" t="s">
        <v>11650</v>
      </c>
      <c r="V5111" t="s">
        <v>11650</v>
      </c>
      <c r="W5111" t="s">
        <v>16705</v>
      </c>
      <c r="X5111">
        <v>2</v>
      </c>
      <c r="Y5111" t="s">
        <v>22374</v>
      </c>
      <c r="Z5111" t="s">
        <v>28173</v>
      </c>
      <c r="AA5111">
        <v>0.56844209984468752</v>
      </c>
      <c r="AB5111" t="str">
        <f>HYPERLINK("Melting_Curves/meltCurve_Q9HBU6_ETNK1.pdf", "Melting_Curves/meltCurve_Q9HBU6_ETNK1.pdf")</f>
        <v>Melting_Curves/meltCurve_Q9HBU6_ETNK1.pdf</v>
      </c>
    </row>
    <row r="5112" spans="1:28" x14ac:dyDescent="0.25">
      <c r="A5112" t="s">
        <v>5116</v>
      </c>
      <c r="B5112">
        <v>0.99996721820229495</v>
      </c>
      <c r="C5112">
        <v>1.01029258290777</v>
      </c>
      <c r="D5112">
        <v>0.94747308590984602</v>
      </c>
      <c r="E5112">
        <v>1.0024898776215301</v>
      </c>
      <c r="F5112">
        <v>1.02489066894578</v>
      </c>
      <c r="G5112">
        <v>0.94352421955472399</v>
      </c>
      <c r="H5112">
        <v>0.49627259020508302</v>
      </c>
      <c r="I5112">
        <v>0.30792364954938201</v>
      </c>
      <c r="J5112">
        <v>0.221165532279227</v>
      </c>
      <c r="K5112">
        <v>0.171879643740946</v>
      </c>
      <c r="L5112">
        <v>2329.9769571877</v>
      </c>
      <c r="M5112">
        <v>38.6098293531034</v>
      </c>
      <c r="N5112">
        <v>61.132801897246203</v>
      </c>
      <c r="O5112">
        <v>60.185524388686801</v>
      </c>
      <c r="P5112">
        <v>-0.12899910466700501</v>
      </c>
      <c r="Q5112">
        <v>0.19565972190348499</v>
      </c>
      <c r="R5112">
        <v>0.99475545598810799</v>
      </c>
      <c r="S5112" t="s">
        <v>10938</v>
      </c>
      <c r="T5112" t="s">
        <v>11650</v>
      </c>
      <c r="U5112" t="s">
        <v>11650</v>
      </c>
      <c r="V5112" t="s">
        <v>11650</v>
      </c>
      <c r="W5112" t="s">
        <v>16706</v>
      </c>
      <c r="X5112">
        <v>1</v>
      </c>
      <c r="Y5112" t="s">
        <v>22375</v>
      </c>
      <c r="Z5112" t="s">
        <v>28174</v>
      </c>
      <c r="AA5112">
        <v>0.74449524089720087</v>
      </c>
      <c r="AB5112" t="str">
        <f>HYPERLINK("Melting_Curves/meltCurve_Q9HBZ2_2_ARNT2.pdf", "Melting_Curves/meltCurve_Q9HBZ2_2_ARNT2.pdf")</f>
        <v>Melting_Curves/meltCurve_Q9HBZ2_2_ARNT2.pdf</v>
      </c>
    </row>
    <row r="5113" spans="1:28" x14ac:dyDescent="0.25">
      <c r="A5113" t="s">
        <v>5117</v>
      </c>
      <c r="B5113">
        <v>0.99996721820229495</v>
      </c>
      <c r="C5113">
        <v>0.91178206922128702</v>
      </c>
      <c r="D5113">
        <v>0.83094855658993005</v>
      </c>
      <c r="E5113">
        <v>0.82185595324827099</v>
      </c>
      <c r="F5113">
        <v>1.00903465125295</v>
      </c>
      <c r="G5113">
        <v>1.0049967727067699</v>
      </c>
      <c r="H5113">
        <v>0.51206736454825497</v>
      </c>
      <c r="I5113">
        <v>0.39883042648720102</v>
      </c>
      <c r="J5113">
        <v>0.25350341516738301</v>
      </c>
      <c r="K5113">
        <v>0.27540137294869399</v>
      </c>
      <c r="L5113">
        <v>3172.6539547881398</v>
      </c>
      <c r="M5113">
        <v>52.676073152567497</v>
      </c>
      <c r="N5113">
        <v>61.2541224734263</v>
      </c>
      <c r="O5113">
        <v>60.142891337856</v>
      </c>
      <c r="P5113">
        <v>-0.154841059159565</v>
      </c>
      <c r="Q5113">
        <v>0.29284155105236898</v>
      </c>
      <c r="R5113">
        <v>0.90939763058816903</v>
      </c>
      <c r="S5113" t="s">
        <v>10939</v>
      </c>
      <c r="T5113" t="s">
        <v>11650</v>
      </c>
      <c r="U5113" t="s">
        <v>11650</v>
      </c>
      <c r="V5113" t="s">
        <v>11650</v>
      </c>
      <c r="W5113" t="s">
        <v>16707</v>
      </c>
      <c r="X5113">
        <v>4</v>
      </c>
      <c r="Y5113" t="s">
        <v>22376</v>
      </c>
      <c r="Z5113" t="s">
        <v>28175</v>
      </c>
      <c r="AA5113">
        <v>0.77135778628233953</v>
      </c>
      <c r="AB5113" t="str">
        <f>HYPERLINK("Melting_Curves/meltCurve_Q9HC21_SLC25A19.pdf", "Melting_Curves/meltCurve_Q9HC21_SLC25A19.pdf")</f>
        <v>Melting_Curves/meltCurve_Q9HC21_SLC25A19.pdf</v>
      </c>
    </row>
    <row r="5114" spans="1:28" x14ac:dyDescent="0.25">
      <c r="A5114" t="s">
        <v>5118</v>
      </c>
      <c r="B5114">
        <v>0.99996721820229495</v>
      </c>
      <c r="C5114">
        <v>1.0727929887890799</v>
      </c>
      <c r="D5114">
        <v>0.93842880061355705</v>
      </c>
      <c r="E5114">
        <v>0.68778567903561605</v>
      </c>
      <c r="F5114">
        <v>0.49646366792156499</v>
      </c>
      <c r="G5114">
        <v>0.34459910007810002</v>
      </c>
      <c r="H5114">
        <v>0.24932818945551999</v>
      </c>
      <c r="I5114">
        <v>0.18817635909202199</v>
      </c>
      <c r="J5114">
        <v>0.16578669994207301</v>
      </c>
      <c r="K5114">
        <v>0.108210365530733</v>
      </c>
      <c r="L5114">
        <v>850.83137529830105</v>
      </c>
      <c r="M5114">
        <v>16.299541610221599</v>
      </c>
      <c r="N5114">
        <v>53.283799474758503</v>
      </c>
      <c r="O5114">
        <v>51.432965951433196</v>
      </c>
      <c r="P5114">
        <v>-6.8051639942886294E-2</v>
      </c>
      <c r="Q5114">
        <v>0.141118865159468</v>
      </c>
      <c r="R5114">
        <v>0.98745492871674201</v>
      </c>
      <c r="S5114" t="s">
        <v>10940</v>
      </c>
      <c r="T5114" t="s">
        <v>11650</v>
      </c>
      <c r="U5114" t="s">
        <v>11650</v>
      </c>
      <c r="V5114" t="s">
        <v>11650</v>
      </c>
      <c r="W5114" t="s">
        <v>16708</v>
      </c>
      <c r="X5114">
        <v>26</v>
      </c>
      <c r="Y5114" t="s">
        <v>22377</v>
      </c>
      <c r="Z5114" t="s">
        <v>28176</v>
      </c>
      <c r="AA5114">
        <v>0.5071568869774381</v>
      </c>
      <c r="AB5114" t="str">
        <f>HYPERLINK("Melting_Curves/meltCurve_Q9HC35_EML4.pdf", "Melting_Curves/meltCurve_Q9HC35_EML4.pdf")</f>
        <v>Melting_Curves/meltCurve_Q9HC35_EML4.pdf</v>
      </c>
    </row>
    <row r="5115" spans="1:28" x14ac:dyDescent="0.25">
      <c r="A5115" t="s">
        <v>5119</v>
      </c>
      <c r="B5115">
        <v>0.99996721820229495</v>
      </c>
      <c r="C5115">
        <v>1.0785698139105899</v>
      </c>
      <c r="D5115">
        <v>0.99056478325437702</v>
      </c>
      <c r="E5115">
        <v>0.87584395581498098</v>
      </c>
      <c r="F5115">
        <v>0.37388344312935201</v>
      </c>
      <c r="G5115">
        <v>0.27135248003461798</v>
      </c>
      <c r="H5115">
        <v>0.15785520014885901</v>
      </c>
      <c r="I5115">
        <v>0.109454499496564</v>
      </c>
      <c r="J5115">
        <v>9.1718874467127995E-2</v>
      </c>
      <c r="K5115">
        <v>5.96068546534263E-2</v>
      </c>
      <c r="L5115">
        <v>1998.90407426616</v>
      </c>
      <c r="M5115">
        <v>38.441895143137899</v>
      </c>
      <c r="N5115">
        <v>52.3963179815049</v>
      </c>
      <c r="O5115">
        <v>51.857948165453202</v>
      </c>
      <c r="P5115">
        <v>-0.16184428314364799</v>
      </c>
      <c r="Q5115">
        <v>0.12669320758008701</v>
      </c>
      <c r="R5115">
        <v>0.98270113526658998</v>
      </c>
      <c r="S5115" t="s">
        <v>10941</v>
      </c>
      <c r="T5115" t="s">
        <v>11650</v>
      </c>
      <c r="U5115" t="s">
        <v>11650</v>
      </c>
      <c r="V5115" t="s">
        <v>11650</v>
      </c>
      <c r="W5115" t="s">
        <v>16709</v>
      </c>
      <c r="X5115">
        <v>26</v>
      </c>
      <c r="Y5115" t="s">
        <v>22378</v>
      </c>
      <c r="Z5115" t="s">
        <v>28177</v>
      </c>
      <c r="AA5115">
        <v>0.47935781550505302</v>
      </c>
      <c r="AB5115" t="str">
        <f>HYPERLINK("Melting_Curves/meltCurve_Q9HC38_2_GLOD4.pdf", "Melting_Curves/meltCurve_Q9HC38_2_GLOD4.pdf")</f>
        <v>Melting_Curves/meltCurve_Q9HC38_2_GLOD4.pdf</v>
      </c>
    </row>
    <row r="5116" spans="1:28" x14ac:dyDescent="0.25">
      <c r="A5116" t="s">
        <v>5120</v>
      </c>
      <c r="B5116">
        <v>0.99996721820229495</v>
      </c>
      <c r="C5116">
        <v>0.88801485731719998</v>
      </c>
      <c r="D5116">
        <v>0.88393828470983205</v>
      </c>
      <c r="E5116">
        <v>0.93754237554473596</v>
      </c>
      <c r="F5116">
        <v>1.4102830896110199</v>
      </c>
      <c r="G5116">
        <v>1.7552850025325</v>
      </c>
      <c r="H5116">
        <v>1.60019125598331</v>
      </c>
      <c r="I5116">
        <v>1.2005036707612899</v>
      </c>
      <c r="J5116">
        <v>0.99150097306808804</v>
      </c>
      <c r="K5116">
        <v>0.784860807691806</v>
      </c>
      <c r="L5116">
        <v>7221.9385196051298</v>
      </c>
      <c r="M5116">
        <v>102.025078519695</v>
      </c>
      <c r="Q5116">
        <v>0.110605317681034</v>
      </c>
      <c r="R5116">
        <v>-0.16378026547841401</v>
      </c>
      <c r="S5116" t="s">
        <v>10942</v>
      </c>
      <c r="T5116" t="s">
        <v>11650</v>
      </c>
      <c r="U5116" t="s">
        <v>11650</v>
      </c>
      <c r="V5116" t="s">
        <v>11650</v>
      </c>
      <c r="W5116" t="s">
        <v>16710</v>
      </c>
      <c r="X5116">
        <v>1</v>
      </c>
      <c r="Y5116" t="s">
        <v>22379</v>
      </c>
      <c r="Z5116" t="s">
        <v>28178</v>
      </c>
      <c r="AA5116">
        <v>0.99455687570054607</v>
      </c>
      <c r="AB5116" t="str">
        <f>HYPERLINK("Melting_Curves/meltCurve_Q9HC56_2_PCDH9.pdf", "Melting_Curves/meltCurve_Q9HC56_2_PCDH9.pdf")</f>
        <v>Melting_Curves/meltCurve_Q9HC56_2_PCDH9.pdf</v>
      </c>
    </row>
    <row r="5117" spans="1:28" x14ac:dyDescent="0.25">
      <c r="A5117" t="s">
        <v>5121</v>
      </c>
      <c r="B5117">
        <v>0.99996721820229495</v>
      </c>
      <c r="C5117">
        <v>0.90074216831282095</v>
      </c>
      <c r="D5117">
        <v>0.89144378745826702</v>
      </c>
      <c r="E5117">
        <v>0.88033383735534598</v>
      </c>
      <c r="F5117">
        <v>1.2720790263847399</v>
      </c>
      <c r="G5117">
        <v>1.4406631559352501</v>
      </c>
      <c r="H5117">
        <v>1.0470736502990301</v>
      </c>
      <c r="I5117">
        <v>0.98020329513563398</v>
      </c>
      <c r="J5117">
        <v>0.97722945204283596</v>
      </c>
      <c r="K5117">
        <v>0.58301634735505403</v>
      </c>
      <c r="L5117">
        <v>5285.8037678690798</v>
      </c>
      <c r="M5117">
        <v>75.176120096903006</v>
      </c>
      <c r="Q5117">
        <v>0</v>
      </c>
      <c r="R5117">
        <v>0.36238401722109498</v>
      </c>
      <c r="S5117" t="s">
        <v>10943</v>
      </c>
      <c r="T5117" t="s">
        <v>11650</v>
      </c>
      <c r="U5117" t="s">
        <v>11650</v>
      </c>
      <c r="V5117" t="s">
        <v>11650</v>
      </c>
      <c r="W5117" t="s">
        <v>16711</v>
      </c>
      <c r="X5117">
        <v>4</v>
      </c>
      <c r="Y5117" t="s">
        <v>22380</v>
      </c>
      <c r="Z5117" t="s">
        <v>28179</v>
      </c>
      <c r="AA5117">
        <v>0.98381471481152571</v>
      </c>
      <c r="AB5117" t="str">
        <f>HYPERLINK("Melting_Curves/meltCurve_Q9HC57_WFDC1.pdf", "Melting_Curves/meltCurve_Q9HC57_WFDC1.pdf")</f>
        <v>Melting_Curves/meltCurve_Q9HC57_WFDC1.pdf</v>
      </c>
    </row>
    <row r="5118" spans="1:28" x14ac:dyDescent="0.25">
      <c r="A5118" t="s">
        <v>5122</v>
      </c>
      <c r="B5118">
        <v>0.99996721820229495</v>
      </c>
      <c r="C5118">
        <v>0.71646532768637095</v>
      </c>
      <c r="D5118">
        <v>0.24633343726305401</v>
      </c>
      <c r="E5118">
        <v>0.106877700841275</v>
      </c>
      <c r="F5118">
        <v>0.13753392842014101</v>
      </c>
      <c r="G5118">
        <v>0.113993125830712</v>
      </c>
      <c r="H5118">
        <v>8.1008667330524295E-2</v>
      </c>
      <c r="I5118">
        <v>4.6503519256848501E-2</v>
      </c>
      <c r="J5118">
        <v>4.3039373610845998E-2</v>
      </c>
      <c r="K5118">
        <v>3.07232415841312E-2</v>
      </c>
      <c r="L5118">
        <v>1491.04516591325</v>
      </c>
      <c r="M5118">
        <v>33.908259843955399</v>
      </c>
      <c r="N5118">
        <v>44.191174088126502</v>
      </c>
      <c r="O5118">
        <v>43.820808737598497</v>
      </c>
      <c r="P5118">
        <v>-0.17853418321336201</v>
      </c>
      <c r="Q5118">
        <v>7.7100022105964894E-2</v>
      </c>
      <c r="R5118">
        <v>0.98981129268558199</v>
      </c>
      <c r="S5118" t="s">
        <v>10944</v>
      </c>
      <c r="T5118" t="s">
        <v>11650</v>
      </c>
      <c r="U5118" t="s">
        <v>11650</v>
      </c>
      <c r="V5118" t="s">
        <v>11650</v>
      </c>
      <c r="W5118" t="s">
        <v>16712</v>
      </c>
      <c r="X5118">
        <v>4</v>
      </c>
      <c r="Y5118" t="s">
        <v>22381</v>
      </c>
      <c r="Z5118" t="s">
        <v>28180</v>
      </c>
      <c r="AA5118">
        <v>0.20430080199704881</v>
      </c>
      <c r="AB5118" t="str">
        <f>HYPERLINK("Melting_Curves/meltCurve_Q9HC98_NEK6.pdf", "Melting_Curves/meltCurve_Q9HC98_NEK6.pdf")</f>
        <v>Melting_Curves/meltCurve_Q9HC98_NEK6.pdf</v>
      </c>
    </row>
    <row r="5119" spans="1:28" x14ac:dyDescent="0.25">
      <c r="A5119" t="s">
        <v>5123</v>
      </c>
      <c r="B5119">
        <v>0.99996721820229495</v>
      </c>
      <c r="C5119">
        <v>0.96725680882058795</v>
      </c>
      <c r="D5119">
        <v>0.971518755160103</v>
      </c>
      <c r="E5119">
        <v>1.09446134625901</v>
      </c>
      <c r="F5119">
        <v>2.3623227349170302</v>
      </c>
      <c r="G5119">
        <v>2.9146215579868802</v>
      </c>
      <c r="H5119">
        <v>2.0774925871317902</v>
      </c>
      <c r="I5119">
        <v>1.4687524112583501</v>
      </c>
      <c r="J5119">
        <v>0.57635907328623404</v>
      </c>
      <c r="K5119">
        <v>0.32328475561546599</v>
      </c>
      <c r="L5119">
        <v>15000</v>
      </c>
      <c r="M5119">
        <v>224.39496256742899</v>
      </c>
      <c r="N5119">
        <v>67.157587766208906</v>
      </c>
      <c r="O5119">
        <v>66.841110881011502</v>
      </c>
      <c r="P5119">
        <v>-0.56801056182913101</v>
      </c>
      <c r="Q5119">
        <v>0.32322087043343301</v>
      </c>
      <c r="R5119">
        <v>-0.12596314740822301</v>
      </c>
      <c r="S5119" t="s">
        <v>10945</v>
      </c>
      <c r="T5119" t="s">
        <v>11650</v>
      </c>
      <c r="U5119" t="s">
        <v>11650</v>
      </c>
      <c r="V5119" t="s">
        <v>11650</v>
      </c>
      <c r="W5119" t="s">
        <v>16713</v>
      </c>
      <c r="X5119">
        <v>20</v>
      </c>
      <c r="Y5119" t="s">
        <v>22382</v>
      </c>
      <c r="Z5119" t="s">
        <v>28181</v>
      </c>
      <c r="AA5119">
        <v>0.9289556892426295</v>
      </c>
      <c r="AB5119" t="str">
        <f>HYPERLINK("Melting_Curves/meltCurve_Q9HCC0_MCCC2.pdf", "Melting_Curves/meltCurve_Q9HCC0_MCCC2.pdf")</f>
        <v>Melting_Curves/meltCurve_Q9HCC0_MCCC2.pdf</v>
      </c>
    </row>
    <row r="5120" spans="1:28" x14ac:dyDescent="0.25">
      <c r="A5120" t="s">
        <v>5124</v>
      </c>
      <c r="B5120">
        <v>0.99996721820229495</v>
      </c>
      <c r="C5120">
        <v>0.936608138161103</v>
      </c>
      <c r="D5120">
        <v>0.78222966311233999</v>
      </c>
      <c r="E5120">
        <v>0.60895216456476198</v>
      </c>
      <c r="F5120">
        <v>0.66185867314325697</v>
      </c>
      <c r="G5120">
        <v>0.65532162832503105</v>
      </c>
      <c r="H5120">
        <v>0.51036352016114395</v>
      </c>
      <c r="I5120">
        <v>0.44614956640548997</v>
      </c>
      <c r="J5120">
        <v>0.389305703210517</v>
      </c>
      <c r="K5120">
        <v>0.27139204463160699</v>
      </c>
      <c r="L5120">
        <v>302.157513850035</v>
      </c>
      <c r="M5120">
        <v>5.0149885394306102</v>
      </c>
      <c r="N5120">
        <v>60.2509009361263</v>
      </c>
      <c r="O5120">
        <v>52.622122428451</v>
      </c>
      <c r="P5120">
        <v>-2.39699898930242E-2</v>
      </c>
      <c r="Q5120">
        <v>0</v>
      </c>
      <c r="R5120">
        <v>0.92194175373304799</v>
      </c>
      <c r="S5120" t="s">
        <v>10946</v>
      </c>
      <c r="T5120" t="s">
        <v>11650</v>
      </c>
      <c r="U5120" t="s">
        <v>11650</v>
      </c>
      <c r="V5120" t="s">
        <v>11650</v>
      </c>
      <c r="W5120" t="s">
        <v>16714</v>
      </c>
      <c r="X5120">
        <v>7</v>
      </c>
      <c r="Y5120" t="s">
        <v>22383</v>
      </c>
      <c r="Z5120" t="s">
        <v>28182</v>
      </c>
      <c r="AA5120">
        <v>0.62400143771036276</v>
      </c>
      <c r="AB5120" t="str">
        <f>HYPERLINK("Melting_Curves/meltCurve_Q9HCD6_TANC2.pdf", "Melting_Curves/meltCurve_Q9HCD6_TANC2.pdf")</f>
        <v>Melting_Curves/meltCurve_Q9HCD6_TANC2.pdf</v>
      </c>
    </row>
    <row r="5121" spans="1:28" x14ac:dyDescent="0.25">
      <c r="A5121" t="s">
        <v>5125</v>
      </c>
      <c r="B5121">
        <v>0.99996721820229495</v>
      </c>
      <c r="C5121">
        <v>1.0599895249786699</v>
      </c>
      <c r="D5121">
        <v>1.06815213911129</v>
      </c>
      <c r="E5121">
        <v>0.988465256585907</v>
      </c>
      <c r="F5121">
        <v>1.02259187460864</v>
      </c>
      <c r="G5121">
        <v>0.95552238062355299</v>
      </c>
      <c r="H5121">
        <v>0.706881292308007</v>
      </c>
      <c r="I5121">
        <v>0.47785934288406701</v>
      </c>
      <c r="J5121">
        <v>0.39917212305605598</v>
      </c>
      <c r="K5121">
        <v>0.30361745579904797</v>
      </c>
      <c r="L5121">
        <v>1833.1642661309099</v>
      </c>
      <c r="M5121">
        <v>29.703508291747902</v>
      </c>
      <c r="N5121">
        <v>63.7533530126111</v>
      </c>
      <c r="O5121">
        <v>61.4377158279352</v>
      </c>
      <c r="P5121">
        <v>-8.3818772959271703E-2</v>
      </c>
      <c r="Q5121">
        <v>0.30653323581028802</v>
      </c>
      <c r="R5121">
        <v>0.98654678390528605</v>
      </c>
      <c r="S5121" t="s">
        <v>10947</v>
      </c>
      <c r="T5121" t="s">
        <v>11650</v>
      </c>
      <c r="U5121" t="s">
        <v>11650</v>
      </c>
      <c r="V5121" t="s">
        <v>11650</v>
      </c>
      <c r="W5121" t="s">
        <v>16715</v>
      </c>
      <c r="X5121">
        <v>8</v>
      </c>
      <c r="Y5121" t="s">
        <v>22384</v>
      </c>
      <c r="Z5121" t="s">
        <v>28183</v>
      </c>
      <c r="AA5121">
        <v>0.81193418553434638</v>
      </c>
      <c r="AB5121" t="str">
        <f>HYPERLINK("Melting_Curves/meltCurve_Q9HCE0_EPG5.pdf", "Melting_Curves/meltCurve_Q9HCE0_EPG5.pdf")</f>
        <v>Melting_Curves/meltCurve_Q9HCE0_EPG5.pdf</v>
      </c>
    </row>
    <row r="5122" spans="1:28" x14ac:dyDescent="0.25">
      <c r="A5122" t="s">
        <v>5126</v>
      </c>
      <c r="B5122">
        <v>0.99996721820229495</v>
      </c>
      <c r="C5122">
        <v>0.97565794224785596</v>
      </c>
      <c r="D5122">
        <v>0.93359071501007296</v>
      </c>
      <c r="E5122">
        <v>0.81773771439858201</v>
      </c>
      <c r="F5122">
        <v>0.92237610499068401</v>
      </c>
      <c r="G5122">
        <v>1.1575877192795301</v>
      </c>
      <c r="H5122">
        <v>0.80482938106151103</v>
      </c>
      <c r="I5122">
        <v>0.681072281400248</v>
      </c>
      <c r="J5122">
        <v>0.53630211764164804</v>
      </c>
      <c r="K5122">
        <v>0.32780008834629898</v>
      </c>
      <c r="L5122">
        <v>1493.93739907996</v>
      </c>
      <c r="M5122">
        <v>22.8638771154151</v>
      </c>
      <c r="N5122">
        <v>66.892619844937897</v>
      </c>
      <c r="O5122">
        <v>64.846825276020496</v>
      </c>
      <c r="P5122">
        <v>-7.0002553862868896E-2</v>
      </c>
      <c r="Q5122">
        <v>0.20584660568793001</v>
      </c>
      <c r="R5122">
        <v>0.84301014847938205</v>
      </c>
      <c r="S5122" t="s">
        <v>10948</v>
      </c>
      <c r="T5122" t="s">
        <v>11650</v>
      </c>
      <c r="U5122" t="s">
        <v>11650</v>
      </c>
      <c r="V5122" t="s">
        <v>11650</v>
      </c>
      <c r="W5122" t="s">
        <v>16716</v>
      </c>
      <c r="X5122">
        <v>1</v>
      </c>
      <c r="Y5122" t="s">
        <v>22385</v>
      </c>
      <c r="Z5122" t="s">
        <v>28184</v>
      </c>
      <c r="AA5122">
        <v>0.86871111478879981</v>
      </c>
      <c r="AB5122" t="str">
        <f>HYPERLINK("Melting_Curves/meltCurve_Q9HCE3_ZNF532.pdf", "Melting_Curves/meltCurve_Q9HCE3_ZNF532.pdf")</f>
        <v>Melting_Curves/meltCurve_Q9HCE3_ZNF532.pdf</v>
      </c>
    </row>
    <row r="5123" spans="1:28" x14ac:dyDescent="0.25">
      <c r="A5123" t="s">
        <v>5127</v>
      </c>
      <c r="B5123">
        <v>0.99996721820229495</v>
      </c>
      <c r="C5123">
        <v>0.92194184642142496</v>
      </c>
      <c r="D5123">
        <v>0.81856321409707</v>
      </c>
      <c r="E5123">
        <v>0.91575958458866402</v>
      </c>
      <c r="F5123">
        <v>0.56145220781247196</v>
      </c>
      <c r="G5123">
        <v>0.385887795527872</v>
      </c>
      <c r="H5123">
        <v>0.22433806634682499</v>
      </c>
      <c r="I5123">
        <v>0.17830347304917901</v>
      </c>
      <c r="J5123">
        <v>0.13584026074466299</v>
      </c>
      <c r="K5123">
        <v>9.6587013298112506E-2</v>
      </c>
      <c r="L5123">
        <v>731.68366005355006</v>
      </c>
      <c r="M5123">
        <v>13.4278448526704</v>
      </c>
      <c r="N5123">
        <v>54.9641065360466</v>
      </c>
      <c r="O5123">
        <v>53.324080679408098</v>
      </c>
      <c r="P5123">
        <v>-5.9520819594878399E-2</v>
      </c>
      <c r="Q5123">
        <v>5.4681214155978701E-2</v>
      </c>
      <c r="R5123">
        <v>0.969847995500977</v>
      </c>
      <c r="S5123" t="s">
        <v>10949</v>
      </c>
      <c r="T5123" t="s">
        <v>11650</v>
      </c>
      <c r="U5123" t="s">
        <v>11650</v>
      </c>
      <c r="V5123" t="s">
        <v>11650</v>
      </c>
      <c r="W5123" t="s">
        <v>16717</v>
      </c>
      <c r="X5123">
        <v>6</v>
      </c>
      <c r="Y5123" t="s">
        <v>22386</v>
      </c>
      <c r="Z5123" t="s">
        <v>28185</v>
      </c>
      <c r="AA5123">
        <v>0.53250357225932488</v>
      </c>
      <c r="AB5123" t="str">
        <f>HYPERLINK("Melting_Curves/meltCurve_Q9HCE5_METTL14.pdf", "Melting_Curves/meltCurve_Q9HCE5_METTL14.pdf")</f>
        <v>Melting_Curves/meltCurve_Q9HCE5_METTL14.pdf</v>
      </c>
    </row>
    <row r="5124" spans="1:28" x14ac:dyDescent="0.25">
      <c r="A5124" t="s">
        <v>5128</v>
      </c>
      <c r="B5124">
        <v>0.99996721820229495</v>
      </c>
      <c r="C5124">
        <v>0.90452081898366499</v>
      </c>
      <c r="D5124">
        <v>0.86719474554821596</v>
      </c>
      <c r="E5124">
        <v>0.73905794694446603</v>
      </c>
      <c r="F5124">
        <v>0.87794931263375497</v>
      </c>
      <c r="G5124">
        <v>0.90341029811309403</v>
      </c>
      <c r="H5124">
        <v>0.68671507275774302</v>
      </c>
      <c r="I5124">
        <v>0.76225851033438496</v>
      </c>
      <c r="J5124">
        <v>0.50926038640767701</v>
      </c>
      <c r="K5124">
        <v>0.484744018253146</v>
      </c>
      <c r="L5124">
        <v>312.46618228598101</v>
      </c>
      <c r="M5124">
        <v>4.2872581198217903</v>
      </c>
      <c r="O5124">
        <v>61.106091639951202</v>
      </c>
      <c r="P5124">
        <v>-1.77202581580524E-2</v>
      </c>
      <c r="Q5124">
        <v>0</v>
      </c>
      <c r="R5124">
        <v>0.73668403478173305</v>
      </c>
      <c r="S5124" t="s">
        <v>10950</v>
      </c>
      <c r="T5124" t="s">
        <v>11650</v>
      </c>
      <c r="U5124" t="s">
        <v>11650</v>
      </c>
      <c r="V5124" t="s">
        <v>11650</v>
      </c>
      <c r="W5124" t="s">
        <v>16718</v>
      </c>
      <c r="X5124">
        <v>3</v>
      </c>
      <c r="Y5124" t="s">
        <v>22387</v>
      </c>
      <c r="Z5124" t="s">
        <v>28186</v>
      </c>
      <c r="AA5124">
        <v>0.78611590098809192</v>
      </c>
      <c r="AB5124" t="str">
        <f>HYPERLINK("Melting_Curves/meltCurve_Q9HCH0_3_NCKAP5L.pdf", "Melting_Curves/meltCurve_Q9HCH0_3_NCKAP5L.pdf")</f>
        <v>Melting_Curves/meltCurve_Q9HCH0_3_NCKAP5L.pdf</v>
      </c>
    </row>
    <row r="5125" spans="1:28" x14ac:dyDescent="0.25">
      <c r="A5125" t="s">
        <v>5129</v>
      </c>
      <c r="B5125">
        <v>0.99996721820229495</v>
      </c>
      <c r="C5125">
        <v>0.89352128662894603</v>
      </c>
      <c r="D5125">
        <v>0.75811297513443199</v>
      </c>
      <c r="E5125">
        <v>0.51770541381697599</v>
      </c>
      <c r="F5125">
        <v>0.59891574920953805</v>
      </c>
      <c r="G5125">
        <v>0.42690631094795101</v>
      </c>
      <c r="H5125">
        <v>0.303130993380608</v>
      </c>
      <c r="I5125">
        <v>0.22995754397770701</v>
      </c>
      <c r="J5125">
        <v>0.18073234945328501</v>
      </c>
      <c r="K5125">
        <v>0.13990459778411701</v>
      </c>
      <c r="L5125">
        <v>399.56501067924302</v>
      </c>
      <c r="M5125">
        <v>7.4280738459941897</v>
      </c>
      <c r="N5125">
        <v>53.791200492266597</v>
      </c>
      <c r="O5125">
        <v>50.305655978081298</v>
      </c>
      <c r="P5125">
        <v>-3.6969710196343798E-2</v>
      </c>
      <c r="Q5125">
        <v>0</v>
      </c>
      <c r="R5125">
        <v>0.96777438914104197</v>
      </c>
      <c r="S5125" t="s">
        <v>10951</v>
      </c>
      <c r="T5125" t="s">
        <v>11650</v>
      </c>
      <c r="U5125" t="s">
        <v>11650</v>
      </c>
      <c r="V5125" t="s">
        <v>11650</v>
      </c>
      <c r="W5125" t="s">
        <v>16719</v>
      </c>
      <c r="X5125">
        <v>5</v>
      </c>
      <c r="Y5125" t="s">
        <v>22388</v>
      </c>
      <c r="Z5125" t="s">
        <v>28187</v>
      </c>
      <c r="AA5125">
        <v>0.49639529538767341</v>
      </c>
      <c r="AB5125" t="str">
        <f>HYPERLINK("Melting_Curves/meltCurve_Q9HCH5_6_SYTL2.pdf", "Melting_Curves/meltCurve_Q9HCH5_6_SYTL2.pdf")</f>
        <v>Melting_Curves/meltCurve_Q9HCH5_6_SYTL2.pdf</v>
      </c>
    </row>
    <row r="5126" spans="1:28" x14ac:dyDescent="0.25">
      <c r="A5126" t="s">
        <v>5130</v>
      </c>
      <c r="B5126">
        <v>0.99996721820229495</v>
      </c>
      <c r="C5126">
        <v>1.0337897773296201</v>
      </c>
      <c r="D5126">
        <v>1.1829461987013401</v>
      </c>
      <c r="E5126">
        <v>1.1978475833269799</v>
      </c>
      <c r="F5126">
        <v>1.54762829368065</v>
      </c>
      <c r="G5126">
        <v>1.8457223163121701</v>
      </c>
      <c r="H5126">
        <v>1.53790543750703</v>
      </c>
      <c r="I5126">
        <v>1.03913618981643</v>
      </c>
      <c r="J5126">
        <v>0.68604813062084202</v>
      </c>
      <c r="K5126">
        <v>0.64286542533492996</v>
      </c>
      <c r="L5126">
        <v>15000</v>
      </c>
      <c r="M5126">
        <v>225.86105946491401</v>
      </c>
      <c r="O5126">
        <v>66.407312718824201</v>
      </c>
      <c r="P5126">
        <v>-0.30371819022850799</v>
      </c>
      <c r="Q5126">
        <v>0.64280507435677803</v>
      </c>
      <c r="R5126">
        <v>-5.1537607034227099E-2</v>
      </c>
      <c r="S5126" t="s">
        <v>10952</v>
      </c>
      <c r="T5126" t="s">
        <v>11650</v>
      </c>
      <c r="U5126" t="s">
        <v>11650</v>
      </c>
      <c r="V5126" t="s">
        <v>11650</v>
      </c>
      <c r="W5126" t="s">
        <v>16720</v>
      </c>
      <c r="X5126">
        <v>4</v>
      </c>
      <c r="Y5126" t="s">
        <v>22389</v>
      </c>
      <c r="Z5126" t="s">
        <v>28188</v>
      </c>
      <c r="AA5126">
        <v>0.95733653822328302</v>
      </c>
      <c r="AB5126" t="str">
        <f>HYPERLINK("Melting_Curves/meltCurve_Q9HCJ6_VAT1L.pdf", "Melting_Curves/meltCurve_Q9HCJ6_VAT1L.pdf")</f>
        <v>Melting_Curves/meltCurve_Q9HCJ6_VAT1L.pdf</v>
      </c>
    </row>
    <row r="5127" spans="1:28" x14ac:dyDescent="0.25">
      <c r="A5127" t="s">
        <v>5131</v>
      </c>
      <c r="B5127">
        <v>0.99996721820229495</v>
      </c>
      <c r="C5127">
        <v>1.23521638352728</v>
      </c>
      <c r="D5127">
        <v>1.2644376124496599</v>
      </c>
      <c r="E5127">
        <v>0.94563848311887899</v>
      </c>
      <c r="F5127">
        <v>0.90004788384890799</v>
      </c>
      <c r="G5127">
        <v>0.93609946434373503</v>
      </c>
      <c r="H5127">
        <v>0.59722834912348899</v>
      </c>
      <c r="I5127">
        <v>0.50171165336442503</v>
      </c>
      <c r="J5127">
        <v>0.43245973075988903</v>
      </c>
      <c r="K5127">
        <v>0.227700171470232</v>
      </c>
      <c r="L5127">
        <v>1003.7251542757</v>
      </c>
      <c r="M5127">
        <v>15.968365104600799</v>
      </c>
      <c r="N5127">
        <v>64.018179449588104</v>
      </c>
      <c r="O5127">
        <v>61.896077174562002</v>
      </c>
      <c r="P5127">
        <v>-5.6392383862885101E-2</v>
      </c>
      <c r="Q5127">
        <v>0.12572332035669401</v>
      </c>
      <c r="R5127">
        <v>0.86276771690566301</v>
      </c>
      <c r="S5127" t="s">
        <v>10953</v>
      </c>
      <c r="T5127" t="s">
        <v>11650</v>
      </c>
      <c r="U5127" t="s">
        <v>11650</v>
      </c>
      <c r="V5127" t="s">
        <v>11650</v>
      </c>
      <c r="W5127" t="s">
        <v>16721</v>
      </c>
      <c r="X5127">
        <v>1</v>
      </c>
      <c r="Y5127" t="s">
        <v>22390</v>
      </c>
      <c r="Z5127" t="s">
        <v>28189</v>
      </c>
      <c r="AA5127">
        <v>0.786615700249508</v>
      </c>
      <c r="AB5127" t="str">
        <f>HYPERLINK("Melting_Curves/meltCurve_Q9HCM4_4_EPB41L5.pdf", "Melting_Curves/meltCurve_Q9HCM4_4_EPB41L5.pdf")</f>
        <v>Melting_Curves/meltCurve_Q9HCM4_4_EPB41L5.pdf</v>
      </c>
    </row>
    <row r="5128" spans="1:28" x14ac:dyDescent="0.25">
      <c r="A5128" t="s">
        <v>5132</v>
      </c>
      <c r="B5128">
        <v>0.99996721820229495</v>
      </c>
      <c r="C5128">
        <v>0.92265545221448397</v>
      </c>
      <c r="D5128">
        <v>0.99245694009507701</v>
      </c>
      <c r="E5128">
        <v>1.48367662872624</v>
      </c>
      <c r="F5128">
        <v>2.00151780245637</v>
      </c>
      <c r="G5128">
        <v>1.8005889355274101</v>
      </c>
      <c r="H5128">
        <v>1.36220572170268</v>
      </c>
      <c r="I5128">
        <v>1.0041557562093599</v>
      </c>
      <c r="J5128">
        <v>0.43875493301142299</v>
      </c>
      <c r="K5128">
        <v>0.21795238572783099</v>
      </c>
      <c r="L5128">
        <v>15000</v>
      </c>
      <c r="M5128">
        <v>224.81337824119501</v>
      </c>
      <c r="N5128">
        <v>66.892358140592606</v>
      </c>
      <c r="O5128">
        <v>66.716728101744394</v>
      </c>
      <c r="P5128">
        <v>-0.65882895249801798</v>
      </c>
      <c r="Q5128">
        <v>0.21793067187131801</v>
      </c>
      <c r="R5128">
        <v>0.278224369387499</v>
      </c>
      <c r="S5128" t="s">
        <v>10954</v>
      </c>
      <c r="T5128" t="s">
        <v>11650</v>
      </c>
      <c r="U5128" t="s">
        <v>11650</v>
      </c>
      <c r="V5128" t="s">
        <v>11650</v>
      </c>
      <c r="W5128" t="s">
        <v>16722</v>
      </c>
      <c r="X5128">
        <v>5</v>
      </c>
      <c r="Y5128" t="s">
        <v>22391</v>
      </c>
      <c r="Z5128" t="s">
        <v>28190</v>
      </c>
      <c r="AA5128">
        <v>0.91465911926802113</v>
      </c>
      <c r="AB5128" t="str">
        <f>HYPERLINK("Melting_Curves/meltCurve_Q9HCN4_2_GPN1.pdf", "Melting_Curves/meltCurve_Q9HCN4_2_GPN1.pdf")</f>
        <v>Melting_Curves/meltCurve_Q9HCN4_2_GPN1.pdf</v>
      </c>
    </row>
    <row r="5129" spans="1:28" x14ac:dyDescent="0.25">
      <c r="A5129" t="s">
        <v>5133</v>
      </c>
      <c r="B5129">
        <v>0.99996721820229495</v>
      </c>
      <c r="C5129">
        <v>0.80074149439948505</v>
      </c>
      <c r="D5129">
        <v>0.79010975895863</v>
      </c>
      <c r="E5129">
        <v>1.2429433479699099</v>
      </c>
      <c r="F5129">
        <v>1.5113468214619401</v>
      </c>
      <c r="G5129">
        <v>1.51085417185884</v>
      </c>
      <c r="H5129">
        <v>1.4158876593422101</v>
      </c>
      <c r="I5129">
        <v>0.823054635518911</v>
      </c>
      <c r="J5129">
        <v>0.36311193700190803</v>
      </c>
      <c r="K5129">
        <v>0.38803321453273598</v>
      </c>
      <c r="L5129">
        <v>15000</v>
      </c>
      <c r="M5129">
        <v>233.44712824662</v>
      </c>
      <c r="N5129">
        <v>64.639458483877902</v>
      </c>
      <c r="O5129">
        <v>64.249653926225903</v>
      </c>
      <c r="P5129">
        <v>-0.56722370858403504</v>
      </c>
      <c r="Q5129">
        <v>0.375551424015371</v>
      </c>
      <c r="R5129">
        <v>0.490970641503299</v>
      </c>
      <c r="S5129" t="s">
        <v>10955</v>
      </c>
      <c r="T5129" t="s">
        <v>11650</v>
      </c>
      <c r="U5129" t="s">
        <v>11650</v>
      </c>
      <c r="V5129" t="s">
        <v>11650</v>
      </c>
      <c r="W5129" t="s">
        <v>16723</v>
      </c>
      <c r="X5129">
        <v>2</v>
      </c>
      <c r="Y5129" t="s">
        <v>22392</v>
      </c>
      <c r="Z5129" t="s">
        <v>28191</v>
      </c>
      <c r="AA5129">
        <v>0.88048590763613199</v>
      </c>
      <c r="AB5129" t="str">
        <f>HYPERLINK("Melting_Curves/meltCurve_Q9HCN8_SDF2L1.pdf", "Melting_Curves/meltCurve_Q9HCN8_SDF2L1.pdf")</f>
        <v>Melting_Curves/meltCurve_Q9HCN8_SDF2L1.pdf</v>
      </c>
    </row>
    <row r="5130" spans="1:28" x14ac:dyDescent="0.25">
      <c r="A5130" t="s">
        <v>5134</v>
      </c>
      <c r="B5130">
        <v>0.99996721820229495</v>
      </c>
      <c r="C5130">
        <v>0.96208650449802802</v>
      </c>
      <c r="D5130">
        <v>0.938463998845949</v>
      </c>
      <c r="E5130">
        <v>0.98600611402338501</v>
      </c>
      <c r="F5130">
        <v>1.2502085552728299</v>
      </c>
      <c r="G5130">
        <v>1.2094724754703099</v>
      </c>
      <c r="H5130">
        <v>0.78656725860372101</v>
      </c>
      <c r="I5130">
        <v>0.54212161992991403</v>
      </c>
      <c r="J5130">
        <v>0.36424246713756703</v>
      </c>
      <c r="K5130">
        <v>0.26082925694318698</v>
      </c>
      <c r="L5130">
        <v>2439.6709772126601</v>
      </c>
      <c r="M5130">
        <v>38.743662732517002</v>
      </c>
      <c r="N5130">
        <v>64.282220575960494</v>
      </c>
      <c r="O5130">
        <v>62.8024849064942</v>
      </c>
      <c r="P5130">
        <v>-0.112071707947039</v>
      </c>
      <c r="Q5130">
        <v>0.27334015835115699</v>
      </c>
      <c r="R5130">
        <v>0.88157405551611301</v>
      </c>
      <c r="S5130" t="s">
        <v>10956</v>
      </c>
      <c r="T5130" t="s">
        <v>11650</v>
      </c>
      <c r="U5130" t="s">
        <v>11650</v>
      </c>
      <c r="V5130" t="s">
        <v>11650</v>
      </c>
      <c r="W5130" t="s">
        <v>16724</v>
      </c>
      <c r="X5130">
        <v>13</v>
      </c>
      <c r="Y5130" t="s">
        <v>22393</v>
      </c>
      <c r="Z5130" t="s">
        <v>28192</v>
      </c>
      <c r="AA5130">
        <v>0.83203704836949088</v>
      </c>
      <c r="AB5130" t="str">
        <f>HYPERLINK("Melting_Curves/meltCurve_Q9HCU0_CD248.pdf", "Melting_Curves/meltCurve_Q9HCU0_CD248.pdf")</f>
        <v>Melting_Curves/meltCurve_Q9HCU0_CD248.pdf</v>
      </c>
    </row>
    <row r="5131" spans="1:28" x14ac:dyDescent="0.25">
      <c r="A5131" t="s">
        <v>5135</v>
      </c>
      <c r="B5131">
        <v>0.99996721820229495</v>
      </c>
      <c r="C5131">
        <v>0.95633250250562296</v>
      </c>
      <c r="D5131">
        <v>1.0445677316545801</v>
      </c>
      <c r="E5131">
        <v>0.96834761919120205</v>
      </c>
      <c r="F5131">
        <v>1.0381312025407701</v>
      </c>
      <c r="G5131">
        <v>0.74587779611925598</v>
      </c>
      <c r="H5131">
        <v>0.37125863262875403</v>
      </c>
      <c r="I5131">
        <v>0.22457407956597999</v>
      </c>
      <c r="J5131">
        <v>0.21566861257014999</v>
      </c>
      <c r="K5131">
        <v>0.15324708364679901</v>
      </c>
      <c r="L5131">
        <v>1875.08054901993</v>
      </c>
      <c r="M5131">
        <v>31.977223904633501</v>
      </c>
      <c r="N5131">
        <v>59.440181151329902</v>
      </c>
      <c r="O5131">
        <v>58.410126658790702</v>
      </c>
      <c r="P5131">
        <v>-0.11288016899823899</v>
      </c>
      <c r="Q5131">
        <v>0.17524931394673299</v>
      </c>
      <c r="R5131">
        <v>0.99188162043896899</v>
      </c>
      <c r="S5131" t="s">
        <v>10957</v>
      </c>
      <c r="T5131" t="s">
        <v>11650</v>
      </c>
      <c r="U5131" t="s">
        <v>11650</v>
      </c>
      <c r="V5131" t="s">
        <v>11650</v>
      </c>
      <c r="W5131" t="s">
        <v>16725</v>
      </c>
      <c r="X5131">
        <v>5</v>
      </c>
      <c r="Y5131" t="s">
        <v>22394</v>
      </c>
      <c r="Z5131" t="s">
        <v>28193</v>
      </c>
      <c r="AA5131">
        <v>0.69246555443127333</v>
      </c>
      <c r="AB5131" t="str">
        <f>HYPERLINK("Melting_Curves/meltCurve_Q9HCU5_PREB.pdf", "Melting_Curves/meltCurve_Q9HCU5_PREB.pdf")</f>
        <v>Melting_Curves/meltCurve_Q9HCU5_PREB.pdf</v>
      </c>
    </row>
    <row r="5132" spans="1:28" x14ac:dyDescent="0.25">
      <c r="A5132" t="s">
        <v>5136</v>
      </c>
      <c r="B5132">
        <v>0.99996721820229495</v>
      </c>
      <c r="C5132">
        <v>0.99144804701897205</v>
      </c>
      <c r="D5132">
        <v>0.92818622993272404</v>
      </c>
      <c r="E5132">
        <v>0.92552416279415795</v>
      </c>
      <c r="F5132">
        <v>1.03846594742136</v>
      </c>
      <c r="G5132">
        <v>0.72121406565450097</v>
      </c>
      <c r="H5132">
        <v>0.35605298925397</v>
      </c>
      <c r="I5132">
        <v>0.29682009503421802</v>
      </c>
      <c r="J5132">
        <v>0.258844214251576</v>
      </c>
      <c r="K5132">
        <v>0.174067882372093</v>
      </c>
      <c r="L5132">
        <v>1922.8700871508599</v>
      </c>
      <c r="M5132">
        <v>33.0725322003861</v>
      </c>
      <c r="N5132">
        <v>59.207830355078698</v>
      </c>
      <c r="O5132">
        <v>57.929664976255303</v>
      </c>
      <c r="P5132">
        <v>-0.11068973856827399</v>
      </c>
      <c r="Q5132">
        <v>0.22446928515841399</v>
      </c>
      <c r="R5132">
        <v>0.98241015085383399</v>
      </c>
      <c r="S5132" t="s">
        <v>10958</v>
      </c>
      <c r="T5132" t="s">
        <v>11650</v>
      </c>
      <c r="U5132" t="s">
        <v>11650</v>
      </c>
      <c r="V5132" t="s">
        <v>11650</v>
      </c>
      <c r="W5132" t="s">
        <v>16726</v>
      </c>
      <c r="X5132">
        <v>21</v>
      </c>
      <c r="Y5132" t="s">
        <v>22395</v>
      </c>
      <c r="Z5132" t="s">
        <v>28194</v>
      </c>
      <c r="AA5132">
        <v>0.69774984269720197</v>
      </c>
      <c r="AB5132" t="str">
        <f>HYPERLINK("Melting_Curves/meltCurve_Q9HD15_SRA1.pdf", "Melting_Curves/meltCurve_Q9HD15_SRA1.pdf")</f>
        <v>Melting_Curves/meltCurve_Q9HD15_SRA1.pdf</v>
      </c>
    </row>
    <row r="5133" spans="1:28" x14ac:dyDescent="0.25">
      <c r="A5133" t="s">
        <v>5137</v>
      </c>
      <c r="B5133">
        <v>0.99996721820229495</v>
      </c>
      <c r="C5133">
        <v>0.61459105014127002</v>
      </c>
      <c r="D5133">
        <v>0.98626928950683901</v>
      </c>
      <c r="E5133">
        <v>0.95884243305219596</v>
      </c>
      <c r="F5133">
        <v>0.593884196988124</v>
      </c>
      <c r="G5133">
        <v>0.31519052424430899</v>
      </c>
      <c r="H5133">
        <v>0.188994820284966</v>
      </c>
      <c r="I5133">
        <v>0.108255171750509</v>
      </c>
      <c r="J5133">
        <v>7.7702207802798795E-2</v>
      </c>
      <c r="K5133">
        <v>6.3476308451638097E-2</v>
      </c>
      <c r="L5133">
        <v>1170.87486966138</v>
      </c>
      <c r="M5133">
        <v>21.604533719709998</v>
      </c>
      <c r="N5133">
        <v>54.6035805602789</v>
      </c>
      <c r="O5133">
        <v>53.737876264618599</v>
      </c>
      <c r="P5133">
        <v>-9.3023189456517497E-2</v>
      </c>
      <c r="Q5133">
        <v>7.4500079268043196E-2</v>
      </c>
      <c r="R5133">
        <v>0.88413953561605596</v>
      </c>
      <c r="S5133" t="s">
        <v>10959</v>
      </c>
      <c r="T5133" t="s">
        <v>11650</v>
      </c>
      <c r="U5133" t="s">
        <v>11650</v>
      </c>
      <c r="V5133" t="s">
        <v>11650</v>
      </c>
      <c r="W5133" t="s">
        <v>16727</v>
      </c>
      <c r="X5133">
        <v>15</v>
      </c>
      <c r="Y5133" t="s">
        <v>22396</v>
      </c>
      <c r="Z5133" t="s">
        <v>28195</v>
      </c>
      <c r="AA5133">
        <v>0.52349383934733018</v>
      </c>
      <c r="AB5133" t="str">
        <f>HYPERLINK("Melting_Curves/meltCurve_Q9HD20_2_ATP13A1.pdf", "Melting_Curves/meltCurve_Q9HD20_2_ATP13A1.pdf")</f>
        <v>Melting_Curves/meltCurve_Q9HD20_2_ATP13A1.pdf</v>
      </c>
    </row>
    <row r="5134" spans="1:28" x14ac:dyDescent="0.25">
      <c r="A5134" t="s">
        <v>5138</v>
      </c>
      <c r="B5134">
        <v>0.99996721820229495</v>
      </c>
      <c r="C5134">
        <v>0.78741417754751797</v>
      </c>
      <c r="D5134">
        <v>0.71285928032458801</v>
      </c>
      <c r="E5134">
        <v>0.845521478191405</v>
      </c>
      <c r="F5134">
        <v>0.97805909480407205</v>
      </c>
      <c r="G5134">
        <v>0.49375415816561702</v>
      </c>
      <c r="H5134">
        <v>0.25220323261652</v>
      </c>
      <c r="I5134">
        <v>0.20447255177743101</v>
      </c>
      <c r="J5134">
        <v>0.17484931437061499</v>
      </c>
      <c r="K5134">
        <v>0.154020439839195</v>
      </c>
      <c r="L5134">
        <v>2023.6210158501001</v>
      </c>
      <c r="M5134">
        <v>35.880317957167698</v>
      </c>
      <c r="N5134">
        <v>57.096876384919703</v>
      </c>
      <c r="O5134">
        <v>56.224863352762398</v>
      </c>
      <c r="P5134">
        <v>-0.13122534375800499</v>
      </c>
      <c r="Q5134">
        <v>0.17747627541227201</v>
      </c>
      <c r="R5134">
        <v>0.85577086696682103</v>
      </c>
      <c r="S5134" t="s">
        <v>10960</v>
      </c>
      <c r="T5134" t="s">
        <v>11650</v>
      </c>
      <c r="U5134" t="s">
        <v>11650</v>
      </c>
      <c r="V5134" t="s">
        <v>11650</v>
      </c>
      <c r="W5134" t="s">
        <v>11681</v>
      </c>
      <c r="X5134">
        <v>9</v>
      </c>
      <c r="Y5134" t="s">
        <v>17442</v>
      </c>
      <c r="Z5134" t="s">
        <v>28196</v>
      </c>
      <c r="AA5134">
        <v>0.63102842107831913</v>
      </c>
      <c r="AB5134" t="str">
        <f>HYPERLINK("Melting_Curves/meltCurve_Q9HD42_CHMP1A.pdf", "Melting_Curves/meltCurve_Q9HD42_CHMP1A.pdf")</f>
        <v>Melting_Curves/meltCurve_Q9HD42_CHMP1A.pdf</v>
      </c>
    </row>
    <row r="5135" spans="1:28" x14ac:dyDescent="0.25">
      <c r="A5135" t="s">
        <v>5139</v>
      </c>
      <c r="B5135">
        <v>0.99996721820229495</v>
      </c>
      <c r="C5135">
        <v>0.85943630972519303</v>
      </c>
      <c r="D5135">
        <v>1.1984577518414801</v>
      </c>
      <c r="E5135">
        <v>1.25698689967969</v>
      </c>
      <c r="F5135">
        <v>0.70886379003244904</v>
      </c>
      <c r="G5135">
        <v>0.38504157373584402</v>
      </c>
      <c r="H5135">
        <v>0.209914523745558</v>
      </c>
      <c r="I5135">
        <v>0.133919850686819</v>
      </c>
      <c r="J5135">
        <v>9.7946766636643701E-2</v>
      </c>
      <c r="K5135">
        <v>7.7910938206150804E-2</v>
      </c>
      <c r="L5135">
        <v>1735.3984363304701</v>
      </c>
      <c r="M5135">
        <v>31.410700578482299</v>
      </c>
      <c r="N5135">
        <v>55.716618277796201</v>
      </c>
      <c r="O5135">
        <v>55.026151370150103</v>
      </c>
      <c r="P5135">
        <v>-0.12616217070119301</v>
      </c>
      <c r="Q5135">
        <v>0.11594699870455601</v>
      </c>
      <c r="R5135">
        <v>0.91893733802994504</v>
      </c>
      <c r="S5135" t="s">
        <v>10961</v>
      </c>
      <c r="T5135" t="s">
        <v>11650</v>
      </c>
      <c r="U5135" t="s">
        <v>11650</v>
      </c>
      <c r="V5135" t="s">
        <v>11650</v>
      </c>
      <c r="W5135" t="s">
        <v>16728</v>
      </c>
      <c r="X5135">
        <v>8</v>
      </c>
      <c r="Y5135" t="s">
        <v>22397</v>
      </c>
      <c r="Z5135" t="s">
        <v>28197</v>
      </c>
      <c r="AA5135">
        <v>0.57068679412810053</v>
      </c>
      <c r="AB5135" t="str">
        <f>HYPERLINK("Melting_Curves/meltCurve_Q9HD45_TM9SF3.pdf", "Melting_Curves/meltCurve_Q9HD45_TM9SF3.pdf")</f>
        <v>Melting_Curves/meltCurve_Q9HD45_TM9SF3.pdf</v>
      </c>
    </row>
    <row r="5136" spans="1:28" x14ac:dyDescent="0.25">
      <c r="A5136" t="s">
        <v>5140</v>
      </c>
      <c r="B5136">
        <v>0.99996721820229495</v>
      </c>
      <c r="C5136">
        <v>0.707113904432914</v>
      </c>
      <c r="D5136">
        <v>0.61883032793359305</v>
      </c>
      <c r="E5136">
        <v>0.787069911880525</v>
      </c>
      <c r="F5136">
        <v>0.72765053923334899</v>
      </c>
      <c r="G5136">
        <v>0.50608876446193696</v>
      </c>
      <c r="H5136">
        <v>0.39933794071963002</v>
      </c>
      <c r="I5136">
        <v>0.226698593747476</v>
      </c>
      <c r="J5136">
        <v>0.213525679762782</v>
      </c>
      <c r="K5136">
        <v>0.25960905072953799</v>
      </c>
      <c r="L5136">
        <v>326.81544501746799</v>
      </c>
      <c r="M5136">
        <v>5.82518154135595</v>
      </c>
      <c r="N5136">
        <v>56.103907264506901</v>
      </c>
      <c r="O5136">
        <v>50.5525518479132</v>
      </c>
      <c r="P5136">
        <v>-2.8911193690354799E-2</v>
      </c>
      <c r="Q5136">
        <v>0</v>
      </c>
      <c r="R5136">
        <v>0.83441040846807102</v>
      </c>
      <c r="S5136" t="s">
        <v>10962</v>
      </c>
      <c r="T5136" t="s">
        <v>11650</v>
      </c>
      <c r="U5136" t="s">
        <v>11650</v>
      </c>
      <c r="V5136" t="s">
        <v>11650</v>
      </c>
      <c r="W5136" t="s">
        <v>16729</v>
      </c>
      <c r="X5136">
        <v>3</v>
      </c>
      <c r="Y5136" t="s">
        <v>22398</v>
      </c>
      <c r="Z5136" t="s">
        <v>28198</v>
      </c>
      <c r="AA5136">
        <v>0.54987584662220401</v>
      </c>
      <c r="AB5136" t="str">
        <f>HYPERLINK("Melting_Curves/meltCurve_Q9HD47_RANGRF.pdf", "Melting_Curves/meltCurve_Q9HD47_RANGRF.pdf")</f>
        <v>Melting_Curves/meltCurve_Q9HD47_RANGRF.pdf</v>
      </c>
    </row>
    <row r="5137" spans="1:28" x14ac:dyDescent="0.25">
      <c r="A5137" t="s">
        <v>5141</v>
      </c>
      <c r="B5137">
        <v>0.99996721820229495</v>
      </c>
      <c r="C5137">
        <v>1.0433423337284999</v>
      </c>
      <c r="D5137">
        <v>1.0531935616654</v>
      </c>
      <c r="E5137">
        <v>1.06006454301308</v>
      </c>
      <c r="F5137">
        <v>1.30773830157882</v>
      </c>
      <c r="G5137">
        <v>1.3505234341729899</v>
      </c>
      <c r="H5137">
        <v>0.68008807658638304</v>
      </c>
      <c r="I5137">
        <v>0.21617385071707099</v>
      </c>
      <c r="J5137">
        <v>0.12935770495311999</v>
      </c>
      <c r="K5137">
        <v>9.9155919201343506E-2</v>
      </c>
      <c r="L5137">
        <v>4307.0988047139099</v>
      </c>
      <c r="M5137">
        <v>69.986749391070205</v>
      </c>
      <c r="N5137">
        <v>61.7996259404784</v>
      </c>
      <c r="O5137">
        <v>61.491446789010098</v>
      </c>
      <c r="P5137">
        <v>-0.248493661320214</v>
      </c>
      <c r="Q5137">
        <v>0.126678652362093</v>
      </c>
      <c r="R5137">
        <v>0.889661445624924</v>
      </c>
      <c r="S5137" t="s">
        <v>10963</v>
      </c>
      <c r="T5137" t="s">
        <v>11650</v>
      </c>
      <c r="U5137" t="s">
        <v>11650</v>
      </c>
      <c r="V5137" t="s">
        <v>11650</v>
      </c>
      <c r="W5137" t="s">
        <v>16730</v>
      </c>
      <c r="X5137">
        <v>27</v>
      </c>
      <c r="Y5137" t="s">
        <v>22399</v>
      </c>
      <c r="Z5137" t="s">
        <v>28199</v>
      </c>
      <c r="AA5137">
        <v>0.754970326352431</v>
      </c>
      <c r="AB5137" t="str">
        <f>HYPERLINK("Melting_Curves/meltCurve_Q9HDC9_APMAP.pdf", "Melting_Curves/meltCurve_Q9HDC9_APMAP.pdf")</f>
        <v>Melting_Curves/meltCurve_Q9HDC9_APMAP.pdf</v>
      </c>
    </row>
    <row r="5138" spans="1:28" x14ac:dyDescent="0.25">
      <c r="A5138" t="s">
        <v>5142</v>
      </c>
      <c r="B5138">
        <v>0.99996721820229495</v>
      </c>
      <c r="C5138">
        <v>1.01804026438465</v>
      </c>
      <c r="D5138">
        <v>0.94406816917664205</v>
      </c>
      <c r="E5138">
        <v>0.86452652582245204</v>
      </c>
      <c r="F5138">
        <v>0.91869123746393799</v>
      </c>
      <c r="G5138">
        <v>1.01064249159424</v>
      </c>
      <c r="H5138">
        <v>0.75189516703669301</v>
      </c>
      <c r="I5138">
        <v>0.46723267235098398</v>
      </c>
      <c r="J5138">
        <v>0.40705861482542</v>
      </c>
      <c r="K5138">
        <v>0.30753690912218201</v>
      </c>
      <c r="L5138">
        <v>2412.6353081819102</v>
      </c>
      <c r="M5138">
        <v>38.997502524312601</v>
      </c>
      <c r="N5138">
        <v>63.657914302662697</v>
      </c>
      <c r="O5138">
        <v>61.704395243905203</v>
      </c>
      <c r="P5138">
        <v>-0.10536386696550699</v>
      </c>
      <c r="Q5138">
        <v>0.33314716414648898</v>
      </c>
      <c r="R5138">
        <v>0.95187396133305702</v>
      </c>
      <c r="S5138" t="s">
        <v>10964</v>
      </c>
      <c r="T5138" t="s">
        <v>11650</v>
      </c>
      <c r="U5138" t="s">
        <v>11650</v>
      </c>
      <c r="V5138" t="s">
        <v>11650</v>
      </c>
      <c r="W5138" t="s">
        <v>16731</v>
      </c>
      <c r="X5138">
        <v>14</v>
      </c>
      <c r="Y5138" t="s">
        <v>18055</v>
      </c>
      <c r="Z5138" t="s">
        <v>28200</v>
      </c>
      <c r="AA5138">
        <v>0.82169107037231093</v>
      </c>
      <c r="AB5138" t="str">
        <f>HYPERLINK("Melting_Curves/meltCurve_Q9NNX1_2_TUFT1.pdf", "Melting_Curves/meltCurve_Q9NNX1_2_TUFT1.pdf")</f>
        <v>Melting_Curves/meltCurve_Q9NNX1_2_TUFT1.pdf</v>
      </c>
    </row>
    <row r="5139" spans="1:28" x14ac:dyDescent="0.25">
      <c r="A5139" t="s">
        <v>5143</v>
      </c>
      <c r="B5139">
        <v>0.99996721820229495</v>
      </c>
      <c r="C5139">
        <v>1.2404727331483001</v>
      </c>
      <c r="D5139">
        <v>1.33828775938831</v>
      </c>
      <c r="E5139">
        <v>1.4745234681180801</v>
      </c>
      <c r="F5139">
        <v>1.5794390785550101</v>
      </c>
      <c r="G5139">
        <v>1.63846912334683</v>
      </c>
      <c r="H5139">
        <v>0.63803419534463501</v>
      </c>
      <c r="I5139">
        <v>0.166048638879534</v>
      </c>
      <c r="J5139">
        <v>6.5566734504499694E-2</v>
      </c>
      <c r="K5139">
        <v>4.50767495527322E-2</v>
      </c>
      <c r="L5139">
        <v>5078.8422676745904</v>
      </c>
      <c r="M5139">
        <v>82.772024399807705</v>
      </c>
      <c r="N5139">
        <v>61.4896874342936</v>
      </c>
      <c r="O5139">
        <v>61.323609199707903</v>
      </c>
      <c r="P5139">
        <v>-0.31030093840989598</v>
      </c>
      <c r="Q5139">
        <v>8.0424870999104101E-2</v>
      </c>
      <c r="R5139">
        <v>0.68862792274131701</v>
      </c>
      <c r="S5139" t="s">
        <v>10965</v>
      </c>
      <c r="T5139" t="s">
        <v>11650</v>
      </c>
      <c r="U5139" t="s">
        <v>11650</v>
      </c>
      <c r="V5139" t="s">
        <v>11650</v>
      </c>
      <c r="W5139" t="s">
        <v>16732</v>
      </c>
      <c r="X5139">
        <v>2</v>
      </c>
      <c r="Y5139" t="s">
        <v>22400</v>
      </c>
      <c r="Z5139" t="s">
        <v>28201</v>
      </c>
      <c r="AA5139">
        <v>0.73604802678205372</v>
      </c>
      <c r="AB5139" t="str">
        <f>HYPERLINK("Melting_Curves/meltCurve_Q9NP56_PDE7B.pdf", "Melting_Curves/meltCurve_Q9NP56_PDE7B.pdf")</f>
        <v>Melting_Curves/meltCurve_Q9NP56_PDE7B.pdf</v>
      </c>
    </row>
    <row r="5140" spans="1:28" x14ac:dyDescent="0.25">
      <c r="A5140" t="s">
        <v>5144</v>
      </c>
      <c r="B5140">
        <v>0.99996721820229495</v>
      </c>
      <c r="C5140">
        <v>1.1220927913740799</v>
      </c>
      <c r="D5140">
        <v>1.27099178495794</v>
      </c>
      <c r="E5140">
        <v>1.5403603875569001</v>
      </c>
      <c r="F5140">
        <v>1.4469456619032499</v>
      </c>
      <c r="G5140">
        <v>1.1578026035358</v>
      </c>
      <c r="H5140">
        <v>0.66708328644279302</v>
      </c>
      <c r="I5140">
        <v>0.40850053403512299</v>
      </c>
      <c r="J5140">
        <v>0.275195078448222</v>
      </c>
      <c r="K5140">
        <v>0.203350577857947</v>
      </c>
      <c r="L5140">
        <v>2852.9236864436798</v>
      </c>
      <c r="M5140">
        <v>46.279560566482502</v>
      </c>
      <c r="N5140">
        <v>62.543655682919898</v>
      </c>
      <c r="O5140">
        <v>61.530664624872202</v>
      </c>
      <c r="P5140">
        <v>-0.142385281965794</v>
      </c>
      <c r="Q5140">
        <v>0.24277147114053399</v>
      </c>
      <c r="R5140">
        <v>0.71190204841447002</v>
      </c>
      <c r="S5140" t="s">
        <v>10966</v>
      </c>
      <c r="T5140" t="s">
        <v>11650</v>
      </c>
      <c r="U5140" t="s">
        <v>11650</v>
      </c>
      <c r="V5140" t="s">
        <v>11650</v>
      </c>
      <c r="W5140" t="s">
        <v>16733</v>
      </c>
      <c r="X5140">
        <v>2</v>
      </c>
      <c r="Y5140" t="s">
        <v>22401</v>
      </c>
      <c r="Z5140" t="s">
        <v>28202</v>
      </c>
      <c r="AA5140">
        <v>0.79134666797829445</v>
      </c>
      <c r="AB5140" t="str">
        <f>HYPERLINK("Melting_Curves/meltCurve_Q9NP58_4_ABCB6.pdf", "Melting_Curves/meltCurve_Q9NP58_4_ABCB6.pdf")</f>
        <v>Melting_Curves/meltCurve_Q9NP58_4_ABCB6.pdf</v>
      </c>
    </row>
    <row r="5141" spans="1:28" x14ac:dyDescent="0.25">
      <c r="A5141" t="s">
        <v>5145</v>
      </c>
      <c r="B5141">
        <v>0.99996721820229495</v>
      </c>
      <c r="C5141">
        <v>0.80445861918656802</v>
      </c>
      <c r="D5141">
        <v>0.69733250448583195</v>
      </c>
      <c r="E5141">
        <v>0.79685429605096203</v>
      </c>
      <c r="F5141">
        <v>0.461101591176312</v>
      </c>
      <c r="G5141">
        <v>0.278529184307657</v>
      </c>
      <c r="H5141">
        <v>0.198180045493899</v>
      </c>
      <c r="I5141">
        <v>0.16943091596553</v>
      </c>
      <c r="J5141">
        <v>0.14454065525969401</v>
      </c>
      <c r="K5141">
        <v>0.11555300905141</v>
      </c>
      <c r="L5141">
        <v>474.04789561180098</v>
      </c>
      <c r="M5141">
        <v>8.9946339543338691</v>
      </c>
      <c r="N5141">
        <v>52.703409936737799</v>
      </c>
      <c r="O5141">
        <v>50.293877871540303</v>
      </c>
      <c r="P5141">
        <v>-4.4742926053102303E-2</v>
      </c>
      <c r="Q5141">
        <v>0</v>
      </c>
      <c r="R5141">
        <v>0.94418496814123598</v>
      </c>
      <c r="S5141" t="s">
        <v>10967</v>
      </c>
      <c r="T5141" t="s">
        <v>11650</v>
      </c>
      <c r="U5141" t="s">
        <v>11650</v>
      </c>
      <c r="V5141" t="s">
        <v>11650</v>
      </c>
      <c r="W5141" t="s">
        <v>16734</v>
      </c>
      <c r="X5141">
        <v>29</v>
      </c>
      <c r="Y5141" t="s">
        <v>18207</v>
      </c>
      <c r="Z5141" t="s">
        <v>28203</v>
      </c>
      <c r="AA5141">
        <v>0.462330396540516</v>
      </c>
      <c r="AB5141" t="str">
        <f>HYPERLINK("Melting_Curves/meltCurve_Q9NP61_ARFGAP3.pdf", "Melting_Curves/meltCurve_Q9NP61_ARFGAP3.pdf")</f>
        <v>Melting_Curves/meltCurve_Q9NP61_ARFGAP3.pdf</v>
      </c>
    </row>
    <row r="5142" spans="1:28" x14ac:dyDescent="0.25">
      <c r="A5142" t="s">
        <v>5146</v>
      </c>
      <c r="B5142">
        <v>0.99996721820229495</v>
      </c>
      <c r="C5142">
        <v>0.89424000621827004</v>
      </c>
      <c r="D5142">
        <v>0.86016071587648102</v>
      </c>
      <c r="E5142">
        <v>0.77167063931903601</v>
      </c>
      <c r="F5142">
        <v>0.86493970911818696</v>
      </c>
      <c r="G5142">
        <v>0.66291428151694298</v>
      </c>
      <c r="H5142">
        <v>0.37657323043665503</v>
      </c>
      <c r="I5142">
        <v>0.21068422772742901</v>
      </c>
      <c r="J5142">
        <v>8.6802990535859104E-2</v>
      </c>
      <c r="K5142">
        <v>4.6975429527941502E-2</v>
      </c>
      <c r="L5142">
        <v>835.82483741732506</v>
      </c>
      <c r="M5142">
        <v>14.2750679033583</v>
      </c>
      <c r="N5142">
        <v>58.551374024796701</v>
      </c>
      <c r="O5142">
        <v>57.438292636134797</v>
      </c>
      <c r="P5142">
        <v>-6.2139811132212897E-2</v>
      </c>
      <c r="Q5142">
        <v>0</v>
      </c>
      <c r="R5142">
        <v>0.95053393137303299</v>
      </c>
      <c r="S5142" t="s">
        <v>10968</v>
      </c>
      <c r="T5142" t="s">
        <v>11650</v>
      </c>
      <c r="U5142" t="s">
        <v>11650</v>
      </c>
      <c r="V5142" t="s">
        <v>11650</v>
      </c>
      <c r="W5142" t="s">
        <v>16735</v>
      </c>
      <c r="X5142">
        <v>16</v>
      </c>
      <c r="Y5142" t="s">
        <v>22402</v>
      </c>
      <c r="Z5142" t="s">
        <v>28204</v>
      </c>
      <c r="AA5142">
        <v>0.63012081393622765</v>
      </c>
      <c r="AB5142" t="str">
        <f>HYPERLINK("Melting_Curves/meltCurve_Q9NP72_RAB18.pdf", "Melting_Curves/meltCurve_Q9NP72_RAB18.pdf")</f>
        <v>Melting_Curves/meltCurve_Q9NP72_RAB18.pdf</v>
      </c>
    </row>
    <row r="5143" spans="1:28" x14ac:dyDescent="0.25">
      <c r="A5143" t="s">
        <v>5147</v>
      </c>
      <c r="B5143">
        <v>0.99996721820229495</v>
      </c>
      <c r="C5143">
        <v>1.0277766637243799</v>
      </c>
      <c r="D5143">
        <v>1.0210532501523</v>
      </c>
      <c r="E5143">
        <v>1.13978005212259</v>
      </c>
      <c r="F5143">
        <v>1.55018039071526</v>
      </c>
      <c r="G5143">
        <v>1.4129244950306701</v>
      </c>
      <c r="H5143">
        <v>1.0516845584619201</v>
      </c>
      <c r="I5143">
        <v>1.0511608320814401</v>
      </c>
      <c r="J5143">
        <v>1.0167678449738999</v>
      </c>
      <c r="K5143">
        <v>0.84879513222179204</v>
      </c>
      <c r="L5143">
        <v>15000</v>
      </c>
      <c r="M5143">
        <v>212.560519735909</v>
      </c>
      <c r="Q5143">
        <v>0</v>
      </c>
      <c r="R5143">
        <v>-0.25847762781101902</v>
      </c>
      <c r="S5143" t="s">
        <v>10969</v>
      </c>
      <c r="T5143" t="s">
        <v>11650</v>
      </c>
      <c r="U5143" t="s">
        <v>11650</v>
      </c>
      <c r="V5143" t="s">
        <v>11650</v>
      </c>
      <c r="W5143" t="s">
        <v>16736</v>
      </c>
      <c r="X5143">
        <v>3</v>
      </c>
      <c r="Y5143" t="s">
        <v>22403</v>
      </c>
      <c r="Z5143" t="s">
        <v>28205</v>
      </c>
      <c r="AA5143">
        <v>0.99823203636591173</v>
      </c>
      <c r="AB5143" t="str">
        <f>HYPERLINK("Melting_Curves/meltCurve_Q9NP74_2_PALMD.pdf", "Melting_Curves/meltCurve_Q9NP74_2_PALMD.pdf")</f>
        <v>Melting_Curves/meltCurve_Q9NP74_2_PALMD.pdf</v>
      </c>
    </row>
    <row r="5144" spans="1:28" x14ac:dyDescent="0.25">
      <c r="A5144" t="s">
        <v>5148</v>
      </c>
      <c r="B5144">
        <v>0.99996721820229495</v>
      </c>
      <c r="C5144">
        <v>1.10153035693351</v>
      </c>
      <c r="D5144">
        <v>0.86692674715282303</v>
      </c>
      <c r="E5144">
        <v>0.382772187372874</v>
      </c>
      <c r="F5144">
        <v>0.33633908050546601</v>
      </c>
      <c r="G5144">
        <v>0.320497336763025</v>
      </c>
      <c r="H5144">
        <v>0.20751457313549301</v>
      </c>
      <c r="I5144">
        <v>0.117441716384776</v>
      </c>
      <c r="J5144">
        <v>0.100425919952846</v>
      </c>
      <c r="K5144">
        <v>8.8829522863095395E-2</v>
      </c>
      <c r="L5144">
        <v>1230.8071455025399</v>
      </c>
      <c r="M5144">
        <v>25.2310191609314</v>
      </c>
      <c r="N5144">
        <v>49.566411779286597</v>
      </c>
      <c r="O5144">
        <v>48.478180658021898</v>
      </c>
      <c r="P5144">
        <v>-0.108688457346943</v>
      </c>
      <c r="Q5144">
        <v>0.164687089602541</v>
      </c>
      <c r="R5144">
        <v>0.956302450415637</v>
      </c>
      <c r="S5144" t="s">
        <v>10970</v>
      </c>
      <c r="T5144" t="s">
        <v>11650</v>
      </c>
      <c r="U5144" t="s">
        <v>11650</v>
      </c>
      <c r="V5144" t="s">
        <v>11650</v>
      </c>
      <c r="W5144" t="s">
        <v>16737</v>
      </c>
      <c r="X5144">
        <v>7</v>
      </c>
      <c r="Y5144" t="s">
        <v>22404</v>
      </c>
      <c r="Z5144" t="s">
        <v>28206</v>
      </c>
      <c r="AA5144">
        <v>0.41645047602811602</v>
      </c>
      <c r="AB5144" t="str">
        <f>HYPERLINK("Melting_Curves/meltCurve_Q9NP77_SSU72.pdf", "Melting_Curves/meltCurve_Q9NP77_SSU72.pdf")</f>
        <v>Melting_Curves/meltCurve_Q9NP77_SSU72.pdf</v>
      </c>
    </row>
    <row r="5145" spans="1:28" x14ac:dyDescent="0.25">
      <c r="A5145" t="s">
        <v>5149</v>
      </c>
      <c r="B5145">
        <v>0.99996721820229495</v>
      </c>
      <c r="C5145">
        <v>0.97312691110165395</v>
      </c>
      <c r="D5145">
        <v>0.92360915232046603</v>
      </c>
      <c r="E5145">
        <v>0.89306411370767802</v>
      </c>
      <c r="F5145">
        <v>0.33786984233461997</v>
      </c>
      <c r="G5145">
        <v>0.27178462337284098</v>
      </c>
      <c r="H5145">
        <v>0.15111817134297501</v>
      </c>
      <c r="I5145">
        <v>0.10492367390549499</v>
      </c>
      <c r="J5145">
        <v>7.6338782390820703E-2</v>
      </c>
      <c r="K5145">
        <v>6.1448046133196703E-2</v>
      </c>
      <c r="L5145">
        <v>2454.4063427974702</v>
      </c>
      <c r="M5145">
        <v>47.324842458413002</v>
      </c>
      <c r="N5145">
        <v>52.187723823429899</v>
      </c>
      <c r="O5145">
        <v>51.770605994677503</v>
      </c>
      <c r="P5145">
        <v>-0.19938262428571801</v>
      </c>
      <c r="Q5145">
        <v>0.12754926760172899</v>
      </c>
      <c r="R5145">
        <v>0.97868794604120501</v>
      </c>
      <c r="S5145" t="s">
        <v>10971</v>
      </c>
      <c r="T5145" t="s">
        <v>11650</v>
      </c>
      <c r="U5145" t="s">
        <v>11650</v>
      </c>
      <c r="V5145" t="s">
        <v>11650</v>
      </c>
      <c r="W5145" t="s">
        <v>16738</v>
      </c>
      <c r="X5145">
        <v>13</v>
      </c>
      <c r="Y5145" t="s">
        <v>22405</v>
      </c>
      <c r="Z5145" t="s">
        <v>28207</v>
      </c>
      <c r="AA5145">
        <v>0.47477327788831458</v>
      </c>
      <c r="AB5145" t="str">
        <f>HYPERLINK("Melting_Curves/meltCurve_Q9NP79_VTA1.pdf", "Melting_Curves/meltCurve_Q9NP79_VTA1.pdf")</f>
        <v>Melting_Curves/meltCurve_Q9NP79_VTA1.pdf</v>
      </c>
    </row>
    <row r="5146" spans="1:28" x14ac:dyDescent="0.25">
      <c r="A5146" t="s">
        <v>5150</v>
      </c>
      <c r="B5146">
        <v>0.99996721820229495</v>
      </c>
      <c r="C5146">
        <v>0.98982698462963803</v>
      </c>
      <c r="D5146">
        <v>1.1068972011090701</v>
      </c>
      <c r="E5146">
        <v>1.27491497684629</v>
      </c>
      <c r="F5146">
        <v>1.09190252028098</v>
      </c>
      <c r="G5146">
        <v>0.40946587592881001</v>
      </c>
      <c r="H5146">
        <v>0.197513186725853</v>
      </c>
      <c r="I5146">
        <v>0.15407700637931701</v>
      </c>
      <c r="J5146">
        <v>8.43921641666905E-2</v>
      </c>
      <c r="K5146">
        <v>7.4119966430910497E-2</v>
      </c>
      <c r="L5146">
        <v>10892.553501212</v>
      </c>
      <c r="M5146">
        <v>191.83675454157901</v>
      </c>
      <c r="N5146">
        <v>56.867627934910999</v>
      </c>
      <c r="O5146">
        <v>56.774155285815198</v>
      </c>
      <c r="P5146">
        <v>-0.73701125787538502</v>
      </c>
      <c r="Q5146">
        <v>0.127525027261361</v>
      </c>
      <c r="R5146">
        <v>0.95168445767874399</v>
      </c>
      <c r="S5146" t="s">
        <v>10972</v>
      </c>
      <c r="T5146" t="s">
        <v>11650</v>
      </c>
      <c r="U5146" t="s">
        <v>11650</v>
      </c>
      <c r="V5146" t="s">
        <v>11650</v>
      </c>
      <c r="W5146" t="s">
        <v>16739</v>
      </c>
      <c r="X5146">
        <v>5</v>
      </c>
      <c r="Y5146" t="s">
        <v>22406</v>
      </c>
      <c r="Z5146" t="s">
        <v>28208</v>
      </c>
      <c r="AA5146">
        <v>0.61568652412568392</v>
      </c>
      <c r="AB5146" t="str">
        <f>HYPERLINK("Melting_Curves/meltCurve_Q9NP80_3_PNPLA8.pdf", "Melting_Curves/meltCurve_Q9NP80_3_PNPLA8.pdf")</f>
        <v>Melting_Curves/meltCurve_Q9NP80_3_PNPLA8.pdf</v>
      </c>
    </row>
    <row r="5147" spans="1:28" x14ac:dyDescent="0.25">
      <c r="A5147" t="s">
        <v>5151</v>
      </c>
      <c r="B5147">
        <v>0.99996721820229495</v>
      </c>
      <c r="C5147">
        <v>0.90303253144170104</v>
      </c>
      <c r="D5147">
        <v>1.0339462974661899</v>
      </c>
      <c r="E5147">
        <v>1.0332527929344699</v>
      </c>
      <c r="F5147">
        <v>1.1538300901889</v>
      </c>
      <c r="G5147">
        <v>1.30040538524885</v>
      </c>
      <c r="H5147">
        <v>1.01486688219522</v>
      </c>
      <c r="I5147">
        <v>0.78626620574587403</v>
      </c>
      <c r="J5147">
        <v>0.59999666550762598</v>
      </c>
      <c r="K5147">
        <v>0.51384812085876297</v>
      </c>
      <c r="L5147">
        <v>3729.8099257333201</v>
      </c>
      <c r="M5147">
        <v>57.971042394567803</v>
      </c>
      <c r="O5147">
        <v>64.262764304711396</v>
      </c>
      <c r="P5147">
        <v>-0.10600891526502799</v>
      </c>
      <c r="Q5147">
        <v>0.52994307360150505</v>
      </c>
      <c r="R5147">
        <v>0.75534749593894701</v>
      </c>
      <c r="S5147" t="s">
        <v>10973</v>
      </c>
      <c r="T5147" t="s">
        <v>11650</v>
      </c>
      <c r="U5147" t="s">
        <v>11650</v>
      </c>
      <c r="V5147" t="s">
        <v>11650</v>
      </c>
      <c r="W5147" t="s">
        <v>16740</v>
      </c>
      <c r="X5147">
        <v>2</v>
      </c>
      <c r="Y5147" t="s">
        <v>22407</v>
      </c>
      <c r="Z5147" t="s">
        <v>28209</v>
      </c>
      <c r="AA5147">
        <v>0.91209807235419049</v>
      </c>
      <c r="AB5147" t="str">
        <f>HYPERLINK("Melting_Curves/meltCurve_Q9NP84_TNFRSF12A.pdf", "Melting_Curves/meltCurve_Q9NP84_TNFRSF12A.pdf")</f>
        <v>Melting_Curves/meltCurve_Q9NP84_TNFRSF12A.pdf</v>
      </c>
    </row>
    <row r="5148" spans="1:28" x14ac:dyDescent="0.25">
      <c r="A5148" t="s">
        <v>5152</v>
      </c>
      <c r="B5148">
        <v>0.99996721820229495</v>
      </c>
      <c r="C5148">
        <v>0.86187621040695395</v>
      </c>
      <c r="D5148">
        <v>1.07081567409345</v>
      </c>
      <c r="E5148">
        <v>1.2025549380045499</v>
      </c>
      <c r="F5148">
        <v>1.4056660180704801</v>
      </c>
      <c r="G5148">
        <v>1.56725260774668</v>
      </c>
      <c r="H5148">
        <v>0.97690330841888395</v>
      </c>
      <c r="I5148">
        <v>0.66029388299964498</v>
      </c>
      <c r="J5148">
        <v>0.60479073439771103</v>
      </c>
      <c r="K5148">
        <v>0.46472367176121498</v>
      </c>
      <c r="L5148">
        <v>4587.88838447735</v>
      </c>
      <c r="M5148">
        <v>72.538694513717104</v>
      </c>
      <c r="O5148">
        <v>63.199443964685599</v>
      </c>
      <c r="P5148">
        <v>-0.13560758046785101</v>
      </c>
      <c r="Q5148">
        <v>0.52740687919086104</v>
      </c>
      <c r="R5148">
        <v>0.49346203170846897</v>
      </c>
      <c r="S5148" t="s">
        <v>10974</v>
      </c>
      <c r="T5148" t="s">
        <v>11650</v>
      </c>
      <c r="U5148" t="s">
        <v>11650</v>
      </c>
      <c r="V5148" t="s">
        <v>11650</v>
      </c>
      <c r="W5148" t="s">
        <v>16741</v>
      </c>
      <c r="X5148">
        <v>1</v>
      </c>
      <c r="Y5148" t="s">
        <v>22408</v>
      </c>
      <c r="Z5148" t="s">
        <v>28210</v>
      </c>
      <c r="AA5148">
        <v>0.89423530117397487</v>
      </c>
      <c r="AB5148" t="str">
        <f>HYPERLINK("Melting_Curves/meltCurve_Q9NPA0_EMC7.pdf", "Melting_Curves/meltCurve_Q9NPA0_EMC7.pdf")</f>
        <v>Melting_Curves/meltCurve_Q9NPA0_EMC7.pdf</v>
      </c>
    </row>
    <row r="5149" spans="1:28" x14ac:dyDescent="0.25">
      <c r="A5149" t="s">
        <v>5153</v>
      </c>
      <c r="B5149">
        <v>0.99996721820229495</v>
      </c>
      <c r="C5149">
        <v>1.04123983456952</v>
      </c>
      <c r="D5149">
        <v>1.0351179549357601</v>
      </c>
      <c r="E5149">
        <v>0.95721899412465705</v>
      </c>
      <c r="F5149">
        <v>1.0523776425282401</v>
      </c>
      <c r="G5149">
        <v>0.98566503348502998</v>
      </c>
      <c r="H5149">
        <v>0.67255056730815699</v>
      </c>
      <c r="I5149">
        <v>0.64870003682322497</v>
      </c>
      <c r="J5149">
        <v>0.575803124708401</v>
      </c>
      <c r="K5149">
        <v>0.38669512233039599</v>
      </c>
      <c r="L5149">
        <v>1227.1939507285799</v>
      </c>
      <c r="M5149">
        <v>19.5699400477667</v>
      </c>
      <c r="N5149">
        <v>67.2097655968591</v>
      </c>
      <c r="O5149">
        <v>62.064354494633299</v>
      </c>
      <c r="P5149">
        <v>-5.0042951243023298E-2</v>
      </c>
      <c r="Q5149">
        <v>0.36519525999589098</v>
      </c>
      <c r="R5149">
        <v>0.94141752539452295</v>
      </c>
      <c r="S5149" t="s">
        <v>10975</v>
      </c>
      <c r="T5149" t="s">
        <v>11650</v>
      </c>
      <c r="U5149" t="s">
        <v>11650</v>
      </c>
      <c r="V5149" t="s">
        <v>11650</v>
      </c>
      <c r="W5149" t="s">
        <v>16742</v>
      </c>
      <c r="X5149">
        <v>5</v>
      </c>
      <c r="Y5149" t="s">
        <v>22409</v>
      </c>
      <c r="Z5149" t="s">
        <v>28211</v>
      </c>
      <c r="AA5149">
        <v>0.84571187361240319</v>
      </c>
      <c r="AB5149" t="str">
        <f>HYPERLINK("Melting_Curves/meltCurve_Q9NPA8_2_ENY2.pdf", "Melting_Curves/meltCurve_Q9NPA8_2_ENY2.pdf")</f>
        <v>Melting_Curves/meltCurve_Q9NPA8_2_ENY2.pdf</v>
      </c>
    </row>
    <row r="5150" spans="1:28" x14ac:dyDescent="0.25">
      <c r="A5150" t="s">
        <v>5154</v>
      </c>
      <c r="B5150">
        <v>0.99996721820229495</v>
      </c>
      <c r="C5150">
        <v>0.97052825586783498</v>
      </c>
      <c r="D5150">
        <v>0.83023422449958395</v>
      </c>
      <c r="E5150">
        <v>0.33354760886207302</v>
      </c>
      <c r="F5150">
        <v>0.26152953981703603</v>
      </c>
      <c r="G5150">
        <v>0.22367374529922099</v>
      </c>
      <c r="H5150">
        <v>0.16114430906372601</v>
      </c>
      <c r="I5150">
        <v>8.1191952416180602E-2</v>
      </c>
      <c r="J5150">
        <v>5.9078100621756703E-2</v>
      </c>
      <c r="K5150">
        <v>5.4391538483225303E-2</v>
      </c>
      <c r="L5150">
        <v>1132.1327175553399</v>
      </c>
      <c r="M5150">
        <v>23.3842988199983</v>
      </c>
      <c r="N5150">
        <v>48.930712387203002</v>
      </c>
      <c r="O5150">
        <v>48.064315346372901</v>
      </c>
      <c r="P5150">
        <v>-0.108330110410763</v>
      </c>
      <c r="Q5150">
        <v>0.109364178758054</v>
      </c>
      <c r="R5150">
        <v>0.98170014994968202</v>
      </c>
      <c r="S5150" t="s">
        <v>10976</v>
      </c>
      <c r="T5150" t="s">
        <v>11650</v>
      </c>
      <c r="U5150" t="s">
        <v>11650</v>
      </c>
      <c r="V5150" t="s">
        <v>11650</v>
      </c>
      <c r="W5150" t="s">
        <v>16743</v>
      </c>
      <c r="X5150">
        <v>7</v>
      </c>
      <c r="Y5150" t="s">
        <v>22410</v>
      </c>
      <c r="Z5150" t="s">
        <v>28212</v>
      </c>
      <c r="AA5150">
        <v>0.36822067195670283</v>
      </c>
      <c r="AB5150" t="str">
        <f>HYPERLINK("Melting_Curves/meltCurve_Q9NPB8_GPCPD1.pdf", "Melting_Curves/meltCurve_Q9NPB8_GPCPD1.pdf")</f>
        <v>Melting_Curves/meltCurve_Q9NPB8_GPCPD1.pdf</v>
      </c>
    </row>
    <row r="5151" spans="1:28" x14ac:dyDescent="0.25">
      <c r="A5151" t="s">
        <v>5155</v>
      </c>
      <c r="B5151">
        <v>0.99996721820229495</v>
      </c>
      <c r="C5151">
        <v>0.91404073514540196</v>
      </c>
      <c r="D5151">
        <v>0.93993401209828198</v>
      </c>
      <c r="E5151">
        <v>1.52703780830675</v>
      </c>
      <c r="F5151">
        <v>2.13346075549557</v>
      </c>
      <c r="G5151">
        <v>2.2776214444431102</v>
      </c>
      <c r="H5151">
        <v>1.1839375055163499</v>
      </c>
      <c r="I5151">
        <v>0.541606642731572</v>
      </c>
      <c r="J5151">
        <v>0.24384887703413699</v>
      </c>
      <c r="K5151">
        <v>0.30420983442441701</v>
      </c>
      <c r="L5151">
        <v>15000</v>
      </c>
      <c r="M5151">
        <v>234.913224108295</v>
      </c>
      <c r="N5151">
        <v>64.069955923432801</v>
      </c>
      <c r="O5151">
        <v>63.848737857514401</v>
      </c>
      <c r="P5151">
        <v>-0.66775750545193902</v>
      </c>
      <c r="Q5151">
        <v>0.27402173289367598</v>
      </c>
      <c r="R5151">
        <v>0.261975484850619</v>
      </c>
      <c r="S5151" t="s">
        <v>10977</v>
      </c>
      <c r="T5151" t="s">
        <v>11650</v>
      </c>
      <c r="U5151" t="s">
        <v>11650</v>
      </c>
      <c r="V5151" t="s">
        <v>11650</v>
      </c>
      <c r="W5151" t="s">
        <v>16744</v>
      </c>
      <c r="X5151">
        <v>4</v>
      </c>
      <c r="Y5151" t="s">
        <v>22411</v>
      </c>
      <c r="Z5151" t="s">
        <v>28213</v>
      </c>
      <c r="AA5151">
        <v>0.85134804422593158</v>
      </c>
      <c r="AB5151" t="str">
        <f>HYPERLINK("Melting_Curves/meltCurve_Q9NPD3_EXOSC4.pdf", "Melting_Curves/meltCurve_Q9NPD3_EXOSC4.pdf")</f>
        <v>Melting_Curves/meltCurve_Q9NPD3_EXOSC4.pdf</v>
      </c>
    </row>
    <row r="5152" spans="1:28" x14ac:dyDescent="0.25">
      <c r="A5152" t="s">
        <v>5156</v>
      </c>
      <c r="B5152">
        <v>0.99996721820229495</v>
      </c>
      <c r="C5152">
        <v>0.97645545455721705</v>
      </c>
      <c r="D5152">
        <v>1.0116600627616299</v>
      </c>
      <c r="E5152">
        <v>0.95610407521944096</v>
      </c>
      <c r="F5152">
        <v>1.41428349814008</v>
      </c>
      <c r="G5152">
        <v>1.41483999636665</v>
      </c>
      <c r="H5152">
        <v>1.10704425671956</v>
      </c>
      <c r="I5152">
        <v>0.93776907771238804</v>
      </c>
      <c r="J5152">
        <v>0.816052039026406</v>
      </c>
      <c r="K5152">
        <v>0.64995847059642498</v>
      </c>
      <c r="L5152">
        <v>3248.2722839448802</v>
      </c>
      <c r="M5152">
        <v>48.397516063225602</v>
      </c>
      <c r="O5152">
        <v>67.002234530303895</v>
      </c>
      <c r="P5152">
        <v>-7.1524140943569195E-2</v>
      </c>
      <c r="Q5152">
        <v>0.60392418233034695</v>
      </c>
      <c r="R5152">
        <v>0.29535477266832</v>
      </c>
      <c r="S5152" t="s">
        <v>10978</v>
      </c>
      <c r="T5152" t="s">
        <v>11650</v>
      </c>
      <c r="U5152" t="s">
        <v>11650</v>
      </c>
      <c r="V5152" t="s">
        <v>11650</v>
      </c>
      <c r="W5152" t="s">
        <v>16745</v>
      </c>
      <c r="X5152">
        <v>5</v>
      </c>
      <c r="Y5152" t="s">
        <v>22412</v>
      </c>
      <c r="Z5152" t="s">
        <v>28214</v>
      </c>
      <c r="AA5152">
        <v>0.96051825192584994</v>
      </c>
      <c r="AB5152" t="str">
        <f>HYPERLINK("Melting_Curves/meltCurve_Q9NPF0_CD320.pdf", "Melting_Curves/meltCurve_Q9NPF0_CD320.pdf")</f>
        <v>Melting_Curves/meltCurve_Q9NPF0_CD320.pdf</v>
      </c>
    </row>
    <row r="5153" spans="1:28" x14ac:dyDescent="0.25">
      <c r="A5153" t="s">
        <v>5157</v>
      </c>
      <c r="B5153">
        <v>0.99996721820229495</v>
      </c>
      <c r="C5153">
        <v>1.04666181982638</v>
      </c>
      <c r="D5153">
        <v>1.0245961344808701</v>
      </c>
      <c r="E5153">
        <v>1.03533822260675</v>
      </c>
      <c r="F5153">
        <v>0.94162009793578005</v>
      </c>
      <c r="G5153">
        <v>0.85318118736311599</v>
      </c>
      <c r="H5153">
        <v>0.40633611029427802</v>
      </c>
      <c r="I5153">
        <v>0.18254868960599699</v>
      </c>
      <c r="J5153">
        <v>0.19128205485263999</v>
      </c>
      <c r="K5153">
        <v>0.20827042626484699</v>
      </c>
      <c r="L5153">
        <v>2263.1494008078798</v>
      </c>
      <c r="M5153">
        <v>38.158802543462201</v>
      </c>
      <c r="N5153">
        <v>60.003469470214299</v>
      </c>
      <c r="O5153">
        <v>59.146511825947101</v>
      </c>
      <c r="P5153">
        <v>-0.13248842429687299</v>
      </c>
      <c r="Q5153">
        <v>0.17856849124933899</v>
      </c>
      <c r="R5153">
        <v>0.99307646771244495</v>
      </c>
      <c r="S5153" t="s">
        <v>10979</v>
      </c>
      <c r="T5153" t="s">
        <v>11650</v>
      </c>
      <c r="U5153" t="s">
        <v>11650</v>
      </c>
      <c r="V5153" t="s">
        <v>11650</v>
      </c>
      <c r="W5153" t="s">
        <v>16746</v>
      </c>
      <c r="X5153">
        <v>10</v>
      </c>
      <c r="Y5153" t="s">
        <v>22413</v>
      </c>
      <c r="Z5153" t="s">
        <v>28215</v>
      </c>
      <c r="AA5153">
        <v>0.71077977203254661</v>
      </c>
      <c r="AB5153" t="str">
        <f>HYPERLINK("Melting_Curves/meltCurve_Q9NPF4_OSGEP.pdf", "Melting_Curves/meltCurve_Q9NPF4_OSGEP.pdf")</f>
        <v>Melting_Curves/meltCurve_Q9NPF4_OSGEP.pdf</v>
      </c>
    </row>
    <row r="5154" spans="1:28" x14ac:dyDescent="0.25">
      <c r="A5154" t="s">
        <v>5158</v>
      </c>
      <c r="B5154">
        <v>0.99996721820229495</v>
      </c>
      <c r="C5154">
        <v>0.91379556132171003</v>
      </c>
      <c r="D5154">
        <v>0.95061728971424797</v>
      </c>
      <c r="E5154">
        <v>0.82475328231784995</v>
      </c>
      <c r="F5154">
        <v>0.92437077268471002</v>
      </c>
      <c r="G5154">
        <v>0.72983254405363196</v>
      </c>
      <c r="H5154">
        <v>0.386021853973052</v>
      </c>
      <c r="I5154">
        <v>0.225187154708202</v>
      </c>
      <c r="J5154">
        <v>0.111443110113147</v>
      </c>
      <c r="K5154">
        <v>0.13543872835059301</v>
      </c>
      <c r="L5154">
        <v>1066.74589508026</v>
      </c>
      <c r="M5154">
        <v>17.984574961238401</v>
      </c>
      <c r="N5154">
        <v>59.562697726564799</v>
      </c>
      <c r="O5154">
        <v>58.595723819150898</v>
      </c>
      <c r="P5154">
        <v>-7.3965082961346296E-2</v>
      </c>
      <c r="Q5154">
        <v>3.6102191254579002E-2</v>
      </c>
      <c r="R5154">
        <v>0.97035336574818198</v>
      </c>
      <c r="S5154" t="s">
        <v>10980</v>
      </c>
      <c r="T5154" t="s">
        <v>11650</v>
      </c>
      <c r="U5154" t="s">
        <v>11650</v>
      </c>
      <c r="V5154" t="s">
        <v>11650</v>
      </c>
      <c r="W5154" t="s">
        <v>16747</v>
      </c>
      <c r="X5154">
        <v>1</v>
      </c>
      <c r="Y5154" t="s">
        <v>22414</v>
      </c>
      <c r="Z5154" t="s">
        <v>28216</v>
      </c>
      <c r="AA5154">
        <v>0.66623903595264744</v>
      </c>
      <c r="AB5154" t="str">
        <f>HYPERLINK("Melting_Curves/meltCurve_Q9NPG8_ZDHHC4.pdf", "Melting_Curves/meltCurve_Q9NPG8_ZDHHC4.pdf")</f>
        <v>Melting_Curves/meltCurve_Q9NPG8_ZDHHC4.pdf</v>
      </c>
    </row>
    <row r="5155" spans="1:28" x14ac:dyDescent="0.25">
      <c r="A5155" t="s">
        <v>5159</v>
      </c>
      <c r="B5155">
        <v>0.99996721820229495</v>
      </c>
      <c r="C5155">
        <v>1.1069751928723499</v>
      </c>
      <c r="D5155">
        <v>1.0696000536552199</v>
      </c>
      <c r="E5155">
        <v>1.0322229731005701</v>
      </c>
      <c r="F5155">
        <v>0.99978216408566201</v>
      </c>
      <c r="G5155">
        <v>0.69355462361250297</v>
      </c>
      <c r="H5155">
        <v>0.31775805097649401</v>
      </c>
      <c r="I5155">
        <v>0.12581082833658599</v>
      </c>
      <c r="J5155">
        <v>6.3340867186212901E-2</v>
      </c>
      <c r="K5155">
        <v>5.7080120192875901E-2</v>
      </c>
      <c r="L5155">
        <v>1650.04449896865</v>
      </c>
      <c r="M5155">
        <v>28.0650664034609</v>
      </c>
      <c r="N5155">
        <v>58.980284851502198</v>
      </c>
      <c r="O5155">
        <v>58.497461224159203</v>
      </c>
      <c r="P5155">
        <v>-0.114843159673001</v>
      </c>
      <c r="Q5155">
        <v>4.25141157165446E-2</v>
      </c>
      <c r="R5155">
        <v>0.98874935283969101</v>
      </c>
      <c r="S5155" t="s">
        <v>10981</v>
      </c>
      <c r="T5155" t="s">
        <v>11650</v>
      </c>
      <c r="U5155" t="s">
        <v>11650</v>
      </c>
      <c r="V5155" t="s">
        <v>11650</v>
      </c>
      <c r="W5155" t="s">
        <v>16748</v>
      </c>
      <c r="X5155">
        <v>5</v>
      </c>
      <c r="Y5155" t="s">
        <v>22415</v>
      </c>
      <c r="Z5155" t="s">
        <v>28217</v>
      </c>
      <c r="AA5155">
        <v>0.64915536436293908</v>
      </c>
      <c r="AB5155" t="str">
        <f>HYPERLINK("Melting_Curves/meltCurve_Q9NPH0_ACP6.pdf", "Melting_Curves/meltCurve_Q9NPH0_ACP6.pdf")</f>
        <v>Melting_Curves/meltCurve_Q9NPH0_ACP6.pdf</v>
      </c>
    </row>
    <row r="5156" spans="1:28" x14ac:dyDescent="0.25">
      <c r="A5156" t="s">
        <v>5160</v>
      </c>
      <c r="B5156">
        <v>0.99996721820229495</v>
      </c>
      <c r="C5156">
        <v>0.90127758544732095</v>
      </c>
      <c r="D5156">
        <v>0.90395332580332199</v>
      </c>
      <c r="E5156">
        <v>0.70005227338253995</v>
      </c>
      <c r="F5156">
        <v>0.39569748932332799</v>
      </c>
      <c r="G5156">
        <v>0.26615047985985002</v>
      </c>
      <c r="H5156">
        <v>0.14173672519931399</v>
      </c>
      <c r="I5156">
        <v>0.11753802373738</v>
      </c>
      <c r="J5156">
        <v>7.0535540665854199E-2</v>
      </c>
      <c r="K5156">
        <v>4.8445833378226298E-2</v>
      </c>
      <c r="L5156">
        <v>792.05678126559599</v>
      </c>
      <c r="M5156">
        <v>15.248587016013101</v>
      </c>
      <c r="N5156">
        <v>52.282922556311</v>
      </c>
      <c r="O5156">
        <v>51.0741967803786</v>
      </c>
      <c r="P5156">
        <v>-7.1123362831210707E-2</v>
      </c>
      <c r="Q5156">
        <v>4.71970736829413E-2</v>
      </c>
      <c r="R5156">
        <v>0.99220261884262795</v>
      </c>
      <c r="S5156" t="s">
        <v>10982</v>
      </c>
      <c r="T5156" t="s">
        <v>11650</v>
      </c>
      <c r="U5156" t="s">
        <v>11650</v>
      </c>
      <c r="V5156" t="s">
        <v>11650</v>
      </c>
      <c r="W5156" t="s">
        <v>16749</v>
      </c>
      <c r="X5156">
        <v>4</v>
      </c>
      <c r="Y5156" t="s">
        <v>22416</v>
      </c>
      <c r="Z5156" t="s">
        <v>28218</v>
      </c>
      <c r="AA5156">
        <v>0.44731554256615291</v>
      </c>
      <c r="AB5156" t="str">
        <f>HYPERLINK("Melting_Curves/meltCurve_Q9NPI6_DCP1A.pdf", "Melting_Curves/meltCurve_Q9NPI6_DCP1A.pdf")</f>
        <v>Melting_Curves/meltCurve_Q9NPI6_DCP1A.pdf</v>
      </c>
    </row>
    <row r="5157" spans="1:28" x14ac:dyDescent="0.25">
      <c r="A5157" t="s">
        <v>5161</v>
      </c>
      <c r="B5157">
        <v>0.99996721820229495</v>
      </c>
      <c r="C5157">
        <v>1.06884541789946</v>
      </c>
      <c r="D5157">
        <v>1.0462769597403501</v>
      </c>
      <c r="E5157">
        <v>1.0460756588162401</v>
      </c>
      <c r="F5157">
        <v>1.2996627448924001</v>
      </c>
      <c r="G5157">
        <v>1.4655156514121399</v>
      </c>
      <c r="H5157">
        <v>1.04138687702427</v>
      </c>
      <c r="I5157">
        <v>0.78679637806886704</v>
      </c>
      <c r="J5157">
        <v>0.48883286450858499</v>
      </c>
      <c r="K5157">
        <v>0.18804948940337099</v>
      </c>
      <c r="L5157">
        <v>2648.1809013729098</v>
      </c>
      <c r="M5157">
        <v>39.878247343138398</v>
      </c>
      <c r="N5157">
        <v>66.747107741304504</v>
      </c>
      <c r="O5157">
        <v>66.240318057313303</v>
      </c>
      <c r="P5157">
        <v>-0.13665568614716</v>
      </c>
      <c r="Q5157">
        <v>9.2026594243495505E-2</v>
      </c>
      <c r="R5157">
        <v>0.74097384940003197</v>
      </c>
      <c r="S5157" t="s">
        <v>10983</v>
      </c>
      <c r="T5157" t="s">
        <v>11650</v>
      </c>
      <c r="U5157" t="s">
        <v>11650</v>
      </c>
      <c r="V5157" t="s">
        <v>11650</v>
      </c>
      <c r="W5157" t="s">
        <v>16750</v>
      </c>
      <c r="X5157">
        <v>7</v>
      </c>
      <c r="Y5157" t="s">
        <v>22417</v>
      </c>
      <c r="Z5157" t="s">
        <v>28219</v>
      </c>
      <c r="AA5157">
        <v>0.88823490706404551</v>
      </c>
      <c r="AB5157" t="str">
        <f>HYPERLINK("Melting_Curves/meltCurve_Q9NPJ3_ACOT13.pdf", "Melting_Curves/meltCurve_Q9NPJ3_ACOT13.pdf")</f>
        <v>Melting_Curves/meltCurve_Q9NPJ3_ACOT13.pdf</v>
      </c>
    </row>
    <row r="5158" spans="1:28" x14ac:dyDescent="0.25">
      <c r="A5158" t="s">
        <v>5162</v>
      </c>
      <c r="B5158">
        <v>0.99996721820229495</v>
      </c>
      <c r="C5158">
        <v>1.1117810919312701</v>
      </c>
      <c r="D5158">
        <v>1.0851278097936901</v>
      </c>
      <c r="E5158">
        <v>1.06826815137489</v>
      </c>
      <c r="F5158">
        <v>1.3247563727537499</v>
      </c>
      <c r="G5158">
        <v>0.97351171986134499</v>
      </c>
      <c r="H5158">
        <v>0.53005965006727895</v>
      </c>
      <c r="I5158">
        <v>0.47036427499987299</v>
      </c>
      <c r="J5158">
        <v>0.33046889881152097</v>
      </c>
      <c r="K5158">
        <v>0.23187645323330899</v>
      </c>
      <c r="L5158">
        <v>2412.1389618899898</v>
      </c>
      <c r="M5158">
        <v>39.958208419990598</v>
      </c>
      <c r="N5158">
        <v>61.824900543075898</v>
      </c>
      <c r="O5158">
        <v>60.215941000093501</v>
      </c>
      <c r="P5158">
        <v>-0.115267028138148</v>
      </c>
      <c r="Q5158">
        <v>0.30518425522182802</v>
      </c>
      <c r="R5158">
        <v>0.88525208863953098</v>
      </c>
      <c r="S5158" t="s">
        <v>10984</v>
      </c>
      <c r="T5158" t="s">
        <v>11650</v>
      </c>
      <c r="U5158" t="s">
        <v>11650</v>
      </c>
      <c r="V5158" t="s">
        <v>11650</v>
      </c>
      <c r="W5158" t="s">
        <v>16751</v>
      </c>
      <c r="X5158">
        <v>4</v>
      </c>
      <c r="Y5158" t="s">
        <v>22418</v>
      </c>
      <c r="Z5158" t="s">
        <v>28220</v>
      </c>
      <c r="AA5158">
        <v>0.77958601284106122</v>
      </c>
      <c r="AB5158" t="str">
        <f>HYPERLINK("Melting_Curves/meltCurve_Q9NPJ6_MED4.pdf", "Melting_Curves/meltCurve_Q9NPJ6_MED4.pdf")</f>
        <v>Melting_Curves/meltCurve_Q9NPJ6_MED4.pdf</v>
      </c>
    </row>
    <row r="5159" spans="1:28" x14ac:dyDescent="0.25">
      <c r="A5159" t="s">
        <v>5163</v>
      </c>
      <c r="B5159">
        <v>0.99996721820229495</v>
      </c>
      <c r="C5159">
        <v>0.88215745491139097</v>
      </c>
      <c r="D5159">
        <v>0.91837369276857905</v>
      </c>
      <c r="E5159">
        <v>1.24805055736643</v>
      </c>
      <c r="F5159">
        <v>1.90005043321601</v>
      </c>
      <c r="G5159">
        <v>1.87627764865071</v>
      </c>
      <c r="H5159">
        <v>1.5708637317293199</v>
      </c>
      <c r="I5159">
        <v>1.2824759247747599</v>
      </c>
      <c r="J5159">
        <v>0.85574662290536796</v>
      </c>
      <c r="K5159">
        <v>0.635987749666173</v>
      </c>
      <c r="L5159">
        <v>15000</v>
      </c>
      <c r="M5159">
        <v>223.459203891779</v>
      </c>
      <c r="O5159">
        <v>67.120969112397802</v>
      </c>
      <c r="P5159">
        <v>-0.30300172845928802</v>
      </c>
      <c r="Q5159">
        <v>0.63594661394087004</v>
      </c>
      <c r="R5159">
        <v>-0.181653495823596</v>
      </c>
      <c r="S5159" t="s">
        <v>10985</v>
      </c>
      <c r="T5159" t="s">
        <v>11650</v>
      </c>
      <c r="U5159" t="s">
        <v>11650</v>
      </c>
      <c r="V5159" t="s">
        <v>11650</v>
      </c>
      <c r="W5159" t="s">
        <v>16752</v>
      </c>
      <c r="X5159">
        <v>13</v>
      </c>
      <c r="Y5159" t="s">
        <v>22419</v>
      </c>
      <c r="Z5159" t="s">
        <v>28221</v>
      </c>
      <c r="AA5159">
        <v>0.96518116131478127</v>
      </c>
      <c r="AB5159" t="str">
        <f>HYPERLINK("Melting_Curves/meltCurve_Q9NPL8_TIMMDC1.pdf", "Melting_Curves/meltCurve_Q9NPL8_TIMMDC1.pdf")</f>
        <v>Melting_Curves/meltCurve_Q9NPL8_TIMMDC1.pdf</v>
      </c>
    </row>
    <row r="5160" spans="1:28" x14ac:dyDescent="0.25">
      <c r="A5160" t="s">
        <v>5164</v>
      </c>
      <c r="B5160">
        <v>0.99996721820229495</v>
      </c>
      <c r="C5160">
        <v>1.0013247582073801</v>
      </c>
      <c r="D5160">
        <v>0.86938166108513104</v>
      </c>
      <c r="E5160">
        <v>0.42822812260933601</v>
      </c>
      <c r="F5160">
        <v>0.28640070440188797</v>
      </c>
      <c r="G5160">
        <v>0.20198703902774501</v>
      </c>
      <c r="H5160">
        <v>0.124149433663427</v>
      </c>
      <c r="I5160">
        <v>7.7783559234446006E-2</v>
      </c>
      <c r="J5160">
        <v>5.6239552073866501E-2</v>
      </c>
      <c r="K5160">
        <v>5.2364326253169197E-2</v>
      </c>
      <c r="L5160">
        <v>1034.97156099989</v>
      </c>
      <c r="M5160">
        <v>20.958498398196099</v>
      </c>
      <c r="N5160">
        <v>49.822366691656903</v>
      </c>
      <c r="O5160">
        <v>48.938974465117603</v>
      </c>
      <c r="P5160">
        <v>-9.8013899544181701E-2</v>
      </c>
      <c r="Q5160">
        <v>8.4558451503655999E-2</v>
      </c>
      <c r="R5160">
        <v>0.99059779365406297</v>
      </c>
      <c r="S5160" t="s">
        <v>10986</v>
      </c>
      <c r="T5160" t="s">
        <v>11650</v>
      </c>
      <c r="U5160" t="s">
        <v>11650</v>
      </c>
      <c r="V5160" t="s">
        <v>11650</v>
      </c>
      <c r="W5160" t="s">
        <v>16753</v>
      </c>
      <c r="X5160">
        <v>17</v>
      </c>
      <c r="Y5160" t="s">
        <v>22420</v>
      </c>
      <c r="Z5160" t="s">
        <v>28222</v>
      </c>
      <c r="AA5160">
        <v>0.3824835400620919</v>
      </c>
      <c r="AB5160" t="str">
        <f>HYPERLINK("Melting_Curves/meltCurve_Q9NPQ8_4_RIC8A.pdf", "Melting_Curves/meltCurve_Q9NPQ8_4_RIC8A.pdf")</f>
        <v>Melting_Curves/meltCurve_Q9NPQ8_4_RIC8A.pdf</v>
      </c>
    </row>
    <row r="5161" spans="1:28" x14ac:dyDescent="0.25">
      <c r="A5161" t="s">
        <v>5165</v>
      </c>
      <c r="B5161">
        <v>0.99996721820229495</v>
      </c>
      <c r="C5161">
        <v>0.91853849701854895</v>
      </c>
      <c r="D5161">
        <v>1.0868454075079901</v>
      </c>
      <c r="E5161">
        <v>1.09555316406726</v>
      </c>
      <c r="F5161">
        <v>0.73408369266996498</v>
      </c>
      <c r="G5161">
        <v>0.37195914577025202</v>
      </c>
      <c r="H5161">
        <v>0.20036625495183499</v>
      </c>
      <c r="I5161">
        <v>0.10763687741514801</v>
      </c>
      <c r="J5161">
        <v>6.1636130985447998E-2</v>
      </c>
      <c r="K5161">
        <v>7.86961208611342E-2</v>
      </c>
      <c r="L5161">
        <v>1544.2372793997699</v>
      </c>
      <c r="M5161">
        <v>27.9018046260394</v>
      </c>
      <c r="N5161">
        <v>55.726232273361099</v>
      </c>
      <c r="O5161">
        <v>55.063472239246799</v>
      </c>
      <c r="P5161">
        <v>-0.115685847862929</v>
      </c>
      <c r="Q5161">
        <v>8.6796113580949602E-2</v>
      </c>
      <c r="R5161">
        <v>0.97654557305616196</v>
      </c>
      <c r="S5161" t="s">
        <v>10987</v>
      </c>
      <c r="T5161" t="s">
        <v>11650</v>
      </c>
      <c r="U5161" t="s">
        <v>11650</v>
      </c>
      <c r="V5161" t="s">
        <v>11650</v>
      </c>
      <c r="W5161" t="s">
        <v>16754</v>
      </c>
      <c r="X5161">
        <v>7</v>
      </c>
      <c r="Y5161" t="s">
        <v>22421</v>
      </c>
      <c r="Z5161" t="s">
        <v>28223</v>
      </c>
      <c r="AA5161">
        <v>0.5608548806331729</v>
      </c>
      <c r="AB5161" t="str">
        <f>HYPERLINK("Melting_Curves/meltCurve_Q9NPR9_GPR108.pdf", "Melting_Curves/meltCurve_Q9NPR9_GPR108.pdf")</f>
        <v>Melting_Curves/meltCurve_Q9NPR9_GPR108.pdf</v>
      </c>
    </row>
    <row r="5162" spans="1:28" x14ac:dyDescent="0.25">
      <c r="A5162" t="s">
        <v>5166</v>
      </c>
      <c r="B5162">
        <v>0.99996721820229495</v>
      </c>
      <c r="C5162">
        <v>1.10381031618376</v>
      </c>
      <c r="D5162">
        <v>1.1333256767840101</v>
      </c>
      <c r="E5162">
        <v>1.2867868443620101</v>
      </c>
      <c r="F5162">
        <v>0.35540274493882701</v>
      </c>
      <c r="G5162">
        <v>0.28907259448039402</v>
      </c>
      <c r="H5162">
        <v>0.20275457087089899</v>
      </c>
      <c r="I5162">
        <v>0.15015150243661299</v>
      </c>
      <c r="J5162">
        <v>0.16901415720031801</v>
      </c>
      <c r="K5162">
        <v>0.11993592131721301</v>
      </c>
      <c r="L5162">
        <v>13179.116493842101</v>
      </c>
      <c r="M5162">
        <v>250</v>
      </c>
      <c r="N5162">
        <v>52.814872095043398</v>
      </c>
      <c r="O5162">
        <v>52.7130925388146</v>
      </c>
      <c r="P5162">
        <v>-0.964910365770696</v>
      </c>
      <c r="Q5162">
        <v>0.186185451557144</v>
      </c>
      <c r="R5162">
        <v>0.93919457701590703</v>
      </c>
      <c r="S5162" t="s">
        <v>10988</v>
      </c>
      <c r="T5162" t="s">
        <v>11650</v>
      </c>
      <c r="U5162" t="s">
        <v>11650</v>
      </c>
      <c r="V5162" t="s">
        <v>11650</v>
      </c>
      <c r="W5162" t="s">
        <v>16755</v>
      </c>
      <c r="X5162">
        <v>5</v>
      </c>
      <c r="Y5162" t="s">
        <v>22422</v>
      </c>
      <c r="Z5162" t="s">
        <v>28224</v>
      </c>
      <c r="AA5162">
        <v>0.53122224341154478</v>
      </c>
      <c r="AB5162" t="str">
        <f>HYPERLINK("Melting_Curves/meltCurve_Q9NQ66_2_PLCB1.pdf", "Melting_Curves/meltCurve_Q9NQ66_2_PLCB1.pdf")</f>
        <v>Melting_Curves/meltCurve_Q9NQ66_2_PLCB1.pdf</v>
      </c>
    </row>
    <row r="5163" spans="1:28" x14ac:dyDescent="0.25">
      <c r="A5163" t="s">
        <v>5167</v>
      </c>
      <c r="B5163">
        <v>0.99996721820229495</v>
      </c>
      <c r="C5163">
        <v>0.807618032092703</v>
      </c>
      <c r="D5163">
        <v>0.42226730775570998</v>
      </c>
      <c r="E5163">
        <v>0.29423783417988197</v>
      </c>
      <c r="F5163">
        <v>0.32163806550943003</v>
      </c>
      <c r="G5163">
        <v>0.27478395172134801</v>
      </c>
      <c r="H5163">
        <v>0.19661094422394201</v>
      </c>
      <c r="I5163">
        <v>0.15879310846921199</v>
      </c>
      <c r="J5163">
        <v>0.13314097030479899</v>
      </c>
      <c r="K5163">
        <v>9.9486104121537605E-2</v>
      </c>
      <c r="L5163">
        <v>1052.73383359575</v>
      </c>
      <c r="M5163">
        <v>23.507439197045301</v>
      </c>
      <c r="N5163">
        <v>45.7342344229383</v>
      </c>
      <c r="O5163">
        <v>44.462704611967602</v>
      </c>
      <c r="P5163">
        <v>-0.106619634747855</v>
      </c>
      <c r="Q5163">
        <v>0.19335905586638999</v>
      </c>
      <c r="R5163">
        <v>0.95344535006653797</v>
      </c>
      <c r="S5163" t="s">
        <v>10989</v>
      </c>
      <c r="T5163" t="s">
        <v>11650</v>
      </c>
      <c r="U5163" t="s">
        <v>11650</v>
      </c>
      <c r="V5163" t="s">
        <v>11650</v>
      </c>
      <c r="W5163" t="s">
        <v>16756</v>
      </c>
      <c r="X5163">
        <v>14</v>
      </c>
      <c r="Y5163" t="s">
        <v>22423</v>
      </c>
      <c r="Z5163" t="s">
        <v>28225</v>
      </c>
      <c r="AA5163">
        <v>0.33151465314358292</v>
      </c>
      <c r="AB5163" t="str">
        <f>HYPERLINK("Melting_Curves/meltCurve_Q9NQ75_CASS4.pdf", "Melting_Curves/meltCurve_Q9NQ75_CASS4.pdf")</f>
        <v>Melting_Curves/meltCurve_Q9NQ75_CASS4.pdf</v>
      </c>
    </row>
    <row r="5164" spans="1:28" x14ac:dyDescent="0.25">
      <c r="A5164" t="s">
        <v>5168</v>
      </c>
      <c r="B5164">
        <v>0.99996721820229495</v>
      </c>
      <c r="C5164">
        <v>1.04524835150241</v>
      </c>
      <c r="D5164">
        <v>0.90506236289960695</v>
      </c>
      <c r="E5164">
        <v>0.61443657795462403</v>
      </c>
      <c r="F5164">
        <v>0.24130230851748299</v>
      </c>
      <c r="G5164">
        <v>0.19944008285797399</v>
      </c>
      <c r="H5164">
        <v>0.119761580690258</v>
      </c>
      <c r="I5164">
        <v>7.2302194893025307E-2</v>
      </c>
      <c r="J5164">
        <v>5.2831605176034399E-2</v>
      </c>
      <c r="K5164">
        <v>4.4488227004827997E-2</v>
      </c>
      <c r="L5164">
        <v>1258.5884665829001</v>
      </c>
      <c r="M5164">
        <v>24.943098797862</v>
      </c>
      <c r="N5164">
        <v>50.799933790275396</v>
      </c>
      <c r="O5164">
        <v>50.137410396867999</v>
      </c>
      <c r="P5164">
        <v>-0.114773915092136</v>
      </c>
      <c r="Q5164">
        <v>7.7197465533298704E-2</v>
      </c>
      <c r="R5164">
        <v>0.99061928743401695</v>
      </c>
      <c r="S5164" t="s">
        <v>10990</v>
      </c>
      <c r="T5164" t="s">
        <v>11650</v>
      </c>
      <c r="U5164" t="s">
        <v>11650</v>
      </c>
      <c r="V5164" t="s">
        <v>11650</v>
      </c>
      <c r="W5164" t="s">
        <v>16757</v>
      </c>
      <c r="X5164">
        <v>13</v>
      </c>
      <c r="Y5164" t="s">
        <v>22424</v>
      </c>
      <c r="Z5164" t="s">
        <v>28226</v>
      </c>
      <c r="AA5164">
        <v>0.40722346429268352</v>
      </c>
      <c r="AB5164" t="str">
        <f>HYPERLINK("Melting_Curves/meltCurve_Q9NQ88_TIGAR.pdf", "Melting_Curves/meltCurve_Q9NQ88_TIGAR.pdf")</f>
        <v>Melting_Curves/meltCurve_Q9NQ88_TIGAR.pdf</v>
      </c>
    </row>
    <row r="5165" spans="1:28" x14ac:dyDescent="0.25">
      <c r="A5165" t="s">
        <v>5169</v>
      </c>
      <c r="B5165">
        <v>0.99996721820229495</v>
      </c>
      <c r="C5165">
        <v>1.07555266097883</v>
      </c>
      <c r="D5165">
        <v>1.02975541985505</v>
      </c>
      <c r="E5165">
        <v>1.0762735962016801</v>
      </c>
      <c r="F5165">
        <v>1.3442583621542199</v>
      </c>
      <c r="G5165">
        <v>1.63366567094827</v>
      </c>
      <c r="H5165">
        <v>1.0152284801328</v>
      </c>
      <c r="I5165">
        <v>0.53315955084633304</v>
      </c>
      <c r="J5165">
        <v>0.36419387818821097</v>
      </c>
      <c r="K5165">
        <v>0.29356739100902401</v>
      </c>
      <c r="L5165">
        <v>13229.8815498817</v>
      </c>
      <c r="M5165">
        <v>207.54321420005999</v>
      </c>
      <c r="N5165">
        <v>64.076215277738697</v>
      </c>
      <c r="O5165">
        <v>63.739271897823599</v>
      </c>
      <c r="P5165">
        <v>-0.54632789657657199</v>
      </c>
      <c r="Q5165">
        <v>0.32886185875349999</v>
      </c>
      <c r="R5165">
        <v>0.66834667907144696</v>
      </c>
      <c r="S5165" t="s">
        <v>10991</v>
      </c>
      <c r="T5165" t="s">
        <v>11650</v>
      </c>
      <c r="U5165" t="s">
        <v>11650</v>
      </c>
      <c r="V5165" t="s">
        <v>11650</v>
      </c>
      <c r="W5165" t="s">
        <v>16758</v>
      </c>
      <c r="X5165">
        <v>19</v>
      </c>
      <c r="Y5165" t="s">
        <v>22425</v>
      </c>
      <c r="Z5165" t="s">
        <v>28227</v>
      </c>
      <c r="AA5165">
        <v>0.86018089312569013</v>
      </c>
      <c r="AB5165" t="str">
        <f>HYPERLINK("Melting_Curves/meltCurve_Q9NQC3_RTN4.pdf", "Melting_Curves/meltCurve_Q9NQC3_RTN4.pdf")</f>
        <v>Melting_Curves/meltCurve_Q9NQC3_RTN4.pdf</v>
      </c>
    </row>
    <row r="5166" spans="1:28" x14ac:dyDescent="0.25">
      <c r="A5166" t="s">
        <v>5170</v>
      </c>
      <c r="B5166">
        <v>0.99996721820229495</v>
      </c>
      <c r="C5166">
        <v>1.27229000002735</v>
      </c>
      <c r="D5166">
        <v>1.1173358193432701</v>
      </c>
      <c r="E5166">
        <v>0.98987458690177899</v>
      </c>
      <c r="F5166">
        <v>1.10535763235785</v>
      </c>
      <c r="G5166">
        <v>1.1237792111893701</v>
      </c>
      <c r="H5166">
        <v>0.53006186425341095</v>
      </c>
      <c r="I5166">
        <v>0.20920335843636301</v>
      </c>
      <c r="J5166">
        <v>0.17459270662380999</v>
      </c>
      <c r="K5166">
        <v>9.6917174974466405E-2</v>
      </c>
      <c r="L5166">
        <v>5093.4617324124702</v>
      </c>
      <c r="M5166">
        <v>83.702920687702701</v>
      </c>
      <c r="N5166">
        <v>61.121990828377598</v>
      </c>
      <c r="O5166">
        <v>60.816958199675</v>
      </c>
      <c r="P5166">
        <v>-0.290847803831636</v>
      </c>
      <c r="Q5166">
        <v>0.15470213585138801</v>
      </c>
      <c r="R5166">
        <v>0.936221130269698</v>
      </c>
      <c r="S5166" t="s">
        <v>10992</v>
      </c>
      <c r="T5166" t="s">
        <v>11650</v>
      </c>
      <c r="U5166" t="s">
        <v>11650</v>
      </c>
      <c r="V5166" t="s">
        <v>11650</v>
      </c>
      <c r="W5166" t="s">
        <v>16759</v>
      </c>
      <c r="X5166">
        <v>12</v>
      </c>
      <c r="Y5166" t="s">
        <v>22425</v>
      </c>
      <c r="Z5166" t="s">
        <v>28228</v>
      </c>
      <c r="AA5166">
        <v>0.74303716097368211</v>
      </c>
      <c r="AB5166" t="str">
        <f>HYPERLINK("Melting_Curves/meltCurve_Q9NQC3_5_RTN4.pdf", "Melting_Curves/meltCurve_Q9NQC3_5_RTN4.pdf")</f>
        <v>Melting_Curves/meltCurve_Q9NQC3_5_RTN4.pdf</v>
      </c>
    </row>
    <row r="5167" spans="1:28" x14ac:dyDescent="0.25">
      <c r="A5167" t="s">
        <v>5171</v>
      </c>
      <c r="B5167">
        <v>0.99996721820229495</v>
      </c>
      <c r="C5167">
        <v>1.0742694767744201</v>
      </c>
      <c r="D5167">
        <v>1.05235099378657</v>
      </c>
      <c r="E5167">
        <v>1.00783021039932</v>
      </c>
      <c r="F5167">
        <v>1.2218304993312099</v>
      </c>
      <c r="G5167">
        <v>1.15366269326916</v>
      </c>
      <c r="H5167">
        <v>0.44233160542519501</v>
      </c>
      <c r="I5167">
        <v>0.18531542026037801</v>
      </c>
      <c r="J5167">
        <v>0.12193587086801499</v>
      </c>
      <c r="K5167">
        <v>8.9706939041449094E-2</v>
      </c>
      <c r="L5167">
        <v>6967.8607808751403</v>
      </c>
      <c r="M5167">
        <v>114.806240021354</v>
      </c>
      <c r="N5167">
        <v>60.853845361530098</v>
      </c>
      <c r="O5167">
        <v>60.6739396009039</v>
      </c>
      <c r="P5167">
        <v>-0.41092421912576899</v>
      </c>
      <c r="Q5167">
        <v>0.13132276337776699</v>
      </c>
      <c r="R5167">
        <v>0.95606808507462304</v>
      </c>
      <c r="S5167" t="s">
        <v>10993</v>
      </c>
      <c r="T5167" t="s">
        <v>11650</v>
      </c>
      <c r="U5167" t="s">
        <v>11650</v>
      </c>
      <c r="V5167" t="s">
        <v>11650</v>
      </c>
      <c r="W5167" t="s">
        <v>16760</v>
      </c>
      <c r="X5167">
        <v>8</v>
      </c>
      <c r="Y5167" t="s">
        <v>22426</v>
      </c>
      <c r="Z5167" t="s">
        <v>28229</v>
      </c>
      <c r="AA5167">
        <v>0.73092772099860848</v>
      </c>
      <c r="AB5167" t="str">
        <f>HYPERLINK("Melting_Curves/meltCurve_Q9NQE9_HINT3.pdf", "Melting_Curves/meltCurve_Q9NQE9_HINT3.pdf")</f>
        <v>Melting_Curves/meltCurve_Q9NQE9_HINT3.pdf</v>
      </c>
    </row>
    <row r="5168" spans="1:28" x14ac:dyDescent="0.25">
      <c r="A5168" t="s">
        <v>5172</v>
      </c>
      <c r="B5168">
        <v>0.99996721820229495</v>
      </c>
      <c r="C5168">
        <v>0.56508799570164503</v>
      </c>
      <c r="D5168">
        <v>0.92983465317168501</v>
      </c>
      <c r="E5168">
        <v>1.7708419382813501</v>
      </c>
      <c r="F5168">
        <v>3.6015168084454601</v>
      </c>
      <c r="G5168">
        <v>3.1339869939017202</v>
      </c>
      <c r="H5168">
        <v>1.7361069670693099</v>
      </c>
      <c r="I5168">
        <v>0.54501499971922895</v>
      </c>
      <c r="J5168">
        <v>0.29940355900260501</v>
      </c>
      <c r="K5168">
        <v>0.33848087465313398</v>
      </c>
      <c r="L5168">
        <v>15000</v>
      </c>
      <c r="M5168">
        <v>235.07389621605699</v>
      </c>
      <c r="N5168">
        <v>64.086635457048899</v>
      </c>
      <c r="O5168">
        <v>63.805109606758698</v>
      </c>
      <c r="P5168">
        <v>-0.62731398462890098</v>
      </c>
      <c r="Q5168">
        <v>0.31892337711052399</v>
      </c>
      <c r="R5168">
        <v>-3.2827886912165601E-2</v>
      </c>
      <c r="S5168" t="s">
        <v>10994</v>
      </c>
      <c r="T5168" t="s">
        <v>11650</v>
      </c>
      <c r="U5168" t="s">
        <v>11650</v>
      </c>
      <c r="V5168" t="s">
        <v>11650</v>
      </c>
      <c r="W5168" t="s">
        <v>16761</v>
      </c>
      <c r="X5168">
        <v>1</v>
      </c>
      <c r="Y5168" t="s">
        <v>22427</v>
      </c>
      <c r="Z5168" t="s">
        <v>28230</v>
      </c>
      <c r="AA5168">
        <v>0.85955114805958921</v>
      </c>
      <c r="AB5168" t="str">
        <f>HYPERLINK("Melting_Curves/meltCurve_Q9NQG1_MANBAL.pdf", "Melting_Curves/meltCurve_Q9NQG1_MANBAL.pdf")</f>
        <v>Melting_Curves/meltCurve_Q9NQG1_MANBAL.pdf</v>
      </c>
    </row>
    <row r="5169" spans="1:28" x14ac:dyDescent="0.25">
      <c r="A5169" t="s">
        <v>5173</v>
      </c>
      <c r="B5169">
        <v>0.99996721820229495</v>
      </c>
      <c r="C5169">
        <v>1.22578623012142</v>
      </c>
      <c r="D5169">
        <v>1.0797856991800101</v>
      </c>
      <c r="E5169">
        <v>0.84702544576922201</v>
      </c>
      <c r="F5169">
        <v>0.40391365828061698</v>
      </c>
      <c r="G5169">
        <v>0.31033670072297598</v>
      </c>
      <c r="H5169">
        <v>0.17494085704521301</v>
      </c>
      <c r="I5169">
        <v>0.115255242527117</v>
      </c>
      <c r="J5169">
        <v>7.1075843900297794E-2</v>
      </c>
      <c r="K5169">
        <v>6.5072338827766099E-2</v>
      </c>
      <c r="L5169">
        <v>1525.9913919570899</v>
      </c>
      <c r="M5169">
        <v>29.193801557989801</v>
      </c>
      <c r="N5169">
        <v>52.7697841148889</v>
      </c>
      <c r="O5169">
        <v>52.027653239880699</v>
      </c>
      <c r="P5169">
        <v>-0.12336951617502501</v>
      </c>
      <c r="Q5169">
        <v>0.120555814868518</v>
      </c>
      <c r="R5169">
        <v>0.95354987048158002</v>
      </c>
      <c r="S5169" t="s">
        <v>10995</v>
      </c>
      <c r="T5169" t="s">
        <v>11650</v>
      </c>
      <c r="U5169" t="s">
        <v>11650</v>
      </c>
      <c r="V5169" t="s">
        <v>11650</v>
      </c>
      <c r="W5169" t="s">
        <v>16762</v>
      </c>
      <c r="X5169">
        <v>8</v>
      </c>
      <c r="Y5169" t="s">
        <v>22428</v>
      </c>
      <c r="Z5169" t="s">
        <v>28231</v>
      </c>
      <c r="AA5169">
        <v>0.48623422862153032</v>
      </c>
      <c r="AB5169" t="str">
        <f>HYPERLINK("Melting_Curves/meltCurve_Q9NQG5_RPRD1B.pdf", "Melting_Curves/meltCurve_Q9NQG5_RPRD1B.pdf")</f>
        <v>Melting_Curves/meltCurve_Q9NQG5_RPRD1B.pdf</v>
      </c>
    </row>
    <row r="5170" spans="1:28" x14ac:dyDescent="0.25">
      <c r="A5170" t="s">
        <v>5174</v>
      </c>
      <c r="B5170">
        <v>0.99996721820229495</v>
      </c>
      <c r="C5170">
        <v>1.06559819537113</v>
      </c>
      <c r="D5170">
        <v>1.13222277678993</v>
      </c>
      <c r="E5170">
        <v>1.28044396875995</v>
      </c>
      <c r="F5170">
        <v>1.5901458293874799</v>
      </c>
      <c r="G5170">
        <v>1.28403560627561</v>
      </c>
      <c r="H5170">
        <v>0.35354614775456</v>
      </c>
      <c r="I5170">
        <v>0.15518437259523499</v>
      </c>
      <c r="J5170">
        <v>8.7755116331591096E-2</v>
      </c>
      <c r="K5170">
        <v>5.7087631651098501E-2</v>
      </c>
      <c r="L5170">
        <v>10254.9515240777</v>
      </c>
      <c r="M5170">
        <v>169.049336520314</v>
      </c>
      <c r="N5170">
        <v>60.742609643865102</v>
      </c>
      <c r="O5170">
        <v>60.653987969445403</v>
      </c>
      <c r="P5170">
        <v>-0.62713641050895097</v>
      </c>
      <c r="Q5170">
        <v>9.9947387176079205E-2</v>
      </c>
      <c r="R5170">
        <v>0.82094641066775098</v>
      </c>
      <c r="S5170" t="s">
        <v>10996</v>
      </c>
      <c r="T5170" t="s">
        <v>11650</v>
      </c>
      <c r="U5170" t="s">
        <v>11650</v>
      </c>
      <c r="V5170" t="s">
        <v>11650</v>
      </c>
      <c r="W5170" t="s">
        <v>16763</v>
      </c>
      <c r="X5170">
        <v>7</v>
      </c>
      <c r="Y5170" t="s">
        <v>22429</v>
      </c>
      <c r="Z5170" t="s">
        <v>28232</v>
      </c>
      <c r="AA5170">
        <v>0.72006755848740478</v>
      </c>
      <c r="AB5170" t="str">
        <f>HYPERLINK("Melting_Curves/meltCurve_Q9NQH7_2_XPNPEP3.pdf", "Melting_Curves/meltCurve_Q9NQH7_2_XPNPEP3.pdf")</f>
        <v>Melting_Curves/meltCurve_Q9NQH7_2_XPNPEP3.pdf</v>
      </c>
    </row>
    <row r="5171" spans="1:28" x14ac:dyDescent="0.25">
      <c r="A5171" t="s">
        <v>5175</v>
      </c>
      <c r="B5171">
        <v>0.99996721820229495</v>
      </c>
      <c r="C5171">
        <v>1.0879433831608101</v>
      </c>
      <c r="D5171">
        <v>1.06858401548302</v>
      </c>
      <c r="E5171">
        <v>1.0347469617109799</v>
      </c>
      <c r="F5171">
        <v>0.97383722908280101</v>
      </c>
      <c r="G5171">
        <v>0.64989182944329105</v>
      </c>
      <c r="H5171">
        <v>0.20460459088435501</v>
      </c>
      <c r="I5171">
        <v>0.122407756718728</v>
      </c>
      <c r="J5171">
        <v>8.5230040276225993E-2</v>
      </c>
      <c r="K5171">
        <v>6.4691505816368594E-2</v>
      </c>
      <c r="L5171">
        <v>2040.8893611871999</v>
      </c>
      <c r="M5171">
        <v>35.293458717197197</v>
      </c>
      <c r="N5171">
        <v>58.103103331149001</v>
      </c>
      <c r="O5171">
        <v>57.641578581077603</v>
      </c>
      <c r="P5171">
        <v>-0.14122813328678599</v>
      </c>
      <c r="Q5171">
        <v>7.7383266453352903E-2</v>
      </c>
      <c r="R5171">
        <v>0.99227802461195203</v>
      </c>
      <c r="S5171" t="s">
        <v>10997</v>
      </c>
      <c r="T5171" t="s">
        <v>11650</v>
      </c>
      <c r="U5171" t="s">
        <v>11650</v>
      </c>
      <c r="V5171" t="s">
        <v>11650</v>
      </c>
      <c r="W5171" t="s">
        <v>16764</v>
      </c>
      <c r="X5171">
        <v>20</v>
      </c>
      <c r="Y5171" t="s">
        <v>22430</v>
      </c>
      <c r="Z5171" t="s">
        <v>28233</v>
      </c>
      <c r="AA5171">
        <v>0.63018958104811895</v>
      </c>
      <c r="AB5171" t="str">
        <f>HYPERLINK("Melting_Curves/meltCurve_Q9NQR4_NIT2.pdf", "Melting_Curves/meltCurve_Q9NQR4_NIT2.pdf")</f>
        <v>Melting_Curves/meltCurve_Q9NQR4_NIT2.pdf</v>
      </c>
    </row>
    <row r="5172" spans="1:28" x14ac:dyDescent="0.25">
      <c r="A5172" t="s">
        <v>5176</v>
      </c>
      <c r="B5172">
        <v>0.99996721820229495</v>
      </c>
      <c r="C5172">
        <v>1.12937527837298</v>
      </c>
      <c r="D5172">
        <v>1.0710858555299201</v>
      </c>
      <c r="E5172">
        <v>1.2782028179927001</v>
      </c>
      <c r="F5172">
        <v>1.16991472406339</v>
      </c>
      <c r="G5172">
        <v>1.41309952763756</v>
      </c>
      <c r="H5172">
        <v>1.4634935875756401</v>
      </c>
      <c r="I5172">
        <v>1.2208203193701901</v>
      </c>
      <c r="J5172">
        <v>1.1557655320811</v>
      </c>
      <c r="K5172">
        <v>0.85524170611138195</v>
      </c>
      <c r="L5172">
        <v>961.92460150484396</v>
      </c>
      <c r="M5172">
        <v>21.716891874771498</v>
      </c>
      <c r="O5172">
        <v>43.923411104923098</v>
      </c>
      <c r="P5172">
        <v>2.71407061295359E-2</v>
      </c>
      <c r="Q5172">
        <v>1.21956806864631</v>
      </c>
      <c r="R5172">
        <v>0.155449157584098</v>
      </c>
      <c r="S5172" t="s">
        <v>10998</v>
      </c>
      <c r="T5172" t="s">
        <v>11650</v>
      </c>
      <c r="U5172" t="s">
        <v>11650</v>
      </c>
      <c r="V5172" t="s">
        <v>11650</v>
      </c>
      <c r="W5172" t="s">
        <v>16765</v>
      </c>
      <c r="X5172">
        <v>7</v>
      </c>
      <c r="Y5172" t="s">
        <v>22431</v>
      </c>
      <c r="Z5172" t="s">
        <v>28234</v>
      </c>
      <c r="AA5172">
        <v>1.1847809559338149</v>
      </c>
      <c r="AB5172" t="str">
        <f>HYPERLINK("Melting_Curves/meltCurve_Q9NQS1_AVEN.pdf", "Melting_Curves/meltCurve_Q9NQS1_AVEN.pdf")</f>
        <v>Melting_Curves/meltCurve_Q9NQS1_AVEN.pdf</v>
      </c>
    </row>
    <row r="5173" spans="1:28" x14ac:dyDescent="0.25">
      <c r="A5173" t="s">
        <v>5177</v>
      </c>
      <c r="B5173">
        <v>0.99996721820229495</v>
      </c>
      <c r="C5173">
        <v>0.97910804433973497</v>
      </c>
      <c r="D5173">
        <v>1.0303738711883501</v>
      </c>
      <c r="E5173">
        <v>1.1135848979155201</v>
      </c>
      <c r="F5173">
        <v>1.3902489460199801</v>
      </c>
      <c r="G5173">
        <v>1.54710989000996</v>
      </c>
      <c r="H5173">
        <v>1.0926037449794901</v>
      </c>
      <c r="I5173">
        <v>0.79830696397058099</v>
      </c>
      <c r="J5173">
        <v>0.69534537590074896</v>
      </c>
      <c r="K5173">
        <v>0.56001924475532805</v>
      </c>
      <c r="L5173">
        <v>10737.044690042099</v>
      </c>
      <c r="M5173">
        <v>167.930109126627</v>
      </c>
      <c r="O5173">
        <v>63.928512581038802</v>
      </c>
      <c r="P5173">
        <v>-0.244605348222315</v>
      </c>
      <c r="Q5173">
        <v>0.62752942741911599</v>
      </c>
      <c r="R5173">
        <v>0.39340936894602002</v>
      </c>
      <c r="S5173" t="s">
        <v>10999</v>
      </c>
      <c r="T5173" t="s">
        <v>11650</v>
      </c>
      <c r="U5173" t="s">
        <v>11650</v>
      </c>
      <c r="V5173" t="s">
        <v>11650</v>
      </c>
      <c r="W5173" t="s">
        <v>16766</v>
      </c>
      <c r="X5173">
        <v>9</v>
      </c>
      <c r="Y5173" t="s">
        <v>22432</v>
      </c>
      <c r="Z5173" t="s">
        <v>28235</v>
      </c>
      <c r="AA5173">
        <v>0.92482354183345961</v>
      </c>
      <c r="AB5173" t="str">
        <f>HYPERLINK("Melting_Curves/meltCurve_Q9NQS3_PVRL3.pdf", "Melting_Curves/meltCurve_Q9NQS3_PVRL3.pdf")</f>
        <v>Melting_Curves/meltCurve_Q9NQS3_PVRL3.pdf</v>
      </c>
    </row>
    <row r="5174" spans="1:28" x14ac:dyDescent="0.25">
      <c r="A5174" t="s">
        <v>5178</v>
      </c>
      <c r="B5174">
        <v>0.99996721820229495</v>
      </c>
      <c r="C5174">
        <v>1.0230540038966001</v>
      </c>
      <c r="D5174">
        <v>1.43408593112476</v>
      </c>
      <c r="E5174">
        <v>1.9573084445268101</v>
      </c>
      <c r="F5174">
        <v>2.0885843760217999</v>
      </c>
      <c r="G5174">
        <v>1.0363290373752601</v>
      </c>
      <c r="H5174">
        <v>0.20655193826471499</v>
      </c>
      <c r="I5174">
        <v>0.16498735156484601</v>
      </c>
      <c r="J5174">
        <v>2.3039262459025302E-2</v>
      </c>
      <c r="K5174">
        <v>2.0742123572468799E-2</v>
      </c>
      <c r="L5174">
        <v>7757.9087569670301</v>
      </c>
      <c r="M5174">
        <v>128.92851653931001</v>
      </c>
      <c r="N5174">
        <v>60.241873317700197</v>
      </c>
      <c r="O5174">
        <v>60.157717876732796</v>
      </c>
      <c r="P5174">
        <v>-0.49867084688385199</v>
      </c>
      <c r="Q5174">
        <v>6.9286141373261195E-2</v>
      </c>
      <c r="R5174">
        <v>0.57486509413223597</v>
      </c>
      <c r="S5174" t="s">
        <v>11000</v>
      </c>
      <c r="T5174" t="s">
        <v>11650</v>
      </c>
      <c r="U5174" t="s">
        <v>11650</v>
      </c>
      <c r="V5174" t="s">
        <v>11650</v>
      </c>
      <c r="W5174" t="s">
        <v>16767</v>
      </c>
      <c r="X5174">
        <v>1</v>
      </c>
      <c r="Y5174" t="s">
        <v>22433</v>
      </c>
      <c r="Z5174" t="s">
        <v>28236</v>
      </c>
      <c r="AA5174">
        <v>0.69547321867570544</v>
      </c>
      <c r="AB5174" t="str">
        <f>HYPERLINK("Melting_Curves/meltCurve_Q9NQT4_EXOSC5.pdf", "Melting_Curves/meltCurve_Q9NQT4_EXOSC5.pdf")</f>
        <v>Melting_Curves/meltCurve_Q9NQT4_EXOSC5.pdf</v>
      </c>
    </row>
    <row r="5175" spans="1:28" x14ac:dyDescent="0.25">
      <c r="A5175" t="s">
        <v>5179</v>
      </c>
      <c r="B5175">
        <v>0.99996721820229495</v>
      </c>
      <c r="C5175">
        <v>0.87178973520451297</v>
      </c>
      <c r="D5175">
        <v>0.77491085196796206</v>
      </c>
      <c r="E5175">
        <v>0.18798525700631699</v>
      </c>
      <c r="F5175">
        <v>0.165972516341437</v>
      </c>
      <c r="G5175">
        <v>8.9718395719463204E-2</v>
      </c>
      <c r="H5175">
        <v>6.8085859579522207E-2</v>
      </c>
      <c r="I5175">
        <v>4.1300694253179199E-2</v>
      </c>
      <c r="J5175">
        <v>4.6420923717885199E-2</v>
      </c>
      <c r="K5175">
        <v>1.7870233005152801E-2</v>
      </c>
      <c r="L5175">
        <v>1315.7707525225601</v>
      </c>
      <c r="M5175">
        <v>27.6948567538678</v>
      </c>
      <c r="N5175">
        <v>47.708169314434898</v>
      </c>
      <c r="O5175">
        <v>47.263936261854901</v>
      </c>
      <c r="P5175">
        <v>-0.13851589314718399</v>
      </c>
      <c r="Q5175">
        <v>5.4445701119784799E-2</v>
      </c>
      <c r="R5175">
        <v>0.98670464367160904</v>
      </c>
      <c r="S5175" t="s">
        <v>11001</v>
      </c>
      <c r="T5175" t="s">
        <v>11650</v>
      </c>
      <c r="U5175" t="s">
        <v>11650</v>
      </c>
      <c r="V5175" t="s">
        <v>11650</v>
      </c>
      <c r="W5175" t="s">
        <v>16768</v>
      </c>
      <c r="X5175">
        <v>15</v>
      </c>
      <c r="Y5175" t="s">
        <v>22434</v>
      </c>
      <c r="Z5175" t="s">
        <v>28237</v>
      </c>
      <c r="AA5175">
        <v>0.29786065351606211</v>
      </c>
      <c r="AB5175" t="str">
        <f>HYPERLINK("Melting_Curves/meltCurve_Q9NQT8_KIF13B.pdf", "Melting_Curves/meltCurve_Q9NQT8_KIF13B.pdf")</f>
        <v>Melting_Curves/meltCurve_Q9NQT8_KIF13B.pdf</v>
      </c>
    </row>
    <row r="5176" spans="1:28" x14ac:dyDescent="0.25">
      <c r="A5176" t="s">
        <v>5180</v>
      </c>
      <c r="B5176">
        <v>0.99996721820229495</v>
      </c>
      <c r="C5176">
        <v>0.88768006570630997</v>
      </c>
      <c r="D5176">
        <v>0.83460442298262905</v>
      </c>
      <c r="E5176">
        <v>0.74373047556427996</v>
      </c>
      <c r="F5176">
        <v>0.49827463337794198</v>
      </c>
      <c r="G5176">
        <v>0.33727055602278899</v>
      </c>
      <c r="H5176">
        <v>0.22674220331744799</v>
      </c>
      <c r="I5176">
        <v>0.16199722865409999</v>
      </c>
      <c r="J5176">
        <v>0.13966030455454001</v>
      </c>
      <c r="K5176">
        <v>9.0619968744666393E-2</v>
      </c>
      <c r="L5176">
        <v>580.97366406831895</v>
      </c>
      <c r="M5176">
        <v>10.907740605777599</v>
      </c>
      <c r="N5176">
        <v>53.572778071673703</v>
      </c>
      <c r="O5176">
        <v>51.566129648235297</v>
      </c>
      <c r="P5176">
        <v>-5.1281462010066003E-2</v>
      </c>
      <c r="Q5176">
        <v>3.0609378098893799E-2</v>
      </c>
      <c r="R5176">
        <v>0.99213744751057098</v>
      </c>
      <c r="S5176" t="s">
        <v>11002</v>
      </c>
      <c r="T5176" t="s">
        <v>11650</v>
      </c>
      <c r="U5176" t="s">
        <v>11650</v>
      </c>
      <c r="V5176" t="s">
        <v>11650</v>
      </c>
      <c r="W5176" t="s">
        <v>16769</v>
      </c>
      <c r="X5176">
        <v>27</v>
      </c>
      <c r="Y5176" t="s">
        <v>22435</v>
      </c>
      <c r="Z5176" t="s">
        <v>28238</v>
      </c>
      <c r="AA5176">
        <v>0.48891843173711541</v>
      </c>
      <c r="AB5176" t="str">
        <f>HYPERLINK("Melting_Curves/meltCurve_Q9NQW7_3_XPNPEP1.pdf", "Melting_Curves/meltCurve_Q9NQW7_3_XPNPEP1.pdf")</f>
        <v>Melting_Curves/meltCurve_Q9NQW7_3_XPNPEP1.pdf</v>
      </c>
    </row>
    <row r="5177" spans="1:28" x14ac:dyDescent="0.25">
      <c r="A5177" t="s">
        <v>5181</v>
      </c>
      <c r="B5177">
        <v>0.99996721820229495</v>
      </c>
      <c r="C5177">
        <v>0.83712211775395096</v>
      </c>
      <c r="D5177">
        <v>0.81089878354391098</v>
      </c>
      <c r="E5177">
        <v>0.54626198796472702</v>
      </c>
      <c r="F5177">
        <v>0.41331814087276098</v>
      </c>
      <c r="G5177">
        <v>0.34662683962256602</v>
      </c>
      <c r="H5177">
        <v>0.265568779228533</v>
      </c>
      <c r="I5177">
        <v>0.18650741663977499</v>
      </c>
      <c r="J5177">
        <v>0.122379251693332</v>
      </c>
      <c r="K5177">
        <v>0.11504135210448201</v>
      </c>
      <c r="L5177">
        <v>513.17286661098399</v>
      </c>
      <c r="M5177">
        <v>10.073804152238401</v>
      </c>
      <c r="N5177">
        <v>51.776110369637202</v>
      </c>
      <c r="O5177">
        <v>49.056082359819897</v>
      </c>
      <c r="P5177">
        <v>-4.7512430938983302E-2</v>
      </c>
      <c r="Q5177">
        <v>7.4958379572822101E-2</v>
      </c>
      <c r="R5177">
        <v>0.98547130405630401</v>
      </c>
      <c r="S5177" t="s">
        <v>11003</v>
      </c>
      <c r="T5177" t="s">
        <v>11650</v>
      </c>
      <c r="U5177" t="s">
        <v>11650</v>
      </c>
      <c r="V5177" t="s">
        <v>11650</v>
      </c>
      <c r="W5177" t="s">
        <v>16770</v>
      </c>
      <c r="X5177">
        <v>6</v>
      </c>
      <c r="Y5177" t="s">
        <v>22436</v>
      </c>
      <c r="Z5177" t="s">
        <v>28239</v>
      </c>
      <c r="AA5177">
        <v>0.45064678026759902</v>
      </c>
      <c r="AB5177" t="str">
        <f>HYPERLINK("Melting_Curves/meltCurve_Q9NQY0_BIN3.pdf", "Melting_Curves/meltCurve_Q9NQY0_BIN3.pdf")</f>
        <v>Melting_Curves/meltCurve_Q9NQY0_BIN3.pdf</v>
      </c>
    </row>
    <row r="5178" spans="1:28" x14ac:dyDescent="0.25">
      <c r="A5178" t="s">
        <v>5182</v>
      </c>
      <c r="B5178">
        <v>0.99996721820229495</v>
      </c>
      <c r="C5178">
        <v>0.97944437359608705</v>
      </c>
      <c r="D5178">
        <v>0.92102518709023695</v>
      </c>
      <c r="E5178">
        <v>0.679607877870813</v>
      </c>
      <c r="F5178">
        <v>0.49976134802268701</v>
      </c>
      <c r="G5178">
        <v>0.43025927282763898</v>
      </c>
      <c r="H5178">
        <v>0.25587175180479999</v>
      </c>
      <c r="I5178">
        <v>0.15772175785637699</v>
      </c>
      <c r="J5178">
        <v>0.105474110206306</v>
      </c>
      <c r="K5178">
        <v>9.5515748569349704E-2</v>
      </c>
      <c r="L5178">
        <v>607.22896041364504</v>
      </c>
      <c r="M5178">
        <v>11.278707572523199</v>
      </c>
      <c r="N5178">
        <v>54.137412916184203</v>
      </c>
      <c r="O5178">
        <v>52.229299319809599</v>
      </c>
      <c r="P5178">
        <v>-5.23729474345958E-2</v>
      </c>
      <c r="Q5178">
        <v>3.0185127844811199E-2</v>
      </c>
      <c r="R5178">
        <v>0.989285497915246</v>
      </c>
      <c r="S5178" t="s">
        <v>11004</v>
      </c>
      <c r="T5178" t="s">
        <v>11650</v>
      </c>
      <c r="U5178" t="s">
        <v>11650</v>
      </c>
      <c r="V5178" t="s">
        <v>11650</v>
      </c>
      <c r="W5178" t="s">
        <v>16771</v>
      </c>
      <c r="X5178">
        <v>10</v>
      </c>
      <c r="Y5178" t="s">
        <v>22437</v>
      </c>
      <c r="Z5178" t="s">
        <v>28240</v>
      </c>
      <c r="AA5178">
        <v>0.50476167179764586</v>
      </c>
      <c r="AB5178" t="str">
        <f>HYPERLINK("Melting_Curves/meltCurve_Q9NQZ5_STARD7.pdf", "Melting_Curves/meltCurve_Q9NQZ5_STARD7.pdf")</f>
        <v>Melting_Curves/meltCurve_Q9NQZ5_STARD7.pdf</v>
      </c>
    </row>
    <row r="5179" spans="1:28" x14ac:dyDescent="0.25">
      <c r="A5179" t="s">
        <v>5183</v>
      </c>
      <c r="B5179">
        <v>0.99996721820229495</v>
      </c>
      <c r="C5179">
        <v>0.94831474541468996</v>
      </c>
      <c r="D5179">
        <v>0.70610700222403999</v>
      </c>
      <c r="E5179">
        <v>0.50201297364337205</v>
      </c>
      <c r="F5179">
        <v>0.474275466641222</v>
      </c>
      <c r="G5179">
        <v>0.37327011054347597</v>
      </c>
      <c r="H5179">
        <v>0.25306409871699398</v>
      </c>
      <c r="I5179">
        <v>0.26382245952758099</v>
      </c>
      <c r="J5179">
        <v>0.292162243216673</v>
      </c>
      <c r="K5179">
        <v>0.15677456364523201</v>
      </c>
      <c r="L5179">
        <v>621.78571119465698</v>
      </c>
      <c r="M5179">
        <v>12.7236368119313</v>
      </c>
      <c r="N5179">
        <v>51.168035452368201</v>
      </c>
      <c r="O5179">
        <v>47.708585578714199</v>
      </c>
      <c r="P5179">
        <v>-5.21658716554287E-2</v>
      </c>
      <c r="Q5179">
        <v>0.2177450246497</v>
      </c>
      <c r="R5179">
        <v>0.96935442590072096</v>
      </c>
      <c r="S5179" t="s">
        <v>11005</v>
      </c>
      <c r="T5179" t="s">
        <v>11650</v>
      </c>
      <c r="U5179" t="s">
        <v>11650</v>
      </c>
      <c r="V5179" t="s">
        <v>11650</v>
      </c>
      <c r="W5179" t="s">
        <v>16772</v>
      </c>
      <c r="X5179">
        <v>14</v>
      </c>
      <c r="Y5179" t="s">
        <v>22438</v>
      </c>
      <c r="Z5179" t="s">
        <v>28241</v>
      </c>
      <c r="AA5179">
        <v>0.47519148664029548</v>
      </c>
      <c r="AB5179" t="str">
        <f>HYPERLINK("Melting_Curves/meltCurve_Q9NR12_PDLIM7.pdf", "Melting_Curves/meltCurve_Q9NR12_PDLIM7.pdf")</f>
        <v>Melting_Curves/meltCurve_Q9NR12_PDLIM7.pdf</v>
      </c>
    </row>
    <row r="5180" spans="1:28" x14ac:dyDescent="0.25">
      <c r="A5180" t="s">
        <v>5184</v>
      </c>
      <c r="B5180">
        <v>0.99996721820229495</v>
      </c>
      <c r="C5180">
        <v>1.0551263240745601</v>
      </c>
      <c r="D5180">
        <v>1.0103982713322499</v>
      </c>
      <c r="E5180">
        <v>0.76456511860570697</v>
      </c>
      <c r="F5180">
        <v>0.37205223177911401</v>
      </c>
      <c r="G5180">
        <v>0.29952911619854999</v>
      </c>
      <c r="H5180">
        <v>0.18575323386436701</v>
      </c>
      <c r="I5180">
        <v>0.116789625653382</v>
      </c>
      <c r="J5180">
        <v>9.6706154473899603E-2</v>
      </c>
      <c r="K5180">
        <v>7.82326079577286E-2</v>
      </c>
      <c r="L5180">
        <v>1306.3496574654901</v>
      </c>
      <c r="M5180">
        <v>25.2432629623558</v>
      </c>
      <c r="N5180">
        <v>52.349377117523296</v>
      </c>
      <c r="O5180">
        <v>51.428934174373303</v>
      </c>
      <c r="P5180">
        <v>-0.10731990949155699</v>
      </c>
      <c r="Q5180">
        <v>0.12542568867627399</v>
      </c>
      <c r="R5180">
        <v>0.98378857179795598</v>
      </c>
      <c r="S5180" t="s">
        <v>11006</v>
      </c>
      <c r="T5180" t="s">
        <v>11650</v>
      </c>
      <c r="U5180" t="s">
        <v>11650</v>
      </c>
      <c r="V5180" t="s">
        <v>11650</v>
      </c>
      <c r="W5180" t="s">
        <v>16773</v>
      </c>
      <c r="X5180">
        <v>19</v>
      </c>
      <c r="Y5180" t="s">
        <v>22439</v>
      </c>
      <c r="Z5180" t="s">
        <v>28242</v>
      </c>
      <c r="AA5180">
        <v>0.4757958680186461</v>
      </c>
      <c r="AB5180" t="str">
        <f>HYPERLINK("Melting_Curves/meltCurve_Q9NR19_ACSS2.pdf", "Melting_Curves/meltCurve_Q9NR19_ACSS2.pdf")</f>
        <v>Melting_Curves/meltCurve_Q9NR19_ACSS2.pdf</v>
      </c>
    </row>
    <row r="5181" spans="1:28" x14ac:dyDescent="0.25">
      <c r="A5181" t="s">
        <v>5185</v>
      </c>
      <c r="B5181">
        <v>0.99996721820229495</v>
      </c>
      <c r="C5181">
        <v>1.0476068408063</v>
      </c>
      <c r="D5181">
        <v>0.99167303236080695</v>
      </c>
      <c r="E5181">
        <v>1.2490515541498299</v>
      </c>
      <c r="F5181">
        <v>1.52653010865949</v>
      </c>
      <c r="G5181">
        <v>1.3306237170214099</v>
      </c>
      <c r="H5181">
        <v>1.1040850712041199</v>
      </c>
      <c r="I5181">
        <v>1.10767951101071</v>
      </c>
      <c r="J5181">
        <v>1.0386420316337299</v>
      </c>
      <c r="K5181">
        <v>0.30042658902242397</v>
      </c>
      <c r="L5181">
        <v>15000</v>
      </c>
      <c r="M5181">
        <v>215.130842411912</v>
      </c>
      <c r="N5181">
        <v>69.725009400139001</v>
      </c>
      <c r="O5181">
        <v>69.718962754721801</v>
      </c>
      <c r="P5181">
        <v>-0.77142131986268503</v>
      </c>
      <c r="Q5181">
        <v>0</v>
      </c>
      <c r="R5181">
        <v>0.48147250346388099</v>
      </c>
      <c r="S5181" t="s">
        <v>11007</v>
      </c>
      <c r="T5181" t="s">
        <v>11650</v>
      </c>
      <c r="U5181" t="s">
        <v>11650</v>
      </c>
      <c r="V5181" t="s">
        <v>11650</v>
      </c>
      <c r="W5181" t="s">
        <v>16774</v>
      </c>
      <c r="X5181">
        <v>9</v>
      </c>
      <c r="Y5181" t="s">
        <v>22440</v>
      </c>
      <c r="Z5181" t="s">
        <v>28243</v>
      </c>
      <c r="AA5181">
        <v>0.98706773822988292</v>
      </c>
      <c r="AB5181" t="str">
        <f>HYPERLINK("Melting_Curves/meltCurve_Q9NR28_2_DIABLO.pdf", "Melting_Curves/meltCurve_Q9NR28_2_DIABLO.pdf")</f>
        <v>Melting_Curves/meltCurve_Q9NR28_2_DIABLO.pdf</v>
      </c>
    </row>
    <row r="5182" spans="1:28" x14ac:dyDescent="0.25">
      <c r="A5182" t="s">
        <v>5186</v>
      </c>
      <c r="B5182">
        <v>0.99996721820229495</v>
      </c>
      <c r="C5182">
        <v>1.1231547122944501</v>
      </c>
      <c r="D5182">
        <v>1.1070009154696101</v>
      </c>
      <c r="E5182">
        <v>1.05227026617984</v>
      </c>
      <c r="F5182">
        <v>1.45531639774735</v>
      </c>
      <c r="G5182">
        <v>1.2214749511657399</v>
      </c>
      <c r="H5182">
        <v>0.842641482703269</v>
      </c>
      <c r="I5182">
        <v>0.88644083875426105</v>
      </c>
      <c r="J5182">
        <v>0.59159995459372605</v>
      </c>
      <c r="K5182">
        <v>0.45366464540996199</v>
      </c>
      <c r="L5182">
        <v>2137.5831683431402</v>
      </c>
      <c r="M5182">
        <v>32.317210032297702</v>
      </c>
      <c r="N5182">
        <v>68.769818767864393</v>
      </c>
      <c r="O5182">
        <v>65.8920813347235</v>
      </c>
      <c r="P5182">
        <v>-7.91546264139842E-2</v>
      </c>
      <c r="Q5182">
        <v>0.354444546549536</v>
      </c>
      <c r="R5182">
        <v>0.61068080847460005</v>
      </c>
      <c r="S5182" t="s">
        <v>11008</v>
      </c>
      <c r="T5182" t="s">
        <v>11650</v>
      </c>
      <c r="U5182" t="s">
        <v>11650</v>
      </c>
      <c r="V5182" t="s">
        <v>11650</v>
      </c>
      <c r="W5182" t="s">
        <v>16775</v>
      </c>
      <c r="X5182">
        <v>3</v>
      </c>
      <c r="Y5182" t="s">
        <v>22441</v>
      </c>
      <c r="Z5182" t="s">
        <v>28244</v>
      </c>
      <c r="AA5182">
        <v>0.9132960409912092</v>
      </c>
      <c r="AB5182" t="str">
        <f>HYPERLINK("Melting_Curves/meltCurve_Q9NR30_DDX21.pdf", "Melting_Curves/meltCurve_Q9NR30_DDX21.pdf")</f>
        <v>Melting_Curves/meltCurve_Q9NR30_DDX21.pdf</v>
      </c>
    </row>
    <row r="5183" spans="1:28" x14ac:dyDescent="0.25">
      <c r="A5183" t="s">
        <v>5187</v>
      </c>
      <c r="B5183">
        <v>0.99996721820229495</v>
      </c>
      <c r="C5183">
        <v>1.0593670680253</v>
      </c>
      <c r="D5183">
        <v>0.87652896281412596</v>
      </c>
      <c r="E5183">
        <v>0.58398355720123496</v>
      </c>
      <c r="F5183">
        <v>0.28973835830893901</v>
      </c>
      <c r="G5183">
        <v>0.19515120372338199</v>
      </c>
      <c r="H5183">
        <v>0.112452120266379</v>
      </c>
      <c r="I5183">
        <v>7.5411706822845398E-2</v>
      </c>
      <c r="J5183">
        <v>7.2579736492393604E-2</v>
      </c>
      <c r="K5183">
        <v>4.5595569532966201E-2</v>
      </c>
      <c r="L5183">
        <v>1070.9021575717099</v>
      </c>
      <c r="M5183">
        <v>21.236789666924299</v>
      </c>
      <c r="N5183">
        <v>50.805183586628203</v>
      </c>
      <c r="O5183">
        <v>49.986002156297097</v>
      </c>
      <c r="P5183">
        <v>-9.8446054120061396E-2</v>
      </c>
      <c r="Q5183">
        <v>7.3155895866874807E-2</v>
      </c>
      <c r="R5183">
        <v>0.99259931848858896</v>
      </c>
      <c r="S5183" t="s">
        <v>11009</v>
      </c>
      <c r="T5183" t="s">
        <v>11650</v>
      </c>
      <c r="U5183" t="s">
        <v>11650</v>
      </c>
      <c r="V5183" t="s">
        <v>11650</v>
      </c>
      <c r="W5183" t="s">
        <v>16776</v>
      </c>
      <c r="X5183">
        <v>13</v>
      </c>
      <c r="Y5183" t="s">
        <v>22442</v>
      </c>
      <c r="Z5183" t="s">
        <v>28245</v>
      </c>
      <c r="AA5183">
        <v>0.40676365988113672</v>
      </c>
      <c r="AB5183" t="str">
        <f>HYPERLINK("Melting_Curves/meltCurve_Q9NR31_SAR1A.pdf", "Melting_Curves/meltCurve_Q9NR31_SAR1A.pdf")</f>
        <v>Melting_Curves/meltCurve_Q9NR31_SAR1A.pdf</v>
      </c>
    </row>
    <row r="5184" spans="1:28" x14ac:dyDescent="0.25">
      <c r="A5184" t="s">
        <v>5188</v>
      </c>
      <c r="B5184">
        <v>0.99996721820229495</v>
      </c>
      <c r="C5184">
        <v>1.01515644750481</v>
      </c>
      <c r="D5184">
        <v>0.87852461997433795</v>
      </c>
      <c r="E5184">
        <v>0.70981669148786197</v>
      </c>
      <c r="F5184">
        <v>0.70692028366836901</v>
      </c>
      <c r="G5184">
        <v>0.68776110992712602</v>
      </c>
      <c r="H5184">
        <v>0.33595291170238301</v>
      </c>
      <c r="I5184">
        <v>0.26374936712196501</v>
      </c>
      <c r="J5184">
        <v>0.25597428042333198</v>
      </c>
      <c r="K5184">
        <v>0.15361868071054099</v>
      </c>
      <c r="L5184">
        <v>519.86718048606997</v>
      </c>
      <c r="M5184">
        <v>8.9532107243671</v>
      </c>
      <c r="N5184">
        <v>58.064912369898899</v>
      </c>
      <c r="O5184">
        <v>55.387456976486099</v>
      </c>
      <c r="P5184">
        <v>-4.0441654777940497E-2</v>
      </c>
      <c r="Q5184">
        <v>0</v>
      </c>
      <c r="R5184">
        <v>0.95549937765731896</v>
      </c>
      <c r="S5184" t="s">
        <v>11010</v>
      </c>
      <c r="T5184" t="s">
        <v>11650</v>
      </c>
      <c r="U5184" t="s">
        <v>11650</v>
      </c>
      <c r="V5184" t="s">
        <v>11650</v>
      </c>
      <c r="W5184" t="s">
        <v>16777</v>
      </c>
      <c r="X5184">
        <v>1</v>
      </c>
      <c r="Y5184" t="s">
        <v>22443</v>
      </c>
      <c r="Z5184" t="s">
        <v>28246</v>
      </c>
      <c r="AA5184">
        <v>0.60885147422474362</v>
      </c>
      <c r="AB5184" t="str">
        <f>HYPERLINK("Melting_Curves/meltCurve_Q9NR33_POLE4.pdf", "Melting_Curves/meltCurve_Q9NR33_POLE4.pdf")</f>
        <v>Melting_Curves/meltCurve_Q9NR33_POLE4.pdf</v>
      </c>
    </row>
    <row r="5185" spans="1:28" x14ac:dyDescent="0.25">
      <c r="A5185" t="s">
        <v>5189</v>
      </c>
      <c r="B5185">
        <v>0.99996721820229495</v>
      </c>
      <c r="C5185">
        <v>0.98341380156563696</v>
      </c>
      <c r="D5185">
        <v>1.00569306292585</v>
      </c>
      <c r="E5185">
        <v>1.09311944469573</v>
      </c>
      <c r="F5185">
        <v>0.91884097053243396</v>
      </c>
      <c r="G5185">
        <v>0.33724900631376598</v>
      </c>
      <c r="H5185">
        <v>0.177913282044978</v>
      </c>
      <c r="I5185">
        <v>0.106414613349452</v>
      </c>
      <c r="J5185">
        <v>7.3697266216076807E-2</v>
      </c>
      <c r="K5185">
        <v>5.88679949902014E-2</v>
      </c>
      <c r="L5185">
        <v>2466.3945671563902</v>
      </c>
      <c r="M5185">
        <v>44.227263225606698</v>
      </c>
      <c r="N5185">
        <v>56.037702155464899</v>
      </c>
      <c r="O5185">
        <v>55.652723893180898</v>
      </c>
      <c r="P5185">
        <v>-0.179528158909673</v>
      </c>
      <c r="Q5185">
        <v>9.6374670635831994E-2</v>
      </c>
      <c r="R5185">
        <v>0.99148548633004796</v>
      </c>
      <c r="S5185" t="s">
        <v>11011</v>
      </c>
      <c r="T5185" t="s">
        <v>11650</v>
      </c>
      <c r="U5185" t="s">
        <v>11650</v>
      </c>
      <c r="V5185" t="s">
        <v>11650</v>
      </c>
      <c r="W5185" t="s">
        <v>16778</v>
      </c>
      <c r="X5185">
        <v>25</v>
      </c>
      <c r="Y5185" t="s">
        <v>22444</v>
      </c>
      <c r="Z5185" t="s">
        <v>28247</v>
      </c>
      <c r="AA5185">
        <v>0.57410899754610978</v>
      </c>
      <c r="AB5185" t="str">
        <f>HYPERLINK("Melting_Curves/meltCurve_Q9NR45_NANS.pdf", "Melting_Curves/meltCurve_Q9NR45_NANS.pdf")</f>
        <v>Melting_Curves/meltCurve_Q9NR45_NANS.pdf</v>
      </c>
    </row>
    <row r="5186" spans="1:28" x14ac:dyDescent="0.25">
      <c r="A5186" t="s">
        <v>5190</v>
      </c>
      <c r="B5186">
        <v>0.99996721820229495</v>
      </c>
      <c r="C5186">
        <v>1.01960092822927</v>
      </c>
      <c r="D5186">
        <v>1.05235666896512</v>
      </c>
      <c r="E5186">
        <v>1.0399908648687901</v>
      </c>
      <c r="F5186">
        <v>1.1019254392447499</v>
      </c>
      <c r="G5186">
        <v>1.1846961179531299</v>
      </c>
      <c r="H5186">
        <v>0.34544128880584102</v>
      </c>
      <c r="I5186">
        <v>8.5103057435266499E-2</v>
      </c>
      <c r="J5186">
        <v>3.39718841307588E-2</v>
      </c>
      <c r="K5186">
        <v>2.37216048554292E-2</v>
      </c>
      <c r="L5186">
        <v>9366.9182888272007</v>
      </c>
      <c r="M5186">
        <v>154.34250832608399</v>
      </c>
      <c r="N5186">
        <v>60.728417252080298</v>
      </c>
      <c r="O5186">
        <v>60.678979862029699</v>
      </c>
      <c r="P5186">
        <v>-0.60571389593473801</v>
      </c>
      <c r="Q5186">
        <v>4.7466545054650797E-2</v>
      </c>
      <c r="R5186">
        <v>0.97697826596192805</v>
      </c>
      <c r="S5186" t="s">
        <v>11012</v>
      </c>
      <c r="T5186" t="s">
        <v>11650</v>
      </c>
      <c r="U5186" t="s">
        <v>11650</v>
      </c>
      <c r="V5186" t="s">
        <v>11650</v>
      </c>
      <c r="W5186" t="s">
        <v>16779</v>
      </c>
      <c r="X5186">
        <v>1</v>
      </c>
      <c r="Y5186" t="s">
        <v>22445</v>
      </c>
      <c r="Z5186" t="s">
        <v>28248</v>
      </c>
      <c r="AA5186">
        <v>0.70463694900918072</v>
      </c>
      <c r="AB5186" t="str">
        <f>HYPERLINK("Melting_Curves/meltCurve_Q9NR48_2_ASH1L.pdf", "Melting_Curves/meltCurve_Q9NR48_2_ASH1L.pdf")</f>
        <v>Melting_Curves/meltCurve_Q9NR48_2_ASH1L.pdf</v>
      </c>
    </row>
    <row r="5187" spans="1:28" x14ac:dyDescent="0.25">
      <c r="A5187" t="s">
        <v>5191</v>
      </c>
      <c r="B5187">
        <v>0.99996721820229495</v>
      </c>
      <c r="C5187">
        <v>0.92777058804659296</v>
      </c>
      <c r="D5187">
        <v>0.71239983804754803</v>
      </c>
      <c r="E5187">
        <v>0.56522368129505396</v>
      </c>
      <c r="F5187">
        <v>0.38661444415719598</v>
      </c>
      <c r="G5187">
        <v>0.278095901623852</v>
      </c>
      <c r="H5187">
        <v>0.15315896972197901</v>
      </c>
      <c r="I5187">
        <v>9.3967108811209399E-2</v>
      </c>
      <c r="J5187">
        <v>6.2521466504849896E-2</v>
      </c>
      <c r="K5187">
        <v>6.3347531825821701E-2</v>
      </c>
      <c r="L5187">
        <v>563.24933202352099</v>
      </c>
      <c r="M5187">
        <v>11.063295232991599</v>
      </c>
      <c r="N5187">
        <v>51.026152153884503</v>
      </c>
      <c r="O5187">
        <v>49.333019320711799</v>
      </c>
      <c r="P5187">
        <v>-5.5394672671595799E-2</v>
      </c>
      <c r="Q5187">
        <v>1.22710786315331E-2</v>
      </c>
      <c r="R5187">
        <v>0.99260691144437896</v>
      </c>
      <c r="S5187" t="s">
        <v>11013</v>
      </c>
      <c r="T5187" t="s">
        <v>11650</v>
      </c>
      <c r="U5187" t="s">
        <v>11650</v>
      </c>
      <c r="V5187" t="s">
        <v>11650</v>
      </c>
      <c r="W5187" t="s">
        <v>16780</v>
      </c>
      <c r="X5187">
        <v>14</v>
      </c>
      <c r="Y5187" t="s">
        <v>22446</v>
      </c>
      <c r="Z5187" t="s">
        <v>28249</v>
      </c>
      <c r="AA5187">
        <v>0.40781660457474478</v>
      </c>
      <c r="AB5187" t="str">
        <f>HYPERLINK("Melting_Curves/meltCurve_Q9NR50_EIF2B3.pdf", "Melting_Curves/meltCurve_Q9NR50_EIF2B3.pdf")</f>
        <v>Melting_Curves/meltCurve_Q9NR50_EIF2B3.pdf</v>
      </c>
    </row>
    <row r="5188" spans="1:28" x14ac:dyDescent="0.25">
      <c r="A5188" t="s">
        <v>5192</v>
      </c>
      <c r="B5188">
        <v>0.99996721820229495</v>
      </c>
      <c r="C5188">
        <v>1.04639213984061</v>
      </c>
      <c r="D5188">
        <v>0.90341159462132503</v>
      </c>
      <c r="E5188">
        <v>0.92673577193009005</v>
      </c>
      <c r="F5188">
        <v>0.86599939611524002</v>
      </c>
      <c r="G5188">
        <v>0.975795582425529</v>
      </c>
      <c r="H5188">
        <v>0.54812313104366395</v>
      </c>
      <c r="I5188">
        <v>0.42709309892238401</v>
      </c>
      <c r="J5188">
        <v>0.27350147597838198</v>
      </c>
      <c r="K5188">
        <v>0.23933423019261099</v>
      </c>
      <c r="L5188">
        <v>1779.46434549841</v>
      </c>
      <c r="M5188">
        <v>29.269554579334802</v>
      </c>
      <c r="N5188">
        <v>62.143522572988999</v>
      </c>
      <c r="O5188">
        <v>60.514050434683199</v>
      </c>
      <c r="P5188">
        <v>-9.2507303311104405E-2</v>
      </c>
      <c r="Q5188">
        <v>0.23497931176411299</v>
      </c>
      <c r="R5188">
        <v>0.95281539443063801</v>
      </c>
      <c r="S5188" t="s">
        <v>11014</v>
      </c>
      <c r="T5188" t="s">
        <v>11650</v>
      </c>
      <c r="U5188" t="s">
        <v>11650</v>
      </c>
      <c r="V5188" t="s">
        <v>11650</v>
      </c>
      <c r="W5188" t="s">
        <v>16781</v>
      </c>
      <c r="X5188">
        <v>1</v>
      </c>
      <c r="Y5188" t="s">
        <v>22447</v>
      </c>
      <c r="Z5188" t="s">
        <v>28250</v>
      </c>
      <c r="AA5188">
        <v>0.76972410599288532</v>
      </c>
      <c r="AB5188" t="str">
        <f>HYPERLINK("Melting_Curves/meltCurve_Q9NRA1_PDGFC.pdf", "Melting_Curves/meltCurve_Q9NRA1_PDGFC.pdf")</f>
        <v>Melting_Curves/meltCurve_Q9NRA1_PDGFC.pdf</v>
      </c>
    </row>
    <row r="5189" spans="1:28" x14ac:dyDescent="0.25">
      <c r="A5189" t="s">
        <v>5193</v>
      </c>
      <c r="B5189">
        <v>0.99996721820229495</v>
      </c>
      <c r="C5189">
        <v>0.71116592801954803</v>
      </c>
      <c r="D5189">
        <v>0.82812527962150195</v>
      </c>
      <c r="E5189">
        <v>0.89011445390183097</v>
      </c>
      <c r="F5189">
        <v>0.91890451863478195</v>
      </c>
      <c r="G5189">
        <v>0.78203508679103495</v>
      </c>
      <c r="H5189">
        <v>0.68432178335389704</v>
      </c>
      <c r="I5189">
        <v>0.74949849825993098</v>
      </c>
      <c r="J5189">
        <v>0.364746237217977</v>
      </c>
      <c r="K5189">
        <v>0.61926938637887796</v>
      </c>
      <c r="L5189">
        <v>247.168034944862</v>
      </c>
      <c r="M5189">
        <v>3.2890149277079401</v>
      </c>
      <c r="O5189">
        <v>57.515993251265002</v>
      </c>
      <c r="P5189">
        <v>-1.46332330900554E-2</v>
      </c>
      <c r="Q5189">
        <v>0</v>
      </c>
      <c r="R5189">
        <v>0.51435801562640804</v>
      </c>
      <c r="S5189" t="s">
        <v>11015</v>
      </c>
      <c r="T5189" t="s">
        <v>11650</v>
      </c>
      <c r="U5189" t="s">
        <v>11650</v>
      </c>
      <c r="V5189" t="s">
        <v>11650</v>
      </c>
      <c r="W5189" t="s">
        <v>16782</v>
      </c>
      <c r="X5189">
        <v>3</v>
      </c>
      <c r="Y5189" t="s">
        <v>22448</v>
      </c>
      <c r="Z5189" t="s">
        <v>28251</v>
      </c>
      <c r="AA5189">
        <v>0.76454913598227536</v>
      </c>
      <c r="AB5189" t="str">
        <f>HYPERLINK("Melting_Curves/meltCurve_Q9NRA2_SLC17A5.pdf", "Melting_Curves/meltCurve_Q9NRA2_SLC17A5.pdf")</f>
        <v>Melting_Curves/meltCurve_Q9NRA2_SLC17A5.pdf</v>
      </c>
    </row>
    <row r="5190" spans="1:28" x14ac:dyDescent="0.25">
      <c r="A5190" t="s">
        <v>5194</v>
      </c>
      <c r="B5190">
        <v>0.99996721820229495</v>
      </c>
      <c r="C5190">
        <v>0.95956344470513</v>
      </c>
      <c r="D5190">
        <v>0.85272227091650299</v>
      </c>
      <c r="E5190">
        <v>1.3670632971237</v>
      </c>
      <c r="F5190">
        <v>2.40823648405935</v>
      </c>
      <c r="G5190">
        <v>1.71997338295464</v>
      </c>
      <c r="H5190">
        <v>0.65644113891310196</v>
      </c>
      <c r="I5190">
        <v>0.19444914569509</v>
      </c>
      <c r="J5190">
        <v>6.2689299923524205E-2</v>
      </c>
      <c r="K5190">
        <v>5.3279298266850503E-2</v>
      </c>
      <c r="L5190">
        <v>4594.56494799147</v>
      </c>
      <c r="M5190">
        <v>74.706594451788106</v>
      </c>
      <c r="N5190">
        <v>61.653477565664197</v>
      </c>
      <c r="O5190">
        <v>61.457461566087403</v>
      </c>
      <c r="P5190">
        <v>-0.27833092890406302</v>
      </c>
      <c r="Q5190">
        <v>8.4123532473931797E-2</v>
      </c>
      <c r="R5190">
        <v>0.48158032969279302</v>
      </c>
      <c r="S5190" t="s">
        <v>11016</v>
      </c>
      <c r="T5190" t="s">
        <v>11650</v>
      </c>
      <c r="U5190" t="s">
        <v>11650</v>
      </c>
      <c r="V5190" t="s">
        <v>11650</v>
      </c>
      <c r="W5190" t="s">
        <v>16783</v>
      </c>
      <c r="X5190">
        <v>2</v>
      </c>
      <c r="Y5190" t="s">
        <v>22449</v>
      </c>
      <c r="Z5190" t="s">
        <v>28252</v>
      </c>
      <c r="AA5190">
        <v>0.74165204053205291</v>
      </c>
      <c r="AB5190" t="str">
        <f>HYPERLINK("Melting_Curves/meltCurve_Q9NRC6_SPTBN5.pdf", "Melting_Curves/meltCurve_Q9NRC6_SPTBN5.pdf")</f>
        <v>Melting_Curves/meltCurve_Q9NRC6_SPTBN5.pdf</v>
      </c>
    </row>
    <row r="5191" spans="1:28" x14ac:dyDescent="0.25">
      <c r="A5191" t="s">
        <v>5195</v>
      </c>
      <c r="B5191">
        <v>0.99996721820229495</v>
      </c>
      <c r="C5191">
        <v>1.1801856021352299</v>
      </c>
      <c r="D5191">
        <v>1.1263869231353301</v>
      </c>
      <c r="E5191">
        <v>0.98145673897292396</v>
      </c>
      <c r="F5191">
        <v>0.57176066994233099</v>
      </c>
      <c r="G5191">
        <v>0.44995048162388701</v>
      </c>
      <c r="H5191">
        <v>0.31096182988996501</v>
      </c>
      <c r="I5191">
        <v>0.12394639784885</v>
      </c>
      <c r="J5191">
        <v>0.102831620374516</v>
      </c>
      <c r="K5191">
        <v>7.3340018352818004E-2</v>
      </c>
      <c r="L5191">
        <v>1006.60570630951</v>
      </c>
      <c r="M5191">
        <v>18.193902653960699</v>
      </c>
      <c r="N5191">
        <v>55.8621124506424</v>
      </c>
      <c r="O5191">
        <v>54.671142606499501</v>
      </c>
      <c r="P5191">
        <v>-7.6542137346628E-2</v>
      </c>
      <c r="Q5191">
        <v>8.0032911792981401E-2</v>
      </c>
      <c r="R5191">
        <v>0.94568804137205598</v>
      </c>
      <c r="S5191" t="s">
        <v>11017</v>
      </c>
      <c r="T5191" t="s">
        <v>11650</v>
      </c>
      <c r="U5191" t="s">
        <v>11650</v>
      </c>
      <c r="V5191" t="s">
        <v>11650</v>
      </c>
      <c r="W5191" t="s">
        <v>16784</v>
      </c>
      <c r="X5191">
        <v>3</v>
      </c>
      <c r="Y5191" t="s">
        <v>22450</v>
      </c>
      <c r="Z5191" t="s">
        <v>28253</v>
      </c>
      <c r="AA5191">
        <v>0.56386855505964306</v>
      </c>
      <c r="AB5191" t="str">
        <f>HYPERLINK("Melting_Curves/meltCurve_Q9NRD1_FBXO6.pdf", "Melting_Curves/meltCurve_Q9NRD1_FBXO6.pdf")</f>
        <v>Melting_Curves/meltCurve_Q9NRD1_FBXO6.pdf</v>
      </c>
    </row>
    <row r="5192" spans="1:28" x14ac:dyDescent="0.25">
      <c r="A5192" t="s">
        <v>5196</v>
      </c>
      <c r="B5192">
        <v>0.99996721820229495</v>
      </c>
      <c r="C5192">
        <v>1.00230690532694</v>
      </c>
      <c r="D5192">
        <v>0.93570661714002301</v>
      </c>
      <c r="E5192">
        <v>0.74603981231330996</v>
      </c>
      <c r="F5192">
        <v>0.808957233530464</v>
      </c>
      <c r="G5192">
        <v>1.0763662431708201</v>
      </c>
      <c r="H5192">
        <v>0.67724026209648902</v>
      </c>
      <c r="I5192">
        <v>0.32975943115083101</v>
      </c>
      <c r="J5192">
        <v>0.33145475377250599</v>
      </c>
      <c r="K5192">
        <v>0.234040730213179</v>
      </c>
      <c r="L5192">
        <v>4316.9251066546103</v>
      </c>
      <c r="M5192">
        <v>70.555764934758102</v>
      </c>
      <c r="N5192">
        <v>61.933563585656898</v>
      </c>
      <c r="O5192">
        <v>61.135488413945801</v>
      </c>
      <c r="P5192">
        <v>-0.205721025814216</v>
      </c>
      <c r="Q5192">
        <v>0.286983716766672</v>
      </c>
      <c r="R5192">
        <v>0.86788727407996402</v>
      </c>
      <c r="S5192" t="s">
        <v>11018</v>
      </c>
      <c r="T5192" t="s">
        <v>11650</v>
      </c>
      <c r="U5192" t="s">
        <v>11650</v>
      </c>
      <c r="V5192" t="s">
        <v>11650</v>
      </c>
      <c r="W5192" t="s">
        <v>16785</v>
      </c>
      <c r="X5192">
        <v>3</v>
      </c>
      <c r="Y5192" t="s">
        <v>22451</v>
      </c>
      <c r="Z5192" t="s">
        <v>28254</v>
      </c>
      <c r="AA5192">
        <v>0.79144200151686805</v>
      </c>
      <c r="AB5192" t="str">
        <f>HYPERLINK("Melting_Curves/meltCurve_Q9NRF2_2_SH2B1.pdf", "Melting_Curves/meltCurve_Q9NRF2_2_SH2B1.pdf")</f>
        <v>Melting_Curves/meltCurve_Q9NRF2_2_SH2B1.pdf</v>
      </c>
    </row>
    <row r="5193" spans="1:28" x14ac:dyDescent="0.25">
      <c r="A5193" t="s">
        <v>5197</v>
      </c>
      <c r="B5193">
        <v>0.99996721820229495</v>
      </c>
      <c r="C5193">
        <v>0.923847589334712</v>
      </c>
      <c r="D5193">
        <v>0.91301420296369296</v>
      </c>
      <c r="E5193">
        <v>1.0889952878454601</v>
      </c>
      <c r="F5193">
        <v>1.11658816328043</v>
      </c>
      <c r="G5193">
        <v>0.98219042084174502</v>
      </c>
      <c r="H5193">
        <v>0.45164159286661199</v>
      </c>
      <c r="I5193">
        <v>0.18004744383853299</v>
      </c>
      <c r="J5193">
        <v>0.130200790644972</v>
      </c>
      <c r="K5193">
        <v>8.3328435867324899E-2</v>
      </c>
      <c r="L5193">
        <v>3178.6542139662001</v>
      </c>
      <c r="M5193">
        <v>52.551674515672097</v>
      </c>
      <c r="N5193">
        <v>60.779038406777801</v>
      </c>
      <c r="O5193">
        <v>60.398862510754398</v>
      </c>
      <c r="P5193">
        <v>-0.19319459727187499</v>
      </c>
      <c r="Q5193">
        <v>0.11182843553091799</v>
      </c>
      <c r="R5193">
        <v>0.97735180393119003</v>
      </c>
      <c r="S5193" t="s">
        <v>11019</v>
      </c>
      <c r="T5193" t="s">
        <v>11650</v>
      </c>
      <c r="U5193" t="s">
        <v>11650</v>
      </c>
      <c r="V5193" t="s">
        <v>11650</v>
      </c>
      <c r="W5193" t="s">
        <v>16786</v>
      </c>
      <c r="X5193">
        <v>13</v>
      </c>
      <c r="Y5193" t="s">
        <v>22452</v>
      </c>
      <c r="Z5193" t="s">
        <v>28255</v>
      </c>
      <c r="AA5193">
        <v>0.72044510961113783</v>
      </c>
      <c r="AB5193" t="str">
        <f>HYPERLINK("Melting_Curves/meltCurve_Q9NRF8_CTPS2.pdf", "Melting_Curves/meltCurve_Q9NRF8_CTPS2.pdf")</f>
        <v>Melting_Curves/meltCurve_Q9NRF8_CTPS2.pdf</v>
      </c>
    </row>
    <row r="5194" spans="1:28" x14ac:dyDescent="0.25">
      <c r="A5194" t="s">
        <v>5198</v>
      </c>
      <c r="B5194">
        <v>0.99996721820229495</v>
      </c>
      <c r="C5194">
        <v>0.95009873447934101</v>
      </c>
      <c r="D5194">
        <v>0.90947865931588601</v>
      </c>
      <c r="E5194">
        <v>0.73497443898431003</v>
      </c>
      <c r="F5194">
        <v>0.59157328708417101</v>
      </c>
      <c r="G5194">
        <v>0.49678095244673598</v>
      </c>
      <c r="H5194">
        <v>0.29435130906447698</v>
      </c>
      <c r="I5194">
        <v>0.475587238975752</v>
      </c>
      <c r="J5194">
        <v>0.21845087956832801</v>
      </c>
      <c r="K5194">
        <v>0.16666659272508799</v>
      </c>
      <c r="L5194">
        <v>513.233440834004</v>
      </c>
      <c r="M5194">
        <v>9.3492830995251008</v>
      </c>
      <c r="N5194">
        <v>56.5165533196121</v>
      </c>
      <c r="O5194">
        <v>52.559573434592998</v>
      </c>
      <c r="P5194">
        <v>-3.9264506797609698E-2</v>
      </c>
      <c r="Q5194">
        <v>0.117609634549895</v>
      </c>
      <c r="R5194">
        <v>0.94866854281814605</v>
      </c>
      <c r="S5194" t="s">
        <v>11020</v>
      </c>
      <c r="T5194" t="s">
        <v>11650</v>
      </c>
      <c r="U5194" t="s">
        <v>11650</v>
      </c>
      <c r="V5194" t="s">
        <v>11650</v>
      </c>
      <c r="W5194" t="s">
        <v>16787</v>
      </c>
      <c r="X5194">
        <v>4</v>
      </c>
      <c r="Y5194" t="s">
        <v>22453</v>
      </c>
      <c r="Z5194" t="s">
        <v>28256</v>
      </c>
      <c r="AA5194">
        <v>0.57956626832253866</v>
      </c>
      <c r="AB5194" t="str">
        <f>HYPERLINK("Melting_Curves/meltCurve_Q9NRF9_POLE3.pdf", "Melting_Curves/meltCurve_Q9NRF9_POLE3.pdf")</f>
        <v>Melting_Curves/meltCurve_Q9NRF9_POLE3.pdf</v>
      </c>
    </row>
    <row r="5195" spans="1:28" x14ac:dyDescent="0.25">
      <c r="A5195" t="s">
        <v>5199</v>
      </c>
      <c r="B5195">
        <v>0.99996721820229495</v>
      </c>
      <c r="C5195">
        <v>1.04370910952273</v>
      </c>
      <c r="D5195">
        <v>1.0065313705644501</v>
      </c>
      <c r="E5195">
        <v>0.78864284512253302</v>
      </c>
      <c r="F5195">
        <v>0.484078912436197</v>
      </c>
      <c r="G5195">
        <v>0.39597568096081898</v>
      </c>
      <c r="H5195">
        <v>0.213497171370508</v>
      </c>
      <c r="I5195">
        <v>0.60739476984959395</v>
      </c>
      <c r="J5195">
        <v>0.103977646056246</v>
      </c>
      <c r="K5195">
        <v>5.7741240246985501E-2</v>
      </c>
      <c r="L5195">
        <v>1015.45882872763</v>
      </c>
      <c r="M5195">
        <v>19.449715726331799</v>
      </c>
      <c r="N5195">
        <v>53.873625347251597</v>
      </c>
      <c r="O5195">
        <v>51.666923057519902</v>
      </c>
      <c r="P5195">
        <v>-7.2861780190737399E-2</v>
      </c>
      <c r="Q5195">
        <v>0.22581753613195599</v>
      </c>
      <c r="R5195">
        <v>0.84924822393381505</v>
      </c>
      <c r="S5195" t="s">
        <v>11021</v>
      </c>
      <c r="T5195" t="s">
        <v>11650</v>
      </c>
      <c r="U5195" t="s">
        <v>11650</v>
      </c>
      <c r="V5195" t="s">
        <v>11650</v>
      </c>
      <c r="W5195" t="s">
        <v>16788</v>
      </c>
      <c r="X5195">
        <v>2</v>
      </c>
      <c r="Y5195" t="s">
        <v>22454</v>
      </c>
      <c r="Z5195" t="s">
        <v>28257</v>
      </c>
      <c r="AA5195">
        <v>0.55213885581050048</v>
      </c>
      <c r="AB5195" t="str">
        <f>HYPERLINK("Melting_Curves/meltCurve_Q9NRG0_CHRAC1.pdf", "Melting_Curves/meltCurve_Q9NRG0_CHRAC1.pdf")</f>
        <v>Melting_Curves/meltCurve_Q9NRG0_CHRAC1.pdf</v>
      </c>
    </row>
    <row r="5196" spans="1:28" x14ac:dyDescent="0.25">
      <c r="A5196" t="s">
        <v>5200</v>
      </c>
      <c r="B5196">
        <v>0.99996721820229495</v>
      </c>
      <c r="C5196">
        <v>1.0021652142577799</v>
      </c>
      <c r="D5196">
        <v>1.0358743751878701</v>
      </c>
      <c r="E5196">
        <v>1.0914696580533101</v>
      </c>
      <c r="F5196">
        <v>1.30275889339034</v>
      </c>
      <c r="G5196">
        <v>1.6346276254335099</v>
      </c>
      <c r="H5196">
        <v>1.1842845380294</v>
      </c>
      <c r="I5196">
        <v>0.857319198766062</v>
      </c>
      <c r="J5196">
        <v>0.53586099921117003</v>
      </c>
      <c r="K5196">
        <v>0.59088950472982504</v>
      </c>
      <c r="L5196">
        <v>15000</v>
      </c>
      <c r="M5196">
        <v>233.65221696864501</v>
      </c>
      <c r="O5196">
        <v>64.193273567360706</v>
      </c>
      <c r="P5196">
        <v>-0.39731905014045299</v>
      </c>
      <c r="Q5196">
        <v>0.56336453431550504</v>
      </c>
      <c r="R5196">
        <v>0.423345086466201</v>
      </c>
      <c r="S5196" t="s">
        <v>11022</v>
      </c>
      <c r="T5196" t="s">
        <v>11650</v>
      </c>
      <c r="U5196" t="s">
        <v>11650</v>
      </c>
      <c r="V5196" t="s">
        <v>11650</v>
      </c>
      <c r="W5196" t="s">
        <v>16789</v>
      </c>
      <c r="X5196">
        <v>11</v>
      </c>
      <c r="Y5196" t="s">
        <v>22455</v>
      </c>
      <c r="Z5196" t="s">
        <v>28258</v>
      </c>
      <c r="AA5196">
        <v>0.91561070856905125</v>
      </c>
      <c r="AB5196" t="str">
        <f>HYPERLINK("Melting_Curves/meltCurve_Q9NRG1_PRTFDC1.pdf", "Melting_Curves/meltCurve_Q9NRG1_PRTFDC1.pdf")</f>
        <v>Melting_Curves/meltCurve_Q9NRG1_PRTFDC1.pdf</v>
      </c>
    </row>
    <row r="5197" spans="1:28" x14ac:dyDescent="0.25">
      <c r="A5197" t="s">
        <v>5201</v>
      </c>
      <c r="B5197">
        <v>0.99996721820229495</v>
      </c>
      <c r="C5197">
        <v>0.95307721309898297</v>
      </c>
      <c r="D5197">
        <v>0.84884258029522897</v>
      </c>
      <c r="E5197">
        <v>0.77115664276765405</v>
      </c>
      <c r="F5197">
        <v>0.68214751515718397</v>
      </c>
      <c r="G5197">
        <v>0.46516935483073302</v>
      </c>
      <c r="H5197">
        <v>0.26326132259312002</v>
      </c>
      <c r="I5197">
        <v>0.14703700840020001</v>
      </c>
      <c r="J5197">
        <v>0.108742945936044</v>
      </c>
      <c r="K5197">
        <v>6.3859901089380305E-2</v>
      </c>
      <c r="L5197">
        <v>647.47092821361605</v>
      </c>
      <c r="M5197">
        <v>11.6305072489453</v>
      </c>
      <c r="N5197">
        <v>55.670029854081498</v>
      </c>
      <c r="O5197">
        <v>54.100633520738903</v>
      </c>
      <c r="P5197">
        <v>-5.37594063196263E-2</v>
      </c>
      <c r="Q5197">
        <v>0</v>
      </c>
      <c r="R5197">
        <v>0.991518117572596</v>
      </c>
      <c r="S5197" t="s">
        <v>11023</v>
      </c>
      <c r="T5197" t="s">
        <v>11650</v>
      </c>
      <c r="U5197" t="s">
        <v>11650</v>
      </c>
      <c r="V5197" t="s">
        <v>11650</v>
      </c>
      <c r="W5197" t="s">
        <v>16790</v>
      </c>
      <c r="X5197">
        <v>4</v>
      </c>
      <c r="Y5197" t="s">
        <v>22456</v>
      </c>
      <c r="Z5197" t="s">
        <v>28259</v>
      </c>
      <c r="AA5197">
        <v>0.54409699589814831</v>
      </c>
      <c r="AB5197" t="str">
        <f>HYPERLINK("Melting_Curves/meltCurve_Q9NRG7_2_SDR39U1.pdf", "Melting_Curves/meltCurve_Q9NRG7_2_SDR39U1.pdf")</f>
        <v>Melting_Curves/meltCurve_Q9NRG7_2_SDR39U1.pdf</v>
      </c>
    </row>
    <row r="5198" spans="1:28" x14ac:dyDescent="0.25">
      <c r="A5198" t="s">
        <v>5202</v>
      </c>
      <c r="B5198">
        <v>0.99996721820229495</v>
      </c>
      <c r="C5198">
        <v>1.08412208627114</v>
      </c>
      <c r="D5198">
        <v>1.0933254551567999</v>
      </c>
      <c r="E5198">
        <v>1.0416277315798399</v>
      </c>
      <c r="F5198">
        <v>1.0134875078354699</v>
      </c>
      <c r="G5198">
        <v>1.07186338209204</v>
      </c>
      <c r="H5198">
        <v>0.63157143060353205</v>
      </c>
      <c r="I5198">
        <v>0.45991104135950001</v>
      </c>
      <c r="J5198">
        <v>0.32897014374685102</v>
      </c>
      <c r="K5198">
        <v>0.210170712998206</v>
      </c>
      <c r="L5198">
        <v>2117.1283804346799</v>
      </c>
      <c r="M5198">
        <v>34.327562736913301</v>
      </c>
      <c r="N5198">
        <v>62.926163367823101</v>
      </c>
      <c r="O5198">
        <v>61.466139732108601</v>
      </c>
      <c r="P5198">
        <v>-0.105074148056061</v>
      </c>
      <c r="Q5198">
        <v>0.247429710143376</v>
      </c>
      <c r="R5198">
        <v>0.96308526185615095</v>
      </c>
      <c r="S5198" t="s">
        <v>11024</v>
      </c>
      <c r="T5198" t="s">
        <v>11650</v>
      </c>
      <c r="U5198" t="s">
        <v>11650</v>
      </c>
      <c r="V5198" t="s">
        <v>11650</v>
      </c>
      <c r="W5198" t="s">
        <v>16791</v>
      </c>
      <c r="X5198">
        <v>5</v>
      </c>
      <c r="Y5198" t="s">
        <v>22457</v>
      </c>
      <c r="Z5198" t="s">
        <v>28260</v>
      </c>
      <c r="AA5198">
        <v>0.79447306396829542</v>
      </c>
      <c r="AB5198" t="str">
        <f>HYPERLINK("Melting_Curves/meltCurve_Q9NRH1_YAE1D1.pdf", "Melting_Curves/meltCurve_Q9NRH1_YAE1D1.pdf")</f>
        <v>Melting_Curves/meltCurve_Q9NRH1_YAE1D1.pdf</v>
      </c>
    </row>
    <row r="5199" spans="1:28" x14ac:dyDescent="0.25">
      <c r="A5199" t="s">
        <v>5203</v>
      </c>
      <c r="B5199">
        <v>0.99996721820229495</v>
      </c>
      <c r="C5199">
        <v>0.94906625618845897</v>
      </c>
      <c r="D5199">
        <v>1.09145681806416</v>
      </c>
      <c r="E5199">
        <v>1.51883436057765</v>
      </c>
      <c r="F5199">
        <v>1.2313452251755901</v>
      </c>
      <c r="G5199">
        <v>0.69735321974909004</v>
      </c>
      <c r="H5199">
        <v>0.38473484863066998</v>
      </c>
      <c r="I5199">
        <v>0.211654532921632</v>
      </c>
      <c r="J5199">
        <v>0.137756387499371</v>
      </c>
      <c r="K5199">
        <v>0.16837926167916201</v>
      </c>
      <c r="L5199">
        <v>2111.9006428173702</v>
      </c>
      <c r="M5199">
        <v>36.057241834061202</v>
      </c>
      <c r="N5199">
        <v>59.239379651105097</v>
      </c>
      <c r="O5199">
        <v>58.391495177137998</v>
      </c>
      <c r="P5199">
        <v>-0.128571195044836</v>
      </c>
      <c r="Q5199">
        <v>0.16716417443875101</v>
      </c>
      <c r="R5199">
        <v>0.83703827120456398</v>
      </c>
      <c r="S5199" t="s">
        <v>11025</v>
      </c>
      <c r="T5199" t="s">
        <v>11650</v>
      </c>
      <c r="U5199" t="s">
        <v>11650</v>
      </c>
      <c r="V5199" t="s">
        <v>11650</v>
      </c>
      <c r="W5199" t="s">
        <v>16792</v>
      </c>
      <c r="X5199">
        <v>5</v>
      </c>
      <c r="Y5199" t="s">
        <v>22458</v>
      </c>
      <c r="Z5199" t="s">
        <v>28261</v>
      </c>
      <c r="AA5199">
        <v>0.68667870906607176</v>
      </c>
      <c r="AB5199" t="str">
        <f>HYPERLINK("Melting_Curves/meltCurve_Q9NRK6_ABCB10.pdf", "Melting_Curves/meltCurve_Q9NRK6_ABCB10.pdf")</f>
        <v>Melting_Curves/meltCurve_Q9NRK6_ABCB10.pdf</v>
      </c>
    </row>
    <row r="5200" spans="1:28" x14ac:dyDescent="0.25">
      <c r="A5200" t="s">
        <v>5204</v>
      </c>
      <c r="B5200">
        <v>0.99996721820229495</v>
      </c>
      <c r="C5200">
        <v>0.955949840246753</v>
      </c>
      <c r="D5200">
        <v>0.76530773154756704</v>
      </c>
      <c r="E5200">
        <v>0.56644749617774803</v>
      </c>
      <c r="F5200">
        <v>6.1087077470074496</v>
      </c>
      <c r="G5200">
        <v>1.19619546413651</v>
      </c>
      <c r="H5200">
        <v>1.0958785953775301</v>
      </c>
      <c r="I5200">
        <v>0.74285637209560595</v>
      </c>
      <c r="J5200">
        <v>1.92900670394149</v>
      </c>
      <c r="K5200">
        <v>0.34881677133590799</v>
      </c>
      <c r="L5200">
        <v>15000</v>
      </c>
      <c r="M5200">
        <v>214.90767834437</v>
      </c>
      <c r="N5200">
        <v>69.797437057376797</v>
      </c>
      <c r="O5200">
        <v>69.791369035686898</v>
      </c>
      <c r="P5200">
        <v>-0.76982183493169598</v>
      </c>
      <c r="Q5200">
        <v>0</v>
      </c>
      <c r="R5200">
        <v>-7.0269796933846607E-2</v>
      </c>
      <c r="S5200" t="s">
        <v>11026</v>
      </c>
      <c r="T5200" t="s">
        <v>11650</v>
      </c>
      <c r="U5200" t="s">
        <v>11650</v>
      </c>
      <c r="V5200" t="s">
        <v>11650</v>
      </c>
      <c r="W5200" t="s">
        <v>16793</v>
      </c>
      <c r="X5200">
        <v>2</v>
      </c>
      <c r="Y5200" t="s">
        <v>22459</v>
      </c>
      <c r="Z5200" t="s">
        <v>28262</v>
      </c>
      <c r="AA5200">
        <v>0.98868394206304677</v>
      </c>
      <c r="AB5200" t="str">
        <f>HYPERLINK("Melting_Curves/meltCurve_Q9NRN5_3_OLFML3.pdf", "Melting_Curves/meltCurve_Q9NRN5_3_OLFML3.pdf")</f>
        <v>Melting_Curves/meltCurve_Q9NRN5_3_OLFML3.pdf</v>
      </c>
    </row>
    <row r="5201" spans="1:28" x14ac:dyDescent="0.25">
      <c r="A5201" t="s">
        <v>5205</v>
      </c>
      <c r="B5201">
        <v>0.99996721820229495</v>
      </c>
      <c r="C5201">
        <v>0.98305457749102299</v>
      </c>
      <c r="D5201">
        <v>0.91169956115456297</v>
      </c>
      <c r="E5201">
        <v>0.83835773670172997</v>
      </c>
      <c r="F5201">
        <v>0.56970755480933</v>
      </c>
      <c r="G5201">
        <v>0.25923575401820997</v>
      </c>
      <c r="H5201">
        <v>0.15591259888203901</v>
      </c>
      <c r="I5201">
        <v>9.5027511276725193E-2</v>
      </c>
      <c r="J5201">
        <v>7.0775839362072601E-2</v>
      </c>
      <c r="K5201">
        <v>5.4849490964542703E-2</v>
      </c>
      <c r="L5201">
        <v>1035.1009177020101</v>
      </c>
      <c r="M5201">
        <v>19.328804754527301</v>
      </c>
      <c r="N5201">
        <v>53.866203257639803</v>
      </c>
      <c r="O5201">
        <v>52.988897074964299</v>
      </c>
      <c r="P5201">
        <v>-8.6338029438977698E-2</v>
      </c>
      <c r="Q5201">
        <v>5.3270422866623902E-2</v>
      </c>
      <c r="R5201">
        <v>0.99707238396242703</v>
      </c>
      <c r="S5201" t="s">
        <v>11027</v>
      </c>
      <c r="T5201" t="s">
        <v>11650</v>
      </c>
      <c r="U5201" t="s">
        <v>11650</v>
      </c>
      <c r="V5201" t="s">
        <v>11650</v>
      </c>
      <c r="W5201" t="s">
        <v>16794</v>
      </c>
      <c r="X5201">
        <v>11</v>
      </c>
      <c r="Y5201" t="s">
        <v>22460</v>
      </c>
      <c r="Z5201" t="s">
        <v>28263</v>
      </c>
      <c r="AA5201">
        <v>0.49463913877086518</v>
      </c>
      <c r="AB5201" t="str">
        <f>HYPERLINK("Melting_Curves/meltCurve_Q9NRN7_AASDHPPT.pdf", "Melting_Curves/meltCurve_Q9NRN7_AASDHPPT.pdf")</f>
        <v>Melting_Curves/meltCurve_Q9NRN7_AASDHPPT.pdf</v>
      </c>
    </row>
    <row r="5202" spans="1:28" x14ac:dyDescent="0.25">
      <c r="A5202" t="s">
        <v>5206</v>
      </c>
      <c r="B5202">
        <v>0.99996721820229495</v>
      </c>
      <c r="C5202">
        <v>0.98113467155261602</v>
      </c>
      <c r="D5202">
        <v>0.95990032661557101</v>
      </c>
      <c r="E5202">
        <v>0.96077262468505198</v>
      </c>
      <c r="F5202">
        <v>1.15510330019245</v>
      </c>
      <c r="G5202">
        <v>1.1291607610380801</v>
      </c>
      <c r="H5202">
        <v>0.78751470408590596</v>
      </c>
      <c r="I5202">
        <v>0.77770532817494697</v>
      </c>
      <c r="J5202">
        <v>0.52335335512732895</v>
      </c>
      <c r="K5202">
        <v>0.28492585388663599</v>
      </c>
      <c r="L5202">
        <v>1459.90301752082</v>
      </c>
      <c r="M5202">
        <v>21.734746969932299</v>
      </c>
      <c r="N5202">
        <v>67.169082736418105</v>
      </c>
      <c r="O5202">
        <v>66.608237859757295</v>
      </c>
      <c r="P5202">
        <v>-8.1578715078124003E-2</v>
      </c>
      <c r="Q5202">
        <v>0</v>
      </c>
      <c r="R5202">
        <v>0.90350838759291596</v>
      </c>
      <c r="S5202" t="s">
        <v>11028</v>
      </c>
      <c r="T5202" t="s">
        <v>11650</v>
      </c>
      <c r="U5202" t="s">
        <v>11650</v>
      </c>
      <c r="V5202" t="s">
        <v>11650</v>
      </c>
      <c r="W5202" t="s">
        <v>16795</v>
      </c>
      <c r="X5202">
        <v>5</v>
      </c>
      <c r="Y5202" t="s">
        <v>22461</v>
      </c>
      <c r="Z5202" t="s">
        <v>28264</v>
      </c>
      <c r="AA5202">
        <v>0.87803160969270488</v>
      </c>
      <c r="AB5202" t="str">
        <f>HYPERLINK("Melting_Curves/meltCurve_Q9NRN9_METTL5.pdf", "Melting_Curves/meltCurve_Q9NRN9_METTL5.pdf")</f>
        <v>Melting_Curves/meltCurve_Q9NRN9_METTL5.pdf</v>
      </c>
    </row>
    <row r="5203" spans="1:28" x14ac:dyDescent="0.25">
      <c r="A5203" t="s">
        <v>5207</v>
      </c>
      <c r="B5203">
        <v>0.99996721820229495</v>
      </c>
      <c r="C5203">
        <v>0.93890024987242204</v>
      </c>
      <c r="D5203">
        <v>0.88956170179754301</v>
      </c>
      <c r="E5203">
        <v>0.89818073844471302</v>
      </c>
      <c r="F5203">
        <v>1.00065835504986</v>
      </c>
      <c r="G5203">
        <v>0.95771792492890595</v>
      </c>
      <c r="H5203">
        <v>0.66767811400152499</v>
      </c>
      <c r="I5203">
        <v>0.50130426833257202</v>
      </c>
      <c r="J5203">
        <v>0.60300968685255096</v>
      </c>
      <c r="K5203">
        <v>0.49459621434011802</v>
      </c>
      <c r="L5203">
        <v>3100.1174169340102</v>
      </c>
      <c r="M5203">
        <v>51.7917231559613</v>
      </c>
      <c r="O5203">
        <v>59.768366305532297</v>
      </c>
      <c r="P5203">
        <v>-0.101968099151036</v>
      </c>
      <c r="Q5203">
        <v>0.52931006151481297</v>
      </c>
      <c r="R5203">
        <v>0.90863100536860097</v>
      </c>
      <c r="S5203" t="s">
        <v>11029</v>
      </c>
      <c r="T5203" t="s">
        <v>11650</v>
      </c>
      <c r="U5203" t="s">
        <v>11650</v>
      </c>
      <c r="V5203" t="s">
        <v>11650</v>
      </c>
      <c r="W5203" t="s">
        <v>16796</v>
      </c>
      <c r="X5203">
        <v>8</v>
      </c>
      <c r="Y5203" t="s">
        <v>22462</v>
      </c>
      <c r="Z5203" t="s">
        <v>28265</v>
      </c>
      <c r="AA5203">
        <v>0.84200938502264888</v>
      </c>
      <c r="AB5203" t="str">
        <f>HYPERLINK("Melting_Curves/meltCurve_Q9NRP2_CMC2.pdf", "Melting_Curves/meltCurve_Q9NRP2_CMC2.pdf")</f>
        <v>Melting_Curves/meltCurve_Q9NRP2_CMC2.pdf</v>
      </c>
    </row>
    <row r="5204" spans="1:28" x14ac:dyDescent="0.25">
      <c r="A5204" t="s">
        <v>5208</v>
      </c>
      <c r="B5204">
        <v>0.99996721820229495</v>
      </c>
      <c r="C5204">
        <v>0.96042811736854905</v>
      </c>
      <c r="D5204">
        <v>1.0695888226547501</v>
      </c>
      <c r="E5204">
        <v>1.0934967989669</v>
      </c>
      <c r="F5204">
        <v>1.2471968529731601</v>
      </c>
      <c r="G5204">
        <v>1.20922728630388</v>
      </c>
      <c r="H5204">
        <v>0.59114912898099803</v>
      </c>
      <c r="I5204">
        <v>0.17548395026490199</v>
      </c>
      <c r="J5204">
        <v>8.2266499837695906E-2</v>
      </c>
      <c r="K5204">
        <v>7.0248143008127498E-2</v>
      </c>
      <c r="L5204">
        <v>4329.6985051445499</v>
      </c>
      <c r="M5204">
        <v>70.729586853329195</v>
      </c>
      <c r="N5204">
        <v>61.3942341618597</v>
      </c>
      <c r="O5204">
        <v>61.165909471964298</v>
      </c>
      <c r="P5204">
        <v>-0.26209402020144101</v>
      </c>
      <c r="Q5204">
        <v>9.33795764277454E-2</v>
      </c>
      <c r="R5204">
        <v>0.93911082370110999</v>
      </c>
      <c r="S5204" t="s">
        <v>11030</v>
      </c>
      <c r="T5204" t="s">
        <v>11650</v>
      </c>
      <c r="U5204" t="s">
        <v>11650</v>
      </c>
      <c r="V5204" t="s">
        <v>11650</v>
      </c>
      <c r="W5204" t="s">
        <v>16797</v>
      </c>
      <c r="X5204">
        <v>8</v>
      </c>
      <c r="Y5204" t="s">
        <v>22463</v>
      </c>
      <c r="Z5204" t="s">
        <v>28266</v>
      </c>
      <c r="AA5204">
        <v>0.73572071366560188</v>
      </c>
      <c r="AB5204" t="str">
        <f>HYPERLINK("Melting_Curves/meltCurve_Q9NRQ2_PLSCR4.pdf", "Melting_Curves/meltCurve_Q9NRQ2_PLSCR4.pdf")</f>
        <v>Melting_Curves/meltCurve_Q9NRQ2_PLSCR4.pdf</v>
      </c>
    </row>
    <row r="5205" spans="1:28" x14ac:dyDescent="0.25">
      <c r="A5205" t="s">
        <v>5209</v>
      </c>
      <c r="B5205">
        <v>0.99996721820229495</v>
      </c>
      <c r="C5205">
        <v>0.911055459543611</v>
      </c>
      <c r="D5205">
        <v>0.86966904557888602</v>
      </c>
      <c r="E5205">
        <v>0.89360416687209598</v>
      </c>
      <c r="F5205">
        <v>1.2035421214301101</v>
      </c>
      <c r="G5205">
        <v>1.1753071981549501</v>
      </c>
      <c r="H5205">
        <v>0.87229449134749304</v>
      </c>
      <c r="I5205">
        <v>0.72455017019415402</v>
      </c>
      <c r="J5205">
        <v>0.53349594269235501</v>
      </c>
      <c r="K5205">
        <v>0.39264521470521202</v>
      </c>
      <c r="L5205">
        <v>2066.7937789726502</v>
      </c>
      <c r="M5205">
        <v>31.980332110681601</v>
      </c>
      <c r="N5205">
        <v>67.224726840493403</v>
      </c>
      <c r="O5205">
        <v>64.375902270064799</v>
      </c>
      <c r="P5205">
        <v>-8.0143020298715201E-2</v>
      </c>
      <c r="Q5205">
        <v>0.35469673628639398</v>
      </c>
      <c r="R5205">
        <v>0.80432054527140295</v>
      </c>
      <c r="S5205" t="s">
        <v>11031</v>
      </c>
      <c r="T5205" t="s">
        <v>11650</v>
      </c>
      <c r="U5205" t="s">
        <v>11650</v>
      </c>
      <c r="V5205" t="s">
        <v>11650</v>
      </c>
      <c r="W5205" t="s">
        <v>16798</v>
      </c>
      <c r="X5205">
        <v>11</v>
      </c>
      <c r="Y5205" t="s">
        <v>22464</v>
      </c>
      <c r="Z5205" t="s">
        <v>28267</v>
      </c>
      <c r="AA5205">
        <v>0.88443342969862848</v>
      </c>
      <c r="AB5205" t="str">
        <f>HYPERLINK("Melting_Curves/meltCurve_Q9NRR5_UBQLN4.pdf", "Melting_Curves/meltCurve_Q9NRR5_UBQLN4.pdf")</f>
        <v>Melting_Curves/meltCurve_Q9NRR5_UBQLN4.pdf</v>
      </c>
    </row>
    <row r="5206" spans="1:28" x14ac:dyDescent="0.25">
      <c r="A5206" t="s">
        <v>5210</v>
      </c>
      <c r="B5206">
        <v>0.99996721820229495</v>
      </c>
      <c r="C5206">
        <v>0.37912348857442602</v>
      </c>
      <c r="D5206">
        <v>0.47200022310599998</v>
      </c>
      <c r="E5206">
        <v>0.990247037689726</v>
      </c>
      <c r="F5206">
        <v>1.2486220959399601</v>
      </c>
      <c r="G5206">
        <v>0.59212666052017604</v>
      </c>
      <c r="H5206">
        <v>0.93377477911977202</v>
      </c>
      <c r="I5206">
        <v>1.2104584859819201</v>
      </c>
      <c r="J5206">
        <v>1.0778686917329301</v>
      </c>
      <c r="K5206">
        <v>1.2412837251564299</v>
      </c>
      <c r="L5206">
        <v>9132.3461192300292</v>
      </c>
      <c r="M5206">
        <v>145.878822509873</v>
      </c>
      <c r="O5206">
        <v>62.590493553667699</v>
      </c>
      <c r="P5206">
        <v>0.103614964815327</v>
      </c>
      <c r="Q5206">
        <v>1.1778274173015599</v>
      </c>
      <c r="R5206">
        <v>2.0855336993694601E-2</v>
      </c>
      <c r="S5206" t="s">
        <v>11032</v>
      </c>
      <c r="T5206" t="s">
        <v>11650</v>
      </c>
      <c r="U5206" t="s">
        <v>11650</v>
      </c>
      <c r="V5206" t="s">
        <v>11650</v>
      </c>
      <c r="W5206" t="s">
        <v>16799</v>
      </c>
      <c r="X5206">
        <v>1</v>
      </c>
      <c r="Y5206" t="s">
        <v>22465</v>
      </c>
      <c r="Z5206" t="s">
        <v>28268</v>
      </c>
      <c r="AA5206">
        <v>1.043793209241578</v>
      </c>
      <c r="AB5206" t="str">
        <f>HYPERLINK("Melting_Curves/meltCurve_Q9NRR8_CDC42SE1.pdf", "Melting_Curves/meltCurve_Q9NRR8_CDC42SE1.pdf")</f>
        <v>Melting_Curves/meltCurve_Q9NRR8_CDC42SE1.pdf</v>
      </c>
    </row>
    <row r="5207" spans="1:28" x14ac:dyDescent="0.25">
      <c r="A5207" t="s">
        <v>5211</v>
      </c>
      <c r="B5207">
        <v>0.99996721820229495</v>
      </c>
      <c r="C5207">
        <v>1.08328352405234</v>
      </c>
      <c r="D5207">
        <v>0.73655147623922201</v>
      </c>
      <c r="E5207">
        <v>0.31529600876703801</v>
      </c>
      <c r="F5207">
        <v>0.29037993939226397</v>
      </c>
      <c r="G5207">
        <v>0.22256435840689101</v>
      </c>
      <c r="H5207">
        <v>0.12759665507732701</v>
      </c>
      <c r="I5207">
        <v>9.1913401106891293E-2</v>
      </c>
      <c r="J5207">
        <v>5.1858666497346897E-2</v>
      </c>
      <c r="K5207">
        <v>4.5447988045032403E-2</v>
      </c>
      <c r="L5207">
        <v>1092.1245439592101</v>
      </c>
      <c r="M5207">
        <v>22.692523689653601</v>
      </c>
      <c r="N5207">
        <v>48.641178549809602</v>
      </c>
      <c r="O5207">
        <v>47.757994155651602</v>
      </c>
      <c r="P5207">
        <v>-0.106125126763416</v>
      </c>
      <c r="Q5207">
        <v>0.106626792572293</v>
      </c>
      <c r="R5207">
        <v>0.967263703324999</v>
      </c>
      <c r="S5207" t="s">
        <v>11033</v>
      </c>
      <c r="T5207" t="s">
        <v>11650</v>
      </c>
      <c r="U5207" t="s">
        <v>11650</v>
      </c>
      <c r="V5207" t="s">
        <v>11650</v>
      </c>
      <c r="W5207" t="s">
        <v>16800</v>
      </c>
      <c r="X5207">
        <v>7</v>
      </c>
      <c r="Y5207" t="s">
        <v>22466</v>
      </c>
      <c r="Z5207" t="s">
        <v>28269</v>
      </c>
      <c r="AA5207">
        <v>0.35833609493600921</v>
      </c>
      <c r="AB5207" t="str">
        <f>HYPERLINK("Melting_Curves/meltCurve_Q9NRS6_SNX15.pdf", "Melting_Curves/meltCurve_Q9NRS6_SNX15.pdf")</f>
        <v>Melting_Curves/meltCurve_Q9NRS6_SNX15.pdf</v>
      </c>
    </row>
    <row r="5208" spans="1:28" x14ac:dyDescent="0.25">
      <c r="A5208" t="s">
        <v>5212</v>
      </c>
      <c r="B5208">
        <v>0.99996721820229495</v>
      </c>
      <c r="C5208">
        <v>1.08867860573082</v>
      </c>
      <c r="D5208">
        <v>1.03730317215326</v>
      </c>
      <c r="E5208">
        <v>0.90243627343678201</v>
      </c>
      <c r="F5208">
        <v>0.72627671255632598</v>
      </c>
      <c r="G5208">
        <v>0.47254548094869098</v>
      </c>
      <c r="H5208">
        <v>0.19522880450863001</v>
      </c>
      <c r="I5208">
        <v>0.12424134560849801</v>
      </c>
      <c r="J5208">
        <v>9.7388871699978993E-2</v>
      </c>
      <c r="K5208">
        <v>7.7044978133736494E-2</v>
      </c>
      <c r="L5208">
        <v>1061.3583637988099</v>
      </c>
      <c r="M5208">
        <v>18.980807422768098</v>
      </c>
      <c r="N5208">
        <v>56.243813945911</v>
      </c>
      <c r="O5208">
        <v>55.307843488381401</v>
      </c>
      <c r="P5208">
        <v>-8.1325559057709301E-2</v>
      </c>
      <c r="Q5208">
        <v>5.2145108307311401E-2</v>
      </c>
      <c r="R5208">
        <v>0.99174743407139798</v>
      </c>
      <c r="S5208" t="s">
        <v>11034</v>
      </c>
      <c r="T5208" t="s">
        <v>11650</v>
      </c>
      <c r="U5208" t="s">
        <v>11650</v>
      </c>
      <c r="V5208" t="s">
        <v>11650</v>
      </c>
      <c r="W5208" t="s">
        <v>16801</v>
      </c>
      <c r="X5208">
        <v>19</v>
      </c>
      <c r="Y5208" t="s">
        <v>22467</v>
      </c>
      <c r="Z5208" t="s">
        <v>28270</v>
      </c>
      <c r="AA5208">
        <v>0.56819276917873318</v>
      </c>
      <c r="AB5208" t="str">
        <f>HYPERLINK("Melting_Curves/meltCurve_Q9NRV9_HEBP1.pdf", "Melting_Curves/meltCurve_Q9NRV9_HEBP1.pdf")</f>
        <v>Melting_Curves/meltCurve_Q9NRV9_HEBP1.pdf</v>
      </c>
    </row>
    <row r="5209" spans="1:28" x14ac:dyDescent="0.25">
      <c r="A5209" t="s">
        <v>5213</v>
      </c>
      <c r="B5209">
        <v>0.99996721820229495</v>
      </c>
      <c r="C5209">
        <v>0.874695153335595</v>
      </c>
      <c r="D5209">
        <v>0.93376760058197095</v>
      </c>
      <c r="E5209">
        <v>1.04923205824785</v>
      </c>
      <c r="F5209">
        <v>1.4166620285799101</v>
      </c>
      <c r="G5209">
        <v>1.41897168666775</v>
      </c>
      <c r="H5209">
        <v>1.0720686226826599</v>
      </c>
      <c r="I5209">
        <v>0.76799174557874395</v>
      </c>
      <c r="J5209">
        <v>0.61077239965711905</v>
      </c>
      <c r="K5209">
        <v>0.40433622147931703</v>
      </c>
      <c r="L5209">
        <v>2699.5507620435401</v>
      </c>
      <c r="M5209">
        <v>41.166419406975002</v>
      </c>
      <c r="N5209">
        <v>67.974327653089802</v>
      </c>
      <c r="O5209">
        <v>65.422349366981393</v>
      </c>
      <c r="P5209">
        <v>-9.7065646160423902E-2</v>
      </c>
      <c r="Q5209">
        <v>0.38296786841986702</v>
      </c>
      <c r="R5209">
        <v>0.57482925629930204</v>
      </c>
      <c r="S5209" t="s">
        <v>11035</v>
      </c>
      <c r="T5209" t="s">
        <v>11650</v>
      </c>
      <c r="U5209" t="s">
        <v>11650</v>
      </c>
      <c r="V5209" t="s">
        <v>11650</v>
      </c>
      <c r="W5209" t="s">
        <v>16802</v>
      </c>
      <c r="X5209">
        <v>10</v>
      </c>
      <c r="Y5209" t="s">
        <v>22468</v>
      </c>
      <c r="Z5209" t="s">
        <v>28271</v>
      </c>
      <c r="AA5209">
        <v>0.90883475604781983</v>
      </c>
      <c r="AB5209" t="str">
        <f>HYPERLINK("Melting_Curves/meltCurve_Q9NRW1_RAB6B.pdf", "Melting_Curves/meltCurve_Q9NRW1_RAB6B.pdf")</f>
        <v>Melting_Curves/meltCurve_Q9NRW1_RAB6B.pdf</v>
      </c>
    </row>
    <row r="5210" spans="1:28" x14ac:dyDescent="0.25">
      <c r="A5210" t="s">
        <v>5214</v>
      </c>
      <c r="B5210">
        <v>0.99996721820229495</v>
      </c>
      <c r="C5210">
        <v>0.92265736678510402</v>
      </c>
      <c r="D5210">
        <v>0.73345283322444299</v>
      </c>
      <c r="E5210">
        <v>0.33648308670974297</v>
      </c>
      <c r="F5210">
        <v>0.26929282454425302</v>
      </c>
      <c r="G5210">
        <v>0.17282039432681701</v>
      </c>
      <c r="H5210">
        <v>0.12952505013556401</v>
      </c>
      <c r="I5210">
        <v>7.8710345558461195E-2</v>
      </c>
      <c r="J5210">
        <v>5.4019704362706499E-2</v>
      </c>
      <c r="K5210">
        <v>5.4597578155679102E-2</v>
      </c>
      <c r="L5210">
        <v>862.98820441986902</v>
      </c>
      <c r="M5210">
        <v>17.9251145766878</v>
      </c>
      <c r="N5210">
        <v>48.612115324012301</v>
      </c>
      <c r="O5210">
        <v>47.556880785132698</v>
      </c>
      <c r="P5210">
        <v>-8.6766356642189499E-2</v>
      </c>
      <c r="Q5210">
        <v>7.9251561132353904E-2</v>
      </c>
      <c r="R5210">
        <v>0.99183372813783099</v>
      </c>
      <c r="S5210" t="s">
        <v>11036</v>
      </c>
      <c r="T5210" t="s">
        <v>11650</v>
      </c>
      <c r="U5210" t="s">
        <v>11650</v>
      </c>
      <c r="V5210" t="s">
        <v>11650</v>
      </c>
      <c r="W5210" t="s">
        <v>16803</v>
      </c>
      <c r="X5210">
        <v>2</v>
      </c>
      <c r="Y5210" t="s">
        <v>22469</v>
      </c>
      <c r="Z5210" t="s">
        <v>28272</v>
      </c>
      <c r="AA5210">
        <v>0.34561550811464259</v>
      </c>
      <c r="AB5210" t="str">
        <f>HYPERLINK("Melting_Curves/meltCurve_Q9NRW4_DUSP22.pdf", "Melting_Curves/meltCurve_Q9NRW4_DUSP22.pdf")</f>
        <v>Melting_Curves/meltCurve_Q9NRW4_DUSP22.pdf</v>
      </c>
    </row>
    <row r="5211" spans="1:28" x14ac:dyDescent="0.25">
      <c r="A5211" t="s">
        <v>5215</v>
      </c>
      <c r="B5211">
        <v>0.99996721820229495</v>
      </c>
      <c r="C5211">
        <v>0.74875176144329303</v>
      </c>
      <c r="D5211">
        <v>0.84132670536363496</v>
      </c>
      <c r="E5211">
        <v>0.53233655473133501</v>
      </c>
      <c r="F5211">
        <v>0.23189045285412699</v>
      </c>
      <c r="G5211">
        <v>0.160164924051791</v>
      </c>
      <c r="H5211">
        <v>0.103017150931333</v>
      </c>
      <c r="I5211">
        <v>6.6741912566509506E-2</v>
      </c>
      <c r="J5211">
        <v>5.4985447832554102E-2</v>
      </c>
      <c r="K5211">
        <v>4.6070607950459502E-2</v>
      </c>
      <c r="L5211">
        <v>698.75214589064694</v>
      </c>
      <c r="M5211">
        <v>14.085247963596901</v>
      </c>
      <c r="N5211">
        <v>49.793454590704698</v>
      </c>
      <c r="O5211">
        <v>48.640945825346797</v>
      </c>
      <c r="P5211">
        <v>-7.0560852941240496E-2</v>
      </c>
      <c r="Q5211">
        <v>2.5447552877835299E-2</v>
      </c>
      <c r="R5211">
        <v>0.96732263043273103</v>
      </c>
      <c r="S5211" t="s">
        <v>11037</v>
      </c>
      <c r="T5211" t="s">
        <v>11650</v>
      </c>
      <c r="U5211" t="s">
        <v>11650</v>
      </c>
      <c r="V5211" t="s">
        <v>11650</v>
      </c>
      <c r="W5211" t="s">
        <v>16804</v>
      </c>
      <c r="X5211">
        <v>11</v>
      </c>
      <c r="Y5211" t="s">
        <v>22470</v>
      </c>
      <c r="Z5211" t="s">
        <v>28273</v>
      </c>
      <c r="AA5211">
        <v>0.36393577166867341</v>
      </c>
      <c r="AB5211" t="str">
        <f>HYPERLINK("Melting_Curves/meltCurve_Q9NRW7_VPS45.pdf", "Melting_Curves/meltCurve_Q9NRW7_VPS45.pdf")</f>
        <v>Melting_Curves/meltCurve_Q9NRW7_VPS45.pdf</v>
      </c>
    </row>
    <row r="5212" spans="1:28" x14ac:dyDescent="0.25">
      <c r="A5212" t="s">
        <v>5216</v>
      </c>
      <c r="B5212">
        <v>0.99996721820229495</v>
      </c>
      <c r="C5212">
        <v>0.98154847923660005</v>
      </c>
      <c r="D5212">
        <v>0.91582923558838603</v>
      </c>
      <c r="E5212">
        <v>0.78019353532778002</v>
      </c>
      <c r="F5212">
        <v>0.81005207779885202</v>
      </c>
      <c r="G5212">
        <v>0.64669863476879497</v>
      </c>
      <c r="H5212">
        <v>0.30731088037201199</v>
      </c>
      <c r="I5212">
        <v>0.22069183003439399</v>
      </c>
      <c r="J5212">
        <v>0.19316432087989799</v>
      </c>
      <c r="K5212">
        <v>0.14115766187277801</v>
      </c>
      <c r="L5212">
        <v>676.72767955890197</v>
      </c>
      <c r="M5212">
        <v>11.6228645258452</v>
      </c>
      <c r="N5212">
        <v>58.223852629764302</v>
      </c>
      <c r="O5212">
        <v>56.580358518015302</v>
      </c>
      <c r="P5212">
        <v>-5.1369571373327101E-2</v>
      </c>
      <c r="Q5212">
        <v>0</v>
      </c>
      <c r="R5212">
        <v>0.97633913419399498</v>
      </c>
      <c r="S5212" t="s">
        <v>11038</v>
      </c>
      <c r="T5212" t="s">
        <v>11650</v>
      </c>
      <c r="U5212" t="s">
        <v>11650</v>
      </c>
      <c r="V5212" t="s">
        <v>11650</v>
      </c>
      <c r="W5212" t="s">
        <v>16805</v>
      </c>
      <c r="X5212">
        <v>9</v>
      </c>
      <c r="Y5212" t="s">
        <v>22471</v>
      </c>
      <c r="Z5212" t="s">
        <v>28274</v>
      </c>
      <c r="AA5212">
        <v>0.61875146565894568</v>
      </c>
      <c r="AB5212" t="str">
        <f>HYPERLINK("Melting_Curves/meltCurve_Q9NRX4_PHPT1.pdf", "Melting_Curves/meltCurve_Q9NRX4_PHPT1.pdf")</f>
        <v>Melting_Curves/meltCurve_Q9NRX4_PHPT1.pdf</v>
      </c>
    </row>
    <row r="5213" spans="1:28" x14ac:dyDescent="0.25">
      <c r="A5213" t="s">
        <v>5217</v>
      </c>
      <c r="B5213">
        <v>0.99996721820229495</v>
      </c>
      <c r="C5213">
        <v>1.3820794621979799</v>
      </c>
      <c r="D5213">
        <v>1.4265828856738001</v>
      </c>
      <c r="E5213">
        <v>1.50344289249009</v>
      </c>
      <c r="F5213">
        <v>2.0017572475147598</v>
      </c>
      <c r="G5213">
        <v>2.3964473470162799</v>
      </c>
      <c r="H5213">
        <v>1.7315717518993801</v>
      </c>
      <c r="I5213">
        <v>0.93868451195199498</v>
      </c>
      <c r="J5213">
        <v>0.76029693639558205</v>
      </c>
      <c r="K5213">
        <v>0.664429111683979</v>
      </c>
      <c r="L5213">
        <v>5084.0366600426096</v>
      </c>
      <c r="M5213">
        <v>76.8917972677786</v>
      </c>
      <c r="O5213">
        <v>66.074680453996095</v>
      </c>
      <c r="P5213">
        <v>-9.7912698745692806E-2</v>
      </c>
      <c r="Q5213">
        <v>0.66344658241031496</v>
      </c>
      <c r="R5213">
        <v>-0.45649774883600402</v>
      </c>
      <c r="S5213" t="s">
        <v>11039</v>
      </c>
      <c r="T5213" t="s">
        <v>11650</v>
      </c>
      <c r="U5213" t="s">
        <v>11650</v>
      </c>
      <c r="V5213" t="s">
        <v>11650</v>
      </c>
      <c r="W5213" t="s">
        <v>16806</v>
      </c>
      <c r="X5213">
        <v>2</v>
      </c>
      <c r="Y5213" t="s">
        <v>22472</v>
      </c>
      <c r="Z5213" t="s">
        <v>28275</v>
      </c>
      <c r="AA5213">
        <v>0.9567234093425836</v>
      </c>
      <c r="AB5213" t="str">
        <f>HYPERLINK("Melting_Curves/meltCurve_Q9NRX5_SERINC1.pdf", "Melting_Curves/meltCurve_Q9NRX5_SERINC1.pdf")</f>
        <v>Melting_Curves/meltCurve_Q9NRX5_SERINC1.pdf</v>
      </c>
    </row>
    <row r="5214" spans="1:28" x14ac:dyDescent="0.25">
      <c r="A5214" t="s">
        <v>5218</v>
      </c>
      <c r="B5214">
        <v>0.99996721820229495</v>
      </c>
      <c r="C5214">
        <v>0.90140900261512102</v>
      </c>
      <c r="D5214">
        <v>0.64848479274367099</v>
      </c>
      <c r="E5214">
        <v>0.88008703723981996</v>
      </c>
      <c r="F5214">
        <v>1.2015699068989001</v>
      </c>
      <c r="G5214">
        <v>1.54019036631509</v>
      </c>
      <c r="H5214">
        <v>1.8532085293801199</v>
      </c>
      <c r="I5214">
        <v>2.6914320073532498</v>
      </c>
      <c r="J5214">
        <v>2.1338836372261798</v>
      </c>
      <c r="K5214">
        <v>2.1508121533051701</v>
      </c>
      <c r="L5214">
        <v>13270.7972158502</v>
      </c>
      <c r="M5214">
        <v>250</v>
      </c>
      <c r="O5214">
        <v>53.0797878620494</v>
      </c>
      <c r="P5214">
        <v>0.58873629530676597</v>
      </c>
      <c r="Q5214">
        <v>1.5</v>
      </c>
      <c r="R5214">
        <v>0.397104806334244</v>
      </c>
      <c r="S5214" t="s">
        <v>11040</v>
      </c>
      <c r="T5214" t="s">
        <v>11650</v>
      </c>
      <c r="U5214" t="s">
        <v>11650</v>
      </c>
      <c r="V5214" t="s">
        <v>11650</v>
      </c>
      <c r="W5214" t="s">
        <v>16807</v>
      </c>
      <c r="X5214">
        <v>2</v>
      </c>
      <c r="Y5214" t="s">
        <v>22473</v>
      </c>
      <c r="Z5214" t="s">
        <v>28276</v>
      </c>
      <c r="AA5214">
        <v>1.281900272191504</v>
      </c>
      <c r="AB5214" t="str">
        <f>HYPERLINK("Melting_Curves/meltCurve_Q9NRY2_INIP.pdf", "Melting_Curves/meltCurve_Q9NRY2_INIP.pdf")</f>
        <v>Melting_Curves/meltCurve_Q9NRY2_INIP.pdf</v>
      </c>
    </row>
    <row r="5215" spans="1:28" x14ac:dyDescent="0.25">
      <c r="A5215" t="s">
        <v>5219</v>
      </c>
      <c r="B5215">
        <v>0.99996721820229495</v>
      </c>
      <c r="C5215">
        <v>0.982902923949036</v>
      </c>
      <c r="D5215">
        <v>0.56843504119105004</v>
      </c>
      <c r="E5215">
        <v>0.226228567809341</v>
      </c>
      <c r="F5215">
        <v>0.21544596461095999</v>
      </c>
      <c r="G5215">
        <v>0.17577917422358399</v>
      </c>
      <c r="H5215">
        <v>0.11734268371604301</v>
      </c>
      <c r="I5215">
        <v>9.5947099971628494E-2</v>
      </c>
      <c r="J5215">
        <v>7.43130218301227E-2</v>
      </c>
      <c r="K5215">
        <v>5.8078488801127398E-2</v>
      </c>
      <c r="L5215">
        <v>1335.5575721602499</v>
      </c>
      <c r="M5215">
        <v>28.830928706851299</v>
      </c>
      <c r="N5215">
        <v>46.7609741434147</v>
      </c>
      <c r="O5215">
        <v>46.102633032241101</v>
      </c>
      <c r="P5215">
        <v>-0.13787177818806601</v>
      </c>
      <c r="Q5215">
        <v>0.118141023282472</v>
      </c>
      <c r="R5215">
        <v>0.98353449980713004</v>
      </c>
      <c r="S5215" t="s">
        <v>11041</v>
      </c>
      <c r="T5215" t="s">
        <v>11650</v>
      </c>
      <c r="U5215" t="s">
        <v>11650</v>
      </c>
      <c r="V5215" t="s">
        <v>11650</v>
      </c>
      <c r="W5215" t="s">
        <v>16808</v>
      </c>
      <c r="X5215">
        <v>5</v>
      </c>
      <c r="Y5215" t="s">
        <v>22474</v>
      </c>
      <c r="Z5215" t="s">
        <v>28277</v>
      </c>
      <c r="AA5215">
        <v>0.30985294034049221</v>
      </c>
      <c r="AB5215" t="str">
        <f>HYPERLINK("Melting_Curves/meltCurve_Q9NRY4_ARHGAP35.pdf", "Melting_Curves/meltCurve_Q9NRY4_ARHGAP35.pdf")</f>
        <v>Melting_Curves/meltCurve_Q9NRY4_ARHGAP35.pdf</v>
      </c>
    </row>
    <row r="5216" spans="1:28" x14ac:dyDescent="0.25">
      <c r="A5216" t="s">
        <v>5220</v>
      </c>
      <c r="B5216">
        <v>0.99996721820229495</v>
      </c>
      <c r="C5216">
        <v>1.0081404464393</v>
      </c>
      <c r="D5216">
        <v>0.94011182938827798</v>
      </c>
      <c r="E5216">
        <v>0.97422023776701505</v>
      </c>
      <c r="F5216">
        <v>0.578028342914642</v>
      </c>
      <c r="G5216">
        <v>0.32584658360500401</v>
      </c>
      <c r="H5216">
        <v>0.18614934976457001</v>
      </c>
      <c r="I5216">
        <v>0.132954384858817</v>
      </c>
      <c r="J5216">
        <v>9.5484288733042696E-2</v>
      </c>
      <c r="K5216">
        <v>8.2483839050585303E-2</v>
      </c>
      <c r="L5216">
        <v>1297.3978522319701</v>
      </c>
      <c r="M5216">
        <v>24.0571757537443</v>
      </c>
      <c r="N5216">
        <v>54.4621926878906</v>
      </c>
      <c r="O5216">
        <v>53.561268932312402</v>
      </c>
      <c r="P5216">
        <v>-0.100523277719758</v>
      </c>
      <c r="Q5216">
        <v>0.104787688242253</v>
      </c>
      <c r="R5216">
        <v>0.98826000520039103</v>
      </c>
      <c r="S5216" t="s">
        <v>11042</v>
      </c>
      <c r="T5216" t="s">
        <v>11650</v>
      </c>
      <c r="U5216" t="s">
        <v>11650</v>
      </c>
      <c r="V5216" t="s">
        <v>11650</v>
      </c>
      <c r="W5216" t="s">
        <v>16809</v>
      </c>
      <c r="X5216">
        <v>22</v>
      </c>
      <c r="Y5216" t="s">
        <v>22475</v>
      </c>
      <c r="Z5216" t="s">
        <v>28278</v>
      </c>
      <c r="AA5216">
        <v>0.52933705590807234</v>
      </c>
      <c r="AB5216" t="str">
        <f>HYPERLINK("Melting_Curves/meltCurve_Q9NRY5_FAM114A2.pdf", "Melting_Curves/meltCurve_Q9NRY5_FAM114A2.pdf")</f>
        <v>Melting_Curves/meltCurve_Q9NRY5_FAM114A2.pdf</v>
      </c>
    </row>
    <row r="5217" spans="1:28" x14ac:dyDescent="0.25">
      <c r="A5217" t="s">
        <v>5221</v>
      </c>
      <c r="B5217">
        <v>0.99996721820229495</v>
      </c>
      <c r="C5217">
        <v>0.90963956338953</v>
      </c>
      <c r="D5217">
        <v>0.97525750451635895</v>
      </c>
      <c r="E5217">
        <v>1.01278843642182</v>
      </c>
      <c r="F5217">
        <v>1.2523957490019</v>
      </c>
      <c r="G5217">
        <v>1.2853976759319901</v>
      </c>
      <c r="H5217">
        <v>0.90783578726745695</v>
      </c>
      <c r="I5217">
        <v>0.51201744831988305</v>
      </c>
      <c r="J5217">
        <v>0.307574319501981</v>
      </c>
      <c r="K5217">
        <v>0.19896276280879199</v>
      </c>
      <c r="L5217">
        <v>3315.9043998819998</v>
      </c>
      <c r="M5217">
        <v>52.290100415091104</v>
      </c>
      <c r="N5217">
        <v>64.144854892770994</v>
      </c>
      <c r="O5217">
        <v>63.321081942179298</v>
      </c>
      <c r="P5217">
        <v>-0.160096428930429</v>
      </c>
      <c r="Q5217">
        <v>0.22452086037618399</v>
      </c>
      <c r="R5217">
        <v>0.87402049677147098</v>
      </c>
      <c r="S5217" t="s">
        <v>11043</v>
      </c>
      <c r="T5217" t="s">
        <v>11650</v>
      </c>
      <c r="U5217" t="s">
        <v>11650</v>
      </c>
      <c r="V5217" t="s">
        <v>11650</v>
      </c>
      <c r="W5217" t="s">
        <v>16810</v>
      </c>
      <c r="X5217">
        <v>9</v>
      </c>
      <c r="Y5217" t="s">
        <v>22476</v>
      </c>
      <c r="Z5217" t="s">
        <v>28279</v>
      </c>
      <c r="AA5217">
        <v>0.83143859683766752</v>
      </c>
      <c r="AB5217" t="str">
        <f>HYPERLINK("Melting_Curves/meltCurve_Q9NRY6_PLSCR3.pdf", "Melting_Curves/meltCurve_Q9NRY6_PLSCR3.pdf")</f>
        <v>Melting_Curves/meltCurve_Q9NRY6_PLSCR3.pdf</v>
      </c>
    </row>
    <row r="5218" spans="1:28" x14ac:dyDescent="0.25">
      <c r="A5218" t="s">
        <v>5222</v>
      </c>
      <c r="B5218">
        <v>0.99996721820229495</v>
      </c>
      <c r="C5218">
        <v>0.83843155740287301</v>
      </c>
      <c r="D5218">
        <v>0.801650457733324</v>
      </c>
      <c r="E5218">
        <v>0.73822570494234097</v>
      </c>
      <c r="F5218">
        <v>0.57988557315607803</v>
      </c>
      <c r="G5218">
        <v>0.70809154777161598</v>
      </c>
      <c r="H5218">
        <v>0.448286109634427</v>
      </c>
      <c r="I5218">
        <v>0.239322056223291</v>
      </c>
      <c r="J5218">
        <v>0.16871685669168099</v>
      </c>
      <c r="K5218">
        <v>0.12751598034825001</v>
      </c>
      <c r="L5218">
        <v>437.24481805152197</v>
      </c>
      <c r="M5218">
        <v>7.6567689087247999</v>
      </c>
      <c r="N5218">
        <v>57.105646613038502</v>
      </c>
      <c r="O5218">
        <v>53.601516353853498</v>
      </c>
      <c r="P5218">
        <v>-3.5759085311131998E-2</v>
      </c>
      <c r="Q5218">
        <v>0</v>
      </c>
      <c r="R5218">
        <v>0.90660304318374296</v>
      </c>
      <c r="S5218" t="s">
        <v>11044</v>
      </c>
      <c r="T5218" t="s">
        <v>11650</v>
      </c>
      <c r="U5218" t="s">
        <v>11650</v>
      </c>
      <c r="V5218" t="s">
        <v>11650</v>
      </c>
      <c r="W5218" t="s">
        <v>16811</v>
      </c>
      <c r="X5218">
        <v>4</v>
      </c>
      <c r="Y5218" t="s">
        <v>22477</v>
      </c>
      <c r="Z5218" t="s">
        <v>28280</v>
      </c>
      <c r="AA5218">
        <v>0.5801841686331406</v>
      </c>
      <c r="AB5218" t="str">
        <f>HYPERLINK("Melting_Curves/meltCurve_Q9NRZ5_AGPAT4.pdf", "Melting_Curves/meltCurve_Q9NRZ5_AGPAT4.pdf")</f>
        <v>Melting_Curves/meltCurve_Q9NRZ5_AGPAT4.pdf</v>
      </c>
    </row>
    <row r="5219" spans="1:28" x14ac:dyDescent="0.25">
      <c r="A5219" t="s">
        <v>5223</v>
      </c>
      <c r="B5219">
        <v>0.99996721820229495</v>
      </c>
      <c r="C5219">
        <v>0.82862021397240104</v>
      </c>
      <c r="D5219">
        <v>1.07477180022105</v>
      </c>
      <c r="E5219">
        <v>1.0901799660749201</v>
      </c>
      <c r="F5219">
        <v>0.49607580343795599</v>
      </c>
      <c r="G5219">
        <v>0.409884983118321</v>
      </c>
      <c r="H5219">
        <v>0.25710071611508001</v>
      </c>
      <c r="I5219">
        <v>0.16944805041823799</v>
      </c>
      <c r="J5219">
        <v>0.10418310475218701</v>
      </c>
      <c r="K5219">
        <v>9.7803691555529204E-2</v>
      </c>
      <c r="L5219">
        <v>1391.8665741903801</v>
      </c>
      <c r="M5219">
        <v>25.864681414019</v>
      </c>
      <c r="N5219">
        <v>54.572075835128501</v>
      </c>
      <c r="O5219">
        <v>53.494824349609203</v>
      </c>
      <c r="P5219">
        <v>-0.10262222004523899</v>
      </c>
      <c r="Q5219">
        <v>0.15101341721759201</v>
      </c>
      <c r="R5219">
        <v>0.92018529593454401</v>
      </c>
      <c r="S5219" t="s">
        <v>11045</v>
      </c>
      <c r="T5219" t="s">
        <v>11650</v>
      </c>
      <c r="U5219" t="s">
        <v>11650</v>
      </c>
      <c r="V5219" t="s">
        <v>11650</v>
      </c>
      <c r="W5219" t="s">
        <v>16812</v>
      </c>
      <c r="X5219">
        <v>6</v>
      </c>
      <c r="Y5219" t="s">
        <v>22478</v>
      </c>
      <c r="Z5219" t="s">
        <v>28281</v>
      </c>
      <c r="AA5219">
        <v>0.54930088673329325</v>
      </c>
      <c r="AB5219" t="str">
        <f>HYPERLINK("Melting_Curves/meltCurve_Q9NRZ7_2_AGPAT3.pdf", "Melting_Curves/meltCurve_Q9NRZ7_2_AGPAT3.pdf")</f>
        <v>Melting_Curves/meltCurve_Q9NRZ7_2_AGPAT3.pdf</v>
      </c>
    </row>
    <row r="5220" spans="1:28" x14ac:dyDescent="0.25">
      <c r="A5220" t="s">
        <v>5224</v>
      </c>
      <c r="B5220">
        <v>0.99996721820229495</v>
      </c>
      <c r="C5220">
        <v>0.90276899927127097</v>
      </c>
      <c r="D5220">
        <v>0.84389415055470496</v>
      </c>
      <c r="E5220">
        <v>1.0861376998932799</v>
      </c>
      <c r="F5220">
        <v>1.22102530031172</v>
      </c>
      <c r="G5220">
        <v>1.20538424527654</v>
      </c>
      <c r="H5220">
        <v>0.99591693519847801</v>
      </c>
      <c r="I5220">
        <v>0.791405142584931</v>
      </c>
      <c r="J5220">
        <v>0.54411700408709096</v>
      </c>
      <c r="K5220">
        <v>0.74262785620726901</v>
      </c>
      <c r="L5220">
        <v>15000</v>
      </c>
      <c r="M5220">
        <v>234.71805513816301</v>
      </c>
      <c r="O5220">
        <v>63.901822264803101</v>
      </c>
      <c r="P5220">
        <v>-0.32748269784915202</v>
      </c>
      <c r="Q5220">
        <v>0.643372290809748</v>
      </c>
      <c r="R5220">
        <v>0.62508262431018102</v>
      </c>
      <c r="S5220" t="s">
        <v>11046</v>
      </c>
      <c r="T5220" t="s">
        <v>11650</v>
      </c>
      <c r="U5220" t="s">
        <v>11650</v>
      </c>
      <c r="V5220" t="s">
        <v>11650</v>
      </c>
      <c r="W5220" t="s">
        <v>16813</v>
      </c>
      <c r="X5220">
        <v>8</v>
      </c>
      <c r="Y5220" t="s">
        <v>22479</v>
      </c>
      <c r="Z5220" t="s">
        <v>28282</v>
      </c>
      <c r="AA5220">
        <v>0.92760786957531316</v>
      </c>
      <c r="AB5220" t="str">
        <f>HYPERLINK("Melting_Curves/meltCurve_Q9NS15_LTBP3.pdf", "Melting_Curves/meltCurve_Q9NS15_LTBP3.pdf")</f>
        <v>Melting_Curves/meltCurve_Q9NS15_LTBP3.pdf</v>
      </c>
    </row>
    <row r="5221" spans="1:28" x14ac:dyDescent="0.25">
      <c r="A5221" t="s">
        <v>5225</v>
      </c>
      <c r="B5221">
        <v>0.99996721820229495</v>
      </c>
      <c r="C5221">
        <v>0.83342467697425204</v>
      </c>
      <c r="D5221">
        <v>0.73359456040920401</v>
      </c>
      <c r="E5221">
        <v>0.756219234553141</v>
      </c>
      <c r="F5221">
        <v>0.70775578117980498</v>
      </c>
      <c r="G5221">
        <v>0.66243734868579096</v>
      </c>
      <c r="H5221">
        <v>0.56918789997679498</v>
      </c>
      <c r="I5221">
        <v>0.75618583594719602</v>
      </c>
      <c r="J5221">
        <v>0.63691466128709695</v>
      </c>
      <c r="K5221">
        <v>0.293671479557299</v>
      </c>
      <c r="L5221">
        <v>207.77571635594299</v>
      </c>
      <c r="M5221">
        <v>2.9738295591264099</v>
      </c>
      <c r="N5221">
        <v>69.868082710838294</v>
      </c>
      <c r="O5221">
        <v>51.244761071434198</v>
      </c>
      <c r="P5221">
        <v>-1.49675537053169E-2</v>
      </c>
      <c r="Q5221">
        <v>0</v>
      </c>
      <c r="R5221">
        <v>0.63979823374283096</v>
      </c>
      <c r="S5221" t="s">
        <v>11047</v>
      </c>
      <c r="T5221" t="s">
        <v>11650</v>
      </c>
      <c r="U5221" t="s">
        <v>11650</v>
      </c>
      <c r="V5221" t="s">
        <v>11650</v>
      </c>
      <c r="W5221" t="s">
        <v>16814</v>
      </c>
      <c r="X5221">
        <v>2</v>
      </c>
      <c r="Y5221" t="s">
        <v>22480</v>
      </c>
      <c r="Z5221" t="s">
        <v>28283</v>
      </c>
      <c r="AA5221">
        <v>0.69489550413541756</v>
      </c>
      <c r="AB5221" t="str">
        <f>HYPERLINK("Melting_Curves/meltCurve_Q9NS18_GLRX2.pdf", "Melting_Curves/meltCurve_Q9NS18_GLRX2.pdf")</f>
        <v>Melting_Curves/meltCurve_Q9NS18_GLRX2.pdf</v>
      </c>
    </row>
    <row r="5222" spans="1:28" x14ac:dyDescent="0.25">
      <c r="A5222" t="s">
        <v>5226</v>
      </c>
      <c r="B5222">
        <v>0.99996721820229495</v>
      </c>
      <c r="C5222">
        <v>0.96913438768709004</v>
      </c>
      <c r="D5222">
        <v>0.86434427092631805</v>
      </c>
      <c r="E5222">
        <v>0.89605435500290398</v>
      </c>
      <c r="F5222">
        <v>1.3770460691578299</v>
      </c>
      <c r="G5222">
        <v>1.4872283617665101</v>
      </c>
      <c r="H5222">
        <v>1.25103949074442</v>
      </c>
      <c r="I5222">
        <v>1.15240568269217</v>
      </c>
      <c r="J5222">
        <v>0.91614134948947601</v>
      </c>
      <c r="K5222">
        <v>0.50525373112830696</v>
      </c>
      <c r="L5222">
        <v>15000</v>
      </c>
      <c r="M5222">
        <v>222.29091990222901</v>
      </c>
      <c r="O5222">
        <v>67.473678520111207</v>
      </c>
      <c r="P5222">
        <v>-0.407619487250094</v>
      </c>
      <c r="Q5222">
        <v>0.50508845051907802</v>
      </c>
      <c r="R5222">
        <v>0.32082550993898501</v>
      </c>
      <c r="S5222" t="s">
        <v>11048</v>
      </c>
      <c r="T5222" t="s">
        <v>11650</v>
      </c>
      <c r="U5222" t="s">
        <v>11650</v>
      </c>
      <c r="V5222" t="s">
        <v>11650</v>
      </c>
      <c r="W5222" t="s">
        <v>16815</v>
      </c>
      <c r="X5222">
        <v>2</v>
      </c>
      <c r="Y5222" t="s">
        <v>22481</v>
      </c>
      <c r="Z5222" t="s">
        <v>28284</v>
      </c>
      <c r="AA5222">
        <v>0.95848555600077256</v>
      </c>
      <c r="AB5222" t="str">
        <f>HYPERLINK("Melting_Curves/meltCurve_Q9NS69_TOMM22.pdf", "Melting_Curves/meltCurve_Q9NS69_TOMM22.pdf")</f>
        <v>Melting_Curves/meltCurve_Q9NS69_TOMM22.pdf</v>
      </c>
    </row>
    <row r="5223" spans="1:28" x14ac:dyDescent="0.25">
      <c r="A5223" t="s">
        <v>5227</v>
      </c>
      <c r="B5223">
        <v>0.99996721820229495</v>
      </c>
      <c r="C5223">
        <v>1.1611521191278</v>
      </c>
      <c r="D5223">
        <v>1.10893076687884</v>
      </c>
      <c r="E5223">
        <v>1.0723424526749901</v>
      </c>
      <c r="F5223">
        <v>0.94780651352710599</v>
      </c>
      <c r="G5223">
        <v>0.781373927097188</v>
      </c>
      <c r="H5223">
        <v>0.34616818889400702</v>
      </c>
      <c r="I5223">
        <v>0.13982967860023501</v>
      </c>
      <c r="J5223">
        <v>0.105672224462281</v>
      </c>
      <c r="K5223">
        <v>8.2493497036481997E-2</v>
      </c>
      <c r="L5223">
        <v>1813.73943390004</v>
      </c>
      <c r="M5223">
        <v>30.643166924700001</v>
      </c>
      <c r="N5223">
        <v>59.491728685976298</v>
      </c>
      <c r="O5223">
        <v>58.9386739209504</v>
      </c>
      <c r="P5223">
        <v>-0.12059746866862001</v>
      </c>
      <c r="Q5223">
        <v>7.2183067190818004E-2</v>
      </c>
      <c r="R5223">
        <v>0.97573877978158197</v>
      </c>
      <c r="S5223" t="s">
        <v>11049</v>
      </c>
      <c r="T5223" t="s">
        <v>11650</v>
      </c>
      <c r="U5223" t="s">
        <v>11650</v>
      </c>
      <c r="V5223" t="s">
        <v>11650</v>
      </c>
      <c r="W5223" t="s">
        <v>16816</v>
      </c>
      <c r="X5223">
        <v>8</v>
      </c>
      <c r="Y5223" t="s">
        <v>22482</v>
      </c>
      <c r="Z5223" t="s">
        <v>28285</v>
      </c>
      <c r="AA5223">
        <v>0.67136111595589276</v>
      </c>
      <c r="AB5223" t="str">
        <f>HYPERLINK("Melting_Curves/meltCurve_Q9NS86_LANCL2.pdf", "Melting_Curves/meltCurve_Q9NS86_LANCL2.pdf")</f>
        <v>Melting_Curves/meltCurve_Q9NS86_LANCL2.pdf</v>
      </c>
    </row>
    <row r="5224" spans="1:28" x14ac:dyDescent="0.25">
      <c r="A5224" t="s">
        <v>5228</v>
      </c>
      <c r="B5224">
        <v>0.99996721820229495</v>
      </c>
      <c r="C5224">
        <v>0.80726870224074199</v>
      </c>
      <c r="D5224">
        <v>0.928342224032909</v>
      </c>
      <c r="E5224">
        <v>0.90402716532829697</v>
      </c>
      <c r="F5224">
        <v>1.06050967279179</v>
      </c>
      <c r="G5224">
        <v>0.97908461593059304</v>
      </c>
      <c r="H5224">
        <v>0.71253486157699597</v>
      </c>
      <c r="I5224">
        <v>0.30455801562698198</v>
      </c>
      <c r="J5224">
        <v>0.155061331177961</v>
      </c>
      <c r="K5224">
        <v>0.14372673276803399</v>
      </c>
      <c r="L5224">
        <v>2759.96370505594</v>
      </c>
      <c r="M5224">
        <v>44.541345114010902</v>
      </c>
      <c r="N5224">
        <v>62.397389085087703</v>
      </c>
      <c r="O5224">
        <v>61.839567002073601</v>
      </c>
      <c r="P5224">
        <v>-0.15611528569597599</v>
      </c>
      <c r="Q5224">
        <v>0.13302219933119599</v>
      </c>
      <c r="R5224">
        <v>0.95256821173655903</v>
      </c>
      <c r="S5224" t="s">
        <v>11050</v>
      </c>
      <c r="T5224" t="s">
        <v>11650</v>
      </c>
      <c r="U5224" t="s">
        <v>11650</v>
      </c>
      <c r="V5224" t="s">
        <v>11650</v>
      </c>
      <c r="W5224" t="s">
        <v>16817</v>
      </c>
      <c r="X5224">
        <v>6</v>
      </c>
      <c r="Y5224" t="s">
        <v>22483</v>
      </c>
      <c r="Z5224" t="s">
        <v>28286</v>
      </c>
      <c r="AA5224">
        <v>0.77043377756225528</v>
      </c>
      <c r="AB5224" t="str">
        <f>HYPERLINK("Melting_Curves/meltCurve_Q9NS93_TM7SF3.pdf", "Melting_Curves/meltCurve_Q9NS93_TM7SF3.pdf")</f>
        <v>Melting_Curves/meltCurve_Q9NS93_TM7SF3.pdf</v>
      </c>
    </row>
    <row r="5225" spans="1:28" x14ac:dyDescent="0.25">
      <c r="A5225" t="s">
        <v>5229</v>
      </c>
      <c r="B5225">
        <v>0.99996721820229495</v>
      </c>
      <c r="C5225">
        <v>1.0629425807952699</v>
      </c>
      <c r="D5225">
        <v>1.0213590745163199</v>
      </c>
      <c r="E5225">
        <v>0.90754833501566001</v>
      </c>
      <c r="F5225">
        <v>1.2061388280255501</v>
      </c>
      <c r="G5225">
        <v>1.1340890160500201</v>
      </c>
      <c r="H5225">
        <v>0.72155359903850103</v>
      </c>
      <c r="I5225">
        <v>0.55838348406995697</v>
      </c>
      <c r="J5225">
        <v>0.43989276526695098</v>
      </c>
      <c r="K5225">
        <v>0.26792418801340401</v>
      </c>
      <c r="L5225">
        <v>1987.4745579134601</v>
      </c>
      <c r="M5225">
        <v>31.6845579827771</v>
      </c>
      <c r="N5225">
        <v>64.553193148084503</v>
      </c>
      <c r="O5225">
        <v>62.478631525101697</v>
      </c>
      <c r="P5225">
        <v>-8.9257199311605001E-2</v>
      </c>
      <c r="Q5225">
        <v>0.295980277743006</v>
      </c>
      <c r="R5225">
        <v>0.89592491299922905</v>
      </c>
      <c r="S5225" t="s">
        <v>11051</v>
      </c>
      <c r="T5225" t="s">
        <v>11650</v>
      </c>
      <c r="U5225" t="s">
        <v>11650</v>
      </c>
      <c r="V5225" t="s">
        <v>11650</v>
      </c>
      <c r="W5225" t="s">
        <v>16818</v>
      </c>
      <c r="X5225">
        <v>3</v>
      </c>
      <c r="Y5225" t="s">
        <v>22484</v>
      </c>
      <c r="Z5225" t="s">
        <v>28287</v>
      </c>
      <c r="AA5225">
        <v>0.831931889279513</v>
      </c>
      <c r="AB5225" t="str">
        <f>HYPERLINK("Melting_Curves/meltCurve_Q9NSA3_CTNNBIP1.pdf", "Melting_Curves/meltCurve_Q9NSA3_CTNNBIP1.pdf")</f>
        <v>Melting_Curves/meltCurve_Q9NSA3_CTNNBIP1.pdf</v>
      </c>
    </row>
    <row r="5226" spans="1:28" x14ac:dyDescent="0.25">
      <c r="A5226" t="s">
        <v>5230</v>
      </c>
      <c r="B5226">
        <v>0.99996721820229495</v>
      </c>
      <c r="C5226">
        <v>0.990801835605023</v>
      </c>
      <c r="D5226">
        <v>0.77564299611209597</v>
      </c>
      <c r="E5226">
        <v>0.57216985696817801</v>
      </c>
      <c r="F5226">
        <v>0.53448871690140398</v>
      </c>
      <c r="G5226">
        <v>0.578301472190482</v>
      </c>
      <c r="H5226">
        <v>0.41581405694278001</v>
      </c>
      <c r="I5226">
        <v>0.33104637949292898</v>
      </c>
      <c r="J5226">
        <v>0.278874988042071</v>
      </c>
      <c r="K5226">
        <v>0.25335630616131499</v>
      </c>
      <c r="L5226">
        <v>460.18506430319701</v>
      </c>
      <c r="M5226">
        <v>8.8576114564883195</v>
      </c>
      <c r="N5226">
        <v>55.395225305115801</v>
      </c>
      <c r="O5226">
        <v>49.509988384692797</v>
      </c>
      <c r="P5226">
        <v>-3.52889019498943E-2</v>
      </c>
      <c r="Q5226">
        <v>0.211612997048541</v>
      </c>
      <c r="R5226">
        <v>0.93716212413063704</v>
      </c>
      <c r="S5226" t="s">
        <v>11052</v>
      </c>
      <c r="T5226" t="s">
        <v>11650</v>
      </c>
      <c r="U5226" t="s">
        <v>11650</v>
      </c>
      <c r="V5226" t="s">
        <v>11650</v>
      </c>
      <c r="W5226" t="s">
        <v>16819</v>
      </c>
      <c r="X5226">
        <v>9</v>
      </c>
      <c r="Y5226" t="s">
        <v>22485</v>
      </c>
      <c r="Z5226" t="s">
        <v>28288</v>
      </c>
      <c r="AA5226">
        <v>0.55980275061993934</v>
      </c>
      <c r="AB5226" t="str">
        <f>HYPERLINK("Melting_Curves/meltCurve_Q9NSC5_5_HOMER3.pdf", "Melting_Curves/meltCurve_Q9NSC5_5_HOMER3.pdf")</f>
        <v>Melting_Curves/meltCurve_Q9NSC5_5_HOMER3.pdf</v>
      </c>
    </row>
    <row r="5227" spans="1:28" x14ac:dyDescent="0.25">
      <c r="A5227" t="s">
        <v>5231</v>
      </c>
      <c r="B5227">
        <v>0.99996721820229495</v>
      </c>
      <c r="C5227">
        <v>1.22640261128497</v>
      </c>
      <c r="D5227">
        <v>1.1895118877597699</v>
      </c>
      <c r="E5227">
        <v>0.85298633365046705</v>
      </c>
      <c r="F5227">
        <v>0.56978250446551004</v>
      </c>
      <c r="G5227">
        <v>0.361223992315024</v>
      </c>
      <c r="H5227">
        <v>0.189081246535273</v>
      </c>
      <c r="I5227">
        <v>0.15761552109597299</v>
      </c>
      <c r="J5227">
        <v>8.2631646617842003E-2</v>
      </c>
      <c r="K5227">
        <v>6.7118678880120505E-2</v>
      </c>
      <c r="L5227">
        <v>1175.8761086914999</v>
      </c>
      <c r="M5227">
        <v>21.812051589744399</v>
      </c>
      <c r="N5227">
        <v>54.465051546642599</v>
      </c>
      <c r="O5227">
        <v>53.462475982087902</v>
      </c>
      <c r="P5227">
        <v>-9.1825750832282296E-2</v>
      </c>
      <c r="Q5227">
        <v>9.9741993760622705E-2</v>
      </c>
      <c r="R5227">
        <v>0.94433239576937</v>
      </c>
      <c r="S5227" t="s">
        <v>11053</v>
      </c>
      <c r="T5227" t="s">
        <v>11650</v>
      </c>
      <c r="U5227" t="s">
        <v>11650</v>
      </c>
      <c r="V5227" t="s">
        <v>11650</v>
      </c>
      <c r="W5227" t="s">
        <v>16820</v>
      </c>
      <c r="X5227">
        <v>15</v>
      </c>
      <c r="Y5227" t="s">
        <v>22486</v>
      </c>
      <c r="Z5227" t="s">
        <v>28289</v>
      </c>
      <c r="AA5227">
        <v>0.52775013839544038</v>
      </c>
      <c r="AB5227" t="str">
        <f>HYPERLINK("Melting_Curves/meltCurve_Q9NSD9_FARSB.pdf", "Melting_Curves/meltCurve_Q9NSD9_FARSB.pdf")</f>
        <v>Melting_Curves/meltCurve_Q9NSD9_FARSB.pdf</v>
      </c>
    </row>
    <row r="5228" spans="1:28" x14ac:dyDescent="0.25">
      <c r="A5228" t="s">
        <v>5232</v>
      </c>
      <c r="B5228">
        <v>0.99996721820229495</v>
      </c>
      <c r="C5228">
        <v>0.97075608709841799</v>
      </c>
      <c r="D5228">
        <v>0.95962759921465102</v>
      </c>
      <c r="E5228">
        <v>1.04566878032751</v>
      </c>
      <c r="F5228">
        <v>0.79739862003738304</v>
      </c>
      <c r="G5228">
        <v>0.50350119397233895</v>
      </c>
      <c r="H5228">
        <v>0.19223670175060401</v>
      </c>
      <c r="I5228">
        <v>0.11491619047221301</v>
      </c>
      <c r="J5228">
        <v>8.2590658533323397E-2</v>
      </c>
      <c r="K5228">
        <v>7.3978305335825403E-2</v>
      </c>
      <c r="L5228">
        <v>1361.95659130682</v>
      </c>
      <c r="M5228">
        <v>24.0857707779886</v>
      </c>
      <c r="N5228">
        <v>56.858766065498997</v>
      </c>
      <c r="O5228">
        <v>56.1606392362024</v>
      </c>
      <c r="P5228">
        <v>-0.100569649996225</v>
      </c>
      <c r="Q5228">
        <v>6.20241397775654E-2</v>
      </c>
      <c r="R5228">
        <v>0.99269850138958904</v>
      </c>
      <c r="S5228" t="s">
        <v>11054</v>
      </c>
      <c r="T5228" t="s">
        <v>11650</v>
      </c>
      <c r="U5228" t="s">
        <v>11650</v>
      </c>
      <c r="V5228" t="s">
        <v>11650</v>
      </c>
      <c r="W5228" t="s">
        <v>16821</v>
      </c>
      <c r="X5228">
        <v>41</v>
      </c>
      <c r="Y5228" t="s">
        <v>22487</v>
      </c>
      <c r="Z5228" t="s">
        <v>28290</v>
      </c>
      <c r="AA5228">
        <v>0.58840559508299861</v>
      </c>
      <c r="AB5228" t="str">
        <f>HYPERLINK("Melting_Curves/meltCurve_Q9NSE4_IARS2.pdf", "Melting_Curves/meltCurve_Q9NSE4_IARS2.pdf")</f>
        <v>Melting_Curves/meltCurve_Q9NSE4_IARS2.pdf</v>
      </c>
    </row>
    <row r="5229" spans="1:28" x14ac:dyDescent="0.25">
      <c r="A5229" t="s">
        <v>5233</v>
      </c>
      <c r="B5229">
        <v>0.99996721820229495</v>
      </c>
      <c r="C5229">
        <v>1.26990000692017</v>
      </c>
      <c r="D5229">
        <v>1.1249152203147399</v>
      </c>
      <c r="E5229">
        <v>0.98822505673273497</v>
      </c>
      <c r="F5229">
        <v>1.1449010506141599</v>
      </c>
      <c r="G5229">
        <v>0.66520952669349398</v>
      </c>
      <c r="H5229">
        <v>0.35327467712543398</v>
      </c>
      <c r="I5229">
        <v>0.24824198986830001</v>
      </c>
      <c r="J5229">
        <v>0.166087735841496</v>
      </c>
      <c r="K5229">
        <v>0.10138056940408501</v>
      </c>
      <c r="L5229">
        <v>1821.09340726236</v>
      </c>
      <c r="M5229">
        <v>31.1931689351923</v>
      </c>
      <c r="N5229">
        <v>59.056339564873603</v>
      </c>
      <c r="O5229">
        <v>58.142791951522</v>
      </c>
      <c r="P5229">
        <v>-0.11400762841880099</v>
      </c>
      <c r="Q5229">
        <v>0.14998251990397499</v>
      </c>
      <c r="R5229">
        <v>0.92930495997783802</v>
      </c>
      <c r="S5229" t="s">
        <v>11055</v>
      </c>
      <c r="T5229" t="s">
        <v>11650</v>
      </c>
      <c r="U5229" t="s">
        <v>11650</v>
      </c>
      <c r="V5229" t="s">
        <v>11650</v>
      </c>
      <c r="W5229" t="s">
        <v>16822</v>
      </c>
      <c r="X5229">
        <v>2</v>
      </c>
      <c r="Y5229" t="s">
        <v>22488</v>
      </c>
      <c r="Z5229" t="s">
        <v>28291</v>
      </c>
      <c r="AA5229">
        <v>0.67600137879997457</v>
      </c>
      <c r="AB5229" t="str">
        <f>HYPERLINK("Melting_Curves/meltCurve_Q9NSK7_4_C19orf12.pdf", "Melting_Curves/meltCurve_Q9NSK7_4_C19orf12.pdf")</f>
        <v>Melting_Curves/meltCurve_Q9NSK7_4_C19orf12.pdf</v>
      </c>
    </row>
    <row r="5230" spans="1:28" x14ac:dyDescent="0.25">
      <c r="A5230" t="s">
        <v>5234</v>
      </c>
      <c r="B5230">
        <v>0.99996721820229495</v>
      </c>
      <c r="C5230">
        <v>1.0385141533340201</v>
      </c>
      <c r="D5230">
        <v>0.97391968395659001</v>
      </c>
      <c r="E5230">
        <v>0.70993796977645096</v>
      </c>
      <c r="F5230">
        <v>0.40854046046958398</v>
      </c>
      <c r="G5230">
        <v>0.302484401535491</v>
      </c>
      <c r="H5230">
        <v>0.18878732455585701</v>
      </c>
      <c r="I5230">
        <v>0.12386195041175201</v>
      </c>
      <c r="J5230">
        <v>9.1531833693701797E-2</v>
      </c>
      <c r="K5230">
        <v>6.6395990804084204E-2</v>
      </c>
      <c r="L5230">
        <v>989.03242064326605</v>
      </c>
      <c r="M5230">
        <v>19.037032532606499</v>
      </c>
      <c r="N5230">
        <v>52.565827041797299</v>
      </c>
      <c r="O5230">
        <v>51.389968137976297</v>
      </c>
      <c r="P5230">
        <v>-8.3398663819762603E-2</v>
      </c>
      <c r="Q5230">
        <v>9.9505301214970907E-2</v>
      </c>
      <c r="R5230">
        <v>0.98920804359634595</v>
      </c>
      <c r="S5230" t="s">
        <v>11056</v>
      </c>
      <c r="T5230" t="s">
        <v>11650</v>
      </c>
      <c r="U5230" t="s">
        <v>11650</v>
      </c>
      <c r="V5230" t="s">
        <v>11650</v>
      </c>
      <c r="W5230" t="s">
        <v>16823</v>
      </c>
      <c r="X5230">
        <v>8</v>
      </c>
      <c r="Y5230" t="s">
        <v>22489</v>
      </c>
      <c r="Z5230" t="s">
        <v>28292</v>
      </c>
      <c r="AA5230">
        <v>0.47190118137741471</v>
      </c>
      <c r="AB5230" t="str">
        <f>HYPERLINK("Melting_Curves/meltCurve_Q9NSY0_NRBP2.pdf", "Melting_Curves/meltCurve_Q9NSY0_NRBP2.pdf")</f>
        <v>Melting_Curves/meltCurve_Q9NSY0_NRBP2.pdf</v>
      </c>
    </row>
    <row r="5231" spans="1:28" x14ac:dyDescent="0.25">
      <c r="A5231" t="s">
        <v>5235</v>
      </c>
      <c r="B5231">
        <v>0.99996721820229495</v>
      </c>
      <c r="C5231">
        <v>0.97312234003323295</v>
      </c>
      <c r="D5231">
        <v>0.80623557589500505</v>
      </c>
      <c r="E5231">
        <v>0.65078495125386704</v>
      </c>
      <c r="F5231">
        <v>0.63931550443552299</v>
      </c>
      <c r="G5231">
        <v>0.64204086021158802</v>
      </c>
      <c r="H5231">
        <v>0.54074619178355099</v>
      </c>
      <c r="I5231">
        <v>0.450482169008946</v>
      </c>
      <c r="J5231">
        <v>0.41703203496910202</v>
      </c>
      <c r="K5231">
        <v>0.28144663911848899</v>
      </c>
      <c r="L5231">
        <v>310.809349633723</v>
      </c>
      <c r="M5231">
        <v>5.1032808746578304</v>
      </c>
      <c r="N5231">
        <v>60.903835793023397</v>
      </c>
      <c r="O5231">
        <v>53.405982019844203</v>
      </c>
      <c r="P5231">
        <v>-2.4025559829182801E-2</v>
      </c>
      <c r="Q5231">
        <v>0</v>
      </c>
      <c r="R5231">
        <v>0.93286997207439903</v>
      </c>
      <c r="S5231" t="s">
        <v>11057</v>
      </c>
      <c r="T5231" t="s">
        <v>11650</v>
      </c>
      <c r="U5231" t="s">
        <v>11650</v>
      </c>
      <c r="V5231" t="s">
        <v>11650</v>
      </c>
      <c r="W5231" t="s">
        <v>16824</v>
      </c>
      <c r="X5231">
        <v>4</v>
      </c>
      <c r="Y5231" t="s">
        <v>22490</v>
      </c>
      <c r="Z5231" t="s">
        <v>28293</v>
      </c>
      <c r="AA5231">
        <v>0.63715558054045784</v>
      </c>
      <c r="AB5231" t="str">
        <f>HYPERLINK("Melting_Curves/meltCurve_Q9NSY1_BMP2K.pdf", "Melting_Curves/meltCurve_Q9NSY1_BMP2K.pdf")</f>
        <v>Melting_Curves/meltCurve_Q9NSY1_BMP2K.pdf</v>
      </c>
    </row>
    <row r="5232" spans="1:28" x14ac:dyDescent="0.25">
      <c r="A5232" t="s">
        <v>5236</v>
      </c>
      <c r="B5232">
        <v>0.99996721820229495</v>
      </c>
      <c r="C5232">
        <v>0.94214416278324098</v>
      </c>
      <c r="D5232">
        <v>0.84422410217525501</v>
      </c>
      <c r="E5232">
        <v>0.62207327974214699</v>
      </c>
      <c r="F5232">
        <v>0.293532423357862</v>
      </c>
      <c r="G5232">
        <v>0.24352535247583901</v>
      </c>
      <c r="H5232">
        <v>0.139322947187244</v>
      </c>
      <c r="I5232">
        <v>8.8989742485089104E-2</v>
      </c>
      <c r="J5232">
        <v>7.1570969314048299E-2</v>
      </c>
      <c r="K5232">
        <v>5.3765324302707002E-2</v>
      </c>
      <c r="L5232">
        <v>826.55110042263198</v>
      </c>
      <c r="M5232">
        <v>16.3247459957994</v>
      </c>
      <c r="N5232">
        <v>51.052848801087798</v>
      </c>
      <c r="O5232">
        <v>49.890311360123697</v>
      </c>
      <c r="P5232">
        <v>-7.66564410150265E-2</v>
      </c>
      <c r="Q5232">
        <v>6.2984159899605402E-2</v>
      </c>
      <c r="R5232">
        <v>0.991630319249588</v>
      </c>
      <c r="S5232" t="s">
        <v>11058</v>
      </c>
      <c r="T5232" t="s">
        <v>11650</v>
      </c>
      <c r="U5232" t="s">
        <v>11650</v>
      </c>
      <c r="V5232" t="s">
        <v>11650</v>
      </c>
      <c r="W5232" t="s">
        <v>16825</v>
      </c>
      <c r="X5232">
        <v>6</v>
      </c>
      <c r="Y5232" t="s">
        <v>22491</v>
      </c>
      <c r="Z5232" t="s">
        <v>28294</v>
      </c>
      <c r="AA5232">
        <v>0.41396872929291978</v>
      </c>
      <c r="AB5232" t="str">
        <f>HYPERLINK("Melting_Curves/meltCurve_Q9NSY2_STARD5.pdf", "Melting_Curves/meltCurve_Q9NSY2_STARD5.pdf")</f>
        <v>Melting_Curves/meltCurve_Q9NSY2_STARD5.pdf</v>
      </c>
    </row>
    <row r="5233" spans="1:28" x14ac:dyDescent="0.25">
      <c r="A5233" t="s">
        <v>5237</v>
      </c>
      <c r="B5233">
        <v>0.99996721820229495</v>
      </c>
      <c r="C5233">
        <v>1.0029840938550501</v>
      </c>
      <c r="D5233">
        <v>1.0007900364145099</v>
      </c>
      <c r="E5233">
        <v>0.95153472488979196</v>
      </c>
      <c r="F5233">
        <v>0.99954759862272802</v>
      </c>
      <c r="G5233">
        <v>0.92514049544494903</v>
      </c>
      <c r="H5233">
        <v>0.38629200236054601</v>
      </c>
      <c r="I5233">
        <v>0.17591768015904299</v>
      </c>
      <c r="J5233">
        <v>0.12731490319948799</v>
      </c>
      <c r="K5233">
        <v>9.3984560124826505E-2</v>
      </c>
      <c r="L5233">
        <v>2657.7701600362998</v>
      </c>
      <c r="M5233">
        <v>44.3369141236481</v>
      </c>
      <c r="N5233">
        <v>60.2852732223337</v>
      </c>
      <c r="O5233">
        <v>59.8232976736941</v>
      </c>
      <c r="P5233">
        <v>-0.164764516097755</v>
      </c>
      <c r="Q5233">
        <v>0.11074165053707501</v>
      </c>
      <c r="R5233">
        <v>0.99800567590955502</v>
      </c>
      <c r="S5233" t="s">
        <v>11059</v>
      </c>
      <c r="T5233" t="s">
        <v>11650</v>
      </c>
      <c r="U5233" t="s">
        <v>11650</v>
      </c>
      <c r="V5233" t="s">
        <v>11650</v>
      </c>
      <c r="W5233" t="s">
        <v>16826</v>
      </c>
      <c r="X5233">
        <v>12</v>
      </c>
      <c r="Y5233" t="s">
        <v>22492</v>
      </c>
      <c r="Z5233" t="s">
        <v>28295</v>
      </c>
      <c r="AA5233">
        <v>0.70484216000090683</v>
      </c>
      <c r="AB5233" t="str">
        <f>HYPERLINK("Melting_Curves/meltCurve_Q9NT62_ATG3.pdf", "Melting_Curves/meltCurve_Q9NT62_ATG3.pdf")</f>
        <v>Melting_Curves/meltCurve_Q9NT62_ATG3.pdf</v>
      </c>
    </row>
    <row r="5234" spans="1:28" x14ac:dyDescent="0.25">
      <c r="A5234" t="s">
        <v>5238</v>
      </c>
      <c r="B5234">
        <v>0.99996721820229495</v>
      </c>
      <c r="C5234">
        <v>0.56863205442876996</v>
      </c>
      <c r="D5234">
        <v>0.36641969430355997</v>
      </c>
      <c r="E5234">
        <v>0.88684386849123298</v>
      </c>
      <c r="F5234">
        <v>0.385542398270667</v>
      </c>
      <c r="G5234">
        <v>0.257235512356084</v>
      </c>
      <c r="H5234">
        <v>0.18527855217942499</v>
      </c>
      <c r="I5234">
        <v>0.122006873563582</v>
      </c>
      <c r="J5234">
        <v>0.10700121534033601</v>
      </c>
      <c r="K5234">
        <v>0.104923364066625</v>
      </c>
      <c r="L5234">
        <v>338.69455858252098</v>
      </c>
      <c r="M5234">
        <v>6.8327496316565597</v>
      </c>
      <c r="N5234">
        <v>49.5692917248318</v>
      </c>
      <c r="O5234">
        <v>45.843844010041202</v>
      </c>
      <c r="P5234">
        <v>-3.7336478757903198E-2</v>
      </c>
      <c r="Q5234">
        <v>0</v>
      </c>
      <c r="R5234">
        <v>0.68800190122882798</v>
      </c>
      <c r="S5234" t="s">
        <v>11060</v>
      </c>
      <c r="T5234" t="s">
        <v>11650</v>
      </c>
      <c r="U5234" t="s">
        <v>11650</v>
      </c>
      <c r="V5234" t="s">
        <v>11650</v>
      </c>
      <c r="W5234" t="s">
        <v>12201</v>
      </c>
      <c r="X5234">
        <v>4</v>
      </c>
      <c r="Y5234" t="s">
        <v>17964</v>
      </c>
      <c r="Z5234" t="s">
        <v>28296</v>
      </c>
      <c r="AA5234">
        <v>0.39289268872946731</v>
      </c>
      <c r="AB5234" t="str">
        <f>HYPERLINK("Melting_Curves/meltCurve_Q9NTG7_SIRT3.pdf", "Melting_Curves/meltCurve_Q9NTG7_SIRT3.pdf")</f>
        <v>Melting_Curves/meltCurve_Q9NTG7_SIRT3.pdf</v>
      </c>
    </row>
    <row r="5235" spans="1:28" x14ac:dyDescent="0.25">
      <c r="A5235" t="s">
        <v>5239</v>
      </c>
      <c r="B5235">
        <v>0.99996721820229495</v>
      </c>
      <c r="C5235">
        <v>0.89867776884150696</v>
      </c>
      <c r="D5235">
        <v>0.92527750917450002</v>
      </c>
      <c r="E5235">
        <v>0.47290299200771901</v>
      </c>
      <c r="F5235">
        <v>0.272319877449193</v>
      </c>
      <c r="G5235">
        <v>0.22331355378967899</v>
      </c>
      <c r="H5235">
        <v>0.144922323694886</v>
      </c>
      <c r="I5235">
        <v>0.10049708311977799</v>
      </c>
      <c r="J5235">
        <v>7.5325687727654897E-2</v>
      </c>
      <c r="K5235">
        <v>6.23870295099326E-2</v>
      </c>
      <c r="L5235">
        <v>1056.78213896948</v>
      </c>
      <c r="M5235">
        <v>21.309692349489598</v>
      </c>
      <c r="N5235">
        <v>50.116127660604697</v>
      </c>
      <c r="O5235">
        <v>49.161087860823699</v>
      </c>
      <c r="P5235">
        <v>-9.75376864982921E-2</v>
      </c>
      <c r="Q5235">
        <v>9.9951733066094894E-2</v>
      </c>
      <c r="R5235">
        <v>0.985229664685488</v>
      </c>
      <c r="S5235" t="s">
        <v>11061</v>
      </c>
      <c r="T5235" t="s">
        <v>11650</v>
      </c>
      <c r="U5235" t="s">
        <v>11650</v>
      </c>
      <c r="V5235" t="s">
        <v>11650</v>
      </c>
      <c r="W5235" t="s">
        <v>16827</v>
      </c>
      <c r="X5235">
        <v>22</v>
      </c>
      <c r="Y5235" t="s">
        <v>22493</v>
      </c>
      <c r="Z5235" t="s">
        <v>28297</v>
      </c>
      <c r="AA5235">
        <v>0.39877778684973592</v>
      </c>
      <c r="AB5235" t="str">
        <f>HYPERLINK("Melting_Curves/meltCurve_Q9NTJ5_SACM1L.pdf", "Melting_Curves/meltCurve_Q9NTJ5_SACM1L.pdf")</f>
        <v>Melting_Curves/meltCurve_Q9NTJ5_SACM1L.pdf</v>
      </c>
    </row>
    <row r="5236" spans="1:28" x14ac:dyDescent="0.25">
      <c r="A5236" t="s">
        <v>5240</v>
      </c>
      <c r="B5236">
        <v>0.99996721820229495</v>
      </c>
      <c r="C5236">
        <v>0.811098690468535</v>
      </c>
      <c r="D5236">
        <v>0.83999243576919802</v>
      </c>
      <c r="E5236">
        <v>0.70418844692064297</v>
      </c>
      <c r="F5236">
        <v>0.98398850000151905</v>
      </c>
      <c r="G5236">
        <v>0.89784041307837903</v>
      </c>
      <c r="H5236">
        <v>0.67442146723594698</v>
      </c>
      <c r="I5236">
        <v>0.79144698139598701</v>
      </c>
      <c r="J5236">
        <v>0.82970683053380101</v>
      </c>
      <c r="K5236">
        <v>0.48740359508741499</v>
      </c>
      <c r="L5236">
        <v>179.75992648804299</v>
      </c>
      <c r="M5236">
        <v>1.84370329837541</v>
      </c>
      <c r="O5236">
        <v>55.0070192147301</v>
      </c>
      <c r="P5236">
        <v>-9.28943035879134E-3</v>
      </c>
      <c r="Q5236">
        <v>0</v>
      </c>
      <c r="R5236">
        <v>0.335674539900782</v>
      </c>
      <c r="S5236" t="s">
        <v>11062</v>
      </c>
      <c r="T5236" t="s">
        <v>11650</v>
      </c>
      <c r="U5236" t="s">
        <v>11650</v>
      </c>
      <c r="V5236" t="s">
        <v>11650</v>
      </c>
      <c r="W5236" t="s">
        <v>16828</v>
      </c>
      <c r="X5236">
        <v>13</v>
      </c>
      <c r="Y5236" t="s">
        <v>18405</v>
      </c>
      <c r="Z5236" t="s">
        <v>28298</v>
      </c>
      <c r="AA5236">
        <v>0.80559622070064763</v>
      </c>
      <c r="AB5236" t="str">
        <f>HYPERLINK("Melting_Curves/meltCurve_Q9NTK5_2_OLA1.pdf", "Melting_Curves/meltCurve_Q9NTK5_2_OLA1.pdf")</f>
        <v>Melting_Curves/meltCurve_Q9NTK5_2_OLA1.pdf</v>
      </c>
    </row>
    <row r="5237" spans="1:28" x14ac:dyDescent="0.25">
      <c r="A5237" t="s">
        <v>5241</v>
      </c>
      <c r="B5237">
        <v>0.99996721820229495</v>
      </c>
      <c r="C5237">
        <v>0.83273140425761105</v>
      </c>
      <c r="D5237">
        <v>0.94558961979875999</v>
      </c>
      <c r="E5237">
        <v>1.08432715831781</v>
      </c>
      <c r="F5237">
        <v>1.6799995422143501</v>
      </c>
      <c r="G5237">
        <v>1.86236676364285</v>
      </c>
      <c r="H5237">
        <v>1.5060695662780199</v>
      </c>
      <c r="I5237">
        <v>0.89753066404764104</v>
      </c>
      <c r="J5237">
        <v>0.355704043158446</v>
      </c>
      <c r="K5237">
        <v>0.17500182095097799</v>
      </c>
      <c r="L5237">
        <v>5121.6265968759799</v>
      </c>
      <c r="M5237">
        <v>77.740847417078399</v>
      </c>
      <c r="N5237">
        <v>66.236880445942205</v>
      </c>
      <c r="O5237">
        <v>65.837214938934494</v>
      </c>
      <c r="P5237">
        <v>-0.24477868680845299</v>
      </c>
      <c r="Q5237">
        <v>0.17080689408107699</v>
      </c>
      <c r="R5237">
        <v>0.420936853469911</v>
      </c>
      <c r="S5237" t="s">
        <v>11063</v>
      </c>
      <c r="T5237" t="s">
        <v>11650</v>
      </c>
      <c r="U5237" t="s">
        <v>11650</v>
      </c>
      <c r="V5237" t="s">
        <v>11650</v>
      </c>
      <c r="W5237" t="s">
        <v>16829</v>
      </c>
      <c r="X5237">
        <v>2</v>
      </c>
      <c r="Y5237" t="s">
        <v>22494</v>
      </c>
      <c r="Z5237" t="s">
        <v>28299</v>
      </c>
      <c r="AA5237">
        <v>0.88685986632408986</v>
      </c>
      <c r="AB5237" t="str">
        <f>HYPERLINK("Melting_Curves/meltCurve_Q9NTN3_SLC35D1.pdf", "Melting_Curves/meltCurve_Q9NTN3_SLC35D1.pdf")</f>
        <v>Melting_Curves/meltCurve_Q9NTN3_SLC35D1.pdf</v>
      </c>
    </row>
    <row r="5238" spans="1:28" x14ac:dyDescent="0.25">
      <c r="A5238" t="s">
        <v>5242</v>
      </c>
      <c r="B5238">
        <v>0.99996721820229495</v>
      </c>
      <c r="C5238">
        <v>1.17837094971045</v>
      </c>
      <c r="D5238">
        <v>1.22747392503361</v>
      </c>
      <c r="E5238">
        <v>1.1687526234713801</v>
      </c>
      <c r="F5238">
        <v>1.6157982404003599</v>
      </c>
      <c r="G5238">
        <v>1.57684117870756</v>
      </c>
      <c r="H5238">
        <v>1.1731014281663601</v>
      </c>
      <c r="I5238">
        <v>0.755629005200672</v>
      </c>
      <c r="J5238">
        <v>0.52322861700309997</v>
      </c>
      <c r="K5238">
        <v>0.392483832830677</v>
      </c>
      <c r="L5238">
        <v>9728.5856166016492</v>
      </c>
      <c r="M5238">
        <v>151.80466350473699</v>
      </c>
      <c r="N5238">
        <v>65.142325285285807</v>
      </c>
      <c r="O5238">
        <v>64.075088736725107</v>
      </c>
      <c r="P5238">
        <v>-0.32141891887282897</v>
      </c>
      <c r="Q5238">
        <v>0.45733034998689698</v>
      </c>
      <c r="R5238">
        <v>0.41432446215274499</v>
      </c>
      <c r="S5238" t="s">
        <v>11064</v>
      </c>
      <c r="T5238" t="s">
        <v>11650</v>
      </c>
      <c r="U5238" t="s">
        <v>11650</v>
      </c>
      <c r="V5238" t="s">
        <v>11650</v>
      </c>
      <c r="W5238" t="s">
        <v>16830</v>
      </c>
      <c r="X5238">
        <v>13</v>
      </c>
      <c r="Y5238" t="s">
        <v>22495</v>
      </c>
      <c r="Z5238" t="s">
        <v>28300</v>
      </c>
      <c r="AA5238">
        <v>0.8931911006208767</v>
      </c>
      <c r="AB5238" t="str">
        <f>HYPERLINK("Melting_Curves/meltCurve_Q9NTX5_2_ECHDC1.pdf", "Melting_Curves/meltCurve_Q9NTX5_2_ECHDC1.pdf")</f>
        <v>Melting_Curves/meltCurve_Q9NTX5_2_ECHDC1.pdf</v>
      </c>
    </row>
    <row r="5239" spans="1:28" x14ac:dyDescent="0.25">
      <c r="A5239" t="s">
        <v>5243</v>
      </c>
      <c r="B5239">
        <v>0.99996721820229495</v>
      </c>
      <c r="C5239">
        <v>0.98709444615929298</v>
      </c>
      <c r="D5239">
        <v>0.90150084645204598</v>
      </c>
      <c r="E5239">
        <v>0.83346735136062799</v>
      </c>
      <c r="F5239">
        <v>0.78157295058852605</v>
      </c>
      <c r="G5239">
        <v>0.568951516762501</v>
      </c>
      <c r="H5239">
        <v>0.37426418979242698</v>
      </c>
      <c r="I5239">
        <v>0.33935875219262701</v>
      </c>
      <c r="J5239">
        <v>0.25130639667306098</v>
      </c>
      <c r="K5239">
        <v>0.213148694299858</v>
      </c>
      <c r="L5239">
        <v>616.99120532822303</v>
      </c>
      <c r="M5239">
        <v>10.728079438404199</v>
      </c>
      <c r="N5239">
        <v>58.615021172912499</v>
      </c>
      <c r="O5239">
        <v>55.621555651611601</v>
      </c>
      <c r="P5239">
        <v>-4.3827224961274003E-2</v>
      </c>
      <c r="Q5239">
        <v>9.1418676317256406E-2</v>
      </c>
      <c r="R5239">
        <v>0.993704707249493</v>
      </c>
      <c r="S5239" t="s">
        <v>11065</v>
      </c>
      <c r="T5239" t="s">
        <v>11650</v>
      </c>
      <c r="U5239" t="s">
        <v>11650</v>
      </c>
      <c r="V5239" t="s">
        <v>11650</v>
      </c>
      <c r="W5239" t="s">
        <v>16831</v>
      </c>
      <c r="X5239">
        <v>3</v>
      </c>
      <c r="Y5239" t="s">
        <v>22496</v>
      </c>
      <c r="Z5239" t="s">
        <v>28301</v>
      </c>
      <c r="AA5239">
        <v>0.63436677121219398</v>
      </c>
      <c r="AB5239" t="str">
        <f>HYPERLINK("Melting_Curves/meltCurve_Q9NTX7_2_RNF146.pdf", "Melting_Curves/meltCurve_Q9NTX7_2_RNF146.pdf")</f>
        <v>Melting_Curves/meltCurve_Q9NTX7_2_RNF146.pdf</v>
      </c>
    </row>
    <row r="5240" spans="1:28" x14ac:dyDescent="0.25">
      <c r="A5240" t="s">
        <v>5244</v>
      </c>
      <c r="B5240">
        <v>0.99996721820229495</v>
      </c>
      <c r="C5240">
        <v>1.00340880208421</v>
      </c>
      <c r="D5240">
        <v>0.84805018100506802</v>
      </c>
      <c r="E5240">
        <v>0.60869522481272897</v>
      </c>
      <c r="F5240">
        <v>0.35215664725434298</v>
      </c>
      <c r="G5240">
        <v>0.290291779157554</v>
      </c>
      <c r="H5240">
        <v>0.20158825818099099</v>
      </c>
      <c r="I5240">
        <v>0.14797218131822201</v>
      </c>
      <c r="J5240">
        <v>0.10289080927923699</v>
      </c>
      <c r="K5240">
        <v>9.2933291729161496E-2</v>
      </c>
      <c r="L5240">
        <v>821.472369315072</v>
      </c>
      <c r="M5240">
        <v>16.224845673292702</v>
      </c>
      <c r="N5240">
        <v>51.442679161977203</v>
      </c>
      <c r="O5240">
        <v>49.880126611875603</v>
      </c>
      <c r="P5240">
        <v>-7.2136477350326897E-2</v>
      </c>
      <c r="Q5240">
        <v>0.11298772702693401</v>
      </c>
      <c r="R5240">
        <v>0.99116696417267502</v>
      </c>
      <c r="S5240" t="s">
        <v>11066</v>
      </c>
      <c r="T5240" t="s">
        <v>11650</v>
      </c>
      <c r="U5240" t="s">
        <v>11650</v>
      </c>
      <c r="V5240" t="s">
        <v>11650</v>
      </c>
      <c r="W5240" t="s">
        <v>16832</v>
      </c>
      <c r="X5240">
        <v>13</v>
      </c>
      <c r="Y5240" t="s">
        <v>22497</v>
      </c>
      <c r="Z5240" t="s">
        <v>28302</v>
      </c>
      <c r="AA5240">
        <v>0.44540020324815588</v>
      </c>
      <c r="AB5240" t="str">
        <f>HYPERLINK("Melting_Curves/meltCurve_Q9NTZ6_RBM12.pdf", "Melting_Curves/meltCurve_Q9NTZ6_RBM12.pdf")</f>
        <v>Melting_Curves/meltCurve_Q9NTZ6_RBM12.pdf</v>
      </c>
    </row>
    <row r="5241" spans="1:28" x14ac:dyDescent="0.25">
      <c r="A5241" t="s">
        <v>5245</v>
      </c>
      <c r="B5241">
        <v>0.99996721820229495</v>
      </c>
      <c r="C5241">
        <v>0.90145448353997704</v>
      </c>
      <c r="D5241">
        <v>1.0535820592718801</v>
      </c>
      <c r="E5241">
        <v>1.33539052957183</v>
      </c>
      <c r="F5241">
        <v>2.3624203265287802</v>
      </c>
      <c r="G5241">
        <v>2.0095566585045601</v>
      </c>
      <c r="H5241">
        <v>0.96267111369482306</v>
      </c>
      <c r="I5241">
        <v>0.80433733052949896</v>
      </c>
      <c r="J5241">
        <v>0.71451611647112701</v>
      </c>
      <c r="K5241">
        <v>0.51138863895232001</v>
      </c>
      <c r="L5241">
        <v>2474.32566534134</v>
      </c>
      <c r="M5241">
        <v>37.568461307013798</v>
      </c>
      <c r="O5241">
        <v>65.676016677189907</v>
      </c>
      <c r="P5241">
        <v>-7.3884376556551307E-2</v>
      </c>
      <c r="Q5241">
        <v>0.48335204300302798</v>
      </c>
      <c r="R5241">
        <v>2.4286485053027801E-2</v>
      </c>
      <c r="S5241" t="s">
        <v>11067</v>
      </c>
      <c r="T5241" t="s">
        <v>11650</v>
      </c>
      <c r="U5241" t="s">
        <v>11650</v>
      </c>
      <c r="V5241" t="s">
        <v>11650</v>
      </c>
      <c r="W5241" t="s">
        <v>16833</v>
      </c>
      <c r="X5241">
        <v>4</v>
      </c>
      <c r="Y5241" t="s">
        <v>22498</v>
      </c>
      <c r="Z5241" t="s">
        <v>28303</v>
      </c>
      <c r="AA5241">
        <v>0.92766649463594653</v>
      </c>
      <c r="AB5241" t="str">
        <f>HYPERLINK("Melting_Curves/meltCurve_Q9NUG6_PDRG1.pdf", "Melting_Curves/meltCurve_Q9NUG6_PDRG1.pdf")</f>
        <v>Melting_Curves/meltCurve_Q9NUG6_PDRG1.pdf</v>
      </c>
    </row>
    <row r="5242" spans="1:28" x14ac:dyDescent="0.25">
      <c r="A5242" t="s">
        <v>5246</v>
      </c>
      <c r="B5242">
        <v>0.99996721820229495</v>
      </c>
      <c r="C5242">
        <v>1.1228359058522099</v>
      </c>
      <c r="D5242">
        <v>1.11524119724535</v>
      </c>
      <c r="E5242">
        <v>1.2064151434561301</v>
      </c>
      <c r="F5242">
        <v>1.7638456969093499</v>
      </c>
      <c r="G5242">
        <v>1.9694337778365401</v>
      </c>
      <c r="H5242">
        <v>1.1916791535732101</v>
      </c>
      <c r="I5242">
        <v>0.44818710769866699</v>
      </c>
      <c r="J5242">
        <v>0.20347636166963601</v>
      </c>
      <c r="K5242">
        <v>0.15518088741163999</v>
      </c>
      <c r="L5242">
        <v>15000</v>
      </c>
      <c r="M5242">
        <v>235.09388040073199</v>
      </c>
      <c r="N5242">
        <v>63.925071255719701</v>
      </c>
      <c r="O5242">
        <v>63.799701989317199</v>
      </c>
      <c r="P5242">
        <v>-0.756027337459098</v>
      </c>
      <c r="Q5242">
        <v>0.179318445320686</v>
      </c>
      <c r="R5242">
        <v>0.50247464483334803</v>
      </c>
      <c r="S5242" t="s">
        <v>11068</v>
      </c>
      <c r="T5242" t="s">
        <v>11650</v>
      </c>
      <c r="U5242" t="s">
        <v>11650</v>
      </c>
      <c r="V5242" t="s">
        <v>11650</v>
      </c>
      <c r="W5242" t="s">
        <v>16834</v>
      </c>
      <c r="X5242">
        <v>10</v>
      </c>
      <c r="Y5242" t="s">
        <v>22499</v>
      </c>
      <c r="Z5242" t="s">
        <v>28304</v>
      </c>
      <c r="AA5242">
        <v>0.83061397672221016</v>
      </c>
      <c r="AB5242" t="str">
        <f>HYPERLINK("Melting_Curves/meltCurve_Q9NUJ1_ABHD10.pdf", "Melting_Curves/meltCurve_Q9NUJ1_ABHD10.pdf")</f>
        <v>Melting_Curves/meltCurve_Q9NUJ1_ABHD10.pdf</v>
      </c>
    </row>
    <row r="5243" spans="1:28" x14ac:dyDescent="0.25">
      <c r="A5243" t="s">
        <v>5247</v>
      </c>
      <c r="B5243">
        <v>0.99996721820229495</v>
      </c>
      <c r="C5243">
        <v>0.72565244547659002</v>
      </c>
      <c r="D5243">
        <v>0.65215926680356395</v>
      </c>
      <c r="E5243">
        <v>0.61884897309832998</v>
      </c>
      <c r="F5243">
        <v>0.83085399062056597</v>
      </c>
      <c r="G5243">
        <v>0.71194924826221795</v>
      </c>
      <c r="H5243">
        <v>0.53386529721634302</v>
      </c>
      <c r="I5243">
        <v>0.518257784790916</v>
      </c>
      <c r="J5243">
        <v>0.39151770410231601</v>
      </c>
      <c r="K5243">
        <v>0.35598551187697403</v>
      </c>
      <c r="L5243">
        <v>214.509891543994</v>
      </c>
      <c r="M5243">
        <v>3.3865270811227099</v>
      </c>
      <c r="N5243">
        <v>63.342148696850899</v>
      </c>
      <c r="O5243">
        <v>49.040463479638397</v>
      </c>
      <c r="P5243">
        <v>-1.7636841256694399E-2</v>
      </c>
      <c r="Q5243">
        <v>0</v>
      </c>
      <c r="R5243">
        <v>0.69982736960448599</v>
      </c>
      <c r="S5243" t="s">
        <v>11069</v>
      </c>
      <c r="T5243" t="s">
        <v>11650</v>
      </c>
      <c r="U5243" t="s">
        <v>11650</v>
      </c>
      <c r="V5243" t="s">
        <v>11650</v>
      </c>
      <c r="W5243" t="s">
        <v>16835</v>
      </c>
      <c r="X5243">
        <v>1</v>
      </c>
      <c r="Y5243" t="s">
        <v>22500</v>
      </c>
      <c r="Z5243" t="s">
        <v>28305</v>
      </c>
      <c r="AA5243">
        <v>0.634922073788039</v>
      </c>
      <c r="AB5243" t="str">
        <f>HYPERLINK("Melting_Curves/meltCurve_Q9NUL5_3_C19orf66.pdf", "Melting_Curves/meltCurve_Q9NUL5_3_C19orf66.pdf")</f>
        <v>Melting_Curves/meltCurve_Q9NUL5_3_C19orf66.pdf</v>
      </c>
    </row>
    <row r="5244" spans="1:28" x14ac:dyDescent="0.25">
      <c r="A5244" t="s">
        <v>5248</v>
      </c>
      <c r="B5244">
        <v>0.99996721820229495</v>
      </c>
      <c r="C5244">
        <v>1.05666807394232</v>
      </c>
      <c r="D5244">
        <v>1.0380287244087301</v>
      </c>
      <c r="E5244">
        <v>1.0580357243197001</v>
      </c>
      <c r="F5244">
        <v>1.3167347503865301</v>
      </c>
      <c r="G5244">
        <v>1.3561961969973599</v>
      </c>
      <c r="H5244">
        <v>1.00537128758146</v>
      </c>
      <c r="I5244">
        <v>0.82256987573549301</v>
      </c>
      <c r="J5244">
        <v>0.53686437609830795</v>
      </c>
      <c r="K5244">
        <v>0.448206211343813</v>
      </c>
      <c r="L5244">
        <v>3652.9156785169598</v>
      </c>
      <c r="M5244">
        <v>56.255035914193599</v>
      </c>
      <c r="N5244">
        <v>67.5804735090111</v>
      </c>
      <c r="O5244">
        <v>64.853015522368494</v>
      </c>
      <c r="P5244">
        <v>-0.120415610035778</v>
      </c>
      <c r="Q5244">
        <v>0.444720989018979</v>
      </c>
      <c r="R5244">
        <v>0.69462977222000599</v>
      </c>
      <c r="S5244" t="s">
        <v>11070</v>
      </c>
      <c r="T5244" t="s">
        <v>11650</v>
      </c>
      <c r="U5244" t="s">
        <v>11650</v>
      </c>
      <c r="V5244" t="s">
        <v>11650</v>
      </c>
      <c r="W5244" t="s">
        <v>16836</v>
      </c>
      <c r="X5244">
        <v>8</v>
      </c>
      <c r="Y5244" t="s">
        <v>22501</v>
      </c>
      <c r="Z5244" t="s">
        <v>28306</v>
      </c>
      <c r="AA5244">
        <v>0.90706631070997645</v>
      </c>
      <c r="AB5244" t="str">
        <f>HYPERLINK("Melting_Curves/meltCurve_Q9NUM4_TMEM106B.pdf", "Melting_Curves/meltCurve_Q9NUM4_TMEM106B.pdf")</f>
        <v>Melting_Curves/meltCurve_Q9NUM4_TMEM106B.pdf</v>
      </c>
    </row>
    <row r="5245" spans="1:28" x14ac:dyDescent="0.25">
      <c r="A5245" t="s">
        <v>5249</v>
      </c>
      <c r="B5245">
        <v>0.99996721820229495</v>
      </c>
      <c r="C5245">
        <v>0.86566558714890396</v>
      </c>
      <c r="D5245">
        <v>0.89967111861233695</v>
      </c>
      <c r="E5245">
        <v>0.95396144169618602</v>
      </c>
      <c r="F5245">
        <v>1.3630483113296601</v>
      </c>
      <c r="G5245">
        <v>1.5072102821256901</v>
      </c>
      <c r="H5245">
        <v>1.1048354569952401</v>
      </c>
      <c r="I5245">
        <v>0.62751689210269501</v>
      </c>
      <c r="J5245">
        <v>0.416090104561471</v>
      </c>
      <c r="K5245">
        <v>0.43643976298972997</v>
      </c>
      <c r="L5245">
        <v>15000</v>
      </c>
      <c r="M5245">
        <v>234.99054616897101</v>
      </c>
      <c r="N5245">
        <v>64.356564958797904</v>
      </c>
      <c r="O5245">
        <v>63.827731925796897</v>
      </c>
      <c r="P5245">
        <v>-0.528076389547251</v>
      </c>
      <c r="Q5245">
        <v>0.42625916312153</v>
      </c>
      <c r="R5245">
        <v>0.62869654269806297</v>
      </c>
      <c r="S5245" t="s">
        <v>11071</v>
      </c>
      <c r="T5245" t="s">
        <v>11650</v>
      </c>
      <c r="U5245" t="s">
        <v>11650</v>
      </c>
      <c r="V5245" t="s">
        <v>11650</v>
      </c>
      <c r="W5245" t="s">
        <v>16837</v>
      </c>
      <c r="X5245">
        <v>6</v>
      </c>
      <c r="Y5245" t="s">
        <v>22502</v>
      </c>
      <c r="Z5245" t="s">
        <v>28307</v>
      </c>
      <c r="AA5245">
        <v>0.88211842419560893</v>
      </c>
      <c r="AB5245" t="str">
        <f>HYPERLINK("Melting_Curves/meltCurve_Q9NUN5_3_LMBRD1.pdf", "Melting_Curves/meltCurve_Q9NUN5_3_LMBRD1.pdf")</f>
        <v>Melting_Curves/meltCurve_Q9NUN5_3_LMBRD1.pdf</v>
      </c>
    </row>
    <row r="5246" spans="1:28" x14ac:dyDescent="0.25">
      <c r="A5246" t="s">
        <v>5250</v>
      </c>
      <c r="B5246">
        <v>0.99996721820229495</v>
      </c>
      <c r="C5246">
        <v>1.04814748900857</v>
      </c>
      <c r="D5246">
        <v>1.02992891444677</v>
      </c>
      <c r="E5246">
        <v>1.10730270925459</v>
      </c>
      <c r="F5246">
        <v>1.4771502168266899</v>
      </c>
      <c r="G5246">
        <v>1.1948352443874699</v>
      </c>
      <c r="H5246">
        <v>0.48899424495371202</v>
      </c>
      <c r="I5246">
        <v>0.245586961402147</v>
      </c>
      <c r="J5246">
        <v>0.17313528632438499</v>
      </c>
      <c r="K5246">
        <v>0.137231092666837</v>
      </c>
      <c r="L5246">
        <v>6886.6607711057604</v>
      </c>
      <c r="M5246">
        <v>113.406290699328</v>
      </c>
      <c r="N5246">
        <v>60.972647871488498</v>
      </c>
      <c r="O5246">
        <v>60.706697203991602</v>
      </c>
      <c r="P5246">
        <v>-0.3809943369171</v>
      </c>
      <c r="Q5246">
        <v>0.184210948429956</v>
      </c>
      <c r="R5246">
        <v>0.86355274191934295</v>
      </c>
      <c r="S5246" t="s">
        <v>11072</v>
      </c>
      <c r="T5246" t="s">
        <v>11650</v>
      </c>
      <c r="U5246" t="s">
        <v>11650</v>
      </c>
      <c r="V5246" t="s">
        <v>11650</v>
      </c>
      <c r="W5246" t="s">
        <v>16838</v>
      </c>
      <c r="X5246">
        <v>6</v>
      </c>
      <c r="Y5246" t="s">
        <v>22503</v>
      </c>
      <c r="Z5246" t="s">
        <v>28308</v>
      </c>
      <c r="AA5246">
        <v>0.74822336609533457</v>
      </c>
      <c r="AB5246" t="str">
        <f>HYPERLINK("Melting_Curves/meltCurve_Q9NUP1_BLOC1S4.pdf", "Melting_Curves/meltCurve_Q9NUP1_BLOC1S4.pdf")</f>
        <v>Melting_Curves/meltCurve_Q9NUP1_BLOC1S4.pdf</v>
      </c>
    </row>
    <row r="5247" spans="1:28" x14ac:dyDescent="0.25">
      <c r="A5247" t="s">
        <v>5251</v>
      </c>
      <c r="B5247">
        <v>0.99996721820229495</v>
      </c>
      <c r="C5247">
        <v>1.00170370451379</v>
      </c>
      <c r="D5247">
        <v>1.0278587116862199</v>
      </c>
      <c r="E5247">
        <v>1.1948875581368199</v>
      </c>
      <c r="F5247">
        <v>1.2697922352845099</v>
      </c>
      <c r="G5247">
        <v>0.92564814731035305</v>
      </c>
      <c r="H5247">
        <v>0.56773415700563601</v>
      </c>
      <c r="I5247">
        <v>0.47773342273042002</v>
      </c>
      <c r="J5247">
        <v>0.475127168289461</v>
      </c>
      <c r="K5247">
        <v>0.41637406743199101</v>
      </c>
      <c r="L5247">
        <v>2942.1305606933101</v>
      </c>
      <c r="M5247">
        <v>49.5481848159856</v>
      </c>
      <c r="N5247">
        <v>62.288475631981498</v>
      </c>
      <c r="O5247">
        <v>59.282694357306298</v>
      </c>
      <c r="P5247">
        <v>-0.114800944570982</v>
      </c>
      <c r="Q5247">
        <v>0.45057900211167301</v>
      </c>
      <c r="R5247">
        <v>0.87609242909403495</v>
      </c>
      <c r="S5247" t="s">
        <v>11073</v>
      </c>
      <c r="T5247" t="s">
        <v>11650</v>
      </c>
      <c r="U5247" t="s">
        <v>11650</v>
      </c>
      <c r="V5247" t="s">
        <v>11650</v>
      </c>
      <c r="W5247" t="s">
        <v>16839</v>
      </c>
      <c r="X5247">
        <v>7</v>
      </c>
      <c r="Y5247" t="s">
        <v>22504</v>
      </c>
      <c r="Z5247" t="s">
        <v>28309</v>
      </c>
      <c r="AA5247">
        <v>0.8069381034623937</v>
      </c>
      <c r="AB5247" t="str">
        <f>HYPERLINK("Melting_Curves/meltCurve_Q9NUP9_LIN7C.pdf", "Melting_Curves/meltCurve_Q9NUP9_LIN7C.pdf")</f>
        <v>Melting_Curves/meltCurve_Q9NUP9_LIN7C.pdf</v>
      </c>
    </row>
    <row r="5248" spans="1:28" x14ac:dyDescent="0.25">
      <c r="A5248" t="s">
        <v>5252</v>
      </c>
      <c r="B5248">
        <v>0.99996721820229495</v>
      </c>
      <c r="C5248">
        <v>1.07958826880555</v>
      </c>
      <c r="D5248">
        <v>0.96015520063142301</v>
      </c>
      <c r="E5248">
        <v>0.97490270185217498</v>
      </c>
      <c r="F5248">
        <v>0.57764378238733904</v>
      </c>
      <c r="G5248">
        <v>0.36298766526172499</v>
      </c>
      <c r="H5248">
        <v>0.274436070856583</v>
      </c>
      <c r="I5248">
        <v>0.156279135678699</v>
      </c>
      <c r="J5248">
        <v>0.11497813843277099</v>
      </c>
      <c r="K5248">
        <v>0.118113141983543</v>
      </c>
      <c r="L5248">
        <v>1191.6631667341001</v>
      </c>
      <c r="M5248">
        <v>22.0520122134937</v>
      </c>
      <c r="N5248">
        <v>54.830741739228799</v>
      </c>
      <c r="O5248">
        <v>53.600252459123098</v>
      </c>
      <c r="P5248">
        <v>-8.8828072761887797E-2</v>
      </c>
      <c r="Q5248">
        <v>0.13638688131182</v>
      </c>
      <c r="R5248">
        <v>0.97866705605016202</v>
      </c>
      <c r="S5248" t="s">
        <v>11074</v>
      </c>
      <c r="T5248" t="s">
        <v>11650</v>
      </c>
      <c r="U5248" t="s">
        <v>11650</v>
      </c>
      <c r="V5248" t="s">
        <v>11650</v>
      </c>
      <c r="W5248" t="s">
        <v>16840</v>
      </c>
      <c r="X5248">
        <v>11</v>
      </c>
      <c r="Y5248" t="s">
        <v>22505</v>
      </c>
      <c r="Z5248" t="s">
        <v>28310</v>
      </c>
      <c r="AA5248">
        <v>0.55049738328584807</v>
      </c>
      <c r="AB5248" t="str">
        <f>HYPERLINK("Melting_Curves/meltCurve_Q9NUQ3_TXLNG.pdf", "Melting_Curves/meltCurve_Q9NUQ3_TXLNG.pdf")</f>
        <v>Melting_Curves/meltCurve_Q9NUQ3_TXLNG.pdf</v>
      </c>
    </row>
    <row r="5249" spans="1:28" x14ac:dyDescent="0.25">
      <c r="A5249" t="s">
        <v>5253</v>
      </c>
      <c r="B5249">
        <v>0.99996721820229495</v>
      </c>
      <c r="C5249">
        <v>0.87716773602115705</v>
      </c>
      <c r="D5249">
        <v>0.76042288172229999</v>
      </c>
      <c r="E5249">
        <v>0.90400040854169805</v>
      </c>
      <c r="F5249">
        <v>0.93766892593314</v>
      </c>
      <c r="G5249">
        <v>0.90695692808233896</v>
      </c>
      <c r="H5249">
        <v>0.64993548187549799</v>
      </c>
      <c r="I5249">
        <v>0.50500845984893605</v>
      </c>
      <c r="J5249">
        <v>0.42285686061469802</v>
      </c>
      <c r="K5249">
        <v>0.32158426546774599</v>
      </c>
      <c r="L5249">
        <v>676.07066953326898</v>
      </c>
      <c r="M5249">
        <v>10.406613746319</v>
      </c>
      <c r="N5249">
        <v>64.965467488720805</v>
      </c>
      <c r="O5249">
        <v>62.703935965495297</v>
      </c>
      <c r="P5249">
        <v>-4.1508394025084702E-2</v>
      </c>
      <c r="Q5249">
        <v>0</v>
      </c>
      <c r="R5249">
        <v>0.84730319645182595</v>
      </c>
      <c r="S5249" t="s">
        <v>11075</v>
      </c>
      <c r="T5249" t="s">
        <v>11650</v>
      </c>
      <c r="U5249" t="s">
        <v>11650</v>
      </c>
      <c r="V5249" t="s">
        <v>11650</v>
      </c>
      <c r="W5249" t="s">
        <v>16841</v>
      </c>
      <c r="X5249">
        <v>6</v>
      </c>
      <c r="Y5249" t="s">
        <v>22506</v>
      </c>
      <c r="Z5249" t="s">
        <v>28311</v>
      </c>
      <c r="AA5249">
        <v>0.7816012656761312</v>
      </c>
      <c r="AB5249" t="str">
        <f>HYPERLINK("Melting_Curves/meltCurve_Q9NUQ6_SPATS2L.pdf", "Melting_Curves/meltCurve_Q9NUQ6_SPATS2L.pdf")</f>
        <v>Melting_Curves/meltCurve_Q9NUQ6_SPATS2L.pdf</v>
      </c>
    </row>
    <row r="5250" spans="1:28" x14ac:dyDescent="0.25">
      <c r="A5250" t="s">
        <v>5254</v>
      </c>
      <c r="B5250">
        <v>0.99996721820229495</v>
      </c>
      <c r="C5250">
        <v>0.93222069000000196</v>
      </c>
      <c r="D5250">
        <v>1.0268036097448201</v>
      </c>
      <c r="E5250">
        <v>0.85685912936270203</v>
      </c>
      <c r="F5250">
        <v>0.44866679209535798</v>
      </c>
      <c r="G5250">
        <v>0.35217403806268599</v>
      </c>
      <c r="H5250">
        <v>0.24135618533479</v>
      </c>
      <c r="I5250">
        <v>0.12896188074032999</v>
      </c>
      <c r="J5250">
        <v>8.7952902014898998E-2</v>
      </c>
      <c r="K5250">
        <v>9.7600321779121105E-2</v>
      </c>
      <c r="L5250">
        <v>1055.44434490565</v>
      </c>
      <c r="M5250">
        <v>19.919992370876201</v>
      </c>
      <c r="N5250">
        <v>53.685492412281697</v>
      </c>
      <c r="O5250">
        <v>52.458870349961103</v>
      </c>
      <c r="P5250">
        <v>-8.4058877958543096E-2</v>
      </c>
      <c r="Q5250">
        <v>0.11456030211606701</v>
      </c>
      <c r="R5250">
        <v>0.97536902000178904</v>
      </c>
      <c r="S5250" t="s">
        <v>11076</v>
      </c>
      <c r="T5250" t="s">
        <v>11650</v>
      </c>
      <c r="U5250" t="s">
        <v>11650</v>
      </c>
      <c r="V5250" t="s">
        <v>11650</v>
      </c>
      <c r="W5250" t="s">
        <v>16842</v>
      </c>
      <c r="X5250">
        <v>9</v>
      </c>
      <c r="Y5250" t="s">
        <v>22507</v>
      </c>
      <c r="Z5250" t="s">
        <v>28312</v>
      </c>
      <c r="AA5250">
        <v>0.51004716028314201</v>
      </c>
      <c r="AB5250" t="str">
        <f>HYPERLINK("Melting_Curves/meltCurve_Q9NUQ7_UFSP2.pdf", "Melting_Curves/meltCurve_Q9NUQ7_UFSP2.pdf")</f>
        <v>Melting_Curves/meltCurve_Q9NUQ7_UFSP2.pdf</v>
      </c>
    </row>
    <row r="5251" spans="1:28" x14ac:dyDescent="0.25">
      <c r="A5251" t="s">
        <v>5255</v>
      </c>
      <c r="B5251">
        <v>0.99996721820229495</v>
      </c>
      <c r="C5251">
        <v>0.83430100410784303</v>
      </c>
      <c r="D5251">
        <v>0.339332272356133</v>
      </c>
      <c r="E5251">
        <v>0.25913305500581901</v>
      </c>
      <c r="F5251">
        <v>0.260839916056193</v>
      </c>
      <c r="G5251">
        <v>0.22241967402382801</v>
      </c>
      <c r="H5251">
        <v>0.16924175733451499</v>
      </c>
      <c r="I5251">
        <v>0.12923662419801701</v>
      </c>
      <c r="J5251">
        <v>0.106928154404576</v>
      </c>
      <c r="K5251">
        <v>7.4552530988462498E-2</v>
      </c>
      <c r="L5251">
        <v>1632.6817526367399</v>
      </c>
      <c r="M5251">
        <v>36.730879566063699</v>
      </c>
      <c r="N5251">
        <v>44.959947071404201</v>
      </c>
      <c r="O5251">
        <v>44.318702968215398</v>
      </c>
      <c r="P5251">
        <v>-0.17189064692598699</v>
      </c>
      <c r="Q5251">
        <v>0.17040392768416801</v>
      </c>
      <c r="R5251">
        <v>0.96513219144597895</v>
      </c>
      <c r="S5251" t="s">
        <v>11077</v>
      </c>
      <c r="T5251" t="s">
        <v>11650</v>
      </c>
      <c r="U5251" t="s">
        <v>11650</v>
      </c>
      <c r="V5251" t="s">
        <v>11650</v>
      </c>
      <c r="W5251" t="s">
        <v>16843</v>
      </c>
      <c r="X5251">
        <v>14</v>
      </c>
      <c r="Y5251" t="s">
        <v>22508</v>
      </c>
      <c r="Z5251" t="s">
        <v>28313</v>
      </c>
      <c r="AA5251">
        <v>0.29691575026505812</v>
      </c>
      <c r="AB5251" t="str">
        <f>HYPERLINK("Melting_Curves/meltCurve_Q9NUQ8_2_ABCF3.pdf", "Melting_Curves/meltCurve_Q9NUQ8_2_ABCF3.pdf")</f>
        <v>Melting_Curves/meltCurve_Q9NUQ8_2_ABCF3.pdf</v>
      </c>
    </row>
    <row r="5252" spans="1:28" x14ac:dyDescent="0.25">
      <c r="A5252" t="s">
        <v>5256</v>
      </c>
      <c r="B5252">
        <v>0.99996721820229495</v>
      </c>
      <c r="C5252">
        <v>1.10714817587547</v>
      </c>
      <c r="D5252">
        <v>1.0695738053216901</v>
      </c>
      <c r="E5252">
        <v>0.98805334500569397</v>
      </c>
      <c r="F5252">
        <v>1.0808011352317599</v>
      </c>
      <c r="G5252">
        <v>0.88301363914985598</v>
      </c>
      <c r="H5252">
        <v>0.37534700805230697</v>
      </c>
      <c r="I5252">
        <v>0.26707446969212401</v>
      </c>
      <c r="J5252">
        <v>0.20450535907262701</v>
      </c>
      <c r="K5252">
        <v>0.14832969951010599</v>
      </c>
      <c r="L5252">
        <v>2510.2203633344102</v>
      </c>
      <c r="M5252">
        <v>42.2651684634166</v>
      </c>
      <c r="N5252">
        <v>60.061920425323699</v>
      </c>
      <c r="O5252">
        <v>59.259680042399502</v>
      </c>
      <c r="P5252">
        <v>-0.14480171333751901</v>
      </c>
      <c r="Q5252">
        <v>0.18789971191907101</v>
      </c>
      <c r="R5252">
        <v>0.98157901810481196</v>
      </c>
      <c r="S5252" t="s">
        <v>11078</v>
      </c>
      <c r="T5252" t="s">
        <v>11650</v>
      </c>
      <c r="U5252" t="s">
        <v>11650</v>
      </c>
      <c r="V5252" t="s">
        <v>11650</v>
      </c>
      <c r="W5252" t="s">
        <v>16844</v>
      </c>
      <c r="X5252">
        <v>16</v>
      </c>
      <c r="Y5252" t="s">
        <v>22509</v>
      </c>
      <c r="Z5252" t="s">
        <v>28314</v>
      </c>
      <c r="AA5252">
        <v>0.71573776251919208</v>
      </c>
      <c r="AB5252" t="str">
        <f>HYPERLINK("Melting_Curves/meltCurve_Q9NUQ9_FAM49B.pdf", "Melting_Curves/meltCurve_Q9NUQ9_FAM49B.pdf")</f>
        <v>Melting_Curves/meltCurve_Q9NUQ9_FAM49B.pdf</v>
      </c>
    </row>
    <row r="5253" spans="1:28" x14ac:dyDescent="0.25">
      <c r="A5253" t="s">
        <v>5257</v>
      </c>
      <c r="B5253">
        <v>0.99996721820229495</v>
      </c>
      <c r="C5253">
        <v>0.986340338802846</v>
      </c>
      <c r="D5253">
        <v>0.95511729534651002</v>
      </c>
      <c r="E5253">
        <v>0.91849395181486604</v>
      </c>
      <c r="F5253">
        <v>0.94865643971189495</v>
      </c>
      <c r="G5253">
        <v>0.97757089179498002</v>
      </c>
      <c r="H5253">
        <v>0.62432121054226397</v>
      </c>
      <c r="I5253">
        <v>0.653120347457258</v>
      </c>
      <c r="J5253">
        <v>0.61658704137938503</v>
      </c>
      <c r="K5253">
        <v>0.40916687809837399</v>
      </c>
      <c r="L5253">
        <v>632.20294133637299</v>
      </c>
      <c r="M5253">
        <v>9.2627944024065094</v>
      </c>
      <c r="N5253">
        <v>68.251859362698994</v>
      </c>
      <c r="O5253">
        <v>65.2969723970334</v>
      </c>
      <c r="P5253">
        <v>-3.5487200637211003E-2</v>
      </c>
      <c r="Q5253">
        <v>0</v>
      </c>
      <c r="R5253">
        <v>0.90194218279932203</v>
      </c>
      <c r="S5253" t="s">
        <v>11079</v>
      </c>
      <c r="T5253" t="s">
        <v>11650</v>
      </c>
      <c r="U5253" t="s">
        <v>11650</v>
      </c>
      <c r="V5253" t="s">
        <v>11650</v>
      </c>
      <c r="W5253" t="s">
        <v>16845</v>
      </c>
      <c r="X5253">
        <v>1</v>
      </c>
      <c r="Y5253" t="s">
        <v>22510</v>
      </c>
      <c r="Z5253" t="s">
        <v>28315</v>
      </c>
      <c r="AA5253">
        <v>0.83178341665001887</v>
      </c>
      <c r="AB5253" t="str">
        <f>HYPERLINK("Melting_Curves/meltCurve_Q9NUS5_AP5S1.pdf", "Melting_Curves/meltCurve_Q9NUS5_AP5S1.pdf")</f>
        <v>Melting_Curves/meltCurve_Q9NUS5_AP5S1.pdf</v>
      </c>
    </row>
    <row r="5254" spans="1:28" x14ac:dyDescent="0.25">
      <c r="A5254" t="s">
        <v>5258</v>
      </c>
      <c r="B5254">
        <v>0.99996721820229495</v>
      </c>
      <c r="C5254">
        <v>1.06515113573038</v>
      </c>
      <c r="D5254">
        <v>0.98368651956467801</v>
      </c>
      <c r="E5254">
        <v>0.85999535369704405</v>
      </c>
      <c r="F5254">
        <v>0.20233231593346701</v>
      </c>
      <c r="G5254">
        <v>0.18516177586098201</v>
      </c>
      <c r="H5254">
        <v>0.110345928014528</v>
      </c>
      <c r="I5254">
        <v>0.103413331435583</v>
      </c>
      <c r="J5254">
        <v>9.4492457156026596E-2</v>
      </c>
      <c r="K5254">
        <v>5.35761722378469E-2</v>
      </c>
      <c r="L5254">
        <v>3341.0591162565802</v>
      </c>
      <c r="M5254">
        <v>65.150488581528094</v>
      </c>
      <c r="N5254">
        <v>51.475829573618498</v>
      </c>
      <c r="O5254">
        <v>51.233923804737799</v>
      </c>
      <c r="P5254">
        <v>-0.283355683325273</v>
      </c>
      <c r="Q5254">
        <v>0.108683846901581</v>
      </c>
      <c r="R5254">
        <v>0.99246563787673903</v>
      </c>
      <c r="S5254" t="s">
        <v>11080</v>
      </c>
      <c r="T5254" t="s">
        <v>11650</v>
      </c>
      <c r="U5254" t="s">
        <v>11650</v>
      </c>
      <c r="V5254" t="s">
        <v>11650</v>
      </c>
      <c r="W5254" t="s">
        <v>16846</v>
      </c>
      <c r="X5254">
        <v>27</v>
      </c>
      <c r="Y5254" t="s">
        <v>22511</v>
      </c>
      <c r="Z5254" t="s">
        <v>28316</v>
      </c>
      <c r="AA5254">
        <v>0.44506829573799239</v>
      </c>
      <c r="AB5254" t="str">
        <f>HYPERLINK("Melting_Curves/meltCurve_Q9NUU7_DDX19A.pdf", "Melting_Curves/meltCurve_Q9NUU7_DDX19A.pdf")</f>
        <v>Melting_Curves/meltCurve_Q9NUU7_DDX19A.pdf</v>
      </c>
    </row>
    <row r="5255" spans="1:28" x14ac:dyDescent="0.25">
      <c r="A5255" t="s">
        <v>5259</v>
      </c>
      <c r="B5255">
        <v>0.99996721820229495</v>
      </c>
      <c r="C5255">
        <v>0.928320962737614</v>
      </c>
      <c r="D5255">
        <v>0.83239342687772999</v>
      </c>
      <c r="E5255">
        <v>0.605710674131136</v>
      </c>
      <c r="F5255">
        <v>0.33966918779963501</v>
      </c>
      <c r="G5255">
        <v>0.25843110080567699</v>
      </c>
      <c r="H5255">
        <v>0.15561280699598601</v>
      </c>
      <c r="I5255">
        <v>0.10921362678588301</v>
      </c>
      <c r="J5255">
        <v>9.6359220927128994E-2</v>
      </c>
      <c r="K5255">
        <v>8.6565053229388095E-2</v>
      </c>
      <c r="L5255">
        <v>758.22970965307297</v>
      </c>
      <c r="M5255">
        <v>14.986726688454</v>
      </c>
      <c r="N5255">
        <v>51.178221008439699</v>
      </c>
      <c r="O5255">
        <v>49.718246685960601</v>
      </c>
      <c r="P5255">
        <v>-6.9435018365419501E-2</v>
      </c>
      <c r="Q5255">
        <v>7.8694769510635504E-2</v>
      </c>
      <c r="R5255">
        <v>0.995877087184453</v>
      </c>
      <c r="S5255" t="s">
        <v>11081</v>
      </c>
      <c r="T5255" t="s">
        <v>11650</v>
      </c>
      <c r="U5255" t="s">
        <v>11650</v>
      </c>
      <c r="V5255" t="s">
        <v>11650</v>
      </c>
      <c r="W5255" t="s">
        <v>16847</v>
      </c>
      <c r="X5255">
        <v>13</v>
      </c>
      <c r="Y5255" t="s">
        <v>22512</v>
      </c>
      <c r="Z5255" t="s">
        <v>28317</v>
      </c>
      <c r="AA5255">
        <v>0.42561329590967889</v>
      </c>
      <c r="AB5255" t="str">
        <f>HYPERLINK("Melting_Curves/meltCurve_Q9NUY8_TBC1D23.pdf", "Melting_Curves/meltCurve_Q9NUY8_TBC1D23.pdf")</f>
        <v>Melting_Curves/meltCurve_Q9NUY8_TBC1D23.pdf</v>
      </c>
    </row>
    <row r="5256" spans="1:28" x14ac:dyDescent="0.25">
      <c r="A5256" t="s">
        <v>5260</v>
      </c>
      <c r="B5256">
        <v>0.99996721820229495</v>
      </c>
      <c r="C5256">
        <v>1.19703584707946</v>
      </c>
      <c r="D5256">
        <v>0.96284842457606701</v>
      </c>
      <c r="E5256">
        <v>0.81904256689287203</v>
      </c>
      <c r="F5256">
        <v>0.63049358176527004</v>
      </c>
      <c r="G5256">
        <v>0.50930217523552301</v>
      </c>
      <c r="H5256">
        <v>0.37990890151204798</v>
      </c>
      <c r="I5256">
        <v>0.267295734706953</v>
      </c>
      <c r="J5256">
        <v>0.18202255021809399</v>
      </c>
      <c r="K5256">
        <v>0.15631408345096201</v>
      </c>
      <c r="L5256">
        <v>720.94278715505095</v>
      </c>
      <c r="M5256">
        <v>12.9539366539949</v>
      </c>
      <c r="N5256">
        <v>56.819145360994199</v>
      </c>
      <c r="O5256">
        <v>54.378095747086803</v>
      </c>
      <c r="P5256">
        <v>-5.2619578809688802E-2</v>
      </c>
      <c r="Q5256">
        <v>0.116611341159023</v>
      </c>
      <c r="R5256">
        <v>0.95539578788339297</v>
      </c>
      <c r="S5256" t="s">
        <v>11082</v>
      </c>
      <c r="T5256" t="s">
        <v>11650</v>
      </c>
      <c r="U5256" t="s">
        <v>11650</v>
      </c>
      <c r="V5256" t="s">
        <v>11650</v>
      </c>
      <c r="W5256" t="s">
        <v>16848</v>
      </c>
      <c r="X5256">
        <v>3</v>
      </c>
      <c r="Y5256" t="s">
        <v>22513</v>
      </c>
      <c r="Z5256" t="s">
        <v>28318</v>
      </c>
      <c r="AA5256">
        <v>0.595741375589808</v>
      </c>
      <c r="AB5256" t="str">
        <f>HYPERLINK("Melting_Curves/meltCurve_Q9NV35_NUDT15.pdf", "Melting_Curves/meltCurve_Q9NV35_NUDT15.pdf")</f>
        <v>Melting_Curves/meltCurve_Q9NV35_NUDT15.pdf</v>
      </c>
    </row>
    <row r="5257" spans="1:28" x14ac:dyDescent="0.25">
      <c r="A5257" t="s">
        <v>5261</v>
      </c>
      <c r="B5257">
        <v>0.99996721820229495</v>
      </c>
      <c r="C5257">
        <v>1.08802816535242</v>
      </c>
      <c r="D5257">
        <v>1.10674590968404</v>
      </c>
      <c r="E5257">
        <v>0.82220341742357295</v>
      </c>
      <c r="F5257">
        <v>0.478862106778911</v>
      </c>
      <c r="G5257">
        <v>0.43274640183198199</v>
      </c>
      <c r="H5257">
        <v>0.28034805672291102</v>
      </c>
      <c r="I5257">
        <v>0.17830326046630901</v>
      </c>
      <c r="J5257">
        <v>0.13984398150301899</v>
      </c>
      <c r="K5257">
        <v>9.78613556550436E-2</v>
      </c>
      <c r="L5257">
        <v>977.43832420410502</v>
      </c>
      <c r="M5257">
        <v>18.302866305013499</v>
      </c>
      <c r="N5257">
        <v>54.383946401849599</v>
      </c>
      <c r="O5257">
        <v>52.7783077767157</v>
      </c>
      <c r="P5257">
        <v>-7.4517842865477496E-2</v>
      </c>
      <c r="Q5257">
        <v>0.14051845667330501</v>
      </c>
      <c r="R5257">
        <v>0.95853351100055195</v>
      </c>
      <c r="S5257" t="s">
        <v>11083</v>
      </c>
      <c r="T5257" t="s">
        <v>11650</v>
      </c>
      <c r="U5257" t="s">
        <v>11650</v>
      </c>
      <c r="V5257" t="s">
        <v>11650</v>
      </c>
      <c r="W5257" t="s">
        <v>16849</v>
      </c>
      <c r="X5257">
        <v>5</v>
      </c>
      <c r="Y5257" t="s">
        <v>22514</v>
      </c>
      <c r="Z5257" t="s">
        <v>28319</v>
      </c>
      <c r="AA5257">
        <v>0.53811932615012215</v>
      </c>
      <c r="AB5257" t="str">
        <f>HYPERLINK("Melting_Curves/meltCurve_Q9NV70_2_EXOC1.pdf", "Melting_Curves/meltCurve_Q9NV70_2_EXOC1.pdf")</f>
        <v>Melting_Curves/meltCurve_Q9NV70_2_EXOC1.pdf</v>
      </c>
    </row>
    <row r="5258" spans="1:28" x14ac:dyDescent="0.25">
      <c r="A5258" t="s">
        <v>5262</v>
      </c>
      <c r="B5258">
        <v>0.99996721820229495</v>
      </c>
      <c r="C5258">
        <v>0.82518519882862396</v>
      </c>
      <c r="D5258">
        <v>0.91249946863421505</v>
      </c>
      <c r="E5258">
        <v>1.14007645213936</v>
      </c>
      <c r="F5258">
        <v>1.3001852491144299</v>
      </c>
      <c r="G5258">
        <v>0.52195669988635696</v>
      </c>
      <c r="H5258">
        <v>0.240976608089012</v>
      </c>
      <c r="I5258">
        <v>0.150228739516095</v>
      </c>
      <c r="J5258">
        <v>0.10587425469029001</v>
      </c>
      <c r="K5258">
        <v>0.102063139883382</v>
      </c>
      <c r="L5258">
        <v>10567.711318875699</v>
      </c>
      <c r="M5258">
        <v>185.648775080761</v>
      </c>
      <c r="N5258">
        <v>57.032532294393398</v>
      </c>
      <c r="O5258">
        <v>56.916535455753298</v>
      </c>
      <c r="P5258">
        <v>-0.69330240656845399</v>
      </c>
      <c r="Q5258">
        <v>0.14978440766290499</v>
      </c>
      <c r="R5258">
        <v>0.91601572542307896</v>
      </c>
      <c r="S5258" t="s">
        <v>11084</v>
      </c>
      <c r="T5258" t="s">
        <v>11650</v>
      </c>
      <c r="U5258" t="s">
        <v>11650</v>
      </c>
      <c r="V5258" t="s">
        <v>11650</v>
      </c>
      <c r="W5258" t="s">
        <v>16850</v>
      </c>
      <c r="X5258">
        <v>2</v>
      </c>
      <c r="Y5258" t="s">
        <v>22515</v>
      </c>
      <c r="Z5258" t="s">
        <v>28320</v>
      </c>
      <c r="AA5258">
        <v>0.62954905811350304</v>
      </c>
      <c r="AB5258" t="str">
        <f>HYPERLINK("Melting_Curves/meltCurve_Q9NV88_3_INTS9.pdf", "Melting_Curves/meltCurve_Q9NV88_3_INTS9.pdf")</f>
        <v>Melting_Curves/meltCurve_Q9NV88_3_INTS9.pdf</v>
      </c>
    </row>
    <row r="5259" spans="1:28" x14ac:dyDescent="0.25">
      <c r="A5259" t="s">
        <v>5263</v>
      </c>
      <c r="B5259">
        <v>0.99996721820229495</v>
      </c>
      <c r="C5259">
        <v>0.85473782180593305</v>
      </c>
      <c r="D5259">
        <v>0.95013737661167497</v>
      </c>
      <c r="E5259">
        <v>1.2158276229362399</v>
      </c>
      <c r="F5259">
        <v>1.56569216434689</v>
      </c>
      <c r="G5259">
        <v>1.54221197553937</v>
      </c>
      <c r="H5259">
        <v>1.1513560761291499</v>
      </c>
      <c r="I5259">
        <v>0.95868787664756405</v>
      </c>
      <c r="J5259">
        <v>0.66229509911450701</v>
      </c>
      <c r="K5259">
        <v>0.68205182536393705</v>
      </c>
      <c r="L5259">
        <v>15000</v>
      </c>
      <c r="M5259">
        <v>232.438688376355</v>
      </c>
      <c r="O5259">
        <v>64.528369799432895</v>
      </c>
      <c r="P5259">
        <v>-0.29524384018025701</v>
      </c>
      <c r="Q5259">
        <v>0.67214401794977796</v>
      </c>
      <c r="R5259">
        <v>0.20525165928974801</v>
      </c>
      <c r="S5259" t="s">
        <v>11085</v>
      </c>
      <c r="T5259" t="s">
        <v>11650</v>
      </c>
      <c r="U5259" t="s">
        <v>11650</v>
      </c>
      <c r="V5259" t="s">
        <v>11650</v>
      </c>
      <c r="W5259" t="s">
        <v>16851</v>
      </c>
      <c r="X5259">
        <v>6</v>
      </c>
      <c r="Y5259" t="s">
        <v>22516</v>
      </c>
      <c r="Z5259" t="s">
        <v>28321</v>
      </c>
      <c r="AA5259">
        <v>0.94029827121808707</v>
      </c>
      <c r="AB5259" t="str">
        <f>HYPERLINK("Melting_Curves/meltCurve_Q9NV96_TMEM30A.pdf", "Melting_Curves/meltCurve_Q9NV96_TMEM30A.pdf")</f>
        <v>Melting_Curves/meltCurve_Q9NV96_TMEM30A.pdf</v>
      </c>
    </row>
    <row r="5260" spans="1:28" x14ac:dyDescent="0.25">
      <c r="A5260" t="s">
        <v>5264</v>
      </c>
      <c r="B5260">
        <v>0.99996721820229495</v>
      </c>
      <c r="C5260">
        <v>1.1281061461292801</v>
      </c>
      <c r="D5260">
        <v>0.93650855917424103</v>
      </c>
      <c r="E5260">
        <v>1.15664701505681</v>
      </c>
      <c r="F5260">
        <v>1.27267125981039</v>
      </c>
      <c r="G5260">
        <v>0.95344194996739895</v>
      </c>
      <c r="H5260">
        <v>0.50087833999986198</v>
      </c>
      <c r="I5260">
        <v>0.296965382996285</v>
      </c>
      <c r="J5260">
        <v>0.250838172880604</v>
      </c>
      <c r="K5260">
        <v>0.221717981102665</v>
      </c>
      <c r="L5260">
        <v>2967.24316000715</v>
      </c>
      <c r="M5260">
        <v>49.265135795361402</v>
      </c>
      <c r="N5260">
        <v>61.040617079814403</v>
      </c>
      <c r="O5260">
        <v>60.131089141540201</v>
      </c>
      <c r="P5260">
        <v>-0.155653172805643</v>
      </c>
      <c r="Q5260">
        <v>0.240064097212284</v>
      </c>
      <c r="R5260">
        <v>0.92020582460456302</v>
      </c>
      <c r="S5260" t="s">
        <v>11086</v>
      </c>
      <c r="T5260" t="s">
        <v>11650</v>
      </c>
      <c r="U5260" t="s">
        <v>11650</v>
      </c>
      <c r="V5260" t="s">
        <v>11650</v>
      </c>
      <c r="W5260" t="s">
        <v>16852</v>
      </c>
      <c r="X5260">
        <v>5</v>
      </c>
      <c r="Y5260" t="s">
        <v>22517</v>
      </c>
      <c r="Z5260" t="s">
        <v>28322</v>
      </c>
      <c r="AA5260">
        <v>0.75455093651233074</v>
      </c>
      <c r="AB5260" t="str">
        <f>HYPERLINK("Melting_Curves/meltCurve_Q9NVA1_UQCC.pdf", "Melting_Curves/meltCurve_Q9NVA1_UQCC.pdf")</f>
        <v>Melting_Curves/meltCurve_Q9NVA1_UQCC.pdf</v>
      </c>
    </row>
    <row r="5261" spans="1:28" x14ac:dyDescent="0.25">
      <c r="A5261" t="s">
        <v>5265</v>
      </c>
      <c r="B5261">
        <v>0.99996721820229495</v>
      </c>
      <c r="C5261">
        <v>0.939963633048856</v>
      </c>
      <c r="D5261">
        <v>0.96968973762130695</v>
      </c>
      <c r="E5261">
        <v>1.4165608708733</v>
      </c>
      <c r="F5261">
        <v>2.1060193727795999</v>
      </c>
      <c r="G5261">
        <v>2.6679385202707002</v>
      </c>
      <c r="H5261">
        <v>1.9268151381879799</v>
      </c>
      <c r="I5261">
        <v>1.0082045847873</v>
      </c>
      <c r="J5261">
        <v>0.31212749465875</v>
      </c>
      <c r="K5261">
        <v>0.19031953316740199</v>
      </c>
      <c r="L5261">
        <v>15000</v>
      </c>
      <c r="M5261">
        <v>225.61151961846801</v>
      </c>
      <c r="N5261">
        <v>66.6274274960127</v>
      </c>
      <c r="O5261">
        <v>66.480742765179301</v>
      </c>
      <c r="P5261">
        <v>-0.68695566908026295</v>
      </c>
      <c r="Q5261">
        <v>0.19030157566452099</v>
      </c>
      <c r="R5261">
        <v>8.7712426483290695E-2</v>
      </c>
      <c r="S5261" t="s">
        <v>11087</v>
      </c>
      <c r="T5261" t="s">
        <v>11650</v>
      </c>
      <c r="U5261" t="s">
        <v>11650</v>
      </c>
      <c r="V5261" t="s">
        <v>11650</v>
      </c>
      <c r="W5261" t="s">
        <v>16853</v>
      </c>
      <c r="X5261">
        <v>30</v>
      </c>
      <c r="Y5261" t="s">
        <v>22518</v>
      </c>
      <c r="Z5261" t="s">
        <v>28323</v>
      </c>
      <c r="AA5261">
        <v>0.90527233362114401</v>
      </c>
      <c r="AB5261" t="str">
        <f>HYPERLINK("Melting_Curves/meltCurve_Q9NVA2_2_SEPT11.pdf", "Melting_Curves/meltCurve_Q9NVA2_2_SEPT11.pdf")</f>
        <v>Melting_Curves/meltCurve_Q9NVA2_2_SEPT11.pdf</v>
      </c>
    </row>
    <row r="5262" spans="1:28" x14ac:dyDescent="0.25">
      <c r="A5262" t="s">
        <v>5266</v>
      </c>
      <c r="B5262">
        <v>0.99996721820229495</v>
      </c>
      <c r="C5262">
        <v>1.05574772512118</v>
      </c>
      <c r="D5262">
        <v>1.1404116483459099</v>
      </c>
      <c r="E5262">
        <v>1.1547060537293701</v>
      </c>
      <c r="F5262">
        <v>1.55571120162067</v>
      </c>
      <c r="G5262">
        <v>1.7182895146449499</v>
      </c>
      <c r="H5262">
        <v>1.2860065187054699</v>
      </c>
      <c r="I5262">
        <v>0.95576610157250197</v>
      </c>
      <c r="J5262">
        <v>0.79131339887913399</v>
      </c>
      <c r="K5262">
        <v>0.50363145347381899</v>
      </c>
      <c r="L5262">
        <v>4213.41073859479</v>
      </c>
      <c r="M5262">
        <v>62.410425449134699</v>
      </c>
      <c r="O5262">
        <v>67.442094100602404</v>
      </c>
      <c r="P5262">
        <v>-0.127235111353833</v>
      </c>
      <c r="Q5262">
        <v>0.45002764055780398</v>
      </c>
      <c r="R5262">
        <v>0.14035320122835501</v>
      </c>
      <c r="S5262" t="s">
        <v>11088</v>
      </c>
      <c r="T5262" t="s">
        <v>11650</v>
      </c>
      <c r="U5262" t="s">
        <v>11650</v>
      </c>
      <c r="V5262" t="s">
        <v>11650</v>
      </c>
      <c r="W5262" t="s">
        <v>16854</v>
      </c>
      <c r="X5262">
        <v>1</v>
      </c>
      <c r="Y5262" t="s">
        <v>22519</v>
      </c>
      <c r="Z5262" t="s">
        <v>28324</v>
      </c>
      <c r="AA5262">
        <v>0.95314602754150612</v>
      </c>
      <c r="AB5262" t="str">
        <f>HYPERLINK("Melting_Curves/meltCurve_Q9NVA4_TMEM184C.pdf", "Melting_Curves/meltCurve_Q9NVA4_TMEM184C.pdf")</f>
        <v>Melting_Curves/meltCurve_Q9NVA4_TMEM184C.pdf</v>
      </c>
    </row>
    <row r="5263" spans="1:28" x14ac:dyDescent="0.25">
      <c r="A5263" t="s">
        <v>5267</v>
      </c>
      <c r="B5263">
        <v>0.99996721820229495</v>
      </c>
      <c r="C5263">
        <v>0.91700693311080494</v>
      </c>
      <c r="D5263">
        <v>1.0575896238017</v>
      </c>
      <c r="E5263">
        <v>1.24849872183487</v>
      </c>
      <c r="F5263">
        <v>2.0074482190535901</v>
      </c>
      <c r="G5263">
        <v>1.18556946587446</v>
      </c>
      <c r="H5263">
        <v>0.93072316452053805</v>
      </c>
      <c r="I5263">
        <v>0.63057998749918498</v>
      </c>
      <c r="J5263">
        <v>0.379016423247373</v>
      </c>
      <c r="K5263">
        <v>0.33903161135027898</v>
      </c>
      <c r="L5263">
        <v>3398.0647786465202</v>
      </c>
      <c r="M5263">
        <v>53.329950658055303</v>
      </c>
      <c r="N5263">
        <v>65.062222160845593</v>
      </c>
      <c r="O5263">
        <v>63.628351014039197</v>
      </c>
      <c r="P5263">
        <v>-0.13957232170168801</v>
      </c>
      <c r="Q5263">
        <v>0.333901440248913</v>
      </c>
      <c r="R5263">
        <v>0.45949521069749</v>
      </c>
      <c r="S5263" t="s">
        <v>11089</v>
      </c>
      <c r="T5263" t="s">
        <v>11650</v>
      </c>
      <c r="U5263" t="s">
        <v>11650</v>
      </c>
      <c r="V5263" t="s">
        <v>11650</v>
      </c>
      <c r="W5263" t="s">
        <v>16855</v>
      </c>
      <c r="X5263">
        <v>2</v>
      </c>
      <c r="Y5263" t="s">
        <v>22520</v>
      </c>
      <c r="Z5263" t="s">
        <v>28325</v>
      </c>
      <c r="AA5263">
        <v>0.86188029321534398</v>
      </c>
      <c r="AB5263" t="str">
        <f>HYPERLINK("Melting_Curves/meltCurve_Q9NVC3_SLC38A7.pdf", "Melting_Curves/meltCurve_Q9NVC3_SLC38A7.pdf")</f>
        <v>Melting_Curves/meltCurve_Q9NVC3_SLC38A7.pdf</v>
      </c>
    </row>
    <row r="5264" spans="1:28" x14ac:dyDescent="0.25">
      <c r="A5264" t="s">
        <v>5268</v>
      </c>
      <c r="B5264">
        <v>0.99996721820229495</v>
      </c>
      <c r="C5264">
        <v>0.90551125116696496</v>
      </c>
      <c r="D5264">
        <v>0.83251846643114402</v>
      </c>
      <c r="E5264">
        <v>0.69485993846694405</v>
      </c>
      <c r="F5264">
        <v>0.36745719791695503</v>
      </c>
      <c r="G5264">
        <v>0.29679984675793902</v>
      </c>
      <c r="H5264">
        <v>0.21929817994068801</v>
      </c>
      <c r="I5264">
        <v>0.175318215605717</v>
      </c>
      <c r="J5264">
        <v>0.15693637890145701</v>
      </c>
      <c r="K5264">
        <v>0.14725368110674</v>
      </c>
      <c r="L5264">
        <v>750.22959242296304</v>
      </c>
      <c r="M5264">
        <v>14.7588807624303</v>
      </c>
      <c r="N5264">
        <v>51.949199216732303</v>
      </c>
      <c r="O5264">
        <v>49.926559962897301</v>
      </c>
      <c r="P5264">
        <v>-6.3863738208555995E-2</v>
      </c>
      <c r="Q5264">
        <v>0.13593622593461499</v>
      </c>
      <c r="R5264">
        <v>0.98689704016581103</v>
      </c>
      <c r="S5264" t="s">
        <v>11090</v>
      </c>
      <c r="T5264" t="s">
        <v>11650</v>
      </c>
      <c r="U5264" t="s">
        <v>11650</v>
      </c>
      <c r="V5264" t="s">
        <v>11650</v>
      </c>
      <c r="W5264" t="s">
        <v>16856</v>
      </c>
      <c r="X5264">
        <v>10</v>
      </c>
      <c r="Y5264" t="s">
        <v>22521</v>
      </c>
      <c r="Z5264" t="s">
        <v>28326</v>
      </c>
      <c r="AA5264">
        <v>0.46855198695744771</v>
      </c>
      <c r="AB5264" t="str">
        <f>HYPERLINK("Melting_Curves/meltCurve_Q9NVE7_PANK4.pdf", "Melting_Curves/meltCurve_Q9NVE7_PANK4.pdf")</f>
        <v>Melting_Curves/meltCurve_Q9NVE7_PANK4.pdf</v>
      </c>
    </row>
    <row r="5265" spans="1:28" x14ac:dyDescent="0.25">
      <c r="A5265" t="s">
        <v>5269</v>
      </c>
      <c r="B5265">
        <v>0.99996721820229495</v>
      </c>
      <c r="C5265">
        <v>1.04463641241556</v>
      </c>
      <c r="D5265">
        <v>1.0382170432513</v>
      </c>
      <c r="E5265">
        <v>1.06405420768267</v>
      </c>
      <c r="F5265">
        <v>1.0406410459176201</v>
      </c>
      <c r="G5265">
        <v>0.72974876112318299</v>
      </c>
      <c r="H5265">
        <v>0.238714839999912</v>
      </c>
      <c r="I5265">
        <v>0.130915722908367</v>
      </c>
      <c r="J5265">
        <v>7.6731037743122094E-2</v>
      </c>
      <c r="K5265">
        <v>6.29043029792834E-2</v>
      </c>
      <c r="L5265">
        <v>2196.0934004079299</v>
      </c>
      <c r="M5265">
        <v>37.575999933600897</v>
      </c>
      <c r="N5265">
        <v>58.701175667156903</v>
      </c>
      <c r="O5265">
        <v>58.279256638809301</v>
      </c>
      <c r="P5265">
        <v>-0.14895852591956199</v>
      </c>
      <c r="Q5265">
        <v>7.5881571696174696E-2</v>
      </c>
      <c r="R5265">
        <v>0.99346641738672004</v>
      </c>
      <c r="S5265" t="s">
        <v>11091</v>
      </c>
      <c r="T5265" t="s">
        <v>11650</v>
      </c>
      <c r="U5265" t="s">
        <v>11650</v>
      </c>
      <c r="V5265" t="s">
        <v>11650</v>
      </c>
      <c r="W5265" t="s">
        <v>16857</v>
      </c>
      <c r="X5265">
        <v>15</v>
      </c>
      <c r="Y5265" t="s">
        <v>22522</v>
      </c>
      <c r="Z5265" t="s">
        <v>28327</v>
      </c>
      <c r="AA5265">
        <v>0.6481189407395308</v>
      </c>
      <c r="AB5265" t="str">
        <f>HYPERLINK("Melting_Curves/meltCurve_Q9NVG8_TBC1D13.pdf", "Melting_Curves/meltCurve_Q9NVG8_TBC1D13.pdf")</f>
        <v>Melting_Curves/meltCurve_Q9NVG8_TBC1D13.pdf</v>
      </c>
    </row>
    <row r="5266" spans="1:28" x14ac:dyDescent="0.25">
      <c r="A5266" t="s">
        <v>5270</v>
      </c>
      <c r="B5266">
        <v>0.99996721820229495</v>
      </c>
      <c r="C5266">
        <v>0.92064368843407796</v>
      </c>
      <c r="D5266">
        <v>0.94334726966695104</v>
      </c>
      <c r="E5266">
        <v>1.2441829788229199</v>
      </c>
      <c r="F5266">
        <v>0.78769651544036201</v>
      </c>
      <c r="G5266">
        <v>0.54662327757775298</v>
      </c>
      <c r="H5266">
        <v>0.39344245817702</v>
      </c>
      <c r="I5266">
        <v>0.28776930899368802</v>
      </c>
      <c r="J5266">
        <v>0.31200431751156299</v>
      </c>
      <c r="K5266">
        <v>0.163651453769636</v>
      </c>
      <c r="L5266">
        <v>1462.5037136250601</v>
      </c>
      <c r="M5266">
        <v>25.999583976313701</v>
      </c>
      <c r="N5266">
        <v>57.796953448807301</v>
      </c>
      <c r="O5266">
        <v>55.921429755593103</v>
      </c>
      <c r="P5266">
        <v>-8.7109602833064001E-2</v>
      </c>
      <c r="Q5266">
        <v>0.25056683185823903</v>
      </c>
      <c r="R5266">
        <v>0.91343007721157599</v>
      </c>
      <c r="S5266" t="s">
        <v>11092</v>
      </c>
      <c r="T5266" t="s">
        <v>11650</v>
      </c>
      <c r="U5266" t="s">
        <v>11650</v>
      </c>
      <c r="V5266" t="s">
        <v>11650</v>
      </c>
      <c r="W5266" t="s">
        <v>16858</v>
      </c>
      <c r="X5266">
        <v>2</v>
      </c>
      <c r="Y5266" t="s">
        <v>22523</v>
      </c>
      <c r="Z5266" t="s">
        <v>28328</v>
      </c>
      <c r="AA5266">
        <v>0.66295976352359598</v>
      </c>
      <c r="AB5266" t="str">
        <f>HYPERLINK("Melting_Curves/meltCurve_Q9NVH2_4_INTS7.pdf", "Melting_Curves/meltCurve_Q9NVH2_4_INTS7.pdf")</f>
        <v>Melting_Curves/meltCurve_Q9NVH2_4_INTS7.pdf</v>
      </c>
    </row>
    <row r="5267" spans="1:28" x14ac:dyDescent="0.25">
      <c r="A5267" t="s">
        <v>5271</v>
      </c>
      <c r="B5267">
        <v>0.99996721820229495</v>
      </c>
      <c r="C5267">
        <v>0.95442762639744705</v>
      </c>
      <c r="D5267">
        <v>1.0427016914090299</v>
      </c>
      <c r="E5267">
        <v>1.0481345881233799</v>
      </c>
      <c r="F5267">
        <v>1.4622812581051401</v>
      </c>
      <c r="G5267">
        <v>1.6141845559616499</v>
      </c>
      <c r="H5267">
        <v>0.88186507364338795</v>
      </c>
      <c r="I5267">
        <v>0.22568090842427499</v>
      </c>
      <c r="J5267">
        <v>7.06229097823316E-2</v>
      </c>
      <c r="K5267">
        <v>4.8244920996488597E-2</v>
      </c>
      <c r="L5267">
        <v>4655.3427819279896</v>
      </c>
      <c r="M5267">
        <v>74.284176340640698</v>
      </c>
      <c r="N5267">
        <v>62.770507965087198</v>
      </c>
      <c r="O5267">
        <v>62.6239927999682</v>
      </c>
      <c r="P5267">
        <v>-0.27982152562328899</v>
      </c>
      <c r="Q5267">
        <v>5.6405221482370198E-2</v>
      </c>
      <c r="R5267">
        <v>0.77909710826204603</v>
      </c>
      <c r="S5267" t="s">
        <v>11093</v>
      </c>
      <c r="T5267" t="s">
        <v>11650</v>
      </c>
      <c r="U5267" t="s">
        <v>11650</v>
      </c>
      <c r="V5267" t="s">
        <v>11650</v>
      </c>
      <c r="W5267" t="s">
        <v>16859</v>
      </c>
      <c r="X5267">
        <v>6</v>
      </c>
      <c r="Y5267" t="s">
        <v>22524</v>
      </c>
      <c r="Z5267" t="s">
        <v>28329</v>
      </c>
      <c r="AA5267">
        <v>0.77059249285466747</v>
      </c>
      <c r="AB5267" t="str">
        <f>HYPERLINK("Melting_Curves/meltCurve_Q9NVH6_TMLHE.pdf", "Melting_Curves/meltCurve_Q9NVH6_TMLHE.pdf")</f>
        <v>Melting_Curves/meltCurve_Q9NVH6_TMLHE.pdf</v>
      </c>
    </row>
    <row r="5268" spans="1:28" x14ac:dyDescent="0.25">
      <c r="A5268" t="s">
        <v>5272</v>
      </c>
      <c r="B5268">
        <v>0.99996721820229495</v>
      </c>
      <c r="C5268">
        <v>1.0289116323640399</v>
      </c>
      <c r="D5268">
        <v>1.1278837227342799</v>
      </c>
      <c r="E5268">
        <v>1.2165501218680801</v>
      </c>
      <c r="F5268">
        <v>2.1370006509879498</v>
      </c>
      <c r="G5268">
        <v>2.2448752687417199</v>
      </c>
      <c r="H5268">
        <v>1.48881097558646</v>
      </c>
      <c r="I5268">
        <v>1.19537468416189</v>
      </c>
      <c r="J5268">
        <v>0.771090741125528</v>
      </c>
      <c r="K5268">
        <v>0.44226295096247198</v>
      </c>
      <c r="L5268">
        <v>15000</v>
      </c>
      <c r="M5268">
        <v>223.51809933584499</v>
      </c>
      <c r="N5268">
        <v>67.762803483466001</v>
      </c>
      <c r="O5268">
        <v>67.103284746123407</v>
      </c>
      <c r="P5268">
        <v>-0.46449701282898698</v>
      </c>
      <c r="Q5268">
        <v>0.44220577271413503</v>
      </c>
      <c r="R5268">
        <v>-0.11965419130638801</v>
      </c>
      <c r="S5268" t="s">
        <v>11094</v>
      </c>
      <c r="T5268" t="s">
        <v>11650</v>
      </c>
      <c r="U5268" t="s">
        <v>11650</v>
      </c>
      <c r="V5268" t="s">
        <v>11650</v>
      </c>
      <c r="W5268" t="s">
        <v>16860</v>
      </c>
      <c r="X5268">
        <v>4</v>
      </c>
      <c r="Y5268" t="s">
        <v>22525</v>
      </c>
      <c r="Z5268" t="s">
        <v>28330</v>
      </c>
      <c r="AA5268">
        <v>0.94632248451688705</v>
      </c>
      <c r="AB5268" t="str">
        <f>HYPERLINK("Melting_Curves/meltCurve_Q9NVI7_2_ATAD3A.pdf", "Melting_Curves/meltCurve_Q9NVI7_2_ATAD3A.pdf")</f>
        <v>Melting_Curves/meltCurve_Q9NVI7_2_ATAD3A.pdf</v>
      </c>
    </row>
    <row r="5269" spans="1:28" x14ac:dyDescent="0.25">
      <c r="A5269" t="s">
        <v>5273</v>
      </c>
      <c r="B5269">
        <v>0.99996721820229495</v>
      </c>
      <c r="C5269">
        <v>1.073666431373</v>
      </c>
      <c r="D5269">
        <v>1.01134794797812</v>
      </c>
      <c r="E5269">
        <v>0.93170025614059404</v>
      </c>
      <c r="F5269">
        <v>0.82954453897094704</v>
      </c>
      <c r="G5269">
        <v>0.88889669270506</v>
      </c>
      <c r="H5269">
        <v>0.64076638221882498</v>
      </c>
      <c r="I5269">
        <v>0.48668726454525102</v>
      </c>
      <c r="J5269">
        <v>0.36400197732530798</v>
      </c>
      <c r="K5269">
        <v>0.21205303705179801</v>
      </c>
      <c r="L5269">
        <v>818.53621586743702</v>
      </c>
      <c r="M5269">
        <v>12.837325850487501</v>
      </c>
      <c r="N5269">
        <v>63.762211067527502</v>
      </c>
      <c r="O5269">
        <v>62.274389225180499</v>
      </c>
      <c r="P5269">
        <v>-5.1544903618004401E-2</v>
      </c>
      <c r="Q5269">
        <v>0</v>
      </c>
      <c r="R5269">
        <v>0.97087356075756304</v>
      </c>
      <c r="S5269" t="s">
        <v>11095</v>
      </c>
      <c r="T5269" t="s">
        <v>11650</v>
      </c>
      <c r="U5269" t="s">
        <v>11650</v>
      </c>
      <c r="V5269" t="s">
        <v>11650</v>
      </c>
      <c r="W5269" t="s">
        <v>16861</v>
      </c>
      <c r="X5269">
        <v>8</v>
      </c>
      <c r="Y5269" t="s">
        <v>22526</v>
      </c>
      <c r="Z5269" t="s">
        <v>28331</v>
      </c>
      <c r="AA5269">
        <v>0.7692933358479076</v>
      </c>
      <c r="AB5269" t="str">
        <f>HYPERLINK("Melting_Curves/meltCurve_Q9NVJ2_ARL8B.pdf", "Melting_Curves/meltCurve_Q9NVJ2_ARL8B.pdf")</f>
        <v>Melting_Curves/meltCurve_Q9NVJ2_ARL8B.pdf</v>
      </c>
    </row>
    <row r="5270" spans="1:28" x14ac:dyDescent="0.25">
      <c r="A5270" t="s">
        <v>5274</v>
      </c>
      <c r="B5270">
        <v>0.99996721820229495</v>
      </c>
      <c r="C5270">
        <v>0.85605837859450795</v>
      </c>
      <c r="D5270">
        <v>0.82074943375506004</v>
      </c>
      <c r="E5270">
        <v>1.07383688054421</v>
      </c>
      <c r="F5270">
        <v>1.38491120836022</v>
      </c>
      <c r="G5270">
        <v>1.95647504034028</v>
      </c>
      <c r="H5270">
        <v>1.3966794361194199</v>
      </c>
      <c r="I5270">
        <v>1.5502435683946101</v>
      </c>
      <c r="J5270">
        <v>1.1619195042757</v>
      </c>
      <c r="K5270">
        <v>0.961058633092573</v>
      </c>
      <c r="L5270">
        <v>4285.9712588552702</v>
      </c>
      <c r="M5270">
        <v>84.205545418826901</v>
      </c>
      <c r="O5270">
        <v>50.8702576439699</v>
      </c>
      <c r="P5270">
        <v>0.167286175979692</v>
      </c>
      <c r="Q5270">
        <v>1.40424348564011</v>
      </c>
      <c r="R5270">
        <v>0.444358089538956</v>
      </c>
      <c r="S5270" t="s">
        <v>11096</v>
      </c>
      <c r="T5270" t="s">
        <v>11650</v>
      </c>
      <c r="U5270" t="s">
        <v>11650</v>
      </c>
      <c r="V5270" t="s">
        <v>11650</v>
      </c>
      <c r="W5270" t="s">
        <v>16862</v>
      </c>
      <c r="X5270">
        <v>4</v>
      </c>
      <c r="Y5270" t="s">
        <v>22527</v>
      </c>
      <c r="Z5270" t="s">
        <v>28332</v>
      </c>
      <c r="AA5270">
        <v>1.2570640722007791</v>
      </c>
      <c r="AB5270" t="str">
        <f>HYPERLINK("Melting_Curves/meltCurve_Q9NVK5_2_FGFR1OP2.pdf", "Melting_Curves/meltCurve_Q9NVK5_2_FGFR1OP2.pdf")</f>
        <v>Melting_Curves/meltCurve_Q9NVK5_2_FGFR1OP2.pdf</v>
      </c>
    </row>
    <row r="5271" spans="1:28" x14ac:dyDescent="0.25">
      <c r="A5271" t="s">
        <v>5275</v>
      </c>
      <c r="B5271">
        <v>0.99996721820229495</v>
      </c>
      <c r="C5271">
        <v>0.95584255255695005</v>
      </c>
      <c r="D5271">
        <v>1.0522734204547901</v>
      </c>
      <c r="E5271">
        <v>1.1484748703776899</v>
      </c>
      <c r="F5271">
        <v>1.58844403406763</v>
      </c>
      <c r="G5271">
        <v>1.7405626313299001</v>
      </c>
      <c r="H5271">
        <v>1.29981526701005</v>
      </c>
      <c r="I5271">
        <v>1.19966567164588</v>
      </c>
      <c r="J5271">
        <v>1.0225786184997601</v>
      </c>
      <c r="K5271">
        <v>0.81060764902963101</v>
      </c>
      <c r="L5271">
        <v>907.63616130739001</v>
      </c>
      <c r="M5271">
        <v>1.00000000000655E-5</v>
      </c>
      <c r="Q5271">
        <v>0</v>
      </c>
      <c r="R5271">
        <v>-0.43673983137450101</v>
      </c>
      <c r="S5271" t="s">
        <v>11097</v>
      </c>
      <c r="T5271" t="s">
        <v>11650</v>
      </c>
      <c r="U5271" t="s">
        <v>11650</v>
      </c>
      <c r="V5271" t="s">
        <v>11650</v>
      </c>
      <c r="W5271" t="s">
        <v>16863</v>
      </c>
      <c r="X5271">
        <v>5</v>
      </c>
      <c r="Y5271" t="s">
        <v>22528</v>
      </c>
      <c r="Z5271" t="s">
        <v>28333</v>
      </c>
      <c r="AA5271">
        <v>0.9999996325496846</v>
      </c>
      <c r="AB5271" t="str">
        <f>HYPERLINK("Melting_Curves/meltCurve_Q9NVM1_EVA1B.pdf", "Melting_Curves/meltCurve_Q9NVM1_EVA1B.pdf")</f>
        <v>Melting_Curves/meltCurve_Q9NVM1_EVA1B.pdf</v>
      </c>
    </row>
    <row r="5272" spans="1:28" x14ac:dyDescent="0.25">
      <c r="A5272" t="s">
        <v>5276</v>
      </c>
      <c r="B5272">
        <v>0.99996721820229495</v>
      </c>
      <c r="C5272">
        <v>0.90602360937812798</v>
      </c>
      <c r="D5272">
        <v>0.71699828413559097</v>
      </c>
      <c r="E5272">
        <v>0.74499795015153902</v>
      </c>
      <c r="F5272">
        <v>0.66690767700267695</v>
      </c>
      <c r="G5272">
        <v>0.57503031447241904</v>
      </c>
      <c r="H5272">
        <v>0.42278755740216001</v>
      </c>
      <c r="I5272">
        <v>0.28808957061261697</v>
      </c>
      <c r="J5272">
        <v>0.17273798458978301</v>
      </c>
      <c r="K5272">
        <v>0.22364051652948799</v>
      </c>
      <c r="L5272">
        <v>403.87557067619503</v>
      </c>
      <c r="M5272">
        <v>7.0746670768289404</v>
      </c>
      <c r="N5272">
        <v>57.087572642994203</v>
      </c>
      <c r="O5272">
        <v>53.052746497381897</v>
      </c>
      <c r="P5272">
        <v>-3.3397346474401297E-2</v>
      </c>
      <c r="Q5272">
        <v>0</v>
      </c>
      <c r="R5272">
        <v>0.95233484959515402</v>
      </c>
      <c r="S5272" t="s">
        <v>11098</v>
      </c>
      <c r="T5272" t="s">
        <v>11650</v>
      </c>
      <c r="U5272" t="s">
        <v>11650</v>
      </c>
      <c r="V5272" t="s">
        <v>11650</v>
      </c>
      <c r="W5272" t="s">
        <v>16864</v>
      </c>
      <c r="X5272">
        <v>4</v>
      </c>
      <c r="Y5272" t="s">
        <v>22529</v>
      </c>
      <c r="Z5272" t="s">
        <v>28334</v>
      </c>
      <c r="AA5272">
        <v>0.57748697647588376</v>
      </c>
      <c r="AB5272" t="str">
        <f>HYPERLINK("Melting_Curves/meltCurve_Q9NVM4_3_PRMT7.pdf", "Melting_Curves/meltCurve_Q9NVM4_3_PRMT7.pdf")</f>
        <v>Melting_Curves/meltCurve_Q9NVM4_3_PRMT7.pdf</v>
      </c>
    </row>
    <row r="5273" spans="1:28" x14ac:dyDescent="0.25">
      <c r="A5273" t="s">
        <v>5277</v>
      </c>
      <c r="B5273">
        <v>0.99996721820229495</v>
      </c>
      <c r="C5273">
        <v>0.928195087484049</v>
      </c>
      <c r="D5273">
        <v>0.804225584272664</v>
      </c>
      <c r="E5273">
        <v>0.74315714760692397</v>
      </c>
      <c r="F5273">
        <v>0.62497623422499704</v>
      </c>
      <c r="G5273">
        <v>0.39338798796172603</v>
      </c>
      <c r="H5273">
        <v>0.245001343210862</v>
      </c>
      <c r="I5273">
        <v>0.16702387847571001</v>
      </c>
      <c r="J5273">
        <v>0.112989056668246</v>
      </c>
      <c r="K5273">
        <v>8.7430581420453707E-2</v>
      </c>
      <c r="L5273">
        <v>568.53481396211896</v>
      </c>
      <c r="M5273">
        <v>10.400585435490999</v>
      </c>
      <c r="N5273">
        <v>54.663731865364802</v>
      </c>
      <c r="O5273">
        <v>52.758703580767602</v>
      </c>
      <c r="P5273">
        <v>-4.9304344918791702E-2</v>
      </c>
      <c r="Q5273">
        <v>0</v>
      </c>
      <c r="R5273">
        <v>0.99209676820783899</v>
      </c>
      <c r="S5273" t="s">
        <v>11099</v>
      </c>
      <c r="T5273" t="s">
        <v>11650</v>
      </c>
      <c r="U5273" t="s">
        <v>11650</v>
      </c>
      <c r="V5273" t="s">
        <v>11650</v>
      </c>
      <c r="W5273" t="s">
        <v>16865</v>
      </c>
      <c r="X5273">
        <v>2</v>
      </c>
      <c r="Y5273" t="s">
        <v>22530</v>
      </c>
      <c r="Z5273" t="s">
        <v>28335</v>
      </c>
      <c r="AA5273">
        <v>0.51560676472882605</v>
      </c>
      <c r="AB5273" t="str">
        <f>HYPERLINK("Melting_Curves/meltCurve_Q9NVM6_DNAJC17.pdf", "Melting_Curves/meltCurve_Q9NVM6_DNAJC17.pdf")</f>
        <v>Melting_Curves/meltCurve_Q9NVM6_DNAJC17.pdf</v>
      </c>
    </row>
    <row r="5274" spans="1:28" x14ac:dyDescent="0.25">
      <c r="A5274" t="s">
        <v>5278</v>
      </c>
      <c r="B5274">
        <v>0.99996721820229495</v>
      </c>
      <c r="C5274">
        <v>0.90177028175941798</v>
      </c>
      <c r="D5274">
        <v>0.94980704117975101</v>
      </c>
      <c r="E5274">
        <v>1.10241354513648</v>
      </c>
      <c r="F5274">
        <v>0.50753586981814003</v>
      </c>
      <c r="G5274">
        <v>0.48714741696198299</v>
      </c>
      <c r="H5274">
        <v>0.292390312278067</v>
      </c>
      <c r="I5274">
        <v>0.193256272306325</v>
      </c>
      <c r="J5274">
        <v>0.14428893194256701</v>
      </c>
      <c r="K5274">
        <v>0.145945640923902</v>
      </c>
      <c r="L5274">
        <v>1057.2073622226301</v>
      </c>
      <c r="M5274">
        <v>19.333810394554298</v>
      </c>
      <c r="N5274">
        <v>55.705775453806403</v>
      </c>
      <c r="O5274">
        <v>54.106860443569097</v>
      </c>
      <c r="P5274">
        <v>-7.5974786710064399E-2</v>
      </c>
      <c r="Q5274">
        <v>0.14955106599238199</v>
      </c>
      <c r="R5274">
        <v>0.92049765656691995</v>
      </c>
      <c r="S5274" t="s">
        <v>11100</v>
      </c>
      <c r="T5274" t="s">
        <v>11650</v>
      </c>
      <c r="U5274" t="s">
        <v>11650</v>
      </c>
      <c r="V5274" t="s">
        <v>11650</v>
      </c>
      <c r="W5274" t="s">
        <v>16866</v>
      </c>
      <c r="X5274">
        <v>3</v>
      </c>
      <c r="Y5274" t="s">
        <v>22531</v>
      </c>
      <c r="Z5274" t="s">
        <v>28336</v>
      </c>
      <c r="AA5274">
        <v>0.57776608581342592</v>
      </c>
      <c r="AB5274" t="str">
        <f>HYPERLINK("Melting_Curves/meltCurve_Q9NVM9_ASUN.pdf", "Melting_Curves/meltCurve_Q9NVM9_ASUN.pdf")</f>
        <v>Melting_Curves/meltCurve_Q9NVM9_ASUN.pdf</v>
      </c>
    </row>
    <row r="5275" spans="1:28" x14ac:dyDescent="0.25">
      <c r="A5275" t="s">
        <v>5279</v>
      </c>
      <c r="B5275">
        <v>0.99996721820229495</v>
      </c>
      <c r="C5275">
        <v>1.1960556213001201</v>
      </c>
      <c r="D5275">
        <v>1.03137080447872</v>
      </c>
      <c r="E5275">
        <v>0.71115564265504005</v>
      </c>
      <c r="F5275">
        <v>0.43183701721664097</v>
      </c>
      <c r="G5275">
        <v>0.386313566986207</v>
      </c>
      <c r="H5275">
        <v>0.26921887810018202</v>
      </c>
      <c r="I5275">
        <v>0.152786437654058</v>
      </c>
      <c r="J5275">
        <v>0.102469889154858</v>
      </c>
      <c r="K5275">
        <v>0.13097275089034</v>
      </c>
      <c r="L5275">
        <v>1047.09569895151</v>
      </c>
      <c r="M5275">
        <v>20.123126290485999</v>
      </c>
      <c r="N5275">
        <v>53.023778428529099</v>
      </c>
      <c r="O5275">
        <v>51.528761266341597</v>
      </c>
      <c r="P5275">
        <v>-8.2352578676312099E-2</v>
      </c>
      <c r="Q5275">
        <v>0.156514587318339</v>
      </c>
      <c r="R5275">
        <v>0.94891690610128498</v>
      </c>
      <c r="S5275" t="s">
        <v>11101</v>
      </c>
      <c r="T5275" t="s">
        <v>11650</v>
      </c>
      <c r="U5275" t="s">
        <v>11650</v>
      </c>
      <c r="V5275" t="s">
        <v>11650</v>
      </c>
      <c r="W5275" t="s">
        <v>16867</v>
      </c>
      <c r="X5275">
        <v>3</v>
      </c>
      <c r="Y5275" t="s">
        <v>22532</v>
      </c>
      <c r="Z5275" t="s">
        <v>28337</v>
      </c>
      <c r="AA5275">
        <v>0.50642065203786346</v>
      </c>
      <c r="AB5275" t="str">
        <f>HYPERLINK("Melting_Curves/meltCurve_Q9NVQ4_FAIM.pdf", "Melting_Curves/meltCurve_Q9NVQ4_FAIM.pdf")</f>
        <v>Melting_Curves/meltCurve_Q9NVQ4_FAIM.pdf</v>
      </c>
    </row>
    <row r="5276" spans="1:28" x14ac:dyDescent="0.25">
      <c r="A5276" t="s">
        <v>5280</v>
      </c>
      <c r="B5276">
        <v>0.99996721820229495</v>
      </c>
      <c r="C5276">
        <v>0.97870914713187296</v>
      </c>
      <c r="D5276">
        <v>0.99099543468908102</v>
      </c>
      <c r="E5276">
        <v>0.81611414089938705</v>
      </c>
      <c r="F5276">
        <v>0.55161406104865895</v>
      </c>
      <c r="G5276">
        <v>0.344903011047131</v>
      </c>
      <c r="H5276">
        <v>0.29054748846294098</v>
      </c>
      <c r="I5276">
        <v>0.15843493061882299</v>
      </c>
      <c r="J5276">
        <v>7.5468841022694605E-2</v>
      </c>
      <c r="K5276">
        <v>7.6090618906160395E-2</v>
      </c>
      <c r="L5276">
        <v>815.18793922899999</v>
      </c>
      <c r="M5276">
        <v>15.0655828249126</v>
      </c>
      <c r="N5276">
        <v>54.611582983519597</v>
      </c>
      <c r="O5276">
        <v>53.182795950233697</v>
      </c>
      <c r="P5276">
        <v>-6.6244589137015697E-2</v>
      </c>
      <c r="Q5276">
        <v>6.4696649498852996E-2</v>
      </c>
      <c r="R5276">
        <v>0.988807848940228</v>
      </c>
      <c r="S5276" t="s">
        <v>11102</v>
      </c>
      <c r="T5276" t="s">
        <v>11650</v>
      </c>
      <c r="U5276" t="s">
        <v>11650</v>
      </c>
      <c r="V5276" t="s">
        <v>11650</v>
      </c>
      <c r="W5276" t="s">
        <v>16868</v>
      </c>
      <c r="X5276">
        <v>3</v>
      </c>
      <c r="Y5276" t="s">
        <v>22533</v>
      </c>
      <c r="Z5276" t="s">
        <v>28338</v>
      </c>
      <c r="AA5276">
        <v>0.52355282001935843</v>
      </c>
      <c r="AB5276" t="str">
        <f>HYPERLINK("Melting_Curves/meltCurve_Q9NVR0_KLHL11.pdf", "Melting_Curves/meltCurve_Q9NVR0_KLHL11.pdf")</f>
        <v>Melting_Curves/meltCurve_Q9NVR0_KLHL11.pdf</v>
      </c>
    </row>
    <row r="5277" spans="1:28" x14ac:dyDescent="0.25">
      <c r="A5277" t="s">
        <v>5281</v>
      </c>
      <c r="B5277">
        <v>0.99996721820229495</v>
      </c>
      <c r="C5277">
        <v>0.91029354912878802</v>
      </c>
      <c r="D5277">
        <v>0.86681373373929405</v>
      </c>
      <c r="E5277">
        <v>0.75276644293027895</v>
      </c>
      <c r="F5277">
        <v>0.674768540199015</v>
      </c>
      <c r="G5277">
        <v>0.48653488969575298</v>
      </c>
      <c r="H5277">
        <v>0.33405844370747301</v>
      </c>
      <c r="I5277">
        <v>0.21583114756695401</v>
      </c>
      <c r="J5277">
        <v>0.175393722972945</v>
      </c>
      <c r="K5277">
        <v>0.139991203450369</v>
      </c>
      <c r="L5277">
        <v>525.547043635926</v>
      </c>
      <c r="M5277">
        <v>9.3327028235671801</v>
      </c>
      <c r="N5277">
        <v>56.312403226493899</v>
      </c>
      <c r="O5277">
        <v>53.908282487099299</v>
      </c>
      <c r="P5277">
        <v>-4.33078579452571E-2</v>
      </c>
      <c r="Q5277">
        <v>0</v>
      </c>
      <c r="R5277">
        <v>0.99484580530447198</v>
      </c>
      <c r="S5277" t="s">
        <v>11103</v>
      </c>
      <c r="T5277" t="s">
        <v>11650</v>
      </c>
      <c r="U5277" t="s">
        <v>11650</v>
      </c>
      <c r="V5277" t="s">
        <v>11650</v>
      </c>
      <c r="W5277" t="s">
        <v>16869</v>
      </c>
      <c r="X5277">
        <v>2</v>
      </c>
      <c r="Y5277" t="s">
        <v>22534</v>
      </c>
      <c r="Z5277" t="s">
        <v>28339</v>
      </c>
      <c r="AA5277">
        <v>0.56288079790511758</v>
      </c>
      <c r="AB5277" t="str">
        <f>HYPERLINK("Melting_Curves/meltCurve_Q9NVR5_DNAAF2.pdf", "Melting_Curves/meltCurve_Q9NVR5_DNAAF2.pdf")</f>
        <v>Melting_Curves/meltCurve_Q9NVR5_DNAAF2.pdf</v>
      </c>
    </row>
    <row r="5278" spans="1:28" x14ac:dyDescent="0.25">
      <c r="A5278" t="s">
        <v>5282</v>
      </c>
      <c r="B5278">
        <v>0.99996721820229495</v>
      </c>
      <c r="C5278">
        <v>1.06373570995949</v>
      </c>
      <c r="D5278">
        <v>1.0343293995237499</v>
      </c>
      <c r="E5278">
        <v>0.94807207496101997</v>
      </c>
      <c r="F5278">
        <v>0.76749750884020296</v>
      </c>
      <c r="G5278">
        <v>0.60524212878016204</v>
      </c>
      <c r="H5278">
        <v>0.36016900562212201</v>
      </c>
      <c r="I5278">
        <v>0.208552310386351</v>
      </c>
      <c r="J5278">
        <v>0.15658367906429899</v>
      </c>
      <c r="K5278">
        <v>0.131096325668451</v>
      </c>
      <c r="L5278">
        <v>918.95121767230205</v>
      </c>
      <c r="M5278">
        <v>15.911758293667701</v>
      </c>
      <c r="N5278">
        <v>58.280890347823501</v>
      </c>
      <c r="O5278">
        <v>56.863864825710202</v>
      </c>
      <c r="P5278">
        <v>-6.5265747512397707E-2</v>
      </c>
      <c r="Q5278">
        <v>6.7113850541680703E-2</v>
      </c>
      <c r="R5278">
        <v>0.99139671270961705</v>
      </c>
      <c r="S5278" t="s">
        <v>11104</v>
      </c>
      <c r="T5278" t="s">
        <v>11650</v>
      </c>
      <c r="U5278" t="s">
        <v>11650</v>
      </c>
      <c r="V5278" t="s">
        <v>11650</v>
      </c>
      <c r="W5278" t="s">
        <v>16870</v>
      </c>
      <c r="X5278">
        <v>10</v>
      </c>
      <c r="Y5278" t="s">
        <v>22535</v>
      </c>
      <c r="Z5278" t="s">
        <v>28340</v>
      </c>
      <c r="AA5278">
        <v>0.63200092655924178</v>
      </c>
      <c r="AB5278" t="str">
        <f>HYPERLINK("Melting_Curves/meltCurve_Q9NVS9_PNPO.pdf", "Melting_Curves/meltCurve_Q9NVS9_PNPO.pdf")</f>
        <v>Melting_Curves/meltCurve_Q9NVS9_PNPO.pdf</v>
      </c>
    </row>
    <row r="5279" spans="1:28" x14ac:dyDescent="0.25">
      <c r="A5279" t="s">
        <v>5283</v>
      </c>
      <c r="B5279">
        <v>0.99996721820229495</v>
      </c>
      <c r="C5279">
        <v>0.70895104495691796</v>
      </c>
      <c r="D5279">
        <v>0.59401833393699999</v>
      </c>
      <c r="E5279">
        <v>0.79602850756796995</v>
      </c>
      <c r="F5279">
        <v>1.0799882361631801</v>
      </c>
      <c r="G5279">
        <v>0.92454499564234705</v>
      </c>
      <c r="H5279">
        <v>0.61520973273694202</v>
      </c>
      <c r="I5279">
        <v>0.83474098464724</v>
      </c>
      <c r="J5279">
        <v>0.790082946903646</v>
      </c>
      <c r="K5279">
        <v>0.592022185326047</v>
      </c>
      <c r="L5279">
        <v>77.726260062486105</v>
      </c>
      <c r="M5279">
        <v>8.7922437315987104E-2</v>
      </c>
      <c r="Q5279">
        <v>0</v>
      </c>
      <c r="R5279">
        <v>6.43252906460164E-2</v>
      </c>
      <c r="S5279" t="s">
        <v>11105</v>
      </c>
      <c r="T5279" t="s">
        <v>11650</v>
      </c>
      <c r="U5279" t="s">
        <v>11650</v>
      </c>
      <c r="V5279" t="s">
        <v>11650</v>
      </c>
      <c r="W5279" t="s">
        <v>16871</v>
      </c>
      <c r="X5279">
        <v>1</v>
      </c>
      <c r="Y5279" t="s">
        <v>22536</v>
      </c>
      <c r="Z5279" t="s">
        <v>28341</v>
      </c>
      <c r="AA5279">
        <v>0.7934409666989487</v>
      </c>
      <c r="AB5279" t="str">
        <f>HYPERLINK("Melting_Curves/meltCurve_Q9NVW2_RLIM.pdf", "Melting_Curves/meltCurve_Q9NVW2_RLIM.pdf")</f>
        <v>Melting_Curves/meltCurve_Q9NVW2_RLIM.pdf</v>
      </c>
    </row>
    <row r="5280" spans="1:28" x14ac:dyDescent="0.25">
      <c r="A5280" t="s">
        <v>5284</v>
      </c>
      <c r="B5280">
        <v>0.99996721820229495</v>
      </c>
      <c r="C5280">
        <v>1.1132925558226501</v>
      </c>
      <c r="D5280">
        <v>1.19218864956982</v>
      </c>
      <c r="E5280">
        <v>1.5200622195812801</v>
      </c>
      <c r="F5280">
        <v>1.91683515166167</v>
      </c>
      <c r="G5280">
        <v>1.6745946393534901</v>
      </c>
      <c r="H5280">
        <v>0.90760953589193405</v>
      </c>
      <c r="I5280">
        <v>0.49332049718828302</v>
      </c>
      <c r="J5280">
        <v>0.22314284720008901</v>
      </c>
      <c r="K5280">
        <v>0.14617960043081801</v>
      </c>
      <c r="L5280">
        <v>3643.5187606526301</v>
      </c>
      <c r="M5280">
        <v>57.347661963739299</v>
      </c>
      <c r="N5280">
        <v>63.967013674641997</v>
      </c>
      <c r="O5280">
        <v>63.456763044752996</v>
      </c>
      <c r="P5280">
        <v>-0.189578879494358</v>
      </c>
      <c r="Q5280">
        <v>0.160903639949701</v>
      </c>
      <c r="R5280">
        <v>0.49573916416146202</v>
      </c>
      <c r="S5280" t="s">
        <v>11106</v>
      </c>
      <c r="T5280" t="s">
        <v>11650</v>
      </c>
      <c r="U5280" t="s">
        <v>11650</v>
      </c>
      <c r="V5280" t="s">
        <v>11650</v>
      </c>
      <c r="W5280" t="s">
        <v>16872</v>
      </c>
      <c r="X5280">
        <v>4</v>
      </c>
      <c r="Y5280" t="s">
        <v>22537</v>
      </c>
      <c r="Z5280" t="s">
        <v>28342</v>
      </c>
      <c r="AA5280">
        <v>0.82073277982965476</v>
      </c>
      <c r="AB5280" t="str">
        <f>HYPERLINK("Melting_Curves/meltCurve_Q9NVX2_NLE1.pdf", "Melting_Curves/meltCurve_Q9NVX2_NLE1.pdf")</f>
        <v>Melting_Curves/meltCurve_Q9NVX2_NLE1.pdf</v>
      </c>
    </row>
    <row r="5281" spans="1:28" x14ac:dyDescent="0.25">
      <c r="A5281" t="s">
        <v>5285</v>
      </c>
      <c r="B5281">
        <v>0.99996721820229495</v>
      </c>
      <c r="C5281">
        <v>0.97519920514830505</v>
      </c>
      <c r="D5281">
        <v>0.856525379615661</v>
      </c>
      <c r="E5281">
        <v>0.95418054424281995</v>
      </c>
      <c r="F5281">
        <v>0.74598786841272302</v>
      </c>
      <c r="G5281">
        <v>0.40837868853912201</v>
      </c>
      <c r="H5281">
        <v>0.20714735959441299</v>
      </c>
      <c r="I5281">
        <v>0.12778229835376501</v>
      </c>
      <c r="J5281">
        <v>8.63462167540551E-2</v>
      </c>
      <c r="K5281">
        <v>6.6484080490846406E-2</v>
      </c>
      <c r="L5281">
        <v>1089.6761643479399</v>
      </c>
      <c r="M5281">
        <v>19.563811667118301</v>
      </c>
      <c r="N5281">
        <v>56.022667187662897</v>
      </c>
      <c r="O5281">
        <v>55.126402745606299</v>
      </c>
      <c r="P5281">
        <v>-8.3978320768718806E-2</v>
      </c>
      <c r="Q5281">
        <v>5.3505862056564803E-2</v>
      </c>
      <c r="R5281">
        <v>0.98655083109063502</v>
      </c>
      <c r="S5281" t="s">
        <v>11107</v>
      </c>
      <c r="T5281" t="s">
        <v>11650</v>
      </c>
      <c r="U5281" t="s">
        <v>11650</v>
      </c>
      <c r="V5281" t="s">
        <v>11650</v>
      </c>
      <c r="W5281" t="s">
        <v>16873</v>
      </c>
      <c r="X5281">
        <v>9</v>
      </c>
      <c r="Y5281" t="s">
        <v>22538</v>
      </c>
      <c r="Z5281" t="s">
        <v>28343</v>
      </c>
      <c r="AA5281">
        <v>0.56150960877816469</v>
      </c>
      <c r="AB5281" t="str">
        <f>HYPERLINK("Melting_Curves/meltCurve_Q9NVZ3_NECAP2.pdf", "Melting_Curves/meltCurve_Q9NVZ3_NECAP2.pdf")</f>
        <v>Melting_Curves/meltCurve_Q9NVZ3_NECAP2.pdf</v>
      </c>
    </row>
    <row r="5282" spans="1:28" x14ac:dyDescent="0.25">
      <c r="A5282" t="s">
        <v>5286</v>
      </c>
      <c r="B5282">
        <v>0.99996721820229495</v>
      </c>
      <c r="C5282">
        <v>0.66639203716850004</v>
      </c>
      <c r="D5282">
        <v>1.1386541701614401</v>
      </c>
      <c r="E5282">
        <v>1.2520476057349099</v>
      </c>
      <c r="F5282">
        <v>0.51007034591240696</v>
      </c>
      <c r="G5282">
        <v>0.37035797481244698</v>
      </c>
      <c r="H5282">
        <v>0.222922136369338</v>
      </c>
      <c r="I5282">
        <v>0.12454291140729599</v>
      </c>
      <c r="J5282">
        <v>8.3227745381979398E-2</v>
      </c>
      <c r="K5282">
        <v>6.0712961190538199E-2</v>
      </c>
      <c r="L5282">
        <v>13230.281399192099</v>
      </c>
      <c r="M5282">
        <v>250</v>
      </c>
      <c r="N5282">
        <v>53.010766923206504</v>
      </c>
      <c r="O5282">
        <v>52.917760544852698</v>
      </c>
      <c r="P5282">
        <v>-0.97751636731090097</v>
      </c>
      <c r="Q5282">
        <v>0.17235270299651401</v>
      </c>
      <c r="R5282">
        <v>0.85905209515334202</v>
      </c>
      <c r="S5282" t="s">
        <v>11108</v>
      </c>
      <c r="T5282" t="s">
        <v>11650</v>
      </c>
      <c r="U5282" t="s">
        <v>11650</v>
      </c>
      <c r="V5282" t="s">
        <v>11650</v>
      </c>
      <c r="W5282" t="s">
        <v>16874</v>
      </c>
      <c r="X5282">
        <v>8</v>
      </c>
      <c r="Y5282" t="s">
        <v>22539</v>
      </c>
      <c r="Z5282" t="s">
        <v>28344</v>
      </c>
      <c r="AA5282">
        <v>0.52890072717503711</v>
      </c>
      <c r="AB5282" t="str">
        <f>HYPERLINK("Melting_Curves/meltCurve_Q9NW15_ANO10.pdf", "Melting_Curves/meltCurve_Q9NW15_ANO10.pdf")</f>
        <v>Melting_Curves/meltCurve_Q9NW15_ANO10.pdf</v>
      </c>
    </row>
    <row r="5283" spans="1:28" x14ac:dyDescent="0.25">
      <c r="A5283" t="s">
        <v>5287</v>
      </c>
      <c r="B5283">
        <v>0.99996721820229495</v>
      </c>
      <c r="C5283">
        <v>0.52323261886503603</v>
      </c>
      <c r="D5283">
        <v>0.37480714371734403</v>
      </c>
      <c r="E5283">
        <v>0.40507957574027598</v>
      </c>
      <c r="F5283">
        <v>0.31775816530783901</v>
      </c>
      <c r="G5283">
        <v>0.21849720273617401</v>
      </c>
      <c r="H5283">
        <v>0.13870918089791201</v>
      </c>
      <c r="I5283">
        <v>0.15976915396118799</v>
      </c>
      <c r="J5283">
        <v>0.112324638557092</v>
      </c>
      <c r="K5283">
        <v>0.101527823509675</v>
      </c>
      <c r="L5283">
        <v>567.92312797371005</v>
      </c>
      <c r="M5283">
        <v>12.8538287142702</v>
      </c>
      <c r="N5283">
        <v>45.3755895580843</v>
      </c>
      <c r="O5283">
        <v>43.154762295201699</v>
      </c>
      <c r="P5283">
        <v>-6.3802910102343693E-2</v>
      </c>
      <c r="Q5283">
        <v>0.143324136650195</v>
      </c>
      <c r="R5283">
        <v>0.88030842557194899</v>
      </c>
      <c r="S5283" t="s">
        <v>11109</v>
      </c>
      <c r="T5283" t="s">
        <v>11650</v>
      </c>
      <c r="U5283" t="s">
        <v>11650</v>
      </c>
      <c r="V5283" t="s">
        <v>11650</v>
      </c>
      <c r="W5283" t="s">
        <v>16875</v>
      </c>
      <c r="X5283">
        <v>1</v>
      </c>
      <c r="Y5283" t="s">
        <v>22540</v>
      </c>
      <c r="Z5283" t="s">
        <v>28345</v>
      </c>
      <c r="AA5283">
        <v>0.30387688986841882</v>
      </c>
      <c r="AB5283" t="str">
        <f>HYPERLINK("Melting_Curves/meltCurve_Q9NW64_RBM22.pdf", "Melting_Curves/meltCurve_Q9NW64_RBM22.pdf")</f>
        <v>Melting_Curves/meltCurve_Q9NW64_RBM22.pdf</v>
      </c>
    </row>
    <row r="5284" spans="1:28" x14ac:dyDescent="0.25">
      <c r="A5284" t="s">
        <v>5288</v>
      </c>
      <c r="B5284">
        <v>0.99996721820229495</v>
      </c>
      <c r="C5284">
        <v>1.0162334759743701</v>
      </c>
      <c r="D5284">
        <v>0.99260381125434705</v>
      </c>
      <c r="E5284">
        <v>0.71756010771474199</v>
      </c>
      <c r="F5284">
        <v>0.62057714570835099</v>
      </c>
      <c r="G5284">
        <v>0.73321522295318298</v>
      </c>
      <c r="H5284">
        <v>0.28789475499304401</v>
      </c>
      <c r="I5284">
        <v>0.29068288542210302</v>
      </c>
      <c r="J5284">
        <v>0.43946444547104602</v>
      </c>
      <c r="K5284">
        <v>0.80304552714699096</v>
      </c>
      <c r="L5284">
        <v>1096.2934654983501</v>
      </c>
      <c r="M5284">
        <v>21.7573648544248</v>
      </c>
      <c r="N5284">
        <v>63.212445503192299</v>
      </c>
      <c r="O5284">
        <v>49.967373035495299</v>
      </c>
      <c r="P5284">
        <v>-5.5088926699971598E-2</v>
      </c>
      <c r="Q5284">
        <v>0.49394887647945002</v>
      </c>
      <c r="R5284">
        <v>0.66338022006518405</v>
      </c>
      <c r="S5284" t="s">
        <v>11110</v>
      </c>
      <c r="T5284" t="s">
        <v>11650</v>
      </c>
      <c r="U5284" t="s">
        <v>11650</v>
      </c>
      <c r="V5284" t="s">
        <v>11650</v>
      </c>
      <c r="W5284" t="s">
        <v>16876</v>
      </c>
      <c r="X5284">
        <v>9</v>
      </c>
      <c r="Y5284" t="s">
        <v>17691</v>
      </c>
      <c r="Z5284" t="s">
        <v>28346</v>
      </c>
      <c r="AA5284">
        <v>0.67514071760458561</v>
      </c>
      <c r="AB5284" t="str">
        <f>HYPERLINK("Melting_Curves/meltCurve_Q9NW68_4_BSDC1.pdf", "Melting_Curves/meltCurve_Q9NW68_4_BSDC1.pdf")</f>
        <v>Melting_Curves/meltCurve_Q9NW68_4_BSDC1.pdf</v>
      </c>
    </row>
    <row r="5285" spans="1:28" x14ac:dyDescent="0.25">
      <c r="A5285" t="s">
        <v>5289</v>
      </c>
      <c r="B5285">
        <v>0.99996721820229495</v>
      </c>
      <c r="C5285">
        <v>1.05110915368438</v>
      </c>
      <c r="D5285">
        <v>0.98799269590779304</v>
      </c>
      <c r="E5285">
        <v>1.03674025481666</v>
      </c>
      <c r="F5285">
        <v>1.13262493924284</v>
      </c>
      <c r="G5285">
        <v>0.77806119609698898</v>
      </c>
      <c r="H5285">
        <v>0.31985955998640098</v>
      </c>
      <c r="I5285">
        <v>0.204938444513762</v>
      </c>
      <c r="J5285">
        <v>0.166535219493822</v>
      </c>
      <c r="K5285">
        <v>0.117038056725994</v>
      </c>
      <c r="L5285">
        <v>2279.7361078433501</v>
      </c>
      <c r="M5285">
        <v>38.809069951994402</v>
      </c>
      <c r="N5285">
        <v>59.284010825576402</v>
      </c>
      <c r="O5285">
        <v>58.587037732099901</v>
      </c>
      <c r="P5285">
        <v>-0.14088537015522901</v>
      </c>
      <c r="Q5285">
        <v>0.14926726148264899</v>
      </c>
      <c r="R5285">
        <v>0.98291439832681804</v>
      </c>
      <c r="S5285" t="s">
        <v>11111</v>
      </c>
      <c r="T5285" t="s">
        <v>11650</v>
      </c>
      <c r="U5285" t="s">
        <v>11650</v>
      </c>
      <c r="V5285" t="s">
        <v>11650</v>
      </c>
      <c r="W5285" t="s">
        <v>16877</v>
      </c>
      <c r="X5285">
        <v>16</v>
      </c>
      <c r="Y5285" t="s">
        <v>22541</v>
      </c>
      <c r="Z5285" t="s">
        <v>28347</v>
      </c>
      <c r="AA5285">
        <v>0.68430447803043959</v>
      </c>
      <c r="AB5285" t="str">
        <f>HYPERLINK("Melting_Curves/meltCurve_Q9NW82_WDR70.pdf", "Melting_Curves/meltCurve_Q9NW82_WDR70.pdf")</f>
        <v>Melting_Curves/meltCurve_Q9NW82_WDR70.pdf</v>
      </c>
    </row>
    <row r="5286" spans="1:28" x14ac:dyDescent="0.25">
      <c r="A5286" t="s">
        <v>5290</v>
      </c>
      <c r="B5286">
        <v>0.99996721820229495</v>
      </c>
      <c r="C5286">
        <v>0.92990061459765005</v>
      </c>
      <c r="D5286">
        <v>1.05004475121273</v>
      </c>
      <c r="E5286">
        <v>1.1961230601088</v>
      </c>
      <c r="F5286">
        <v>1.33824643701531</v>
      </c>
      <c r="G5286">
        <v>2.1033944256672301</v>
      </c>
      <c r="H5286">
        <v>1.7818436897732599</v>
      </c>
      <c r="I5286">
        <v>1.4316599955186999</v>
      </c>
      <c r="J5286">
        <v>1.08309467486239</v>
      </c>
      <c r="K5286">
        <v>1.0486138396181801</v>
      </c>
      <c r="L5286">
        <v>2254.1385581251502</v>
      </c>
      <c r="M5286">
        <v>44.586416179068301</v>
      </c>
      <c r="O5286">
        <v>50.455234853503697</v>
      </c>
      <c r="P5286">
        <v>0.10516192172852799</v>
      </c>
      <c r="Q5286">
        <v>1.4760160419782</v>
      </c>
      <c r="R5286">
        <v>0.35389592269841402</v>
      </c>
      <c r="S5286" t="s">
        <v>11112</v>
      </c>
      <c r="T5286" t="s">
        <v>11650</v>
      </c>
      <c r="U5286" t="s">
        <v>11650</v>
      </c>
      <c r="V5286" t="s">
        <v>11650</v>
      </c>
      <c r="W5286" t="s">
        <v>16878</v>
      </c>
      <c r="X5286">
        <v>3</v>
      </c>
      <c r="Y5286" t="s">
        <v>22542</v>
      </c>
      <c r="Z5286" t="s">
        <v>28348</v>
      </c>
      <c r="AA5286">
        <v>1.307175146300263</v>
      </c>
      <c r="AB5286" t="str">
        <f>HYPERLINK("Melting_Curves/meltCurve_Q9NW97_TMEM51.pdf", "Melting_Curves/meltCurve_Q9NW97_TMEM51.pdf")</f>
        <v>Melting_Curves/meltCurve_Q9NW97_TMEM51.pdf</v>
      </c>
    </row>
    <row r="5287" spans="1:28" x14ac:dyDescent="0.25">
      <c r="A5287" t="s">
        <v>5291</v>
      </c>
      <c r="B5287">
        <v>0.99996721820229495</v>
      </c>
      <c r="C5287">
        <v>1.0668874407129401</v>
      </c>
      <c r="D5287">
        <v>1.01039739980604</v>
      </c>
      <c r="E5287">
        <v>1.01003829014832</v>
      </c>
      <c r="F5287">
        <v>1.0613998689153299</v>
      </c>
      <c r="G5287">
        <v>0.87995155912343803</v>
      </c>
      <c r="H5287">
        <v>0.55385018639320205</v>
      </c>
      <c r="I5287">
        <v>0.36278755780960198</v>
      </c>
      <c r="J5287">
        <v>0.26260891295984201</v>
      </c>
      <c r="K5287">
        <v>0.25657505788752799</v>
      </c>
      <c r="L5287">
        <v>1882.93561823504</v>
      </c>
      <c r="M5287">
        <v>31.2227166844505</v>
      </c>
      <c r="N5287">
        <v>61.622358222303198</v>
      </c>
      <c r="O5287">
        <v>60.060822238906802</v>
      </c>
      <c r="P5287">
        <v>-9.8344518106358594E-2</v>
      </c>
      <c r="Q5287">
        <v>0.24329200406312701</v>
      </c>
      <c r="R5287">
        <v>0.99044309563322597</v>
      </c>
      <c r="S5287" t="s">
        <v>11113</v>
      </c>
      <c r="T5287" t="s">
        <v>11650</v>
      </c>
      <c r="U5287" t="s">
        <v>11650</v>
      </c>
      <c r="V5287" t="s">
        <v>11650</v>
      </c>
      <c r="W5287" t="s">
        <v>16879</v>
      </c>
      <c r="X5287">
        <v>8</v>
      </c>
      <c r="Y5287" t="s">
        <v>22543</v>
      </c>
      <c r="Z5287" t="s">
        <v>28349</v>
      </c>
      <c r="AA5287">
        <v>0.759768914571054</v>
      </c>
      <c r="AB5287" t="str">
        <f>HYPERLINK("Melting_Curves/meltCurve_Q9NWB6_2_ARGLU1.pdf", "Melting_Curves/meltCurve_Q9NWB6_2_ARGLU1.pdf")</f>
        <v>Melting_Curves/meltCurve_Q9NWB6_2_ARGLU1.pdf</v>
      </c>
    </row>
    <row r="5288" spans="1:28" x14ac:dyDescent="0.25">
      <c r="A5288" t="s">
        <v>5292</v>
      </c>
      <c r="B5288">
        <v>0.99996721820229495</v>
      </c>
      <c r="C5288">
        <v>0.955262472421335</v>
      </c>
      <c r="D5288">
        <v>1.16879564249374</v>
      </c>
      <c r="E5288">
        <v>1.1713703614862701</v>
      </c>
      <c r="F5288">
        <v>1.37423432144265</v>
      </c>
      <c r="G5288">
        <v>1.42574220982758</v>
      </c>
      <c r="H5288">
        <v>1.0104933626030299</v>
      </c>
      <c r="I5288">
        <v>0.61180377231675798</v>
      </c>
      <c r="J5288">
        <v>0.48444497586254398</v>
      </c>
      <c r="K5288">
        <v>0.44048266139846698</v>
      </c>
      <c r="L5288">
        <v>15000</v>
      </c>
      <c r="M5288">
        <v>235.330237217167</v>
      </c>
      <c r="N5288">
        <v>64.449304937609099</v>
      </c>
      <c r="O5288">
        <v>63.735614910330597</v>
      </c>
      <c r="P5288">
        <v>-0.49618806746838001</v>
      </c>
      <c r="Q5288">
        <v>0.46246006440579102</v>
      </c>
      <c r="R5288">
        <v>0.65188965768619</v>
      </c>
      <c r="S5288" t="s">
        <v>11114</v>
      </c>
      <c r="T5288" t="s">
        <v>11650</v>
      </c>
      <c r="U5288" t="s">
        <v>11650</v>
      </c>
      <c r="V5288" t="s">
        <v>11650</v>
      </c>
      <c r="W5288" t="s">
        <v>16880</v>
      </c>
      <c r="X5288">
        <v>1</v>
      </c>
      <c r="Y5288" t="s">
        <v>22544</v>
      </c>
      <c r="Z5288" t="s">
        <v>28350</v>
      </c>
      <c r="AA5288">
        <v>0.88790505539933351</v>
      </c>
      <c r="AB5288" t="str">
        <f>HYPERLINK("Melting_Curves/meltCurve_Q9NWD8_TMEM248.pdf", "Melting_Curves/meltCurve_Q9NWD8_TMEM248.pdf")</f>
        <v>Melting_Curves/meltCurve_Q9NWD8_TMEM248.pdf</v>
      </c>
    </row>
    <row r="5289" spans="1:28" x14ac:dyDescent="0.25">
      <c r="A5289" t="s">
        <v>5293</v>
      </c>
      <c r="B5289">
        <v>0.99996721820229495</v>
      </c>
      <c r="C5289">
        <v>1.3046860489249199</v>
      </c>
      <c r="D5289">
        <v>1.03248079025935</v>
      </c>
      <c r="E5289">
        <v>1.0686443252233599</v>
      </c>
      <c r="F5289">
        <v>1.54935314507447</v>
      </c>
      <c r="G5289">
        <v>1.3814378759684101</v>
      </c>
      <c r="H5289">
        <v>1.01980972076766</v>
      </c>
      <c r="I5289">
        <v>0.65513608468141504</v>
      </c>
      <c r="J5289">
        <v>0.68415795640792598</v>
      </c>
      <c r="K5289">
        <v>0.67794496738556997</v>
      </c>
      <c r="L5289">
        <v>15000</v>
      </c>
      <c r="M5289">
        <v>240.067713406709</v>
      </c>
      <c r="O5289">
        <v>62.478050393850097</v>
      </c>
      <c r="P5289">
        <v>-0.31499673055817401</v>
      </c>
      <c r="Q5289">
        <v>0.67208623740263296</v>
      </c>
      <c r="R5289">
        <v>0.36023651021925401</v>
      </c>
      <c r="S5289" t="s">
        <v>11115</v>
      </c>
      <c r="T5289" t="s">
        <v>11650</v>
      </c>
      <c r="U5289" t="s">
        <v>11650</v>
      </c>
      <c r="V5289" t="s">
        <v>11650</v>
      </c>
      <c r="W5289" t="s">
        <v>16881</v>
      </c>
      <c r="X5289">
        <v>1</v>
      </c>
      <c r="Y5289" t="s">
        <v>22545</v>
      </c>
      <c r="Z5289" t="s">
        <v>28351</v>
      </c>
      <c r="AA5289">
        <v>0.9178678644789805</v>
      </c>
      <c r="AB5289" t="str">
        <f>HYPERLINK("Melting_Curves/meltCurve_Q9NWH2_TMEM242.pdf", "Melting_Curves/meltCurve_Q9NWH2_TMEM242.pdf")</f>
        <v>Melting_Curves/meltCurve_Q9NWH2_TMEM242.pdf</v>
      </c>
    </row>
    <row r="5290" spans="1:28" x14ac:dyDescent="0.25">
      <c r="A5290" t="s">
        <v>5294</v>
      </c>
      <c r="B5290">
        <v>0.99996721820229495</v>
      </c>
      <c r="C5290">
        <v>1.0285544669237201</v>
      </c>
      <c r="D5290">
        <v>1.0081663081485199</v>
      </c>
      <c r="E5290">
        <v>1.0091353498579101</v>
      </c>
      <c r="F5290">
        <v>1.22983725347858</v>
      </c>
      <c r="G5290">
        <v>1.2272521120242299</v>
      </c>
      <c r="H5290">
        <v>0.82868017832577501</v>
      </c>
      <c r="I5290">
        <v>1.45438417897754</v>
      </c>
      <c r="J5290">
        <v>0.83912859130907003</v>
      </c>
      <c r="K5290">
        <v>0.64283028723879099</v>
      </c>
      <c r="L5290">
        <v>15000</v>
      </c>
      <c r="M5290">
        <v>223.68090182517099</v>
      </c>
      <c r="O5290">
        <v>67.054450232220901</v>
      </c>
      <c r="P5290">
        <v>-0.297894346431548</v>
      </c>
      <c r="Q5290">
        <v>0.64279215921398802</v>
      </c>
      <c r="R5290">
        <v>0.30001504351618202</v>
      </c>
      <c r="S5290" t="s">
        <v>11116</v>
      </c>
      <c r="T5290" t="s">
        <v>11650</v>
      </c>
      <c r="U5290" t="s">
        <v>11650</v>
      </c>
      <c r="V5290" t="s">
        <v>11650</v>
      </c>
      <c r="W5290" t="s">
        <v>16882</v>
      </c>
      <c r="X5290">
        <v>5</v>
      </c>
      <c r="Y5290" t="s">
        <v>22546</v>
      </c>
      <c r="Z5290" t="s">
        <v>28352</v>
      </c>
      <c r="AA5290">
        <v>0.96504362536973609</v>
      </c>
      <c r="AB5290" t="str">
        <f>HYPERLINK("Melting_Curves/meltCurve_Q9NWH9_SLTM.pdf", "Melting_Curves/meltCurve_Q9NWH9_SLTM.pdf")</f>
        <v>Melting_Curves/meltCurve_Q9NWH9_SLTM.pdf</v>
      </c>
    </row>
    <row r="5291" spans="1:28" x14ac:dyDescent="0.25">
      <c r="A5291" t="s">
        <v>5295</v>
      </c>
      <c r="B5291">
        <v>0.99996721820229495</v>
      </c>
      <c r="C5291">
        <v>0.94794561838400304</v>
      </c>
      <c r="D5291">
        <v>0.98027352956054803</v>
      </c>
      <c r="E5291">
        <v>0.98483729371300499</v>
      </c>
      <c r="F5291">
        <v>0.92322006873699902</v>
      </c>
      <c r="G5291">
        <v>0.68160264503036305</v>
      </c>
      <c r="H5291">
        <v>0.58652144103042902</v>
      </c>
      <c r="I5291">
        <v>0.58812471560899404</v>
      </c>
      <c r="J5291">
        <v>0.459198606893996</v>
      </c>
      <c r="K5291">
        <v>0.33359791799884397</v>
      </c>
      <c r="L5291">
        <v>658.28932151188303</v>
      </c>
      <c r="M5291">
        <v>10.7161953182441</v>
      </c>
      <c r="N5291">
        <v>64.600337799880506</v>
      </c>
      <c r="O5291">
        <v>59.406141092091197</v>
      </c>
      <c r="P5291">
        <v>-3.5887217754745702E-2</v>
      </c>
      <c r="Q5291">
        <v>0.20452139411728901</v>
      </c>
      <c r="R5291">
        <v>0.96339572508509097</v>
      </c>
      <c r="S5291" t="s">
        <v>11117</v>
      </c>
      <c r="T5291" t="s">
        <v>11650</v>
      </c>
      <c r="U5291" t="s">
        <v>11650</v>
      </c>
      <c r="V5291" t="s">
        <v>11650</v>
      </c>
      <c r="W5291" t="s">
        <v>16883</v>
      </c>
      <c r="X5291">
        <v>6</v>
      </c>
      <c r="Y5291" t="s">
        <v>22547</v>
      </c>
      <c r="Z5291" t="s">
        <v>28353</v>
      </c>
      <c r="AA5291">
        <v>0.7629991578216434</v>
      </c>
      <c r="AB5291" t="str">
        <f>HYPERLINK("Melting_Curves/meltCurve_Q9NWM3_CUEDC1.pdf", "Melting_Curves/meltCurve_Q9NWM3_CUEDC1.pdf")</f>
        <v>Melting_Curves/meltCurve_Q9NWM3_CUEDC1.pdf</v>
      </c>
    </row>
    <row r="5292" spans="1:28" x14ac:dyDescent="0.25">
      <c r="A5292" t="s">
        <v>5296</v>
      </c>
      <c r="B5292">
        <v>0.99996721820229495</v>
      </c>
      <c r="C5292">
        <v>1.0642611158863799</v>
      </c>
      <c r="D5292">
        <v>1.01765205526099</v>
      </c>
      <c r="E5292">
        <v>0.97151079769583204</v>
      </c>
      <c r="F5292">
        <v>0.89503288464200004</v>
      </c>
      <c r="G5292">
        <v>0.89014552663228297</v>
      </c>
      <c r="H5292">
        <v>0.539710843498999</v>
      </c>
      <c r="I5292">
        <v>0.36162270099110999</v>
      </c>
      <c r="J5292">
        <v>0.32417875539371999</v>
      </c>
      <c r="K5292">
        <v>0.28281895721361</v>
      </c>
      <c r="L5292">
        <v>1704.9981724737499</v>
      </c>
      <c r="M5292">
        <v>28.468337402379301</v>
      </c>
      <c r="N5292">
        <v>61.614651609387401</v>
      </c>
      <c r="O5292">
        <v>59.597848122088301</v>
      </c>
      <c r="P5292">
        <v>-8.6636355718157004E-2</v>
      </c>
      <c r="Q5292">
        <v>0.274520485450646</v>
      </c>
      <c r="R5292">
        <v>0.984620838854671</v>
      </c>
      <c r="S5292" t="s">
        <v>11118</v>
      </c>
      <c r="T5292" t="s">
        <v>11650</v>
      </c>
      <c r="U5292" t="s">
        <v>11650</v>
      </c>
      <c r="V5292" t="s">
        <v>11650</v>
      </c>
      <c r="W5292" t="s">
        <v>16884</v>
      </c>
      <c r="X5292">
        <v>10</v>
      </c>
      <c r="Y5292" t="s">
        <v>22548</v>
      </c>
      <c r="Z5292" t="s">
        <v>28354</v>
      </c>
      <c r="AA5292">
        <v>0.76028531471635286</v>
      </c>
      <c r="AB5292" t="str">
        <f>HYPERLINK("Melting_Curves/meltCurve_Q9NWM8_FKBP14.pdf", "Melting_Curves/meltCurve_Q9NWM8_FKBP14.pdf")</f>
        <v>Melting_Curves/meltCurve_Q9NWM8_FKBP14.pdf</v>
      </c>
    </row>
    <row r="5293" spans="1:28" x14ac:dyDescent="0.25">
      <c r="A5293" t="s">
        <v>5297</v>
      </c>
      <c r="B5293">
        <v>0.99996721820229495</v>
      </c>
      <c r="C5293">
        <v>0.99279321909282203</v>
      </c>
      <c r="D5293">
        <v>1.0557166310663399</v>
      </c>
      <c r="E5293">
        <v>1.16107887938614</v>
      </c>
      <c r="F5293">
        <v>1.5656977802829399</v>
      </c>
      <c r="G5293">
        <v>1.99099286466661</v>
      </c>
      <c r="H5293">
        <v>1.4822559599881</v>
      </c>
      <c r="I5293">
        <v>1.09011897715666</v>
      </c>
      <c r="J5293">
        <v>0.89352562377453704</v>
      </c>
      <c r="K5293">
        <v>0.74124304310232103</v>
      </c>
      <c r="L5293">
        <v>15000</v>
      </c>
      <c r="M5293">
        <v>223.522475050716</v>
      </c>
      <c r="O5293">
        <v>67.101971223929496</v>
      </c>
      <c r="P5293">
        <v>-0.21550745035024599</v>
      </c>
      <c r="Q5293">
        <v>0.74121662273752598</v>
      </c>
      <c r="R5293">
        <v>-0.246788099520379</v>
      </c>
      <c r="S5293" t="s">
        <v>11119</v>
      </c>
      <c r="T5293" t="s">
        <v>11650</v>
      </c>
      <c r="U5293" t="s">
        <v>11650</v>
      </c>
      <c r="V5293" t="s">
        <v>11650</v>
      </c>
      <c r="W5293" t="s">
        <v>16885</v>
      </c>
      <c r="X5293">
        <v>14</v>
      </c>
      <c r="Y5293" t="s">
        <v>22549</v>
      </c>
      <c r="Z5293" t="s">
        <v>28355</v>
      </c>
      <c r="AA5293">
        <v>0.97508548892542679</v>
      </c>
      <c r="AB5293" t="str">
        <f>HYPERLINK("Melting_Curves/meltCurve_Q9NWQ8_PAG1.pdf", "Melting_Curves/meltCurve_Q9NWQ8_PAG1.pdf")</f>
        <v>Melting_Curves/meltCurve_Q9NWQ8_PAG1.pdf</v>
      </c>
    </row>
    <row r="5294" spans="1:28" x14ac:dyDescent="0.25">
      <c r="A5294" t="s">
        <v>5298</v>
      </c>
      <c r="B5294">
        <v>0.99996721820229495</v>
      </c>
      <c r="C5294">
        <v>1.0383914007319599</v>
      </c>
      <c r="D5294">
        <v>1.02379825807337</v>
      </c>
      <c r="E5294">
        <v>0.77422061154266097</v>
      </c>
      <c r="F5294">
        <v>0.40831693085528098</v>
      </c>
      <c r="G5294">
        <v>0.30045913252450601</v>
      </c>
      <c r="H5294">
        <v>0.23245019900758701</v>
      </c>
      <c r="I5294">
        <v>0.15111239613351399</v>
      </c>
      <c r="J5294">
        <v>8.5727045833902699E-2</v>
      </c>
      <c r="K5294">
        <v>8.9533749881209101E-2</v>
      </c>
      <c r="L5294">
        <v>1240.81335184608</v>
      </c>
      <c r="M5294">
        <v>23.878097118973599</v>
      </c>
      <c r="N5294">
        <v>52.672962716692403</v>
      </c>
      <c r="O5294">
        <v>51.604132396700898</v>
      </c>
      <c r="P5294">
        <v>-9.9792398435582602E-2</v>
      </c>
      <c r="Q5294">
        <v>0.13734860431148599</v>
      </c>
      <c r="R5294">
        <v>0.98286645242821502</v>
      </c>
      <c r="S5294" t="s">
        <v>11120</v>
      </c>
      <c r="T5294" t="s">
        <v>11650</v>
      </c>
      <c r="U5294" t="s">
        <v>11650</v>
      </c>
      <c r="V5294" t="s">
        <v>11650</v>
      </c>
      <c r="W5294" t="s">
        <v>16886</v>
      </c>
      <c r="X5294">
        <v>2</v>
      </c>
      <c r="Y5294" t="s">
        <v>22550</v>
      </c>
      <c r="Z5294" t="s">
        <v>28356</v>
      </c>
      <c r="AA5294">
        <v>0.48998465171512268</v>
      </c>
      <c r="AB5294" t="str">
        <f>HYPERLINK("Melting_Curves/meltCurve_Q9NWQ9_C14orf119.pdf", "Melting_Curves/meltCurve_Q9NWQ9_C14orf119.pdf")</f>
        <v>Melting_Curves/meltCurve_Q9NWQ9_C14orf119.pdf</v>
      </c>
    </row>
    <row r="5295" spans="1:28" x14ac:dyDescent="0.25">
      <c r="A5295" t="s">
        <v>5299</v>
      </c>
      <c r="B5295">
        <v>0.99996721820229495</v>
      </c>
      <c r="C5295">
        <v>1.02299492337909</v>
      </c>
      <c r="D5295">
        <v>1.0676058329412099</v>
      </c>
      <c r="E5295">
        <v>1.25368947082686</v>
      </c>
      <c r="F5295">
        <v>1.28062091372409</v>
      </c>
      <c r="G5295">
        <v>1.22428290526773</v>
      </c>
      <c r="H5295">
        <v>0.70044725274750197</v>
      </c>
      <c r="I5295">
        <v>0.62030344628145195</v>
      </c>
      <c r="J5295">
        <v>0.39918144129867</v>
      </c>
      <c r="K5295">
        <v>0.223008545506344</v>
      </c>
      <c r="L5295">
        <v>1815.6135883218999</v>
      </c>
      <c r="M5295">
        <v>28.436296332930599</v>
      </c>
      <c r="N5295">
        <v>64.972834117615093</v>
      </c>
      <c r="O5295">
        <v>63.535207524086502</v>
      </c>
      <c r="P5295">
        <v>-9.0148708883770107E-2</v>
      </c>
      <c r="Q5295">
        <v>0.19432971155106499</v>
      </c>
      <c r="R5295">
        <v>0.81374474225416904</v>
      </c>
      <c r="S5295" t="s">
        <v>11121</v>
      </c>
      <c r="T5295" t="s">
        <v>11650</v>
      </c>
      <c r="U5295" t="s">
        <v>11650</v>
      </c>
      <c r="V5295" t="s">
        <v>11650</v>
      </c>
      <c r="W5295" t="s">
        <v>16887</v>
      </c>
      <c r="X5295">
        <v>4</v>
      </c>
      <c r="Y5295" t="s">
        <v>22551</v>
      </c>
      <c r="Z5295" t="s">
        <v>28357</v>
      </c>
      <c r="AA5295">
        <v>0.83566000373996663</v>
      </c>
      <c r="AB5295" t="str">
        <f>HYPERLINK("Melting_Curves/meltCurve_Q9NWS0_PIH1D1.pdf", "Melting_Curves/meltCurve_Q9NWS0_PIH1D1.pdf")</f>
        <v>Melting_Curves/meltCurve_Q9NWS0_PIH1D1.pdf</v>
      </c>
    </row>
    <row r="5296" spans="1:28" x14ac:dyDescent="0.25">
      <c r="A5296" t="s">
        <v>5300</v>
      </c>
      <c r="B5296">
        <v>0.99996721820229495</v>
      </c>
      <c r="C5296">
        <v>1.19852509197538</v>
      </c>
      <c r="D5296">
        <v>0.96560781612423396</v>
      </c>
      <c r="E5296">
        <v>0.44882666751527001</v>
      </c>
      <c r="F5296">
        <v>0.40926980926423401</v>
      </c>
      <c r="G5296">
        <v>0.24976728201062801</v>
      </c>
      <c r="H5296">
        <v>9.2017880950213904E-2</v>
      </c>
      <c r="I5296">
        <v>4.5611043012480403E-2</v>
      </c>
      <c r="J5296">
        <v>0</v>
      </c>
      <c r="K5296">
        <v>3.5498687400002601E-2</v>
      </c>
      <c r="L5296">
        <v>966.57044202045097</v>
      </c>
      <c r="M5296">
        <v>19.003937408281001</v>
      </c>
      <c r="N5296">
        <v>51.1151706834682</v>
      </c>
      <c r="O5296">
        <v>50.308454424298503</v>
      </c>
      <c r="P5296">
        <v>-9.0192425493531E-2</v>
      </c>
      <c r="Q5296">
        <v>4.49853596756618E-2</v>
      </c>
      <c r="R5296">
        <v>0.94741721727371697</v>
      </c>
      <c r="S5296" t="s">
        <v>11122</v>
      </c>
      <c r="T5296" t="s">
        <v>11650</v>
      </c>
      <c r="U5296" t="s">
        <v>11650</v>
      </c>
      <c r="V5296" t="s">
        <v>11650</v>
      </c>
      <c r="W5296" t="s">
        <v>16888</v>
      </c>
      <c r="X5296">
        <v>2</v>
      </c>
      <c r="Y5296" t="s">
        <v>22552</v>
      </c>
      <c r="Z5296" t="s">
        <v>28358</v>
      </c>
      <c r="AA5296">
        <v>0.40534066256114992</v>
      </c>
      <c r="AB5296" t="str">
        <f>HYPERLINK("Melting_Curves/meltCurve_Q9NWS6_FAM118A.pdf", "Melting_Curves/meltCurve_Q9NWS6_FAM118A.pdf")</f>
        <v>Melting_Curves/meltCurve_Q9NWS6_FAM118A.pdf</v>
      </c>
    </row>
    <row r="5297" spans="1:28" x14ac:dyDescent="0.25">
      <c r="A5297" t="s">
        <v>5301</v>
      </c>
      <c r="B5297">
        <v>0.99996721820229495</v>
      </c>
      <c r="C5297">
        <v>0.99802689313567805</v>
      </c>
      <c r="D5297">
        <v>0.99407453493051201</v>
      </c>
      <c r="E5297">
        <v>0.89020000405984401</v>
      </c>
      <c r="F5297">
        <v>0.70290479859185095</v>
      </c>
      <c r="G5297">
        <v>0.54752130895686202</v>
      </c>
      <c r="H5297">
        <v>0.334483720516144</v>
      </c>
      <c r="I5297">
        <v>0.15204966320427299</v>
      </c>
      <c r="J5297">
        <v>0.11375125337511301</v>
      </c>
      <c r="K5297">
        <v>6.5793239052108599E-2</v>
      </c>
      <c r="L5297">
        <v>792.14611215395701</v>
      </c>
      <c r="M5297">
        <v>13.828555738165001</v>
      </c>
      <c r="N5297">
        <v>57.283358245057897</v>
      </c>
      <c r="O5297">
        <v>56.1252892870815</v>
      </c>
      <c r="P5297">
        <v>-6.1605346462273898E-2</v>
      </c>
      <c r="Q5297">
        <v>0</v>
      </c>
      <c r="R5297">
        <v>0.99487128935325697</v>
      </c>
      <c r="S5297" t="s">
        <v>11123</v>
      </c>
      <c r="T5297" t="s">
        <v>11650</v>
      </c>
      <c r="U5297" t="s">
        <v>11650</v>
      </c>
      <c r="V5297" t="s">
        <v>11650</v>
      </c>
      <c r="W5297" t="s">
        <v>16889</v>
      </c>
      <c r="X5297">
        <v>8</v>
      </c>
      <c r="Y5297" t="s">
        <v>22553</v>
      </c>
      <c r="Z5297" t="s">
        <v>28359</v>
      </c>
      <c r="AA5297">
        <v>0.59176203895306301</v>
      </c>
      <c r="AB5297" t="str">
        <f>HYPERLINK("Melting_Curves/meltCurve_Q9NWT6_HIF1AN.pdf", "Melting_Curves/meltCurve_Q9NWT6_HIF1AN.pdf")</f>
        <v>Melting_Curves/meltCurve_Q9NWT6_HIF1AN.pdf</v>
      </c>
    </row>
    <row r="5298" spans="1:28" x14ac:dyDescent="0.25">
      <c r="A5298" t="s">
        <v>5302</v>
      </c>
      <c r="B5298">
        <v>0.99996721820229495</v>
      </c>
      <c r="C5298">
        <v>1.0112650635887901</v>
      </c>
      <c r="D5298">
        <v>0.99450203765396605</v>
      </c>
      <c r="E5298">
        <v>1.0409312638494099</v>
      </c>
      <c r="F5298">
        <v>1.37330070391665</v>
      </c>
      <c r="G5298">
        <v>1.6618423065339401</v>
      </c>
      <c r="H5298">
        <v>1.16790349296679</v>
      </c>
      <c r="I5298">
        <v>0.98021419031861001</v>
      </c>
      <c r="J5298">
        <v>0.71758578658069805</v>
      </c>
      <c r="K5298">
        <v>0.34765604443797299</v>
      </c>
      <c r="L5298">
        <v>5171.9999461874404</v>
      </c>
      <c r="M5298">
        <v>76.837909203180104</v>
      </c>
      <c r="N5298">
        <v>68.186343746760002</v>
      </c>
      <c r="O5298">
        <v>67.264972795686205</v>
      </c>
      <c r="P5298">
        <v>-0.19600927671483601</v>
      </c>
      <c r="Q5298">
        <v>0.31364313344347799</v>
      </c>
      <c r="R5298">
        <v>0.44988712293523397</v>
      </c>
      <c r="S5298" t="s">
        <v>11124</v>
      </c>
      <c r="T5298" t="s">
        <v>11650</v>
      </c>
      <c r="U5298" t="s">
        <v>11650</v>
      </c>
      <c r="V5298" t="s">
        <v>11650</v>
      </c>
      <c r="W5298" t="s">
        <v>16890</v>
      </c>
      <c r="X5298">
        <v>9</v>
      </c>
      <c r="Y5298" t="s">
        <v>22554</v>
      </c>
      <c r="Z5298" t="s">
        <v>28360</v>
      </c>
      <c r="AA5298">
        <v>0.93819379776980172</v>
      </c>
      <c r="AB5298" t="str">
        <f>HYPERLINK("Melting_Curves/meltCurve_Q9NWU1_OXSM.pdf", "Melting_Curves/meltCurve_Q9NWU1_OXSM.pdf")</f>
        <v>Melting_Curves/meltCurve_Q9NWU1_OXSM.pdf</v>
      </c>
    </row>
    <row r="5299" spans="1:28" x14ac:dyDescent="0.25">
      <c r="A5299" t="s">
        <v>5303</v>
      </c>
      <c r="B5299">
        <v>0.99996721820229495</v>
      </c>
      <c r="C5299">
        <v>1.0597730433717001</v>
      </c>
      <c r="D5299">
        <v>1.17276965674713</v>
      </c>
      <c r="E5299">
        <v>1.23158942918448</v>
      </c>
      <c r="F5299">
        <v>1.5716580014667501</v>
      </c>
      <c r="G5299">
        <v>1.6349949224688001</v>
      </c>
      <c r="H5299">
        <v>1.28599558854375</v>
      </c>
      <c r="I5299">
        <v>0.73075158651082095</v>
      </c>
      <c r="J5299">
        <v>0.59808878842612601</v>
      </c>
      <c r="K5299">
        <v>0.40884854274640597</v>
      </c>
      <c r="L5299">
        <v>15000</v>
      </c>
      <c r="M5299">
        <v>234.54420757494799</v>
      </c>
      <c r="O5299">
        <v>63.949160041622797</v>
      </c>
      <c r="P5299">
        <v>-0.455288100193108</v>
      </c>
      <c r="Q5299">
        <v>0.50345735913123002</v>
      </c>
      <c r="R5299">
        <v>0.36074713399438102</v>
      </c>
      <c r="S5299" t="s">
        <v>11125</v>
      </c>
      <c r="T5299" t="s">
        <v>11650</v>
      </c>
      <c r="U5299" t="s">
        <v>11650</v>
      </c>
      <c r="V5299" t="s">
        <v>11650</v>
      </c>
      <c r="W5299" t="s">
        <v>16891</v>
      </c>
      <c r="X5299">
        <v>1</v>
      </c>
      <c r="Y5299" t="s">
        <v>22555</v>
      </c>
      <c r="Z5299" t="s">
        <v>28361</v>
      </c>
      <c r="AA5299">
        <v>0.8999905858406394</v>
      </c>
      <c r="AB5299" t="str">
        <f>HYPERLINK("Melting_Curves/meltCurve_Q9NWU2_GID8.pdf", "Melting_Curves/meltCurve_Q9NWU2_GID8.pdf")</f>
        <v>Melting_Curves/meltCurve_Q9NWU2_GID8.pdf</v>
      </c>
    </row>
    <row r="5300" spans="1:28" x14ac:dyDescent="0.25">
      <c r="A5300" t="s">
        <v>5304</v>
      </c>
      <c r="B5300">
        <v>0.99996721820229495</v>
      </c>
      <c r="C5300">
        <v>1.1132803723995599</v>
      </c>
      <c r="D5300">
        <v>1.0097960603281599</v>
      </c>
      <c r="E5300">
        <v>0.78726195856956904</v>
      </c>
      <c r="F5300">
        <v>0.40595036263503298</v>
      </c>
      <c r="G5300">
        <v>0.27293843929922001</v>
      </c>
      <c r="H5300">
        <v>0.16690757590554101</v>
      </c>
      <c r="I5300">
        <v>0.10896527328382501</v>
      </c>
      <c r="J5300">
        <v>7.9489264834544604E-2</v>
      </c>
      <c r="K5300">
        <v>7.32978714788729E-2</v>
      </c>
      <c r="L5300">
        <v>1311.02810526639</v>
      </c>
      <c r="M5300">
        <v>25.168519283369001</v>
      </c>
      <c r="N5300">
        <v>52.5999295859285</v>
      </c>
      <c r="O5300">
        <v>51.764491244124301</v>
      </c>
      <c r="P5300">
        <v>-0.10839569835208</v>
      </c>
      <c r="Q5300">
        <v>0.10825509585208599</v>
      </c>
      <c r="R5300">
        <v>0.98324368694772202</v>
      </c>
      <c r="S5300" t="s">
        <v>11126</v>
      </c>
      <c r="T5300" t="s">
        <v>11650</v>
      </c>
      <c r="U5300" t="s">
        <v>11650</v>
      </c>
      <c r="V5300" t="s">
        <v>11650</v>
      </c>
      <c r="W5300" t="s">
        <v>16892</v>
      </c>
      <c r="X5300">
        <v>10</v>
      </c>
      <c r="Y5300" t="s">
        <v>22556</v>
      </c>
      <c r="Z5300" t="s">
        <v>28362</v>
      </c>
      <c r="AA5300">
        <v>0.47567150677738013</v>
      </c>
      <c r="AB5300" t="str">
        <f>HYPERLINK("Melting_Curves/meltCurve_Q9NWV4_C1orf123.pdf", "Melting_Curves/meltCurve_Q9NWV4_C1orf123.pdf")</f>
        <v>Melting_Curves/meltCurve_Q9NWV4_C1orf123.pdf</v>
      </c>
    </row>
    <row r="5301" spans="1:28" x14ac:dyDescent="0.25">
      <c r="A5301" t="s">
        <v>5305</v>
      </c>
      <c r="B5301">
        <v>0.99996721820229495</v>
      </c>
      <c r="C5301">
        <v>0.99077431113888603</v>
      </c>
      <c r="D5301">
        <v>0.95443412603242295</v>
      </c>
      <c r="E5301">
        <v>0.77178849836461905</v>
      </c>
      <c r="F5301">
        <v>0.49995002380697301</v>
      </c>
      <c r="G5301">
        <v>0.51309353738241703</v>
      </c>
      <c r="H5301">
        <v>0.31395432649960803</v>
      </c>
      <c r="I5301">
        <v>0.23341902656150301</v>
      </c>
      <c r="J5301">
        <v>0.15266911413640699</v>
      </c>
      <c r="K5301">
        <v>0.12929380451724601</v>
      </c>
      <c r="L5301">
        <v>606.23640890091303</v>
      </c>
      <c r="M5301">
        <v>11.0531363470807</v>
      </c>
      <c r="N5301">
        <v>55.529374108611002</v>
      </c>
      <c r="O5301">
        <v>53.143925167167502</v>
      </c>
      <c r="P5301">
        <v>-4.8712501485542202E-2</v>
      </c>
      <c r="Q5301">
        <v>6.3463475922633503E-2</v>
      </c>
      <c r="R5301">
        <v>0.976376087472825</v>
      </c>
      <c r="S5301" t="s">
        <v>11127</v>
      </c>
      <c r="T5301" t="s">
        <v>11650</v>
      </c>
      <c r="U5301" t="s">
        <v>11650</v>
      </c>
      <c r="V5301" t="s">
        <v>11650</v>
      </c>
      <c r="W5301" t="s">
        <v>16893</v>
      </c>
      <c r="X5301">
        <v>2</v>
      </c>
      <c r="Y5301" t="s">
        <v>22557</v>
      </c>
      <c r="Z5301" t="s">
        <v>28363</v>
      </c>
      <c r="AA5301">
        <v>0.55058733881744959</v>
      </c>
      <c r="AB5301" t="str">
        <f>HYPERLINK("Melting_Curves/meltCurve_Q9NWW6_NMRK1.pdf", "Melting_Curves/meltCurve_Q9NWW6_NMRK1.pdf")</f>
        <v>Melting_Curves/meltCurve_Q9NWW6_NMRK1.pdf</v>
      </c>
    </row>
    <row r="5302" spans="1:28" x14ac:dyDescent="0.25">
      <c r="A5302" t="s">
        <v>5306</v>
      </c>
      <c r="B5302">
        <v>0.99996721820229495</v>
      </c>
      <c r="C5302">
        <v>1.0466908300386</v>
      </c>
      <c r="D5302">
        <v>0.67081455998188999</v>
      </c>
      <c r="E5302">
        <v>0.56377415534062902</v>
      </c>
      <c r="F5302">
        <v>0.60264442675793695</v>
      </c>
      <c r="G5302">
        <v>0.51322677109454196</v>
      </c>
      <c r="H5302">
        <v>0.35011142071204798</v>
      </c>
      <c r="I5302">
        <v>0.21735178033070501</v>
      </c>
      <c r="J5302">
        <v>9.2051258881083203E-2</v>
      </c>
      <c r="K5302">
        <v>0.107831858313457</v>
      </c>
      <c r="L5302">
        <v>441.27971430645101</v>
      </c>
      <c r="M5302">
        <v>8.1079205505423104</v>
      </c>
      <c r="N5302">
        <v>54.425757007033503</v>
      </c>
      <c r="O5302">
        <v>51.415044330772098</v>
      </c>
      <c r="P5302">
        <v>-3.94662809612965E-2</v>
      </c>
      <c r="Q5302">
        <v>0</v>
      </c>
      <c r="R5302">
        <v>0.918725314832052</v>
      </c>
      <c r="S5302" t="s">
        <v>11128</v>
      </c>
      <c r="T5302" t="s">
        <v>11650</v>
      </c>
      <c r="U5302" t="s">
        <v>11650</v>
      </c>
      <c r="V5302" t="s">
        <v>11650</v>
      </c>
      <c r="W5302" t="s">
        <v>16894</v>
      </c>
      <c r="X5302">
        <v>3</v>
      </c>
      <c r="Y5302" t="s">
        <v>22558</v>
      </c>
      <c r="Z5302" t="s">
        <v>28364</v>
      </c>
      <c r="AA5302">
        <v>0.5119299224076207</v>
      </c>
      <c r="AB5302" t="str">
        <f>HYPERLINK("Melting_Curves/meltCurve_Q9NWY4_C4orf27.pdf", "Melting_Curves/meltCurve_Q9NWY4_C4orf27.pdf")</f>
        <v>Melting_Curves/meltCurve_Q9NWY4_C4orf27.pdf</v>
      </c>
    </row>
    <row r="5303" spans="1:28" x14ac:dyDescent="0.25">
      <c r="A5303" t="s">
        <v>5307</v>
      </c>
      <c r="B5303">
        <v>0.99996721820229495</v>
      </c>
      <c r="C5303">
        <v>1.0075410255971</v>
      </c>
      <c r="D5303">
        <v>0.86879770136813494</v>
      </c>
      <c r="E5303">
        <v>0.50536167814853505</v>
      </c>
      <c r="F5303">
        <v>0.255840712884088</v>
      </c>
      <c r="G5303">
        <v>0.21268624466597899</v>
      </c>
      <c r="H5303">
        <v>0.12404647202233</v>
      </c>
      <c r="I5303">
        <v>8.8591010056997793E-2</v>
      </c>
      <c r="J5303">
        <v>6.9700012908949296E-2</v>
      </c>
      <c r="K5303">
        <v>5.2077877660807903E-2</v>
      </c>
      <c r="L5303">
        <v>1059.65777427644</v>
      </c>
      <c r="M5303">
        <v>21.316135590391902</v>
      </c>
      <c r="N5303">
        <v>50.160885497002397</v>
      </c>
      <c r="O5303">
        <v>49.280208089027802</v>
      </c>
      <c r="P5303">
        <v>-9.8741149430202693E-2</v>
      </c>
      <c r="Q5303">
        <v>8.6914633343317796E-2</v>
      </c>
      <c r="R5303">
        <v>0.99350855129674098</v>
      </c>
      <c r="S5303" t="s">
        <v>11129</v>
      </c>
      <c r="T5303" t="s">
        <v>11650</v>
      </c>
      <c r="U5303" t="s">
        <v>11650</v>
      </c>
      <c r="V5303" t="s">
        <v>11650</v>
      </c>
      <c r="W5303" t="s">
        <v>16895</v>
      </c>
      <c r="X5303">
        <v>16</v>
      </c>
      <c r="Y5303" t="s">
        <v>22559</v>
      </c>
      <c r="Z5303" t="s">
        <v>28365</v>
      </c>
      <c r="AA5303">
        <v>0.39371163896701672</v>
      </c>
      <c r="AB5303" t="str">
        <f>HYPERLINK("Melting_Curves/meltCurve_Q9NWZ3_IRAK4.pdf", "Melting_Curves/meltCurve_Q9NWZ3_IRAK4.pdf")</f>
        <v>Melting_Curves/meltCurve_Q9NWZ3_IRAK4.pdf</v>
      </c>
    </row>
    <row r="5304" spans="1:28" x14ac:dyDescent="0.25">
      <c r="A5304" t="s">
        <v>5308</v>
      </c>
      <c r="B5304">
        <v>0.99996721820229495</v>
      </c>
      <c r="C5304">
        <v>0.95250391286191904</v>
      </c>
      <c r="D5304">
        <v>1.01480743157304</v>
      </c>
      <c r="E5304">
        <v>1.0406189421452099</v>
      </c>
      <c r="F5304">
        <v>1.1344341010302299</v>
      </c>
      <c r="G5304">
        <v>0.95918865183466595</v>
      </c>
      <c r="H5304">
        <v>0.71974138304594504</v>
      </c>
      <c r="I5304">
        <v>0.58798023033095603</v>
      </c>
      <c r="J5304">
        <v>0.77999890517339399</v>
      </c>
      <c r="K5304">
        <v>0.82818199507300305</v>
      </c>
      <c r="L5304">
        <v>14348.612523657101</v>
      </c>
      <c r="M5304">
        <v>250</v>
      </c>
      <c r="O5304">
        <v>57.390777329603303</v>
      </c>
      <c r="P5304">
        <v>-0.29515238455361698</v>
      </c>
      <c r="Q5304">
        <v>0.72897560430213504</v>
      </c>
      <c r="R5304">
        <v>0.78462228251205601</v>
      </c>
      <c r="S5304" t="s">
        <v>11130</v>
      </c>
      <c r="T5304" t="s">
        <v>11650</v>
      </c>
      <c r="U5304" t="s">
        <v>11650</v>
      </c>
      <c r="V5304" t="s">
        <v>11650</v>
      </c>
      <c r="W5304" t="s">
        <v>16896</v>
      </c>
      <c r="X5304">
        <v>1</v>
      </c>
      <c r="Y5304" t="s">
        <v>22560</v>
      </c>
      <c r="Z5304" t="s">
        <v>28366</v>
      </c>
      <c r="AA5304">
        <v>0.88614691445123561</v>
      </c>
      <c r="AB5304" t="str">
        <f>HYPERLINK("Melting_Curves/meltCurve_Q9NWZ8_GEMIN8.pdf", "Melting_Curves/meltCurve_Q9NWZ8_GEMIN8.pdf")</f>
        <v>Melting_Curves/meltCurve_Q9NWZ8_GEMIN8.pdf</v>
      </c>
    </row>
    <row r="5305" spans="1:28" x14ac:dyDescent="0.25">
      <c r="A5305" t="s">
        <v>5309</v>
      </c>
      <c r="B5305">
        <v>0.99996721820229495</v>
      </c>
      <c r="C5305">
        <v>1.0590954931471801</v>
      </c>
      <c r="D5305">
        <v>1.0472483041854701</v>
      </c>
      <c r="E5305">
        <v>0.86005478548653402</v>
      </c>
      <c r="F5305">
        <v>0.72259579325803902</v>
      </c>
      <c r="G5305">
        <v>0.66183027057028998</v>
      </c>
      <c r="H5305">
        <v>0.37894972025547802</v>
      </c>
      <c r="I5305">
        <v>0.26586926734396499</v>
      </c>
      <c r="J5305">
        <v>0.23207108230318099</v>
      </c>
      <c r="K5305">
        <v>0.15282169772774901</v>
      </c>
      <c r="L5305">
        <v>724.41265689337695</v>
      </c>
      <c r="M5305">
        <v>12.4316219204722</v>
      </c>
      <c r="N5305">
        <v>58.808432553553203</v>
      </c>
      <c r="O5305">
        <v>56.825569043911003</v>
      </c>
      <c r="P5305">
        <v>-5.1770238094539199E-2</v>
      </c>
      <c r="Q5305">
        <v>5.3621783954384397E-2</v>
      </c>
      <c r="R5305">
        <v>0.979942792738968</v>
      </c>
      <c r="S5305" t="s">
        <v>11131</v>
      </c>
      <c r="T5305" t="s">
        <v>11650</v>
      </c>
      <c r="U5305" t="s">
        <v>11650</v>
      </c>
      <c r="V5305" t="s">
        <v>11650</v>
      </c>
      <c r="W5305" t="s">
        <v>16897</v>
      </c>
      <c r="X5305">
        <v>2</v>
      </c>
      <c r="Y5305" t="s">
        <v>22561</v>
      </c>
      <c r="Z5305" t="s">
        <v>28367</v>
      </c>
      <c r="AA5305">
        <v>0.64124209602815008</v>
      </c>
      <c r="AB5305" t="str">
        <f>HYPERLINK("Melting_Curves/meltCurve_Q9NX01_TXNL4B.pdf", "Melting_Curves/meltCurve_Q9NX01_TXNL4B.pdf")</f>
        <v>Melting_Curves/meltCurve_Q9NX01_TXNL4B.pdf</v>
      </c>
    </row>
    <row r="5306" spans="1:28" x14ac:dyDescent="0.25">
      <c r="A5306" t="s">
        <v>5310</v>
      </c>
      <c r="B5306">
        <v>0.99996721820229495</v>
      </c>
      <c r="C5306">
        <v>1.0247344986093201</v>
      </c>
      <c r="D5306">
        <v>0.98486413943227002</v>
      </c>
      <c r="E5306">
        <v>1.0692090123053599</v>
      </c>
      <c r="F5306">
        <v>1.09416441670773</v>
      </c>
      <c r="G5306">
        <v>0.77640247532447304</v>
      </c>
      <c r="H5306">
        <v>0.374866380294269</v>
      </c>
      <c r="I5306">
        <v>0.22851083354250501</v>
      </c>
      <c r="J5306">
        <v>0.12742239363497401</v>
      </c>
      <c r="K5306">
        <v>0.21462572651010201</v>
      </c>
      <c r="L5306">
        <v>2106.53181988293</v>
      </c>
      <c r="M5306">
        <v>35.786505949400599</v>
      </c>
      <c r="N5306">
        <v>59.576030405502301</v>
      </c>
      <c r="O5306">
        <v>58.680949389253399</v>
      </c>
      <c r="P5306">
        <v>-0.12593015110736899</v>
      </c>
      <c r="Q5306">
        <v>0.174026327443141</v>
      </c>
      <c r="R5306">
        <v>0.98378959719821601</v>
      </c>
      <c r="S5306" t="s">
        <v>11132</v>
      </c>
      <c r="T5306" t="s">
        <v>11650</v>
      </c>
      <c r="U5306" t="s">
        <v>11650</v>
      </c>
      <c r="V5306" t="s">
        <v>11650</v>
      </c>
      <c r="W5306" t="s">
        <v>16898</v>
      </c>
      <c r="X5306">
        <v>5</v>
      </c>
      <c r="Y5306" t="s">
        <v>22562</v>
      </c>
      <c r="Z5306" t="s">
        <v>28368</v>
      </c>
      <c r="AA5306">
        <v>0.69737262932472577</v>
      </c>
      <c r="AB5306" t="str">
        <f>HYPERLINK("Melting_Curves/meltCurve_Q9NX08_COMMD8.pdf", "Melting_Curves/meltCurve_Q9NX08_COMMD8.pdf")</f>
        <v>Melting_Curves/meltCurve_Q9NX08_COMMD8.pdf</v>
      </c>
    </row>
    <row r="5307" spans="1:28" x14ac:dyDescent="0.25">
      <c r="A5307" t="s">
        <v>5311</v>
      </c>
      <c r="B5307">
        <v>0.99996721820229495</v>
      </c>
      <c r="C5307">
        <v>0.98338745586377896</v>
      </c>
      <c r="D5307">
        <v>0.97937818514230601</v>
      </c>
      <c r="E5307">
        <v>1.1757419469453201</v>
      </c>
      <c r="F5307">
        <v>1.54954649322976</v>
      </c>
      <c r="G5307">
        <v>1.6993004518811501</v>
      </c>
      <c r="H5307">
        <v>1.49257705197849</v>
      </c>
      <c r="I5307">
        <v>1.78862611012616</v>
      </c>
      <c r="J5307">
        <v>1.8864935511734799</v>
      </c>
      <c r="K5307">
        <v>1.4532971899045799</v>
      </c>
      <c r="L5307">
        <v>12530.626032886399</v>
      </c>
      <c r="M5307">
        <v>250</v>
      </c>
      <c r="O5307">
        <v>50.119291864831702</v>
      </c>
      <c r="P5307">
        <v>0.623512342298287</v>
      </c>
      <c r="Q5307">
        <v>1.5</v>
      </c>
      <c r="R5307">
        <v>0.74082914910021003</v>
      </c>
      <c r="S5307" t="s">
        <v>11133</v>
      </c>
      <c r="T5307" t="s">
        <v>11650</v>
      </c>
      <c r="U5307" t="s">
        <v>11650</v>
      </c>
      <c r="V5307" t="s">
        <v>11650</v>
      </c>
      <c r="W5307" t="s">
        <v>16899</v>
      </c>
      <c r="X5307">
        <v>2</v>
      </c>
      <c r="Y5307" t="s">
        <v>22563</v>
      </c>
      <c r="Z5307" t="s">
        <v>28369</v>
      </c>
      <c r="AA5307">
        <v>1.3312476157002371</v>
      </c>
      <c r="AB5307" t="str">
        <f>HYPERLINK("Melting_Curves/meltCurve_Q9NX14_NDUFB11.pdf", "Melting_Curves/meltCurve_Q9NX14_NDUFB11.pdf")</f>
        <v>Melting_Curves/meltCurve_Q9NX14_NDUFB11.pdf</v>
      </c>
    </row>
    <row r="5308" spans="1:28" x14ac:dyDescent="0.25">
      <c r="A5308" t="s">
        <v>5312</v>
      </c>
      <c r="B5308">
        <v>0.99996721820229495</v>
      </c>
      <c r="C5308">
        <v>0.836142460245478</v>
      </c>
      <c r="D5308">
        <v>0.88085787227474599</v>
      </c>
      <c r="E5308">
        <v>1.0011713443786401</v>
      </c>
      <c r="F5308">
        <v>1.2986766416325899</v>
      </c>
      <c r="G5308">
        <v>1.3702598885318</v>
      </c>
      <c r="H5308">
        <v>1.1679319460242901</v>
      </c>
      <c r="I5308">
        <v>0.98266544097330699</v>
      </c>
      <c r="J5308">
        <v>0.693837996311789</v>
      </c>
      <c r="K5308">
        <v>0.68959237458945599</v>
      </c>
      <c r="L5308">
        <v>10396.5660528648</v>
      </c>
      <c r="M5308">
        <v>159.61144972094601</v>
      </c>
      <c r="O5308">
        <v>65.126487147996997</v>
      </c>
      <c r="P5308">
        <v>-0.189998116813374</v>
      </c>
      <c r="Q5308">
        <v>0.68989916184615296</v>
      </c>
      <c r="R5308">
        <v>0.39101332118180898</v>
      </c>
      <c r="S5308" t="s">
        <v>11134</v>
      </c>
      <c r="T5308" t="s">
        <v>11650</v>
      </c>
      <c r="U5308" t="s">
        <v>11650</v>
      </c>
      <c r="V5308" t="s">
        <v>11650</v>
      </c>
      <c r="W5308" t="s">
        <v>16900</v>
      </c>
      <c r="X5308">
        <v>11</v>
      </c>
      <c r="Y5308" t="s">
        <v>22564</v>
      </c>
      <c r="Z5308" t="s">
        <v>28370</v>
      </c>
      <c r="AA5308">
        <v>0.94981666269046239</v>
      </c>
      <c r="AB5308" t="str">
        <f>HYPERLINK("Melting_Curves/meltCurve_Q9NX40_OCIAD1.pdf", "Melting_Curves/meltCurve_Q9NX40_OCIAD1.pdf")</f>
        <v>Melting_Curves/meltCurve_Q9NX40_OCIAD1.pdf</v>
      </c>
    </row>
    <row r="5309" spans="1:28" x14ac:dyDescent="0.25">
      <c r="A5309" t="s">
        <v>5313</v>
      </c>
      <c r="B5309">
        <v>0.99996721820229495</v>
      </c>
      <c r="C5309">
        <v>0.97587702605595505</v>
      </c>
      <c r="D5309">
        <v>0.77609012638767605</v>
      </c>
      <c r="E5309">
        <v>0.57347862167354102</v>
      </c>
      <c r="F5309">
        <v>0.413398849754125</v>
      </c>
      <c r="G5309">
        <v>0.29625075335419998</v>
      </c>
      <c r="H5309">
        <v>0.19497999037130301</v>
      </c>
      <c r="I5309">
        <v>0.12653850861747501</v>
      </c>
      <c r="J5309">
        <v>0.103540777667505</v>
      </c>
      <c r="K5309">
        <v>7.3438594235246193E-2</v>
      </c>
      <c r="L5309">
        <v>628.67859824303105</v>
      </c>
      <c r="M5309">
        <v>12.3171660535803</v>
      </c>
      <c r="N5309">
        <v>51.588548891714701</v>
      </c>
      <c r="O5309">
        <v>49.751420002482099</v>
      </c>
      <c r="P5309">
        <v>-5.8112791105812203E-2</v>
      </c>
      <c r="Q5309">
        <v>6.1289281294399797E-2</v>
      </c>
      <c r="R5309">
        <v>0.99331132213359297</v>
      </c>
      <c r="S5309" t="s">
        <v>11135</v>
      </c>
      <c r="T5309" t="s">
        <v>11650</v>
      </c>
      <c r="U5309" t="s">
        <v>11650</v>
      </c>
      <c r="V5309" t="s">
        <v>11650</v>
      </c>
      <c r="W5309" t="s">
        <v>16901</v>
      </c>
      <c r="X5309">
        <v>13</v>
      </c>
      <c r="Y5309" t="s">
        <v>22565</v>
      </c>
      <c r="Z5309" t="s">
        <v>28371</v>
      </c>
      <c r="AA5309">
        <v>0.43617567342085889</v>
      </c>
      <c r="AB5309" t="str">
        <f>HYPERLINK("Melting_Curves/meltCurve_Q9NX46_ADPRHL2.pdf", "Melting_Curves/meltCurve_Q9NX46_ADPRHL2.pdf")</f>
        <v>Melting_Curves/meltCurve_Q9NX46_ADPRHL2.pdf</v>
      </c>
    </row>
    <row r="5310" spans="1:28" x14ac:dyDescent="0.25">
      <c r="A5310" t="s">
        <v>5314</v>
      </c>
      <c r="B5310">
        <v>0.99996721820229495</v>
      </c>
      <c r="C5310">
        <v>1.1289351648685</v>
      </c>
      <c r="D5310">
        <v>1.2196461508121099</v>
      </c>
      <c r="E5310">
        <v>1.2731770445592401</v>
      </c>
      <c r="F5310">
        <v>1.6973158843891401</v>
      </c>
      <c r="G5310">
        <v>1.5482517027093301</v>
      </c>
      <c r="H5310">
        <v>0.88210653618661505</v>
      </c>
      <c r="I5310">
        <v>0.29507577007754099</v>
      </c>
      <c r="J5310">
        <v>0.13310315682955101</v>
      </c>
      <c r="K5310">
        <v>0.13343515946766801</v>
      </c>
      <c r="L5310">
        <v>4495.0473137423896</v>
      </c>
      <c r="M5310">
        <v>71.728611959612394</v>
      </c>
      <c r="N5310">
        <v>62.932879831852802</v>
      </c>
      <c r="O5310">
        <v>62.618761727387302</v>
      </c>
      <c r="P5310">
        <v>-0.24898902370859299</v>
      </c>
      <c r="Q5310">
        <v>0.13053484506544999</v>
      </c>
      <c r="R5310">
        <v>0.67938153466138196</v>
      </c>
      <c r="S5310" t="s">
        <v>11136</v>
      </c>
      <c r="T5310" t="s">
        <v>11650</v>
      </c>
      <c r="U5310" t="s">
        <v>11650</v>
      </c>
      <c r="V5310" t="s">
        <v>11650</v>
      </c>
      <c r="W5310" t="s">
        <v>16902</v>
      </c>
      <c r="X5310">
        <v>2</v>
      </c>
      <c r="Y5310" t="s">
        <v>22566</v>
      </c>
      <c r="Z5310" t="s">
        <v>28372</v>
      </c>
      <c r="AA5310">
        <v>0.78863271360776754</v>
      </c>
      <c r="AB5310" t="str">
        <f>HYPERLINK("Melting_Curves/meltCurve_Q9NX47_MARCH5.pdf", "Melting_Curves/meltCurve_Q9NX47_MARCH5.pdf")</f>
        <v>Melting_Curves/meltCurve_Q9NX47_MARCH5.pdf</v>
      </c>
    </row>
    <row r="5311" spans="1:28" x14ac:dyDescent="0.25">
      <c r="A5311" t="s">
        <v>5315</v>
      </c>
      <c r="B5311">
        <v>0.99996721820229495</v>
      </c>
      <c r="C5311">
        <v>0.98561070884670499</v>
      </c>
      <c r="D5311">
        <v>1.0060769877992399</v>
      </c>
      <c r="E5311">
        <v>1.1321751326895999</v>
      </c>
      <c r="F5311">
        <v>1.5620775052823199</v>
      </c>
      <c r="G5311">
        <v>1.8858904089569399</v>
      </c>
      <c r="H5311">
        <v>1.6539659906353901</v>
      </c>
      <c r="I5311">
        <v>1.6435741588577299</v>
      </c>
      <c r="J5311">
        <v>1.5027225266645701</v>
      </c>
      <c r="K5311">
        <v>1.24169489695626</v>
      </c>
      <c r="L5311">
        <v>12551.1736649534</v>
      </c>
      <c r="M5311">
        <v>250</v>
      </c>
      <c r="O5311">
        <v>50.201481895885799</v>
      </c>
      <c r="P5311">
        <v>0.622491585081827</v>
      </c>
      <c r="Q5311">
        <v>1.5</v>
      </c>
      <c r="R5311">
        <v>0.72651583446733703</v>
      </c>
      <c r="S5311" t="s">
        <v>11137</v>
      </c>
      <c r="T5311" t="s">
        <v>11650</v>
      </c>
      <c r="U5311" t="s">
        <v>11650</v>
      </c>
      <c r="V5311" t="s">
        <v>11650</v>
      </c>
      <c r="W5311" t="s">
        <v>16903</v>
      </c>
      <c r="X5311">
        <v>7</v>
      </c>
      <c r="Y5311" t="s">
        <v>22567</v>
      </c>
      <c r="Z5311" t="s">
        <v>28373</v>
      </c>
      <c r="AA5311">
        <v>1.329877701440888</v>
      </c>
      <c r="AB5311" t="str">
        <f>HYPERLINK("Melting_Curves/meltCurve_Q9NX55_HYPK.pdf", "Melting_Curves/meltCurve_Q9NX55_HYPK.pdf")</f>
        <v>Melting_Curves/meltCurve_Q9NX55_HYPK.pdf</v>
      </c>
    </row>
    <row r="5312" spans="1:28" x14ac:dyDescent="0.25">
      <c r="A5312" t="s">
        <v>5316</v>
      </c>
      <c r="B5312">
        <v>0.99996721820229495</v>
      </c>
      <c r="C5312">
        <v>0.71677745875157495</v>
      </c>
      <c r="D5312">
        <v>0.82834903910061697</v>
      </c>
      <c r="E5312">
        <v>1.0337456319381999</v>
      </c>
      <c r="F5312">
        <v>1.22080368871918</v>
      </c>
      <c r="G5312">
        <v>1.1102790164830001</v>
      </c>
      <c r="H5312">
        <v>0.76628120844821901</v>
      </c>
      <c r="I5312">
        <v>0.29255875628230199</v>
      </c>
      <c r="J5312">
        <v>0.14931514361339199</v>
      </c>
      <c r="K5312">
        <v>0.16493714770483101</v>
      </c>
      <c r="L5312">
        <v>3587.2757800618601</v>
      </c>
      <c r="M5312">
        <v>57.787318416464799</v>
      </c>
      <c r="N5312">
        <v>62.476959959039299</v>
      </c>
      <c r="O5312">
        <v>62.002994962733098</v>
      </c>
      <c r="P5312">
        <v>-0.196993521440368</v>
      </c>
      <c r="Q5312">
        <v>0.15454222050866201</v>
      </c>
      <c r="R5312">
        <v>0.87694813897524904</v>
      </c>
      <c r="S5312" t="s">
        <v>11138</v>
      </c>
      <c r="T5312" t="s">
        <v>11650</v>
      </c>
      <c r="U5312" t="s">
        <v>11650</v>
      </c>
      <c r="V5312" t="s">
        <v>11650</v>
      </c>
      <c r="W5312" t="s">
        <v>16904</v>
      </c>
      <c r="X5312">
        <v>12</v>
      </c>
      <c r="Y5312" t="s">
        <v>22568</v>
      </c>
      <c r="Z5312" t="s">
        <v>28374</v>
      </c>
      <c r="AA5312">
        <v>0.77839353173795345</v>
      </c>
      <c r="AB5312" t="str">
        <f>HYPERLINK("Melting_Curves/meltCurve_Q9NX62_IMPAD1.pdf", "Melting_Curves/meltCurve_Q9NX62_IMPAD1.pdf")</f>
        <v>Melting_Curves/meltCurve_Q9NX62_IMPAD1.pdf</v>
      </c>
    </row>
    <row r="5313" spans="1:28" x14ac:dyDescent="0.25">
      <c r="A5313" t="s">
        <v>5317</v>
      </c>
      <c r="B5313">
        <v>0.99996721820229495</v>
      </c>
      <c r="C5313">
        <v>0.99515453549849997</v>
      </c>
      <c r="D5313">
        <v>0.87555426388247404</v>
      </c>
      <c r="E5313">
        <v>0.66729133658022299</v>
      </c>
      <c r="F5313">
        <v>0.67703114552004595</v>
      </c>
      <c r="G5313">
        <v>0.59282045568661002</v>
      </c>
      <c r="H5313">
        <v>0.38140329182673699</v>
      </c>
      <c r="I5313">
        <v>0.32809708119884301</v>
      </c>
      <c r="J5313">
        <v>0.24621794678727299</v>
      </c>
      <c r="K5313">
        <v>0.19401290994347301</v>
      </c>
      <c r="L5313">
        <v>444.766391054515</v>
      </c>
      <c r="M5313">
        <v>7.7035339032929402</v>
      </c>
      <c r="N5313">
        <v>57.735383029687</v>
      </c>
      <c r="O5313">
        <v>54.231270760301101</v>
      </c>
      <c r="P5313">
        <v>-3.5558649735051802E-2</v>
      </c>
      <c r="Q5313">
        <v>0</v>
      </c>
      <c r="R5313">
        <v>0.97549035546827401</v>
      </c>
      <c r="S5313" t="s">
        <v>11139</v>
      </c>
      <c r="T5313" t="s">
        <v>11650</v>
      </c>
      <c r="U5313" t="s">
        <v>11650</v>
      </c>
      <c r="V5313" t="s">
        <v>11650</v>
      </c>
      <c r="W5313" t="s">
        <v>16905</v>
      </c>
      <c r="X5313">
        <v>4</v>
      </c>
      <c r="Y5313" t="s">
        <v>22569</v>
      </c>
      <c r="Z5313" t="s">
        <v>28375</v>
      </c>
      <c r="AA5313">
        <v>0.59579873319029786</v>
      </c>
      <c r="AB5313" t="str">
        <f>HYPERLINK("Melting_Curves/meltCurve_Q9NX70_MED29.pdf", "Melting_Curves/meltCurve_Q9NX70_MED29.pdf")</f>
        <v>Melting_Curves/meltCurve_Q9NX70_MED29.pdf</v>
      </c>
    </row>
    <row r="5314" spans="1:28" x14ac:dyDescent="0.25">
      <c r="A5314" t="s">
        <v>5318</v>
      </c>
      <c r="B5314">
        <v>0.99996721820229495</v>
      </c>
      <c r="C5314">
        <v>0.90288846494577202</v>
      </c>
      <c r="D5314">
        <v>0.80989219481011399</v>
      </c>
      <c r="E5314">
        <v>0.54982790647232005</v>
      </c>
      <c r="F5314">
        <v>0.39556866602631102</v>
      </c>
      <c r="G5314">
        <v>0.31764697083427701</v>
      </c>
      <c r="H5314">
        <v>0.23765285658115401</v>
      </c>
      <c r="I5314">
        <v>0.12143748081106601</v>
      </c>
      <c r="J5314">
        <v>9.5842958036100295E-2</v>
      </c>
      <c r="K5314">
        <v>8.4938809445354896E-2</v>
      </c>
      <c r="L5314">
        <v>580.79199051232604</v>
      </c>
      <c r="M5314">
        <v>11.3907086825695</v>
      </c>
      <c r="N5314">
        <v>51.5454037011705</v>
      </c>
      <c r="O5314">
        <v>49.4925895758645</v>
      </c>
      <c r="P5314">
        <v>-5.4220595497556701E-2</v>
      </c>
      <c r="Q5314">
        <v>5.7924790308155102E-2</v>
      </c>
      <c r="R5314">
        <v>0.99085859215704797</v>
      </c>
      <c r="S5314" t="s">
        <v>11140</v>
      </c>
      <c r="T5314" t="s">
        <v>11650</v>
      </c>
      <c r="U5314" t="s">
        <v>11650</v>
      </c>
      <c r="V5314" t="s">
        <v>11650</v>
      </c>
      <c r="W5314" t="s">
        <v>16906</v>
      </c>
      <c r="X5314">
        <v>7</v>
      </c>
      <c r="Y5314" t="s">
        <v>22570</v>
      </c>
      <c r="Z5314" t="s">
        <v>28376</v>
      </c>
      <c r="AA5314">
        <v>0.43606531567877521</v>
      </c>
      <c r="AB5314" t="str">
        <f>HYPERLINK("Melting_Curves/meltCurve_Q9NX74_DUS2L.pdf", "Melting_Curves/meltCurve_Q9NX74_DUS2L.pdf")</f>
        <v>Melting_Curves/meltCurve_Q9NX74_DUS2L.pdf</v>
      </c>
    </row>
    <row r="5315" spans="1:28" x14ac:dyDescent="0.25">
      <c r="A5315" t="s">
        <v>5319</v>
      </c>
      <c r="B5315">
        <v>0.99996721820229495</v>
      </c>
      <c r="C5315">
        <v>1.0035014938309801</v>
      </c>
      <c r="D5315">
        <v>0.97722381770601396</v>
      </c>
      <c r="E5315">
        <v>0.82897754666954304</v>
      </c>
      <c r="F5315">
        <v>0.79288655856354995</v>
      </c>
      <c r="G5315">
        <v>0.84833069331496502</v>
      </c>
      <c r="H5315">
        <v>0.64888704304925104</v>
      </c>
      <c r="I5315">
        <v>0.50924613038558397</v>
      </c>
      <c r="J5315">
        <v>0.40012116901446199</v>
      </c>
      <c r="K5315">
        <v>0.329894598669353</v>
      </c>
      <c r="L5315">
        <v>532.81138970371205</v>
      </c>
      <c r="M5315">
        <v>8.2524002986717999</v>
      </c>
      <c r="N5315">
        <v>64.564411865924001</v>
      </c>
      <c r="O5315">
        <v>61.106057683964998</v>
      </c>
      <c r="P5315">
        <v>-3.3796608497159701E-2</v>
      </c>
      <c r="Q5315">
        <v>0</v>
      </c>
      <c r="R5315">
        <v>0.95672976129474196</v>
      </c>
      <c r="S5315" t="s">
        <v>11141</v>
      </c>
      <c r="T5315" t="s">
        <v>11650</v>
      </c>
      <c r="U5315" t="s">
        <v>11650</v>
      </c>
      <c r="V5315" t="s">
        <v>11650</v>
      </c>
      <c r="W5315" t="s">
        <v>16907</v>
      </c>
      <c r="X5315">
        <v>4</v>
      </c>
      <c r="Y5315" t="s">
        <v>22571</v>
      </c>
      <c r="Z5315" t="s">
        <v>28377</v>
      </c>
      <c r="AA5315">
        <v>0.75247750423131887</v>
      </c>
      <c r="AB5315" t="str">
        <f>HYPERLINK("Melting_Curves/meltCurve_Q9NX94_WBP1L.pdf", "Melting_Curves/meltCurve_Q9NX94_WBP1L.pdf")</f>
        <v>Melting_Curves/meltCurve_Q9NX94_WBP1L.pdf</v>
      </c>
    </row>
    <row r="5316" spans="1:28" x14ac:dyDescent="0.25">
      <c r="A5316" t="s">
        <v>5320</v>
      </c>
      <c r="B5316">
        <v>0.99996721820229495</v>
      </c>
      <c r="C5316">
        <v>0.98935363960826705</v>
      </c>
      <c r="D5316">
        <v>0.87228110736047504</v>
      </c>
      <c r="E5316">
        <v>0.76294755669000902</v>
      </c>
      <c r="F5316">
        <v>0.45829020883695898</v>
      </c>
      <c r="G5316">
        <v>0.32132881831946702</v>
      </c>
      <c r="H5316">
        <v>0.16892242739608099</v>
      </c>
      <c r="I5316">
        <v>0.115257692231367</v>
      </c>
      <c r="J5316">
        <v>7.85944509916576E-2</v>
      </c>
      <c r="K5316">
        <v>7.3452599805336902E-2</v>
      </c>
      <c r="L5316">
        <v>776.14102508958297</v>
      </c>
      <c r="M5316">
        <v>14.682733227368301</v>
      </c>
      <c r="N5316">
        <v>53.221737426133998</v>
      </c>
      <c r="O5316">
        <v>51.909290726685498</v>
      </c>
      <c r="P5316">
        <v>-6.7369785069807106E-2</v>
      </c>
      <c r="Q5316">
        <v>4.7388909374733203E-2</v>
      </c>
      <c r="R5316">
        <v>0.99393003169715799</v>
      </c>
      <c r="S5316" t="s">
        <v>11142</v>
      </c>
      <c r="T5316" t="s">
        <v>11650</v>
      </c>
      <c r="U5316" t="s">
        <v>11650</v>
      </c>
      <c r="V5316" t="s">
        <v>11650</v>
      </c>
      <c r="W5316" t="s">
        <v>16908</v>
      </c>
      <c r="X5316">
        <v>10</v>
      </c>
      <c r="Y5316" t="s">
        <v>22572</v>
      </c>
      <c r="Z5316" t="s">
        <v>28378</v>
      </c>
      <c r="AA5316">
        <v>0.47701070021381681</v>
      </c>
      <c r="AB5316" t="str">
        <f>HYPERLINK("Melting_Curves/meltCurve_Q9NXA8_SIRT5.pdf", "Melting_Curves/meltCurve_Q9NXA8_SIRT5.pdf")</f>
        <v>Melting_Curves/meltCurve_Q9NXA8_SIRT5.pdf</v>
      </c>
    </row>
    <row r="5317" spans="1:28" x14ac:dyDescent="0.25">
      <c r="A5317" t="s">
        <v>5321</v>
      </c>
      <c r="B5317">
        <v>0.99996721820229495</v>
      </c>
      <c r="C5317">
        <v>0.99994095846345898</v>
      </c>
      <c r="D5317">
        <v>1.0483523042551901</v>
      </c>
      <c r="E5317">
        <v>1.2975801752726099</v>
      </c>
      <c r="F5317">
        <v>1.9569939017918301</v>
      </c>
      <c r="G5317">
        <v>1.83306516362047</v>
      </c>
      <c r="H5317">
        <v>0.31361939663852401</v>
      </c>
      <c r="I5317">
        <v>0.146952960835812</v>
      </c>
      <c r="J5317">
        <v>0.12205445272290399</v>
      </c>
      <c r="K5317">
        <v>0.14325198815660101</v>
      </c>
      <c r="L5317">
        <v>15000</v>
      </c>
      <c r="M5317">
        <v>247.26144339750999</v>
      </c>
      <c r="N5317">
        <v>60.743476926607599</v>
      </c>
      <c r="O5317">
        <v>60.660585208517098</v>
      </c>
      <c r="P5317">
        <v>-0.87900208835633797</v>
      </c>
      <c r="Q5317">
        <v>0.137418885491396</v>
      </c>
      <c r="R5317">
        <v>0.60206469170591903</v>
      </c>
      <c r="S5317" t="s">
        <v>11143</v>
      </c>
      <c r="T5317" t="s">
        <v>11650</v>
      </c>
      <c r="U5317" t="s">
        <v>11650</v>
      </c>
      <c r="V5317" t="s">
        <v>11650</v>
      </c>
      <c r="W5317" t="s">
        <v>16909</v>
      </c>
      <c r="X5317">
        <v>2</v>
      </c>
      <c r="Y5317" t="s">
        <v>22573</v>
      </c>
      <c r="Z5317" t="s">
        <v>28379</v>
      </c>
      <c r="AA5317">
        <v>0.7316739641550899</v>
      </c>
      <c r="AB5317" t="str">
        <f>HYPERLINK("Melting_Curves/meltCurve_Q9NXC5_MIOS.pdf", "Melting_Curves/meltCurve_Q9NXC5_MIOS.pdf")</f>
        <v>Melting_Curves/meltCurve_Q9NXC5_MIOS.pdf</v>
      </c>
    </row>
    <row r="5318" spans="1:28" x14ac:dyDescent="0.25">
      <c r="A5318" t="s">
        <v>5322</v>
      </c>
      <c r="B5318">
        <v>0.99996721820229495</v>
      </c>
      <c r="C5318">
        <v>0.93675838538402501</v>
      </c>
      <c r="D5318">
        <v>0.97444782747879899</v>
      </c>
      <c r="E5318">
        <v>1.2120595850118201</v>
      </c>
      <c r="F5318">
        <v>0.99925555373765096</v>
      </c>
      <c r="G5318">
        <v>0.69307097636692305</v>
      </c>
      <c r="H5318">
        <v>0.34023469525977801</v>
      </c>
      <c r="I5318">
        <v>0.196296217032492</v>
      </c>
      <c r="J5318">
        <v>0.130099506009558</v>
      </c>
      <c r="K5318">
        <v>0.120038003293676</v>
      </c>
      <c r="L5318">
        <v>1769.8626737497</v>
      </c>
      <c r="M5318">
        <v>30.266050190760101</v>
      </c>
      <c r="N5318">
        <v>59.031411074293501</v>
      </c>
      <c r="O5318">
        <v>58.223325189588401</v>
      </c>
      <c r="P5318">
        <v>-0.113876007594852</v>
      </c>
      <c r="Q5318">
        <v>0.123744517413137</v>
      </c>
      <c r="R5318">
        <v>0.96564598159890902</v>
      </c>
      <c r="S5318" t="s">
        <v>11144</v>
      </c>
      <c r="T5318" t="s">
        <v>11650</v>
      </c>
      <c r="U5318" t="s">
        <v>11650</v>
      </c>
      <c r="V5318" t="s">
        <v>11650</v>
      </c>
      <c r="W5318" t="s">
        <v>16910</v>
      </c>
      <c r="X5318">
        <v>2</v>
      </c>
      <c r="Y5318" t="s">
        <v>22574</v>
      </c>
      <c r="Z5318" t="s">
        <v>28380</v>
      </c>
      <c r="AA5318">
        <v>0.66905271452269899</v>
      </c>
      <c r="AB5318" t="str">
        <f>HYPERLINK("Melting_Curves/meltCurve_Q9NXF8_ZDHHC7.pdf", "Melting_Curves/meltCurve_Q9NXF8_ZDHHC7.pdf")</f>
        <v>Melting_Curves/meltCurve_Q9NXF8_ZDHHC7.pdf</v>
      </c>
    </row>
    <row r="5319" spans="1:28" x14ac:dyDescent="0.25">
      <c r="A5319" t="s">
        <v>5323</v>
      </c>
      <c r="B5319">
        <v>0.99996721820229495</v>
      </c>
      <c r="C5319">
        <v>0.77141667124176105</v>
      </c>
      <c r="D5319">
        <v>0.69800994572511499</v>
      </c>
      <c r="E5319">
        <v>0.84688263430381605</v>
      </c>
      <c r="F5319">
        <v>0.99255664277256594</v>
      </c>
      <c r="G5319">
        <v>0.70175307471385695</v>
      </c>
      <c r="H5319">
        <v>0.62855339459772297</v>
      </c>
      <c r="I5319">
        <v>0.58955706111023898</v>
      </c>
      <c r="J5319">
        <v>0.43348302096157099</v>
      </c>
      <c r="K5319">
        <v>0.421095900018229</v>
      </c>
      <c r="L5319">
        <v>295.307663597594</v>
      </c>
      <c r="M5319">
        <v>4.3736824452090604</v>
      </c>
      <c r="N5319">
        <v>67.519235806812603</v>
      </c>
      <c r="O5319">
        <v>56.933422936897102</v>
      </c>
      <c r="P5319">
        <v>-1.9389842274877899E-2</v>
      </c>
      <c r="Q5319">
        <v>0</v>
      </c>
      <c r="R5319">
        <v>0.67288286602695502</v>
      </c>
      <c r="S5319" t="s">
        <v>11145</v>
      </c>
      <c r="T5319" t="s">
        <v>11650</v>
      </c>
      <c r="U5319" t="s">
        <v>11650</v>
      </c>
      <c r="V5319" t="s">
        <v>11650</v>
      </c>
      <c r="W5319" t="s">
        <v>16911</v>
      </c>
      <c r="X5319">
        <v>5</v>
      </c>
      <c r="Y5319" t="s">
        <v>22575</v>
      </c>
      <c r="Z5319" t="s">
        <v>28381</v>
      </c>
      <c r="AA5319">
        <v>0.72295140173015338</v>
      </c>
      <c r="AB5319" t="str">
        <f>HYPERLINK("Melting_Curves/meltCurve_Q9NXG6_P4HTM.pdf", "Melting_Curves/meltCurve_Q9NXG6_P4HTM.pdf")</f>
        <v>Melting_Curves/meltCurve_Q9NXG6_P4HTM.pdf</v>
      </c>
    </row>
    <row r="5320" spans="1:28" x14ac:dyDescent="0.25">
      <c r="A5320" t="s">
        <v>5324</v>
      </c>
      <c r="B5320">
        <v>0.99996721820229495</v>
      </c>
      <c r="C5320">
        <v>0.88294003926895404</v>
      </c>
      <c r="D5320">
        <v>0.57083464630287595</v>
      </c>
      <c r="E5320">
        <v>0.32611897723039501</v>
      </c>
      <c r="F5320">
        <v>0.30373675058292998</v>
      </c>
      <c r="G5320">
        <v>0.19440169042158301</v>
      </c>
      <c r="H5320">
        <v>0.13409362898518301</v>
      </c>
      <c r="I5320">
        <v>6.7632264408791901E-2</v>
      </c>
      <c r="J5320">
        <v>6.8632712041173993E-2</v>
      </c>
      <c r="K5320">
        <v>5.0070757131302497E-2</v>
      </c>
      <c r="L5320">
        <v>692.20309712685196</v>
      </c>
      <c r="M5320">
        <v>14.6278045781903</v>
      </c>
      <c r="N5320">
        <v>47.865432952048103</v>
      </c>
      <c r="O5320">
        <v>46.463051933078702</v>
      </c>
      <c r="P5320">
        <v>-7.2683383262700005E-2</v>
      </c>
      <c r="Q5320">
        <v>7.6631175590321995E-2</v>
      </c>
      <c r="R5320">
        <v>0.98009716029187299</v>
      </c>
      <c r="S5320" t="s">
        <v>11146</v>
      </c>
      <c r="T5320" t="s">
        <v>11650</v>
      </c>
      <c r="U5320" t="s">
        <v>11650</v>
      </c>
      <c r="V5320" t="s">
        <v>11650</v>
      </c>
      <c r="W5320" t="s">
        <v>16912</v>
      </c>
      <c r="X5320">
        <v>1</v>
      </c>
      <c r="Y5320" t="s">
        <v>22576</v>
      </c>
      <c r="Z5320" t="s">
        <v>28382</v>
      </c>
      <c r="AA5320">
        <v>0.32786227939995372</v>
      </c>
      <c r="AB5320" t="str">
        <f>HYPERLINK("Melting_Curves/meltCurve_Q9NXH8_TOR4A.pdf", "Melting_Curves/meltCurve_Q9NXH8_TOR4A.pdf")</f>
        <v>Melting_Curves/meltCurve_Q9NXH8_TOR4A.pdf</v>
      </c>
    </row>
    <row r="5321" spans="1:28" x14ac:dyDescent="0.25">
      <c r="A5321" t="s">
        <v>5325</v>
      </c>
      <c r="B5321">
        <v>0.99996721820229495</v>
      </c>
      <c r="C5321">
        <v>0.91172134605397004</v>
      </c>
      <c r="D5321">
        <v>1.0545008902597099</v>
      </c>
      <c r="E5321">
        <v>1.42213209884077</v>
      </c>
      <c r="F5321">
        <v>2.1972317836472199</v>
      </c>
      <c r="G5321">
        <v>2.6817908026658301</v>
      </c>
      <c r="H5321">
        <v>1.4678680054119699</v>
      </c>
      <c r="I5321">
        <v>0.46679891692803799</v>
      </c>
      <c r="J5321">
        <v>0.29667137287393203</v>
      </c>
      <c r="K5321">
        <v>0.27707874314334702</v>
      </c>
      <c r="L5321">
        <v>15000</v>
      </c>
      <c r="M5321">
        <v>235.46069081208799</v>
      </c>
      <c r="N5321">
        <v>63.936418625473102</v>
      </c>
      <c r="O5321">
        <v>63.700309386597702</v>
      </c>
      <c r="P5321">
        <v>-0.65901761973569895</v>
      </c>
      <c r="Q5321">
        <v>0.28685126300006503</v>
      </c>
      <c r="R5321">
        <v>0.174339275523481</v>
      </c>
      <c r="S5321" t="s">
        <v>11147</v>
      </c>
      <c r="T5321" t="s">
        <v>11650</v>
      </c>
      <c r="U5321" t="s">
        <v>11650</v>
      </c>
      <c r="V5321" t="s">
        <v>11650</v>
      </c>
      <c r="W5321" t="s">
        <v>16913</v>
      </c>
      <c r="X5321">
        <v>14</v>
      </c>
      <c r="Y5321" t="s">
        <v>22577</v>
      </c>
      <c r="Z5321" t="s">
        <v>28383</v>
      </c>
      <c r="AA5321">
        <v>0.85044515404949017</v>
      </c>
      <c r="AB5321" t="str">
        <f>HYPERLINK("Melting_Curves/meltCurve_Q9NXH9_TRMT1.pdf", "Melting_Curves/meltCurve_Q9NXH9_TRMT1.pdf")</f>
        <v>Melting_Curves/meltCurve_Q9NXH9_TRMT1.pdf</v>
      </c>
    </row>
    <row r="5322" spans="1:28" x14ac:dyDescent="0.25">
      <c r="A5322" t="s">
        <v>5326</v>
      </c>
      <c r="B5322">
        <v>0.99996721820229495</v>
      </c>
      <c r="C5322">
        <v>1.16257079020331</v>
      </c>
      <c r="D5322">
        <v>1.05040356954477</v>
      </c>
      <c r="E5322">
        <v>0.65306488443182198</v>
      </c>
      <c r="F5322">
        <v>0.60370739537448204</v>
      </c>
      <c r="G5322">
        <v>0.48220139433845</v>
      </c>
      <c r="H5322">
        <v>0.27327643176060801</v>
      </c>
      <c r="I5322">
        <v>0.151381375629631</v>
      </c>
      <c r="J5322">
        <v>0.106014055601825</v>
      </c>
      <c r="K5322">
        <v>6.8777202624261499E-2</v>
      </c>
      <c r="L5322">
        <v>693.17964420444696</v>
      </c>
      <c r="M5322">
        <v>12.5463573811776</v>
      </c>
      <c r="N5322">
        <v>55.398527628802697</v>
      </c>
      <c r="O5322">
        <v>53.902221933791601</v>
      </c>
      <c r="P5322">
        <v>-5.7236189208373901E-2</v>
      </c>
      <c r="Q5322">
        <v>1.65967407105495E-2</v>
      </c>
      <c r="R5322">
        <v>0.94905086004811201</v>
      </c>
      <c r="S5322" t="s">
        <v>11148</v>
      </c>
      <c r="T5322" t="s">
        <v>11650</v>
      </c>
      <c r="U5322" t="s">
        <v>11650</v>
      </c>
      <c r="V5322" t="s">
        <v>11650</v>
      </c>
      <c r="W5322" t="s">
        <v>16914</v>
      </c>
      <c r="X5322">
        <v>4</v>
      </c>
      <c r="Y5322" t="s">
        <v>22578</v>
      </c>
      <c r="Z5322" t="s">
        <v>28384</v>
      </c>
      <c r="AA5322">
        <v>0.53817682469884409</v>
      </c>
      <c r="AB5322" t="str">
        <f>HYPERLINK("Melting_Curves/meltCurve_Q9NXJ5_PGPEP1.pdf", "Melting_Curves/meltCurve_Q9NXJ5_PGPEP1.pdf")</f>
        <v>Melting_Curves/meltCurve_Q9NXJ5_PGPEP1.pdf</v>
      </c>
    </row>
    <row r="5323" spans="1:28" x14ac:dyDescent="0.25">
      <c r="A5323" t="s">
        <v>5327</v>
      </c>
      <c r="B5323">
        <v>0.99996721820229495</v>
      </c>
      <c r="C5323">
        <v>0.85134236107719596</v>
      </c>
      <c r="D5323">
        <v>0.43993525022007901</v>
      </c>
      <c r="E5323">
        <v>0.27799192978492598</v>
      </c>
      <c r="F5323">
        <v>0.28704637861977</v>
      </c>
      <c r="G5323">
        <v>0.25328425570983598</v>
      </c>
      <c r="H5323">
        <v>0.163632384304954</v>
      </c>
      <c r="I5323">
        <v>9.8118515410598101E-2</v>
      </c>
      <c r="J5323">
        <v>6.7334893988154898E-2</v>
      </c>
      <c r="K5323">
        <v>5.2971950550223398E-2</v>
      </c>
      <c r="L5323">
        <v>873.92146007533097</v>
      </c>
      <c r="M5323">
        <v>19.1787943406046</v>
      </c>
      <c r="N5323">
        <v>46.3211894309812</v>
      </c>
      <c r="O5323">
        <v>45.080339558746502</v>
      </c>
      <c r="P5323">
        <v>-9.2100273564337004E-2</v>
      </c>
      <c r="Q5323">
        <v>0.13409529099800699</v>
      </c>
      <c r="R5323">
        <v>0.95120711775488997</v>
      </c>
      <c r="S5323" t="s">
        <v>11149</v>
      </c>
      <c r="T5323" t="s">
        <v>11650</v>
      </c>
      <c r="U5323" t="s">
        <v>11650</v>
      </c>
      <c r="V5323" t="s">
        <v>11650</v>
      </c>
      <c r="W5323" t="s">
        <v>16915</v>
      </c>
      <c r="X5323">
        <v>9</v>
      </c>
      <c r="Y5323" t="s">
        <v>22579</v>
      </c>
      <c r="Z5323" t="s">
        <v>28385</v>
      </c>
      <c r="AA5323">
        <v>0.31003687605257552</v>
      </c>
      <c r="AB5323" t="str">
        <f>HYPERLINK("Melting_Curves/meltCurve_Q9NXN4_2_GDAP2.pdf", "Melting_Curves/meltCurve_Q9NXN4_2_GDAP2.pdf")</f>
        <v>Melting_Curves/meltCurve_Q9NXN4_2_GDAP2.pdf</v>
      </c>
    </row>
    <row r="5324" spans="1:28" x14ac:dyDescent="0.25">
      <c r="A5324" t="s">
        <v>5328</v>
      </c>
      <c r="B5324">
        <v>0.99996721820229495</v>
      </c>
      <c r="C5324">
        <v>1.0107812920411301</v>
      </c>
      <c r="D5324">
        <v>1.01102930402608</v>
      </c>
      <c r="E5324">
        <v>0.97259120305222202</v>
      </c>
      <c r="F5324">
        <v>1.1551553202962801</v>
      </c>
      <c r="G5324">
        <v>1.2884763910687</v>
      </c>
      <c r="H5324">
        <v>0.91961379098649998</v>
      </c>
      <c r="I5324">
        <v>0.82355307029055602</v>
      </c>
      <c r="J5324">
        <v>0.99308544642990004</v>
      </c>
      <c r="K5324">
        <v>0.845819388484645</v>
      </c>
      <c r="L5324">
        <v>15000</v>
      </c>
      <c r="M5324">
        <v>246.818815012231</v>
      </c>
      <c r="O5324">
        <v>60.7693217230145</v>
      </c>
      <c r="P5324">
        <v>-0.114245647337277</v>
      </c>
      <c r="Q5324">
        <v>0.88748617910856198</v>
      </c>
      <c r="R5324">
        <v>0.26170559779652502</v>
      </c>
      <c r="S5324" t="s">
        <v>11150</v>
      </c>
      <c r="T5324" t="s">
        <v>11650</v>
      </c>
      <c r="U5324" t="s">
        <v>11650</v>
      </c>
      <c r="V5324" t="s">
        <v>11650</v>
      </c>
      <c r="W5324" t="s">
        <v>16916</v>
      </c>
      <c r="X5324">
        <v>9</v>
      </c>
      <c r="Y5324" t="s">
        <v>22580</v>
      </c>
      <c r="Z5324" t="s">
        <v>28386</v>
      </c>
      <c r="AA5324">
        <v>0.96540802883234078</v>
      </c>
      <c r="AB5324" t="str">
        <f>HYPERLINK("Melting_Curves/meltCurve_Q9NXR1_2_NDE1.pdf", "Melting_Curves/meltCurve_Q9NXR1_2_NDE1.pdf")</f>
        <v>Melting_Curves/meltCurve_Q9NXR1_2_NDE1.pdf</v>
      </c>
    </row>
    <row r="5325" spans="1:28" x14ac:dyDescent="0.25">
      <c r="A5325" t="s">
        <v>5329</v>
      </c>
      <c r="B5325">
        <v>0.99996721820229495</v>
      </c>
      <c r="C5325">
        <v>0.92826462476361205</v>
      </c>
      <c r="D5325">
        <v>0.95400096097647702</v>
      </c>
      <c r="E5325">
        <v>1.2798688302253201</v>
      </c>
      <c r="F5325">
        <v>2.0012905836025601</v>
      </c>
      <c r="G5325">
        <v>2.5777899999407299</v>
      </c>
      <c r="H5325">
        <v>1.6854979548136</v>
      </c>
      <c r="I5325">
        <v>0.67559582066817303</v>
      </c>
      <c r="J5325">
        <v>0.32028044201622702</v>
      </c>
      <c r="K5325">
        <v>0.233359450357396</v>
      </c>
      <c r="L5325">
        <v>15000</v>
      </c>
      <c r="M5325">
        <v>234.16839135323201</v>
      </c>
      <c r="N5325">
        <v>64.277853443067002</v>
      </c>
      <c r="O5325">
        <v>64.0517955987265</v>
      </c>
      <c r="P5325">
        <v>-0.66098769189047002</v>
      </c>
      <c r="Q5325">
        <v>0.27680335996045802</v>
      </c>
      <c r="R5325">
        <v>0.177953310073664</v>
      </c>
      <c r="S5325" t="s">
        <v>11151</v>
      </c>
      <c r="T5325" t="s">
        <v>11650</v>
      </c>
      <c r="U5325" t="s">
        <v>11650</v>
      </c>
      <c r="V5325" t="s">
        <v>11650</v>
      </c>
      <c r="W5325" t="s">
        <v>16917</v>
      </c>
      <c r="X5325">
        <v>13</v>
      </c>
      <c r="Y5325" t="s">
        <v>22581</v>
      </c>
      <c r="Z5325" t="s">
        <v>28387</v>
      </c>
      <c r="AA5325">
        <v>0.85681458192242121</v>
      </c>
      <c r="AB5325" t="str">
        <f>HYPERLINK("Melting_Curves/meltCurve_Q9NXR7_BRE.pdf", "Melting_Curves/meltCurve_Q9NXR7_BRE.pdf")</f>
        <v>Melting_Curves/meltCurve_Q9NXR7_BRE.pdf</v>
      </c>
    </row>
    <row r="5326" spans="1:28" x14ac:dyDescent="0.25">
      <c r="A5326" t="s">
        <v>5330</v>
      </c>
      <c r="B5326">
        <v>0.99996721820229495</v>
      </c>
      <c r="C5326">
        <v>0.89888242713671895</v>
      </c>
      <c r="D5326">
        <v>0.98673387868958096</v>
      </c>
      <c r="E5326">
        <v>0.91221471219550099</v>
      </c>
      <c r="F5326">
        <v>0.68554658083814701</v>
      </c>
      <c r="G5326">
        <v>0.47416509850896399</v>
      </c>
      <c r="H5326">
        <v>0.21638539003349699</v>
      </c>
      <c r="I5326">
        <v>9.8963511494824893E-2</v>
      </c>
      <c r="J5326">
        <v>6.1666466138347302E-2</v>
      </c>
      <c r="K5326">
        <v>5.8842550191814502E-2</v>
      </c>
      <c r="L5326">
        <v>905.963398868544</v>
      </c>
      <c r="M5326">
        <v>16.1223176284186</v>
      </c>
      <c r="N5326">
        <v>56.193124321444799</v>
      </c>
      <c r="O5326">
        <v>55.3499226817896</v>
      </c>
      <c r="P5326">
        <v>-7.2825507620600402E-2</v>
      </c>
      <c r="Q5326">
        <v>0</v>
      </c>
      <c r="R5326">
        <v>0.99067285333311805</v>
      </c>
      <c r="S5326" t="s">
        <v>11152</v>
      </c>
      <c r="T5326" t="s">
        <v>11650</v>
      </c>
      <c r="U5326" t="s">
        <v>11650</v>
      </c>
      <c r="V5326" t="s">
        <v>11650</v>
      </c>
      <c r="W5326" t="s">
        <v>16918</v>
      </c>
      <c r="X5326">
        <v>5</v>
      </c>
      <c r="Y5326" t="s">
        <v>22582</v>
      </c>
      <c r="Z5326" t="s">
        <v>28388</v>
      </c>
      <c r="AA5326">
        <v>0.55611203820442923</v>
      </c>
      <c r="AB5326" t="str">
        <f>HYPERLINK("Melting_Curves/meltCurve_Q9NXU5_ARL15.pdf", "Melting_Curves/meltCurve_Q9NXU5_ARL15.pdf")</f>
        <v>Melting_Curves/meltCurve_Q9NXU5_ARL15.pdf</v>
      </c>
    </row>
    <row r="5327" spans="1:28" x14ac:dyDescent="0.25">
      <c r="A5327" t="s">
        <v>5331</v>
      </c>
      <c r="B5327">
        <v>0.99996721820229495</v>
      </c>
      <c r="C5327">
        <v>0.97274573540001197</v>
      </c>
      <c r="D5327">
        <v>0.95410562764395301</v>
      </c>
      <c r="E5327">
        <v>0.855716645012643</v>
      </c>
      <c r="F5327">
        <v>0.68536332679643996</v>
      </c>
      <c r="G5327">
        <v>0.624643377119659</v>
      </c>
      <c r="H5327">
        <v>0.42261737284224099</v>
      </c>
      <c r="I5327">
        <v>0.33495526398414699</v>
      </c>
      <c r="J5327">
        <v>0.28092941920586501</v>
      </c>
      <c r="K5327">
        <v>0.213957580188885</v>
      </c>
      <c r="L5327">
        <v>563.24281054992503</v>
      </c>
      <c r="M5327">
        <v>9.6690044306399106</v>
      </c>
      <c r="N5327">
        <v>59.106047156920901</v>
      </c>
      <c r="O5327">
        <v>55.924356622017797</v>
      </c>
      <c r="P5327">
        <v>-4.04291418316459E-2</v>
      </c>
      <c r="Q5327">
        <v>6.5167909169121296E-2</v>
      </c>
      <c r="R5327">
        <v>0.99300738904613295</v>
      </c>
      <c r="S5327" t="s">
        <v>11153</v>
      </c>
      <c r="T5327" t="s">
        <v>11650</v>
      </c>
      <c r="U5327" t="s">
        <v>11650</v>
      </c>
      <c r="V5327" t="s">
        <v>11650</v>
      </c>
      <c r="W5327" t="s">
        <v>16919</v>
      </c>
      <c r="X5327">
        <v>7</v>
      </c>
      <c r="Y5327" t="s">
        <v>22583</v>
      </c>
      <c r="Z5327" t="s">
        <v>28389</v>
      </c>
      <c r="AA5327">
        <v>0.64092582439535417</v>
      </c>
      <c r="AB5327" t="str">
        <f>HYPERLINK("Melting_Curves/meltCurve_Q9NXV6_CDKN2AIP.pdf", "Melting_Curves/meltCurve_Q9NXV6_CDKN2AIP.pdf")</f>
        <v>Melting_Curves/meltCurve_Q9NXV6_CDKN2AIP.pdf</v>
      </c>
    </row>
    <row r="5328" spans="1:28" x14ac:dyDescent="0.25">
      <c r="A5328" t="s">
        <v>5332</v>
      </c>
      <c r="B5328">
        <v>0.99996721820229495</v>
      </c>
      <c r="C5328">
        <v>0.96830483519638599</v>
      </c>
      <c r="D5328">
        <v>0.79354448399064204</v>
      </c>
      <c r="E5328">
        <v>0.37863907746973202</v>
      </c>
      <c r="F5328">
        <v>0.34790839600888102</v>
      </c>
      <c r="G5328">
        <v>0.28794380982734002</v>
      </c>
      <c r="H5328">
        <v>0.13912879918753601</v>
      </c>
      <c r="I5328">
        <v>7.4657669849675104E-2</v>
      </c>
      <c r="J5328">
        <v>3.2354099660801203E-2</v>
      </c>
      <c r="K5328">
        <v>1.9473272115653299E-2</v>
      </c>
      <c r="L5328">
        <v>694.35694807982497</v>
      </c>
      <c r="M5328">
        <v>13.9844073764698</v>
      </c>
      <c r="N5328">
        <v>49.9891187709514</v>
      </c>
      <c r="O5328">
        <v>48.669968309248297</v>
      </c>
      <c r="P5328">
        <v>-6.8611603268218399E-2</v>
      </c>
      <c r="Q5328">
        <v>4.4970368677403699E-2</v>
      </c>
      <c r="R5328">
        <v>0.97191582431708401</v>
      </c>
      <c r="S5328" t="s">
        <v>11154</v>
      </c>
      <c r="T5328" t="s">
        <v>11650</v>
      </c>
      <c r="U5328" t="s">
        <v>11650</v>
      </c>
      <c r="V5328" t="s">
        <v>11650</v>
      </c>
      <c r="W5328" t="s">
        <v>16920</v>
      </c>
      <c r="X5328">
        <v>6</v>
      </c>
      <c r="Y5328" t="s">
        <v>22584</v>
      </c>
      <c r="Z5328" t="s">
        <v>28390</v>
      </c>
      <c r="AA5328">
        <v>0.37834178964581999</v>
      </c>
      <c r="AB5328" t="str">
        <f>HYPERLINK("Melting_Curves/meltCurve_Q9NXW9_ALKBH4.pdf", "Melting_Curves/meltCurve_Q9NXW9_ALKBH4.pdf")</f>
        <v>Melting_Curves/meltCurve_Q9NXW9_ALKBH4.pdf</v>
      </c>
    </row>
    <row r="5329" spans="1:28" x14ac:dyDescent="0.25">
      <c r="A5329" t="s">
        <v>5333</v>
      </c>
      <c r="B5329">
        <v>0.99996721820229495</v>
      </c>
      <c r="C5329">
        <v>1.02615988268809</v>
      </c>
      <c r="D5329">
        <v>1.0534317039632299</v>
      </c>
      <c r="E5329">
        <v>0.91765612022383103</v>
      </c>
      <c r="F5329">
        <v>0.89139703308878304</v>
      </c>
      <c r="G5329">
        <v>0.67991893117736002</v>
      </c>
      <c r="H5329">
        <v>0.28019974291634497</v>
      </c>
      <c r="I5329">
        <v>0.19929303840844201</v>
      </c>
      <c r="J5329">
        <v>0.11921302912367</v>
      </c>
      <c r="K5329">
        <v>8.9756292072625393E-2</v>
      </c>
      <c r="L5329">
        <v>1292.0798447505199</v>
      </c>
      <c r="M5329">
        <v>22.182329688579401</v>
      </c>
      <c r="N5329">
        <v>58.637890086704601</v>
      </c>
      <c r="O5329">
        <v>57.780966668070803</v>
      </c>
      <c r="P5329">
        <v>-8.93993777328001E-2</v>
      </c>
      <c r="Q5329">
        <v>6.8543133151886093E-2</v>
      </c>
      <c r="R5329">
        <v>0.99285878581341303</v>
      </c>
      <c r="S5329" t="s">
        <v>11155</v>
      </c>
      <c r="T5329" t="s">
        <v>11650</v>
      </c>
      <c r="U5329" t="s">
        <v>11650</v>
      </c>
      <c r="V5329" t="s">
        <v>11650</v>
      </c>
      <c r="W5329" t="s">
        <v>16921</v>
      </c>
      <c r="X5329">
        <v>13</v>
      </c>
      <c r="Y5329" t="s">
        <v>22585</v>
      </c>
      <c r="Z5329" t="s">
        <v>28391</v>
      </c>
      <c r="AA5329">
        <v>0.64440000090114968</v>
      </c>
      <c r="AB5329" t="str">
        <f>HYPERLINK("Melting_Curves/meltCurve_Q9NY27_PPP4R2.pdf", "Melting_Curves/meltCurve_Q9NY27_PPP4R2.pdf")</f>
        <v>Melting_Curves/meltCurve_Q9NY27_PPP4R2.pdf</v>
      </c>
    </row>
    <row r="5330" spans="1:28" x14ac:dyDescent="0.25">
      <c r="A5330" t="s">
        <v>5334</v>
      </c>
      <c r="B5330">
        <v>0.99996721820229495</v>
      </c>
      <c r="C5330">
        <v>0.98759292396584397</v>
      </c>
      <c r="D5330">
        <v>0.97194067416531604</v>
      </c>
      <c r="E5330">
        <v>0.97804153964061602</v>
      </c>
      <c r="F5330">
        <v>0.72071467040558701</v>
      </c>
      <c r="G5330">
        <v>0.31587806176093602</v>
      </c>
      <c r="H5330">
        <v>0.15500269314105999</v>
      </c>
      <c r="I5330">
        <v>0.110613259520767</v>
      </c>
      <c r="J5330">
        <v>8.4197548588114401E-2</v>
      </c>
      <c r="K5330">
        <v>7.1746855406416898E-2</v>
      </c>
      <c r="L5330">
        <v>1509.3224319931401</v>
      </c>
      <c r="M5330">
        <v>27.567865064382602</v>
      </c>
      <c r="N5330">
        <v>55.124595444972698</v>
      </c>
      <c r="O5330">
        <v>54.463664145828901</v>
      </c>
      <c r="P5330">
        <v>-0.115717611240739</v>
      </c>
      <c r="Q5330">
        <v>8.5551253701855706E-2</v>
      </c>
      <c r="R5330">
        <v>0.99798262671867199</v>
      </c>
      <c r="S5330" t="s">
        <v>11156</v>
      </c>
      <c r="T5330" t="s">
        <v>11650</v>
      </c>
      <c r="U5330" t="s">
        <v>11650</v>
      </c>
      <c r="V5330" t="s">
        <v>11650</v>
      </c>
      <c r="W5330" t="s">
        <v>16922</v>
      </c>
      <c r="X5330">
        <v>37</v>
      </c>
      <c r="Y5330" t="s">
        <v>17968</v>
      </c>
      <c r="Z5330" t="s">
        <v>28392</v>
      </c>
      <c r="AA5330">
        <v>0.54222767285695095</v>
      </c>
      <c r="AB5330" t="str">
        <f>HYPERLINK("Melting_Curves/meltCurve_Q9NY33_DPP3.pdf", "Melting_Curves/meltCurve_Q9NY33_DPP3.pdf")</f>
        <v>Melting_Curves/meltCurve_Q9NY33_DPP3.pdf</v>
      </c>
    </row>
    <row r="5331" spans="1:28" x14ac:dyDescent="0.25">
      <c r="A5331" t="s">
        <v>5335</v>
      </c>
      <c r="B5331">
        <v>0.99996721820229495</v>
      </c>
      <c r="C5331">
        <v>0.79421309975593402</v>
      </c>
      <c r="D5331">
        <v>0.93731989135969496</v>
      </c>
      <c r="E5331">
        <v>0.57023566030765505</v>
      </c>
      <c r="F5331">
        <v>0.44552199798161402</v>
      </c>
      <c r="G5331">
        <v>0.20974275732084699</v>
      </c>
      <c r="H5331">
        <v>0.117118558031957</v>
      </c>
      <c r="I5331">
        <v>9.0107883244277306E-2</v>
      </c>
      <c r="J5331">
        <v>0</v>
      </c>
      <c r="K5331">
        <v>0</v>
      </c>
      <c r="L5331">
        <v>696.86631335525703</v>
      </c>
      <c r="M5331">
        <v>13.487434815360301</v>
      </c>
      <c r="N5331">
        <v>51.667816982812603</v>
      </c>
      <c r="O5331">
        <v>50.571657939271397</v>
      </c>
      <c r="P5331">
        <v>-6.6685074609102904E-2</v>
      </c>
      <c r="Q5331">
        <v>0</v>
      </c>
      <c r="R5331">
        <v>0.97298351227640101</v>
      </c>
      <c r="S5331" t="s">
        <v>11157</v>
      </c>
      <c r="T5331" t="s">
        <v>11650</v>
      </c>
      <c r="U5331" t="s">
        <v>11650</v>
      </c>
      <c r="V5331" t="s">
        <v>11650</v>
      </c>
      <c r="W5331" t="s">
        <v>16923</v>
      </c>
      <c r="X5331">
        <v>2</v>
      </c>
      <c r="Y5331" t="s">
        <v>22586</v>
      </c>
      <c r="Z5331" t="s">
        <v>28393</v>
      </c>
      <c r="AA5331">
        <v>0.41549292480411382</v>
      </c>
      <c r="AB5331" t="str">
        <f>HYPERLINK("Melting_Curves/meltCurve_Q9NYA1_2_SPHK1.pdf", "Melting_Curves/meltCurve_Q9NYA1_2_SPHK1.pdf")</f>
        <v>Melting_Curves/meltCurve_Q9NYA1_2_SPHK1.pdf</v>
      </c>
    </row>
    <row r="5332" spans="1:28" x14ac:dyDescent="0.25">
      <c r="A5332" t="s">
        <v>5336</v>
      </c>
      <c r="B5332">
        <v>0.99996721820229495</v>
      </c>
      <c r="C5332">
        <v>1.04954341226868</v>
      </c>
      <c r="D5332">
        <v>0.99867827347745297</v>
      </c>
      <c r="E5332">
        <v>0.84804747109055501</v>
      </c>
      <c r="F5332">
        <v>0.87684891433295498</v>
      </c>
      <c r="G5332">
        <v>0.84473645013492604</v>
      </c>
      <c r="H5332">
        <v>0.51589674626679705</v>
      </c>
      <c r="I5332">
        <v>0.463443754900837</v>
      </c>
      <c r="J5332">
        <v>0.34560258659141002</v>
      </c>
      <c r="K5332">
        <v>0.29873434758929202</v>
      </c>
      <c r="L5332">
        <v>734.44643865507601</v>
      </c>
      <c r="M5332">
        <v>11.960149803643199</v>
      </c>
      <c r="N5332">
        <v>62.8404211437703</v>
      </c>
      <c r="O5332">
        <v>59.766606931316097</v>
      </c>
      <c r="P5332">
        <v>-4.4069603136061002E-2</v>
      </c>
      <c r="Q5332">
        <v>0.11932626971167599</v>
      </c>
      <c r="R5332">
        <v>0.96514054066357402</v>
      </c>
      <c r="S5332" t="s">
        <v>11158</v>
      </c>
      <c r="T5332" t="s">
        <v>11650</v>
      </c>
      <c r="U5332" t="s">
        <v>11650</v>
      </c>
      <c r="V5332" t="s">
        <v>11650</v>
      </c>
      <c r="W5332" t="s">
        <v>16924</v>
      </c>
      <c r="X5332">
        <v>8</v>
      </c>
      <c r="Y5332" t="s">
        <v>22587</v>
      </c>
      <c r="Z5332" t="s">
        <v>28394</v>
      </c>
      <c r="AA5332">
        <v>0.74158181009337709</v>
      </c>
      <c r="AB5332" t="str">
        <f>HYPERLINK("Melting_Curves/meltCurve_Q9NYB0_TERF2IP.pdf", "Melting_Curves/meltCurve_Q9NYB0_TERF2IP.pdf")</f>
        <v>Melting_Curves/meltCurve_Q9NYB0_TERF2IP.pdf</v>
      </c>
    </row>
    <row r="5333" spans="1:28" x14ac:dyDescent="0.25">
      <c r="A5333" t="s">
        <v>5337</v>
      </c>
      <c r="B5333">
        <v>0.99996721820229495</v>
      </c>
      <c r="C5333">
        <v>1.03981355729729</v>
      </c>
      <c r="D5333">
        <v>1.0125698756100801</v>
      </c>
      <c r="E5333">
        <v>1.0270082268485401</v>
      </c>
      <c r="F5333">
        <v>1.36906165486534</v>
      </c>
      <c r="G5333">
        <v>1.6590659155749901</v>
      </c>
      <c r="H5333">
        <v>1.25661483825858</v>
      </c>
      <c r="I5333">
        <v>1.1730321882754999</v>
      </c>
      <c r="J5333">
        <v>1.12839522717024</v>
      </c>
      <c r="K5333">
        <v>0.72209623287339897</v>
      </c>
      <c r="L5333">
        <v>15000</v>
      </c>
      <c r="M5333">
        <v>213.33074721390599</v>
      </c>
      <c r="Q5333">
        <v>0</v>
      </c>
      <c r="R5333">
        <v>-0.202325877238026</v>
      </c>
      <c r="S5333" t="s">
        <v>11159</v>
      </c>
      <c r="T5333" t="s">
        <v>11650</v>
      </c>
      <c r="U5333" t="s">
        <v>11650</v>
      </c>
      <c r="V5333" t="s">
        <v>11650</v>
      </c>
      <c r="W5333" t="s">
        <v>16925</v>
      </c>
      <c r="X5333">
        <v>6</v>
      </c>
      <c r="Y5333" t="s">
        <v>22588</v>
      </c>
      <c r="Z5333" t="s">
        <v>28395</v>
      </c>
      <c r="AA5333">
        <v>0.99649022911572371</v>
      </c>
      <c r="AB5333" t="str">
        <f>HYPERLINK("Melting_Curves/meltCurve_Q9NYJ1_COA4.pdf", "Melting_Curves/meltCurve_Q9NYJ1_COA4.pdf")</f>
        <v>Melting_Curves/meltCurve_Q9NYJ1_COA4.pdf</v>
      </c>
    </row>
    <row r="5334" spans="1:28" x14ac:dyDescent="0.25">
      <c r="A5334" t="s">
        <v>5338</v>
      </c>
      <c r="B5334">
        <v>0.99996721820229495</v>
      </c>
      <c r="C5334">
        <v>1.04036497791237</v>
      </c>
      <c r="D5334">
        <v>0.96114501369870198</v>
      </c>
      <c r="E5334">
        <v>0.73488568554929901</v>
      </c>
      <c r="F5334">
        <v>0.791738253286973</v>
      </c>
      <c r="G5334">
        <v>0.62034877545442901</v>
      </c>
      <c r="H5334">
        <v>0.40593362731076199</v>
      </c>
      <c r="I5334">
        <v>0.24046009498130999</v>
      </c>
      <c r="J5334">
        <v>0.19440063829299301</v>
      </c>
      <c r="K5334">
        <v>0.165504188477165</v>
      </c>
      <c r="L5334">
        <v>616.89227473248002</v>
      </c>
      <c r="M5334">
        <v>10.542445847024201</v>
      </c>
      <c r="N5334">
        <v>58.515092175106801</v>
      </c>
      <c r="O5334">
        <v>56.527354016794703</v>
      </c>
      <c r="P5334">
        <v>-4.66439398614341E-2</v>
      </c>
      <c r="Q5334">
        <v>0</v>
      </c>
      <c r="R5334">
        <v>0.97513376305828803</v>
      </c>
      <c r="S5334" t="s">
        <v>11160</v>
      </c>
      <c r="T5334" t="s">
        <v>11650</v>
      </c>
      <c r="U5334" t="s">
        <v>11650</v>
      </c>
      <c r="V5334" t="s">
        <v>11650</v>
      </c>
      <c r="W5334" t="s">
        <v>16926</v>
      </c>
      <c r="X5334">
        <v>3</v>
      </c>
      <c r="Y5334" t="s">
        <v>22589</v>
      </c>
      <c r="Z5334" t="s">
        <v>28396</v>
      </c>
      <c r="AA5334">
        <v>0.62509384280947244</v>
      </c>
      <c r="AB5334" t="str">
        <f>HYPERLINK("Melting_Curves/meltCurve_Q9NYJ8_TAB2.pdf", "Melting_Curves/meltCurve_Q9NYJ8_TAB2.pdf")</f>
        <v>Melting_Curves/meltCurve_Q9NYJ8_TAB2.pdf</v>
      </c>
    </row>
    <row r="5335" spans="1:28" x14ac:dyDescent="0.25">
      <c r="A5335" t="s">
        <v>5339</v>
      </c>
      <c r="B5335">
        <v>0.99996721820229495</v>
      </c>
      <c r="C5335">
        <v>1.1519960912712599</v>
      </c>
      <c r="D5335">
        <v>1.38135357475151</v>
      </c>
      <c r="E5335">
        <v>3.03763568899147</v>
      </c>
      <c r="F5335">
        <v>0.582099856011429</v>
      </c>
      <c r="G5335">
        <v>0.44122430439126897</v>
      </c>
      <c r="H5335">
        <v>0.20454312718124401</v>
      </c>
      <c r="I5335">
        <v>0.14250839618702199</v>
      </c>
      <c r="J5335">
        <v>0.115801903253606</v>
      </c>
      <c r="K5335">
        <v>8.9643788220649098E-2</v>
      </c>
      <c r="L5335">
        <v>2330.2786217804</v>
      </c>
      <c r="M5335">
        <v>41.838080503272501</v>
      </c>
      <c r="N5335">
        <v>56.131944181460398</v>
      </c>
      <c r="O5335">
        <v>55.5707648332817</v>
      </c>
      <c r="P5335">
        <v>-0.16218962175798199</v>
      </c>
      <c r="Q5335">
        <v>0.13829849185054899</v>
      </c>
      <c r="R5335">
        <v>0.39997988557240199</v>
      </c>
      <c r="S5335" t="s">
        <v>11161</v>
      </c>
      <c r="T5335" t="s">
        <v>11650</v>
      </c>
      <c r="U5335" t="s">
        <v>11650</v>
      </c>
      <c r="V5335" t="s">
        <v>11650</v>
      </c>
      <c r="W5335" t="s">
        <v>16927</v>
      </c>
      <c r="X5335">
        <v>8</v>
      </c>
      <c r="Y5335" t="s">
        <v>22590</v>
      </c>
      <c r="Z5335" t="s">
        <v>28397</v>
      </c>
      <c r="AA5335">
        <v>0.59220377614006148</v>
      </c>
      <c r="AB5335" t="str">
        <f>HYPERLINK("Melting_Curves/meltCurve_Q9NYK5_MRPL39.pdf", "Melting_Curves/meltCurve_Q9NYK5_MRPL39.pdf")</f>
        <v>Melting_Curves/meltCurve_Q9NYK5_MRPL39.pdf</v>
      </c>
    </row>
    <row r="5336" spans="1:28" x14ac:dyDescent="0.25">
      <c r="A5336" t="s">
        <v>5340</v>
      </c>
      <c r="B5336">
        <v>0.99996721820229495</v>
      </c>
      <c r="C5336">
        <v>1.0584874513034701</v>
      </c>
      <c r="D5336">
        <v>1.06358657064396</v>
      </c>
      <c r="E5336">
        <v>0.99255606826487497</v>
      </c>
      <c r="F5336">
        <v>0.98753706008007502</v>
      </c>
      <c r="G5336">
        <v>0.58755514099162998</v>
      </c>
      <c r="H5336">
        <v>0.20487653910154599</v>
      </c>
      <c r="I5336">
        <v>0.12166883784125</v>
      </c>
      <c r="J5336">
        <v>9.10775553842013E-2</v>
      </c>
      <c r="K5336">
        <v>6.9208486591466001E-2</v>
      </c>
      <c r="L5336">
        <v>2016.1441628529899</v>
      </c>
      <c r="M5336">
        <v>35.114485384209402</v>
      </c>
      <c r="N5336">
        <v>57.7284417793553</v>
      </c>
      <c r="O5336">
        <v>57.231048742850099</v>
      </c>
      <c r="P5336">
        <v>-0.14012716822844101</v>
      </c>
      <c r="Q5336">
        <v>8.6462826861609998E-2</v>
      </c>
      <c r="R5336">
        <v>0.99472223647784097</v>
      </c>
      <c r="S5336" t="s">
        <v>11162</v>
      </c>
      <c r="T5336" t="s">
        <v>11650</v>
      </c>
      <c r="U5336" t="s">
        <v>11650</v>
      </c>
      <c r="V5336" t="s">
        <v>11650</v>
      </c>
      <c r="W5336" t="s">
        <v>16928</v>
      </c>
      <c r="X5336">
        <v>15</v>
      </c>
      <c r="Y5336" t="s">
        <v>22591</v>
      </c>
      <c r="Z5336" t="s">
        <v>28398</v>
      </c>
      <c r="AA5336">
        <v>0.62138509160179145</v>
      </c>
      <c r="AB5336" t="str">
        <f>HYPERLINK("Melting_Curves/meltCurve_Q9NYL2_2_MLTK.pdf", "Melting_Curves/meltCurve_Q9NYL2_2_MLTK.pdf")</f>
        <v>Melting_Curves/meltCurve_Q9NYL2_2_MLTK.pdf</v>
      </c>
    </row>
    <row r="5337" spans="1:28" x14ac:dyDescent="0.25">
      <c r="A5337" t="s">
        <v>5341</v>
      </c>
      <c r="B5337">
        <v>0.99996721820229495</v>
      </c>
      <c r="C5337">
        <v>1.00092124344878</v>
      </c>
      <c r="D5337">
        <v>0.9461316535998</v>
      </c>
      <c r="E5337">
        <v>0.59992045060406596</v>
      </c>
      <c r="F5337">
        <v>0.48820364459097598</v>
      </c>
      <c r="G5337">
        <v>0.34712387560215902</v>
      </c>
      <c r="H5337">
        <v>0.21003281616958699</v>
      </c>
      <c r="I5337">
        <v>0.20331035471059</v>
      </c>
      <c r="J5337">
        <v>0.20981166308209501</v>
      </c>
      <c r="K5337">
        <v>0.36384145988314498</v>
      </c>
      <c r="L5337">
        <v>1054.4368979978301</v>
      </c>
      <c r="M5337">
        <v>20.9372571380148</v>
      </c>
      <c r="N5337">
        <v>52.088044371358201</v>
      </c>
      <c r="O5337">
        <v>49.909079849341502</v>
      </c>
      <c r="P5337">
        <v>-7.8640172021799404E-2</v>
      </c>
      <c r="Q5337">
        <v>0.25018792524079703</v>
      </c>
      <c r="R5337">
        <v>0.97107322371177396</v>
      </c>
      <c r="S5337" t="s">
        <v>11163</v>
      </c>
      <c r="T5337" t="s">
        <v>11650</v>
      </c>
      <c r="U5337" t="s">
        <v>11650</v>
      </c>
      <c r="V5337" t="s">
        <v>11650</v>
      </c>
      <c r="W5337" t="s">
        <v>16929</v>
      </c>
      <c r="X5337">
        <v>11</v>
      </c>
      <c r="Y5337" t="s">
        <v>22592</v>
      </c>
      <c r="Z5337" t="s">
        <v>28399</v>
      </c>
      <c r="AA5337">
        <v>0.51870951553548605</v>
      </c>
      <c r="AB5337" t="str">
        <f>HYPERLINK("Melting_Curves/meltCurve_Q9NYL9_TMOD3.pdf", "Melting_Curves/meltCurve_Q9NYL9_TMOD3.pdf")</f>
        <v>Melting_Curves/meltCurve_Q9NYL9_TMOD3.pdf</v>
      </c>
    </row>
    <row r="5338" spans="1:28" x14ac:dyDescent="0.25">
      <c r="A5338" t="s">
        <v>5342</v>
      </c>
      <c r="B5338">
        <v>0.99996721820229495</v>
      </c>
      <c r="C5338">
        <v>0.97746085471181299</v>
      </c>
      <c r="D5338">
        <v>0.96687749190843697</v>
      </c>
      <c r="E5338">
        <v>0.99003826348025004</v>
      </c>
      <c r="F5338">
        <v>1.3793169338423199</v>
      </c>
      <c r="G5338">
        <v>1.42284750325184</v>
      </c>
      <c r="H5338">
        <v>1.25402979757485</v>
      </c>
      <c r="I5338">
        <v>0.99582502176963195</v>
      </c>
      <c r="J5338">
        <v>0.98167646350432203</v>
      </c>
      <c r="K5338">
        <v>0.74530244120549605</v>
      </c>
      <c r="L5338">
        <v>6387.9190846599204</v>
      </c>
      <c r="M5338">
        <v>92.520859085270104</v>
      </c>
      <c r="O5338">
        <v>69.010777689479696</v>
      </c>
      <c r="P5338">
        <v>-0.10946272041125001</v>
      </c>
      <c r="Q5338">
        <v>0.67340956461786505</v>
      </c>
      <c r="R5338">
        <v>3.5515702489333098E-2</v>
      </c>
      <c r="S5338" t="s">
        <v>11164</v>
      </c>
      <c r="T5338" t="s">
        <v>11650</v>
      </c>
      <c r="U5338" t="s">
        <v>11650</v>
      </c>
      <c r="V5338" t="s">
        <v>11650</v>
      </c>
      <c r="W5338" t="s">
        <v>16930</v>
      </c>
      <c r="X5338">
        <v>5</v>
      </c>
      <c r="Y5338" t="s">
        <v>22593</v>
      </c>
      <c r="Z5338" t="s">
        <v>28400</v>
      </c>
      <c r="AA5338">
        <v>0.98774487031600033</v>
      </c>
      <c r="AB5338" t="str">
        <f>HYPERLINK("Melting_Curves/meltCurve_Q9NYM9_BET1L.pdf", "Melting_Curves/meltCurve_Q9NYM9_BET1L.pdf")</f>
        <v>Melting_Curves/meltCurve_Q9NYM9_BET1L.pdf</v>
      </c>
    </row>
    <row r="5339" spans="1:28" x14ac:dyDescent="0.25">
      <c r="A5339" t="s">
        <v>5343</v>
      </c>
      <c r="B5339">
        <v>0.99996721820229495</v>
      </c>
      <c r="C5339">
        <v>0.95362093511461998</v>
      </c>
      <c r="D5339">
        <v>1.14708714743749</v>
      </c>
      <c r="E5339">
        <v>1.64406980097651</v>
      </c>
      <c r="F5339">
        <v>0.919900837987214</v>
      </c>
      <c r="G5339">
        <v>0.56605605863836395</v>
      </c>
      <c r="H5339">
        <v>0.31693810456604499</v>
      </c>
      <c r="I5339">
        <v>0.182500502317545</v>
      </c>
      <c r="J5339">
        <v>0.12633605153423799</v>
      </c>
      <c r="K5339">
        <v>0.11415584945667499</v>
      </c>
      <c r="L5339">
        <v>1983.4453915210099</v>
      </c>
      <c r="M5339">
        <v>34.648541631558501</v>
      </c>
      <c r="N5339">
        <v>57.836621667212697</v>
      </c>
      <c r="O5339">
        <v>57.055019808193997</v>
      </c>
      <c r="P5339">
        <v>-0.12915816513388501</v>
      </c>
      <c r="Q5339">
        <v>0.149275054532959</v>
      </c>
      <c r="R5339">
        <v>0.80958728097101196</v>
      </c>
      <c r="S5339" t="s">
        <v>11165</v>
      </c>
      <c r="T5339" t="s">
        <v>11650</v>
      </c>
      <c r="U5339" t="s">
        <v>11650</v>
      </c>
      <c r="V5339" t="s">
        <v>11650</v>
      </c>
      <c r="W5339" t="s">
        <v>16931</v>
      </c>
      <c r="X5339">
        <v>49</v>
      </c>
      <c r="Y5339" t="s">
        <v>22594</v>
      </c>
      <c r="Z5339" t="s">
        <v>28401</v>
      </c>
      <c r="AA5339">
        <v>0.64265585207562392</v>
      </c>
      <c r="AB5339" t="str">
        <f>HYPERLINK("Melting_Curves/meltCurve_Q9NYU2_2_UGGT1.pdf", "Melting_Curves/meltCurve_Q9NYU2_2_UGGT1.pdf")</f>
        <v>Melting_Curves/meltCurve_Q9NYU2_2_UGGT1.pdf</v>
      </c>
    </row>
    <row r="5340" spans="1:28" x14ac:dyDescent="0.25">
      <c r="A5340" t="s">
        <v>5344</v>
      </c>
      <c r="B5340">
        <v>0.99996721820229495</v>
      </c>
      <c r="C5340">
        <v>0.84128203272861202</v>
      </c>
      <c r="D5340">
        <v>0.91909946938031795</v>
      </c>
      <c r="E5340">
        <v>0.81436026589192401</v>
      </c>
      <c r="F5340">
        <v>0.34200897254956703</v>
      </c>
      <c r="G5340">
        <v>0.26304637541444797</v>
      </c>
      <c r="H5340">
        <v>0.16074270495707699</v>
      </c>
      <c r="I5340">
        <v>8.15935500983931E-2</v>
      </c>
      <c r="J5340">
        <v>4.87812328516233E-2</v>
      </c>
      <c r="K5340">
        <v>2.14112119452642E-2</v>
      </c>
      <c r="L5340">
        <v>922.90226468447997</v>
      </c>
      <c r="M5340">
        <v>17.656782510272102</v>
      </c>
      <c r="N5340">
        <v>52.531906116336302</v>
      </c>
      <c r="O5340">
        <v>51.612363714552302</v>
      </c>
      <c r="P5340">
        <v>-8.1913544043305295E-2</v>
      </c>
      <c r="Q5340">
        <v>4.2288345499652998E-2</v>
      </c>
      <c r="R5340">
        <v>0.96375453072760597</v>
      </c>
      <c r="S5340" t="s">
        <v>11166</v>
      </c>
      <c r="T5340" t="s">
        <v>11650</v>
      </c>
      <c r="U5340" t="s">
        <v>11650</v>
      </c>
      <c r="V5340" t="s">
        <v>11650</v>
      </c>
      <c r="W5340" t="s">
        <v>16932</v>
      </c>
      <c r="X5340">
        <v>1</v>
      </c>
      <c r="Y5340" t="s">
        <v>22595</v>
      </c>
      <c r="Z5340" t="s">
        <v>28402</v>
      </c>
      <c r="AA5340">
        <v>0.45035470629852692</v>
      </c>
      <c r="AB5340" t="str">
        <f>HYPERLINK("Melting_Curves/meltCurve_Q9NYY8_2_FASTKD2.pdf", "Melting_Curves/meltCurve_Q9NYY8_2_FASTKD2.pdf")</f>
        <v>Melting_Curves/meltCurve_Q9NYY8_2_FASTKD2.pdf</v>
      </c>
    </row>
    <row r="5341" spans="1:28" x14ac:dyDescent="0.25">
      <c r="A5341" t="s">
        <v>5345</v>
      </c>
      <c r="B5341">
        <v>0.99996721820229495</v>
      </c>
      <c r="C5341">
        <v>0.89247391521599795</v>
      </c>
      <c r="D5341">
        <v>1.16207509861678</v>
      </c>
      <c r="E5341">
        <v>1.3024082172184199</v>
      </c>
      <c r="F5341">
        <v>0.95385247434445397</v>
      </c>
      <c r="G5341">
        <v>0.82052042922118495</v>
      </c>
      <c r="H5341">
        <v>0.39489701361111401</v>
      </c>
      <c r="I5341">
        <v>0.25190803252781802</v>
      </c>
      <c r="J5341">
        <v>0.152352020780499</v>
      </c>
      <c r="K5341">
        <v>0.12498591402262001</v>
      </c>
      <c r="L5341">
        <v>1833.25670958559</v>
      </c>
      <c r="M5341">
        <v>30.813302390031399</v>
      </c>
      <c r="N5341">
        <v>60.088601458406401</v>
      </c>
      <c r="O5341">
        <v>59.246721403833099</v>
      </c>
      <c r="P5341">
        <v>-0.112976453177629</v>
      </c>
      <c r="Q5341">
        <v>0.13109667579894099</v>
      </c>
      <c r="R5341">
        <v>0.92209114435736705</v>
      </c>
      <c r="S5341" t="s">
        <v>11167</v>
      </c>
      <c r="T5341" t="s">
        <v>11650</v>
      </c>
      <c r="U5341" t="s">
        <v>11650</v>
      </c>
      <c r="V5341" t="s">
        <v>11650</v>
      </c>
      <c r="W5341" t="s">
        <v>16933</v>
      </c>
      <c r="X5341">
        <v>3</v>
      </c>
      <c r="Y5341" t="s">
        <v>22596</v>
      </c>
      <c r="Z5341" t="s">
        <v>28403</v>
      </c>
      <c r="AA5341">
        <v>0.70099610874369811</v>
      </c>
      <c r="AB5341" t="str">
        <f>HYPERLINK("Melting_Curves/meltCurve_Q9NZ01_TECR.pdf", "Melting_Curves/meltCurve_Q9NZ01_TECR.pdf")</f>
        <v>Melting_Curves/meltCurve_Q9NZ01_TECR.pdf</v>
      </c>
    </row>
    <row r="5342" spans="1:28" x14ac:dyDescent="0.25">
      <c r="A5342" t="s">
        <v>5346</v>
      </c>
      <c r="B5342">
        <v>0.99996721820229495</v>
      </c>
      <c r="C5342">
        <v>1.0472964754966401</v>
      </c>
      <c r="D5342">
        <v>0.96352512377629795</v>
      </c>
      <c r="E5342">
        <v>0.714976505581013</v>
      </c>
      <c r="F5342">
        <v>0.31338212675404298</v>
      </c>
      <c r="G5342">
        <v>0.21828880631566699</v>
      </c>
      <c r="H5342">
        <v>0.10683432696047999</v>
      </c>
      <c r="I5342">
        <v>3.9235253200532401E-2</v>
      </c>
      <c r="J5342">
        <v>2.5577413126855599E-2</v>
      </c>
      <c r="K5342">
        <v>3.6544267183840302E-2</v>
      </c>
      <c r="L5342">
        <v>1256.73983914224</v>
      </c>
      <c r="M5342">
        <v>24.4038013833846</v>
      </c>
      <c r="N5342">
        <v>51.743987123331102</v>
      </c>
      <c r="O5342">
        <v>51.155644883661701</v>
      </c>
      <c r="P5342">
        <v>-0.11272520834458</v>
      </c>
      <c r="Q5342">
        <v>5.4828337663261603E-2</v>
      </c>
      <c r="R5342">
        <v>0.99033178123894505</v>
      </c>
      <c r="S5342" t="s">
        <v>11168</v>
      </c>
      <c r="T5342" t="s">
        <v>11650</v>
      </c>
      <c r="U5342" t="s">
        <v>11650</v>
      </c>
      <c r="V5342" t="s">
        <v>11650</v>
      </c>
      <c r="W5342" t="s">
        <v>16934</v>
      </c>
      <c r="X5342">
        <v>20</v>
      </c>
      <c r="Y5342" t="s">
        <v>22597</v>
      </c>
      <c r="Z5342" t="s">
        <v>28404</v>
      </c>
      <c r="AA5342">
        <v>0.42606838530259389</v>
      </c>
      <c r="AB5342" t="str">
        <f>HYPERLINK("Melting_Curves/meltCurve_Q9NZ08_ERAP1.pdf", "Melting_Curves/meltCurve_Q9NZ08_ERAP1.pdf")</f>
        <v>Melting_Curves/meltCurve_Q9NZ08_ERAP1.pdf</v>
      </c>
    </row>
    <row r="5343" spans="1:28" x14ac:dyDescent="0.25">
      <c r="A5343" t="s">
        <v>5347</v>
      </c>
      <c r="B5343">
        <v>0.99996721820229495</v>
      </c>
      <c r="C5343">
        <v>0.96795574400274997</v>
      </c>
      <c r="D5343">
        <v>0.86137377692470896</v>
      </c>
      <c r="E5343">
        <v>0.54622474011524202</v>
      </c>
      <c r="F5343">
        <v>0.60245090762859599</v>
      </c>
      <c r="G5343">
        <v>0.44182892101837801</v>
      </c>
      <c r="H5343">
        <v>0.33307411407219301</v>
      </c>
      <c r="I5343">
        <v>0.145579718443963</v>
      </c>
      <c r="J5343">
        <v>0.12049016651396</v>
      </c>
      <c r="K5343">
        <v>0.10207506927997401</v>
      </c>
      <c r="L5343">
        <v>496.67011022048302</v>
      </c>
      <c r="M5343">
        <v>9.1474392500592394</v>
      </c>
      <c r="N5343">
        <v>54.296081736225801</v>
      </c>
      <c r="O5343">
        <v>51.890031080630997</v>
      </c>
      <c r="P5343">
        <v>-4.4101364887930601E-2</v>
      </c>
      <c r="Q5343">
        <v>0</v>
      </c>
      <c r="R5343">
        <v>0.96560259789436997</v>
      </c>
      <c r="S5343" t="s">
        <v>11169</v>
      </c>
      <c r="T5343" t="s">
        <v>11650</v>
      </c>
      <c r="U5343" t="s">
        <v>11650</v>
      </c>
      <c r="V5343" t="s">
        <v>11650</v>
      </c>
      <c r="W5343" t="s">
        <v>16935</v>
      </c>
      <c r="X5343">
        <v>20</v>
      </c>
      <c r="Y5343" t="s">
        <v>22597</v>
      </c>
      <c r="Z5343" t="s">
        <v>28405</v>
      </c>
      <c r="AA5343">
        <v>0.50693449248206313</v>
      </c>
      <c r="AB5343" t="str">
        <f>HYPERLINK("Melting_Curves/meltCurve_Q9NZ08_2_ERAP1.pdf", "Melting_Curves/meltCurve_Q9NZ08_2_ERAP1.pdf")</f>
        <v>Melting_Curves/meltCurve_Q9NZ08_2_ERAP1.pdf</v>
      </c>
    </row>
    <row r="5344" spans="1:28" x14ac:dyDescent="0.25">
      <c r="A5344" t="s">
        <v>5348</v>
      </c>
      <c r="B5344">
        <v>0.99996721820229495</v>
      </c>
      <c r="C5344">
        <v>1.1223108426584201</v>
      </c>
      <c r="D5344">
        <v>1.0616804330423</v>
      </c>
      <c r="E5344">
        <v>0.93551639974254996</v>
      </c>
      <c r="F5344">
        <v>0.72511164928397298</v>
      </c>
      <c r="G5344">
        <v>0.64759220535897299</v>
      </c>
      <c r="H5344">
        <v>0.41314044584538301</v>
      </c>
      <c r="I5344">
        <v>0.34367485564362399</v>
      </c>
      <c r="J5344">
        <v>0.28915015638090302</v>
      </c>
      <c r="K5344">
        <v>0.17942368502773501</v>
      </c>
      <c r="L5344">
        <v>794.28700656875196</v>
      </c>
      <c r="M5344">
        <v>13.735739189924301</v>
      </c>
      <c r="N5344">
        <v>59.309991162049201</v>
      </c>
      <c r="O5344">
        <v>56.641957851984699</v>
      </c>
      <c r="P5344">
        <v>-5.1817898008549898E-2</v>
      </c>
      <c r="Q5344">
        <v>0.14539761898440001</v>
      </c>
      <c r="R5344">
        <v>0.96735449976715304</v>
      </c>
      <c r="S5344" t="s">
        <v>11170</v>
      </c>
      <c r="T5344" t="s">
        <v>11650</v>
      </c>
      <c r="U5344" t="s">
        <v>11650</v>
      </c>
      <c r="V5344" t="s">
        <v>11650</v>
      </c>
      <c r="W5344" t="s">
        <v>16936</v>
      </c>
      <c r="X5344">
        <v>11</v>
      </c>
      <c r="Y5344" t="s">
        <v>22598</v>
      </c>
      <c r="Z5344" t="s">
        <v>28406</v>
      </c>
      <c r="AA5344">
        <v>0.66519546186762502</v>
      </c>
      <c r="AB5344" t="str">
        <f>HYPERLINK("Melting_Curves/meltCurve_Q9NZ09_UBAP1.pdf", "Melting_Curves/meltCurve_Q9NZ09_UBAP1.pdf")</f>
        <v>Melting_Curves/meltCurve_Q9NZ09_UBAP1.pdf</v>
      </c>
    </row>
    <row r="5345" spans="1:28" x14ac:dyDescent="0.25">
      <c r="A5345" t="s">
        <v>5349</v>
      </c>
      <c r="B5345">
        <v>0.99996721820229495</v>
      </c>
      <c r="C5345">
        <v>0.863986994055844</v>
      </c>
      <c r="D5345">
        <v>0.871222319863313</v>
      </c>
      <c r="E5345">
        <v>1.24990869525837</v>
      </c>
      <c r="F5345">
        <v>1.75144231847044</v>
      </c>
      <c r="G5345">
        <v>2.6257293647692399</v>
      </c>
      <c r="H5345">
        <v>2.4115183399491502</v>
      </c>
      <c r="I5345">
        <v>1.6296893799761301</v>
      </c>
      <c r="J5345">
        <v>0.31791993249968697</v>
      </c>
      <c r="K5345">
        <v>0.16566747257835901</v>
      </c>
      <c r="L5345">
        <v>15000</v>
      </c>
      <c r="M5345">
        <v>225.373704592324</v>
      </c>
      <c r="N5345">
        <v>66.674868094209501</v>
      </c>
      <c r="O5345">
        <v>66.550882355018501</v>
      </c>
      <c r="P5345">
        <v>-0.70666741261834098</v>
      </c>
      <c r="Q5345">
        <v>0.16530919489380799</v>
      </c>
      <c r="R5345">
        <v>5.4418957852530703E-2</v>
      </c>
      <c r="S5345" t="s">
        <v>11171</v>
      </c>
      <c r="T5345" t="s">
        <v>11650</v>
      </c>
      <c r="U5345" t="s">
        <v>11650</v>
      </c>
      <c r="V5345" t="s">
        <v>11650</v>
      </c>
      <c r="W5345" t="s">
        <v>16937</v>
      </c>
      <c r="X5345">
        <v>10</v>
      </c>
      <c r="Y5345" t="s">
        <v>22599</v>
      </c>
      <c r="Z5345" t="s">
        <v>28407</v>
      </c>
      <c r="AA5345">
        <v>0.9043007497515273</v>
      </c>
      <c r="AB5345" t="str">
        <f>HYPERLINK("Melting_Curves/meltCurve_Q9NZ32_ACTR10.pdf", "Melting_Curves/meltCurve_Q9NZ32_ACTR10.pdf")</f>
        <v>Melting_Curves/meltCurve_Q9NZ32_ACTR10.pdf</v>
      </c>
    </row>
    <row r="5346" spans="1:28" x14ac:dyDescent="0.25">
      <c r="A5346" t="s">
        <v>5350</v>
      </c>
      <c r="B5346">
        <v>0.99996721820229495</v>
      </c>
      <c r="C5346">
        <v>0.97020122121531005</v>
      </c>
      <c r="D5346">
        <v>1.52551815226703</v>
      </c>
      <c r="E5346">
        <v>1.53653573335115</v>
      </c>
      <c r="F5346">
        <v>1.02523619669098</v>
      </c>
      <c r="G5346">
        <v>0.73756380099660701</v>
      </c>
      <c r="H5346">
        <v>0.504902819188634</v>
      </c>
      <c r="I5346">
        <v>0.44827871941365999</v>
      </c>
      <c r="J5346">
        <v>0.35474723675230901</v>
      </c>
      <c r="K5346">
        <v>0.29398156525080399</v>
      </c>
      <c r="L5346">
        <v>1850.9689063641699</v>
      </c>
      <c r="M5346">
        <v>31.730415721133699</v>
      </c>
      <c r="N5346">
        <v>60.638166005674798</v>
      </c>
      <c r="O5346">
        <v>58.103983059365902</v>
      </c>
      <c r="P5346">
        <v>-8.8707960842413294E-2</v>
      </c>
      <c r="Q5346">
        <v>0.35024376122303302</v>
      </c>
      <c r="R5346">
        <v>0.68406094625504998</v>
      </c>
      <c r="S5346" t="s">
        <v>11172</v>
      </c>
      <c r="T5346" t="s">
        <v>11650</v>
      </c>
      <c r="U5346" t="s">
        <v>11650</v>
      </c>
      <c r="V5346" t="s">
        <v>11650</v>
      </c>
      <c r="W5346" t="s">
        <v>16938</v>
      </c>
      <c r="X5346">
        <v>8</v>
      </c>
      <c r="Y5346" t="s">
        <v>22600</v>
      </c>
      <c r="Z5346" t="s">
        <v>28408</v>
      </c>
      <c r="AA5346">
        <v>0.75120927764103407</v>
      </c>
      <c r="AB5346" t="str">
        <f>HYPERLINK("Melting_Curves/meltCurve_Q9NZ43_USE1.pdf", "Melting_Curves/meltCurve_Q9NZ43_USE1.pdf")</f>
        <v>Melting_Curves/meltCurve_Q9NZ43_USE1.pdf</v>
      </c>
    </row>
    <row r="5347" spans="1:28" x14ac:dyDescent="0.25">
      <c r="A5347" t="s">
        <v>5351</v>
      </c>
      <c r="B5347">
        <v>0.99996721820229495</v>
      </c>
      <c r="C5347">
        <v>0.80387247451593102</v>
      </c>
      <c r="D5347">
        <v>0.94887817581164002</v>
      </c>
      <c r="E5347">
        <v>1.07956338432289</v>
      </c>
      <c r="F5347">
        <v>1.3404500783381701</v>
      </c>
      <c r="G5347">
        <v>1.3784634435483101</v>
      </c>
      <c r="H5347">
        <v>1.13164887890844</v>
      </c>
      <c r="I5347">
        <v>0.69361652130449403</v>
      </c>
      <c r="J5347">
        <v>0.46070629959736897</v>
      </c>
      <c r="K5347">
        <v>0.33105832942695601</v>
      </c>
      <c r="L5347">
        <v>12494.637283248299</v>
      </c>
      <c r="M5347">
        <v>195.25660965930399</v>
      </c>
      <c r="N5347">
        <v>64.509038986493707</v>
      </c>
      <c r="O5347">
        <v>63.984137039208498</v>
      </c>
      <c r="P5347">
        <v>-0.46093857555587298</v>
      </c>
      <c r="Q5347">
        <v>0.395815401371996</v>
      </c>
      <c r="R5347">
        <v>0.69427844891258494</v>
      </c>
      <c r="S5347" t="s">
        <v>11173</v>
      </c>
      <c r="T5347" t="s">
        <v>11650</v>
      </c>
      <c r="U5347" t="s">
        <v>11650</v>
      </c>
      <c r="V5347" t="s">
        <v>11650</v>
      </c>
      <c r="W5347" t="s">
        <v>16939</v>
      </c>
      <c r="X5347">
        <v>7</v>
      </c>
      <c r="Y5347" t="s">
        <v>22601</v>
      </c>
      <c r="Z5347" t="s">
        <v>28409</v>
      </c>
      <c r="AA5347">
        <v>0.87909014020823506</v>
      </c>
      <c r="AB5347" t="str">
        <f>HYPERLINK("Melting_Curves/meltCurve_Q9NZ45_CISD1.pdf", "Melting_Curves/meltCurve_Q9NZ45_CISD1.pdf")</f>
        <v>Melting_Curves/meltCurve_Q9NZ45_CISD1.pdf</v>
      </c>
    </row>
    <row r="5348" spans="1:28" x14ac:dyDescent="0.25">
      <c r="A5348" t="s">
        <v>5352</v>
      </c>
      <c r="B5348">
        <v>0.99996721820229495</v>
      </c>
      <c r="C5348">
        <v>0.94352404281853197</v>
      </c>
      <c r="D5348">
        <v>1.0289230201975199</v>
      </c>
      <c r="E5348">
        <v>0.91319776749203996</v>
      </c>
      <c r="F5348">
        <v>1.26885455834242</v>
      </c>
      <c r="G5348">
        <v>1.11013546146648</v>
      </c>
      <c r="H5348">
        <v>0.72445846591402197</v>
      </c>
      <c r="I5348">
        <v>0.42845318279428501</v>
      </c>
      <c r="J5348">
        <v>0.37188173360622601</v>
      </c>
      <c r="K5348">
        <v>0.265605339502408</v>
      </c>
      <c r="L5348">
        <v>3078.86886627182</v>
      </c>
      <c r="M5348">
        <v>49.9513585215389</v>
      </c>
      <c r="N5348">
        <v>62.899937354630197</v>
      </c>
      <c r="O5348">
        <v>61.538791314252698</v>
      </c>
      <c r="P5348">
        <v>-0.13868893081797901</v>
      </c>
      <c r="Q5348">
        <v>0.316555774939903</v>
      </c>
      <c r="R5348">
        <v>0.90118032671359005</v>
      </c>
      <c r="S5348" t="s">
        <v>11174</v>
      </c>
      <c r="T5348" t="s">
        <v>11650</v>
      </c>
      <c r="U5348" t="s">
        <v>11650</v>
      </c>
      <c r="V5348" t="s">
        <v>11650</v>
      </c>
      <c r="W5348" t="s">
        <v>16940</v>
      </c>
      <c r="X5348">
        <v>2</v>
      </c>
      <c r="Y5348" t="s">
        <v>22602</v>
      </c>
      <c r="Z5348" t="s">
        <v>28410</v>
      </c>
      <c r="AA5348">
        <v>0.81125084424396221</v>
      </c>
      <c r="AB5348" t="str">
        <f>HYPERLINK("Melting_Curves/meltCurve_Q9NZ53_PODXL2.pdf", "Melting_Curves/meltCurve_Q9NZ53_PODXL2.pdf")</f>
        <v>Melting_Curves/meltCurve_Q9NZ53_PODXL2.pdf</v>
      </c>
    </row>
    <row r="5349" spans="1:28" x14ac:dyDescent="0.25">
      <c r="A5349" t="s">
        <v>5353</v>
      </c>
      <c r="B5349">
        <v>0.99996721820229495</v>
      </c>
      <c r="C5349">
        <v>1.08848827509748</v>
      </c>
      <c r="D5349">
        <v>1.0491290061292999</v>
      </c>
      <c r="E5349">
        <v>0.97750382067891795</v>
      </c>
      <c r="F5349">
        <v>1.07303764588158</v>
      </c>
      <c r="G5349">
        <v>0.99698626873792295</v>
      </c>
      <c r="H5349">
        <v>0.67741724233947198</v>
      </c>
      <c r="I5349">
        <v>0.53790167185719995</v>
      </c>
      <c r="J5349">
        <v>0.44607211930055202</v>
      </c>
      <c r="K5349">
        <v>0.357841587030024</v>
      </c>
      <c r="L5349">
        <v>2028.64024727115</v>
      </c>
      <c r="M5349">
        <v>33.109476620438798</v>
      </c>
      <c r="N5349">
        <v>64.126501276060296</v>
      </c>
      <c r="O5349">
        <v>61.048451769183998</v>
      </c>
      <c r="P5349">
        <v>-8.3311212419026295E-2</v>
      </c>
      <c r="Q5349">
        <v>0.38555364074637</v>
      </c>
      <c r="R5349">
        <v>0.96835167768590702</v>
      </c>
      <c r="S5349" t="s">
        <v>11175</v>
      </c>
      <c r="T5349" t="s">
        <v>11650</v>
      </c>
      <c r="U5349" t="s">
        <v>11650</v>
      </c>
      <c r="V5349" t="s">
        <v>11650</v>
      </c>
      <c r="W5349" t="s">
        <v>16941</v>
      </c>
      <c r="X5349">
        <v>5</v>
      </c>
      <c r="Y5349" t="s">
        <v>22603</v>
      </c>
      <c r="Z5349" t="s">
        <v>28411</v>
      </c>
      <c r="AA5349">
        <v>0.82417351707013353</v>
      </c>
      <c r="AB5349" t="str">
        <f>HYPERLINK("Melting_Curves/meltCurve_Q9NZ56_FMN2.pdf", "Melting_Curves/meltCurve_Q9NZ56_FMN2.pdf")</f>
        <v>Melting_Curves/meltCurve_Q9NZ56_FMN2.pdf</v>
      </c>
    </row>
    <row r="5350" spans="1:28" x14ac:dyDescent="0.25">
      <c r="A5350" t="s">
        <v>5354</v>
      </c>
      <c r="B5350">
        <v>0.99996721820229495</v>
      </c>
      <c r="C5350">
        <v>0.99097848249023202</v>
      </c>
      <c r="D5350">
        <v>0.94634429497308903</v>
      </c>
      <c r="E5350">
        <v>0.98664346823874804</v>
      </c>
      <c r="F5350">
        <v>1.25221445887853</v>
      </c>
      <c r="G5350">
        <v>1.3889484817689199</v>
      </c>
      <c r="H5350">
        <v>1.0554924168890001</v>
      </c>
      <c r="I5350">
        <v>1.03332632547222</v>
      </c>
      <c r="J5350">
        <v>0.88380989715404001</v>
      </c>
      <c r="K5350">
        <v>0.65633588407157695</v>
      </c>
      <c r="L5350">
        <v>15000</v>
      </c>
      <c r="M5350">
        <v>223.208558851405</v>
      </c>
      <c r="O5350">
        <v>67.196311498021402</v>
      </c>
      <c r="P5350">
        <v>-0.28542872953227799</v>
      </c>
      <c r="Q5350">
        <v>0.656289829695618</v>
      </c>
      <c r="R5350">
        <v>0.36519025566868502</v>
      </c>
      <c r="S5350" t="s">
        <v>11176</v>
      </c>
      <c r="T5350" t="s">
        <v>11650</v>
      </c>
      <c r="U5350" t="s">
        <v>11650</v>
      </c>
      <c r="V5350" t="s">
        <v>11650</v>
      </c>
      <c r="W5350" t="s">
        <v>16942</v>
      </c>
      <c r="X5350">
        <v>14</v>
      </c>
      <c r="Y5350" t="s">
        <v>22604</v>
      </c>
      <c r="Z5350" t="s">
        <v>28412</v>
      </c>
      <c r="AA5350">
        <v>0.96799048853309677</v>
      </c>
      <c r="AB5350" t="str">
        <f>HYPERLINK("Melting_Curves/meltCurve_Q9NZ63_C9orf78.pdf", "Melting_Curves/meltCurve_Q9NZ63_C9orf78.pdf")</f>
        <v>Melting_Curves/meltCurve_Q9NZ63_C9orf78.pdf</v>
      </c>
    </row>
    <row r="5351" spans="1:28" x14ac:dyDescent="0.25">
      <c r="A5351" t="s">
        <v>5355</v>
      </c>
      <c r="B5351">
        <v>0.99996721820229495</v>
      </c>
      <c r="C5351">
        <v>1.16776093157155</v>
      </c>
      <c r="D5351">
        <v>1.1258089147578301</v>
      </c>
      <c r="E5351">
        <v>1.19440782162471</v>
      </c>
      <c r="F5351">
        <v>1.3562995274152001</v>
      </c>
      <c r="G5351">
        <v>1.43337940301438</v>
      </c>
      <c r="H5351">
        <v>0.95960362460937298</v>
      </c>
      <c r="I5351">
        <v>0.88802003209130198</v>
      </c>
      <c r="J5351">
        <v>0.77724612896041001</v>
      </c>
      <c r="K5351">
        <v>0.54375200090959497</v>
      </c>
      <c r="L5351">
        <v>2098.40545117285</v>
      </c>
      <c r="M5351">
        <v>30.760364240201898</v>
      </c>
      <c r="O5351">
        <v>67.931464112700098</v>
      </c>
      <c r="P5351">
        <v>-7.4632773147929904E-2</v>
      </c>
      <c r="Q5351">
        <v>0.34072514842764501</v>
      </c>
      <c r="R5351">
        <v>0.38318633814388298</v>
      </c>
      <c r="S5351" t="s">
        <v>11177</v>
      </c>
      <c r="T5351" t="s">
        <v>11650</v>
      </c>
      <c r="U5351" t="s">
        <v>11650</v>
      </c>
      <c r="V5351" t="s">
        <v>11650</v>
      </c>
      <c r="W5351" t="s">
        <v>16943</v>
      </c>
      <c r="X5351">
        <v>4</v>
      </c>
      <c r="Y5351" t="s">
        <v>22605</v>
      </c>
      <c r="Z5351" t="s">
        <v>28413</v>
      </c>
      <c r="AA5351">
        <v>0.94522539289026242</v>
      </c>
      <c r="AB5351" t="str">
        <f>HYPERLINK("Melting_Curves/meltCurve_Q9NZB2_4_FAM120A.pdf", "Melting_Curves/meltCurve_Q9NZB2_4_FAM120A.pdf")</f>
        <v>Melting_Curves/meltCurve_Q9NZB2_4_FAM120A.pdf</v>
      </c>
    </row>
    <row r="5352" spans="1:28" x14ac:dyDescent="0.25">
      <c r="A5352" t="s">
        <v>5356</v>
      </c>
      <c r="B5352">
        <v>0.99996721820229495</v>
      </c>
      <c r="C5352">
        <v>0.93905998519438105</v>
      </c>
      <c r="D5352">
        <v>1.1969714489597001</v>
      </c>
      <c r="E5352">
        <v>1.36497998178178</v>
      </c>
      <c r="F5352">
        <v>1.7296307002206399</v>
      </c>
      <c r="G5352">
        <v>1.48945029967208</v>
      </c>
      <c r="H5352">
        <v>0.62181433383305595</v>
      </c>
      <c r="I5352">
        <v>0.139500469319363</v>
      </c>
      <c r="J5352">
        <v>4.0260458188282798E-2</v>
      </c>
      <c r="K5352">
        <v>4.5587570352111799E-2</v>
      </c>
      <c r="L5352">
        <v>5132.7395077983902</v>
      </c>
      <c r="M5352">
        <v>83.714507838773002</v>
      </c>
      <c r="N5352">
        <v>61.413718599452501</v>
      </c>
      <c r="O5352">
        <v>61.277463163011198</v>
      </c>
      <c r="P5352">
        <v>-0.31951864264267799</v>
      </c>
      <c r="Q5352">
        <v>6.4473275534761801E-2</v>
      </c>
      <c r="R5352">
        <v>0.72449767956329902</v>
      </c>
      <c r="S5352" t="s">
        <v>11178</v>
      </c>
      <c r="T5352" t="s">
        <v>11650</v>
      </c>
      <c r="U5352" t="s">
        <v>11650</v>
      </c>
      <c r="V5352" t="s">
        <v>11650</v>
      </c>
      <c r="W5352" t="s">
        <v>16944</v>
      </c>
      <c r="X5352">
        <v>5</v>
      </c>
      <c r="Y5352" t="s">
        <v>22606</v>
      </c>
      <c r="Z5352" t="s">
        <v>28414</v>
      </c>
      <c r="AA5352">
        <v>0.72998311295002227</v>
      </c>
      <c r="AB5352" t="str">
        <f>HYPERLINK("Melting_Curves/meltCurve_Q9NZC3_GDE1.pdf", "Melting_Curves/meltCurve_Q9NZC3_GDE1.pdf")</f>
        <v>Melting_Curves/meltCurve_Q9NZC3_GDE1.pdf</v>
      </c>
    </row>
    <row r="5353" spans="1:28" x14ac:dyDescent="0.25">
      <c r="A5353" t="s">
        <v>5357</v>
      </c>
      <c r="B5353">
        <v>0.99996721820229495</v>
      </c>
      <c r="C5353">
        <v>1.0572622010536501</v>
      </c>
      <c r="D5353">
        <v>0.96952648926104501</v>
      </c>
      <c r="E5353">
        <v>0.81169588258993297</v>
      </c>
      <c r="F5353">
        <v>0.59738792877555802</v>
      </c>
      <c r="G5353">
        <v>0.27608546938728601</v>
      </c>
      <c r="H5353">
        <v>0.167326601026029</v>
      </c>
      <c r="I5353">
        <v>0.10774436129344001</v>
      </c>
      <c r="J5353">
        <v>8.2753154234272805E-2</v>
      </c>
      <c r="K5353">
        <v>6.7612277604674795E-2</v>
      </c>
      <c r="L5353">
        <v>1064.43717209645</v>
      </c>
      <c r="M5353">
        <v>19.845679385677599</v>
      </c>
      <c r="N5353">
        <v>54.039537684566398</v>
      </c>
      <c r="O5353">
        <v>53.100004219403601</v>
      </c>
      <c r="P5353">
        <v>-8.6999325986882994E-2</v>
      </c>
      <c r="Q5353">
        <v>6.8913406953983597E-2</v>
      </c>
      <c r="R5353">
        <v>0.99682233551756505</v>
      </c>
      <c r="S5353" t="s">
        <v>11179</v>
      </c>
      <c r="T5353" t="s">
        <v>11650</v>
      </c>
      <c r="U5353" t="s">
        <v>11650</v>
      </c>
      <c r="V5353" t="s">
        <v>11650</v>
      </c>
      <c r="W5353" t="s">
        <v>16945</v>
      </c>
      <c r="X5353">
        <v>9</v>
      </c>
      <c r="Y5353" t="s">
        <v>22607</v>
      </c>
      <c r="Z5353" t="s">
        <v>28415</v>
      </c>
      <c r="AA5353">
        <v>0.50499761892078032</v>
      </c>
      <c r="AB5353" t="str">
        <f>HYPERLINK("Melting_Curves/meltCurve_Q9NZD2_GLTP.pdf", "Melting_Curves/meltCurve_Q9NZD2_GLTP.pdf")</f>
        <v>Melting_Curves/meltCurve_Q9NZD2_GLTP.pdf</v>
      </c>
    </row>
    <row r="5354" spans="1:28" x14ac:dyDescent="0.25">
      <c r="A5354" t="s">
        <v>5358</v>
      </c>
      <c r="B5354">
        <v>0.99996721820229495</v>
      </c>
      <c r="C5354">
        <v>0.94401405076717704</v>
      </c>
      <c r="D5354">
        <v>0.89632550388521703</v>
      </c>
      <c r="E5354">
        <v>0.54628993311474405</v>
      </c>
      <c r="F5354">
        <v>0.331680189490281</v>
      </c>
      <c r="G5354">
        <v>0.31131938366804901</v>
      </c>
      <c r="H5354">
        <v>0.18924348162531701</v>
      </c>
      <c r="I5354">
        <v>0.119344206652287</v>
      </c>
      <c r="J5354">
        <v>9.5186649546128599E-2</v>
      </c>
      <c r="K5354">
        <v>6.3137656575770001E-2</v>
      </c>
      <c r="L5354">
        <v>797.47417150631202</v>
      </c>
      <c r="M5354">
        <v>15.8052421825934</v>
      </c>
      <c r="N5354">
        <v>51.148772814242903</v>
      </c>
      <c r="O5354">
        <v>49.669299215660601</v>
      </c>
      <c r="P5354">
        <v>-7.1896145942261194E-2</v>
      </c>
      <c r="Q5354">
        <v>9.6315697673447401E-2</v>
      </c>
      <c r="R5354">
        <v>0.98466031575669899</v>
      </c>
      <c r="S5354" t="s">
        <v>11180</v>
      </c>
      <c r="T5354" t="s">
        <v>11650</v>
      </c>
      <c r="U5354" t="s">
        <v>11650</v>
      </c>
      <c r="V5354" t="s">
        <v>11650</v>
      </c>
      <c r="W5354" t="s">
        <v>16946</v>
      </c>
      <c r="X5354">
        <v>4</v>
      </c>
      <c r="Y5354" t="s">
        <v>22608</v>
      </c>
      <c r="Z5354" t="s">
        <v>28416</v>
      </c>
      <c r="AA5354">
        <v>0.43068062121171141</v>
      </c>
      <c r="AB5354" t="str">
        <f>HYPERLINK("Melting_Curves/meltCurve_Q9NZD8_2_SPG21.pdf", "Melting_Curves/meltCurve_Q9NZD8_2_SPG21.pdf")</f>
        <v>Melting_Curves/meltCurve_Q9NZD8_2_SPG21.pdf</v>
      </c>
    </row>
    <row r="5355" spans="1:28" x14ac:dyDescent="0.25">
      <c r="A5355" t="s">
        <v>5359</v>
      </c>
      <c r="B5355">
        <v>0.99996721820229495</v>
      </c>
      <c r="C5355">
        <v>0.90995898907930695</v>
      </c>
      <c r="D5355">
        <v>0.80241264816556002</v>
      </c>
      <c r="E5355">
        <v>0.90656226070380497</v>
      </c>
      <c r="F5355">
        <v>0.88349617542800696</v>
      </c>
      <c r="G5355">
        <v>0.73979792956381896</v>
      </c>
      <c r="H5355">
        <v>0.28756786720591998</v>
      </c>
      <c r="I5355">
        <v>0.143970670470665</v>
      </c>
      <c r="J5355">
        <v>0.13228840794146801</v>
      </c>
      <c r="K5355">
        <v>7.1643449585608601E-2</v>
      </c>
      <c r="L5355">
        <v>1411.1221661459499</v>
      </c>
      <c r="M5355">
        <v>24.0666533496242</v>
      </c>
      <c r="N5355">
        <v>58.9174147573531</v>
      </c>
      <c r="O5355">
        <v>58.233600689690199</v>
      </c>
      <c r="P5355">
        <v>-9.7672021868883199E-2</v>
      </c>
      <c r="Q5355">
        <v>5.46747976833531E-2</v>
      </c>
      <c r="R5355">
        <v>0.95282214412607302</v>
      </c>
      <c r="S5355" t="s">
        <v>11181</v>
      </c>
      <c r="T5355" t="s">
        <v>11650</v>
      </c>
      <c r="U5355" t="s">
        <v>11650</v>
      </c>
      <c r="V5355" t="s">
        <v>11650</v>
      </c>
      <c r="W5355" t="s">
        <v>16947</v>
      </c>
      <c r="X5355">
        <v>4</v>
      </c>
      <c r="Y5355" t="s">
        <v>22609</v>
      </c>
      <c r="Z5355" t="s">
        <v>28417</v>
      </c>
      <c r="AA5355">
        <v>0.65017140463780398</v>
      </c>
      <c r="AB5355" t="str">
        <f>HYPERLINK("Melting_Curves/meltCurve_Q9NZJ6_COQ3.pdf", "Melting_Curves/meltCurve_Q9NZJ6_COQ3.pdf")</f>
        <v>Melting_Curves/meltCurve_Q9NZJ6_COQ3.pdf</v>
      </c>
    </row>
    <row r="5356" spans="1:28" x14ac:dyDescent="0.25">
      <c r="A5356" t="s">
        <v>5360</v>
      </c>
      <c r="B5356">
        <v>0.99996721820229495</v>
      </c>
      <c r="C5356">
        <v>0.65990384963659099</v>
      </c>
      <c r="D5356">
        <v>0.82968533960353097</v>
      </c>
      <c r="E5356">
        <v>0.97655664405064802</v>
      </c>
      <c r="F5356">
        <v>0.89701945916407499</v>
      </c>
      <c r="G5356">
        <v>0.37430340012302099</v>
      </c>
      <c r="H5356">
        <v>0.16808742996085799</v>
      </c>
      <c r="I5356">
        <v>9.9901920102963795E-2</v>
      </c>
      <c r="J5356">
        <v>7.7784350306151495E-2</v>
      </c>
      <c r="K5356">
        <v>8.1943423402933202E-2</v>
      </c>
      <c r="L5356">
        <v>1974.1280827176599</v>
      </c>
      <c r="M5356">
        <v>35.353708977093298</v>
      </c>
      <c r="N5356">
        <v>56.156457421670503</v>
      </c>
      <c r="O5356">
        <v>55.661594131074601</v>
      </c>
      <c r="P5356">
        <v>-0.14442088461048899</v>
      </c>
      <c r="Q5356">
        <v>9.0486447980936899E-2</v>
      </c>
      <c r="R5356">
        <v>0.89574634881694604</v>
      </c>
      <c r="S5356" t="s">
        <v>11182</v>
      </c>
      <c r="T5356" t="s">
        <v>11650</v>
      </c>
      <c r="U5356" t="s">
        <v>11650</v>
      </c>
      <c r="V5356" t="s">
        <v>11650</v>
      </c>
      <c r="W5356" t="s">
        <v>16948</v>
      </c>
      <c r="X5356">
        <v>4</v>
      </c>
      <c r="Y5356" t="s">
        <v>22610</v>
      </c>
      <c r="Z5356" t="s">
        <v>28418</v>
      </c>
      <c r="AA5356">
        <v>0.57513271227846141</v>
      </c>
      <c r="AB5356" t="str">
        <f>HYPERLINK("Melting_Curves/meltCurve_Q9NZJ7_2_MTCH1.pdf", "Melting_Curves/meltCurve_Q9NZJ7_2_MTCH1.pdf")</f>
        <v>Melting_Curves/meltCurve_Q9NZJ7_2_MTCH1.pdf</v>
      </c>
    </row>
    <row r="5357" spans="1:28" x14ac:dyDescent="0.25">
      <c r="A5357" t="s">
        <v>5361</v>
      </c>
      <c r="B5357">
        <v>0.99996721820229495</v>
      </c>
      <c r="C5357">
        <v>1.0266478096740601</v>
      </c>
      <c r="D5357">
        <v>0.85237882767982098</v>
      </c>
      <c r="E5357">
        <v>0.56170895108202201</v>
      </c>
      <c r="F5357">
        <v>0.37464990184735097</v>
      </c>
      <c r="G5357">
        <v>0.27576888444862802</v>
      </c>
      <c r="H5357">
        <v>0.194248434617524</v>
      </c>
      <c r="I5357">
        <v>0.101561418423623</v>
      </c>
      <c r="J5357">
        <v>0.103445347455957</v>
      </c>
      <c r="K5357">
        <v>6.6223914766501302E-2</v>
      </c>
      <c r="L5357">
        <v>804.86570941706498</v>
      </c>
      <c r="M5357">
        <v>15.883449610324099</v>
      </c>
      <c r="N5357">
        <v>51.325975699868302</v>
      </c>
      <c r="O5357">
        <v>49.890406790588003</v>
      </c>
      <c r="P5357">
        <v>-7.2318690950352399E-2</v>
      </c>
      <c r="Q5357">
        <v>9.1452397309535E-2</v>
      </c>
      <c r="R5357">
        <v>0.98944272923374299</v>
      </c>
      <c r="S5357" t="s">
        <v>11183</v>
      </c>
      <c r="T5357" t="s">
        <v>11650</v>
      </c>
      <c r="U5357" t="s">
        <v>11650</v>
      </c>
      <c r="V5357" t="s">
        <v>11650</v>
      </c>
      <c r="W5357" t="s">
        <v>16949</v>
      </c>
      <c r="X5357">
        <v>11</v>
      </c>
      <c r="Y5357" t="s">
        <v>22611</v>
      </c>
      <c r="Z5357" t="s">
        <v>28419</v>
      </c>
      <c r="AA5357">
        <v>0.43391351011920481</v>
      </c>
      <c r="AB5357" t="str">
        <f>HYPERLINK("Melting_Curves/meltCurve_Q9NZJ9_NUDT4.pdf", "Melting_Curves/meltCurve_Q9NZJ9_NUDT4.pdf")</f>
        <v>Melting_Curves/meltCurve_Q9NZJ9_NUDT4.pdf</v>
      </c>
    </row>
    <row r="5358" spans="1:28" x14ac:dyDescent="0.25">
      <c r="A5358" t="s">
        <v>5362</v>
      </c>
      <c r="B5358">
        <v>0.99996721820229495</v>
      </c>
      <c r="C5358">
        <v>1.0756960616662099</v>
      </c>
      <c r="D5358">
        <v>1.1296893564222601</v>
      </c>
      <c r="E5358">
        <v>1.1348769011033799</v>
      </c>
      <c r="F5358">
        <v>1.0624619689335799</v>
      </c>
      <c r="G5358">
        <v>0.71867405926220995</v>
      </c>
      <c r="H5358">
        <v>0.44519674591021102</v>
      </c>
      <c r="I5358">
        <v>0.26821054139769901</v>
      </c>
      <c r="J5358">
        <v>0.17565580489289501</v>
      </c>
      <c r="K5358">
        <v>0.22246921287094101</v>
      </c>
      <c r="L5358">
        <v>1712.8950019398001</v>
      </c>
      <c r="M5358">
        <v>29.1099447964937</v>
      </c>
      <c r="N5358">
        <v>59.855954593633101</v>
      </c>
      <c r="O5358">
        <v>58.566671319626501</v>
      </c>
      <c r="P5358">
        <v>-0.100079627479932</v>
      </c>
      <c r="Q5358">
        <v>0.19459999230887301</v>
      </c>
      <c r="R5358">
        <v>0.96125404422288396</v>
      </c>
      <c r="S5358" t="s">
        <v>11184</v>
      </c>
      <c r="T5358" t="s">
        <v>11650</v>
      </c>
      <c r="U5358" t="s">
        <v>11650</v>
      </c>
      <c r="V5358" t="s">
        <v>11650</v>
      </c>
      <c r="W5358" t="s">
        <v>16950</v>
      </c>
      <c r="X5358">
        <v>11</v>
      </c>
      <c r="Y5358" t="s">
        <v>22612</v>
      </c>
      <c r="Z5358" t="s">
        <v>28420</v>
      </c>
      <c r="AA5358">
        <v>0.70588137705917819</v>
      </c>
      <c r="AB5358" t="str">
        <f>HYPERLINK("Melting_Curves/meltCurve_Q9NZL4_HSPBP1.pdf", "Melting_Curves/meltCurve_Q9NZL4_HSPBP1.pdf")</f>
        <v>Melting_Curves/meltCurve_Q9NZL4_HSPBP1.pdf</v>
      </c>
    </row>
    <row r="5359" spans="1:28" x14ac:dyDescent="0.25">
      <c r="A5359" t="s">
        <v>5363</v>
      </c>
      <c r="B5359">
        <v>0.99996721820229495</v>
      </c>
      <c r="C5359">
        <v>0.84728774898267101</v>
      </c>
      <c r="D5359">
        <v>1.03932202167067</v>
      </c>
      <c r="E5359">
        <v>1.2541501996514799</v>
      </c>
      <c r="F5359">
        <v>1.6568206171138899</v>
      </c>
      <c r="G5359">
        <v>1.7523025741656399</v>
      </c>
      <c r="H5359">
        <v>0.65288007245186097</v>
      </c>
      <c r="I5359">
        <v>0.44589540926231203</v>
      </c>
      <c r="J5359">
        <v>0.319161849740912</v>
      </c>
      <c r="K5359">
        <v>0.294051042005404</v>
      </c>
      <c r="L5359">
        <v>7271.5965154287796</v>
      </c>
      <c r="M5359">
        <v>119.336843438462</v>
      </c>
      <c r="N5359">
        <v>61.561149129847799</v>
      </c>
      <c r="O5359">
        <v>60.916267496911203</v>
      </c>
      <c r="P5359">
        <v>-0.31739450670018798</v>
      </c>
      <c r="Q5359">
        <v>0.35193566069448801</v>
      </c>
      <c r="R5359">
        <v>0.54580608086353699</v>
      </c>
      <c r="S5359" t="s">
        <v>11185</v>
      </c>
      <c r="T5359" t="s">
        <v>11650</v>
      </c>
      <c r="U5359" t="s">
        <v>11650</v>
      </c>
      <c r="V5359" t="s">
        <v>11650</v>
      </c>
      <c r="W5359" t="s">
        <v>16951</v>
      </c>
      <c r="X5359">
        <v>9</v>
      </c>
      <c r="Y5359" t="s">
        <v>22613</v>
      </c>
      <c r="Z5359" t="s">
        <v>28421</v>
      </c>
      <c r="AA5359">
        <v>0.80444580246513586</v>
      </c>
      <c r="AB5359" t="str">
        <f>HYPERLINK("Melting_Curves/meltCurve_Q9NZL9_MAT2B.pdf", "Melting_Curves/meltCurve_Q9NZL9_MAT2B.pdf")</f>
        <v>Melting_Curves/meltCurve_Q9NZL9_MAT2B.pdf</v>
      </c>
    </row>
    <row r="5360" spans="1:28" x14ac:dyDescent="0.25">
      <c r="A5360" t="s">
        <v>5364</v>
      </c>
      <c r="B5360">
        <v>0.99996721820229495</v>
      </c>
      <c r="C5360">
        <v>0.91716987508463199</v>
      </c>
      <c r="D5360">
        <v>1.09614701758567</v>
      </c>
      <c r="E5360">
        <v>2.0846024039931099</v>
      </c>
      <c r="F5360">
        <v>1.23582382098145</v>
      </c>
      <c r="G5360">
        <v>0.66363235288105205</v>
      </c>
      <c r="H5360">
        <v>0.3269227198097</v>
      </c>
      <c r="I5360">
        <v>0.20638634392483601</v>
      </c>
      <c r="J5360">
        <v>0.16547261973588601</v>
      </c>
      <c r="K5360">
        <v>0.13523122412294</v>
      </c>
      <c r="L5360">
        <v>2833.55365719874</v>
      </c>
      <c r="M5360">
        <v>49.1704714093418</v>
      </c>
      <c r="N5360">
        <v>58.194174805699298</v>
      </c>
      <c r="O5360">
        <v>57.532061895926297</v>
      </c>
      <c r="P5360">
        <v>-0.172998266502011</v>
      </c>
      <c r="Q5360">
        <v>0.190332114754138</v>
      </c>
      <c r="R5360">
        <v>0.62929310530495897</v>
      </c>
      <c r="S5360" t="s">
        <v>11186</v>
      </c>
      <c r="T5360" t="s">
        <v>11650</v>
      </c>
      <c r="U5360" t="s">
        <v>11650</v>
      </c>
      <c r="V5360" t="s">
        <v>11650</v>
      </c>
      <c r="W5360" t="s">
        <v>16952</v>
      </c>
      <c r="X5360">
        <v>101</v>
      </c>
      <c r="Y5360" t="s">
        <v>22614</v>
      </c>
      <c r="Z5360" t="s">
        <v>28422</v>
      </c>
      <c r="AA5360">
        <v>0.66819008074363662</v>
      </c>
      <c r="AB5360" t="str">
        <f>HYPERLINK("Melting_Curves/meltCurve_Q9NZM1_6_MYOF.pdf", "Melting_Curves/meltCurve_Q9NZM1_6_MYOF.pdf")</f>
        <v>Melting_Curves/meltCurve_Q9NZM1_6_MYOF.pdf</v>
      </c>
    </row>
    <row r="5361" spans="1:28" x14ac:dyDescent="0.25">
      <c r="A5361" t="s">
        <v>5365</v>
      </c>
      <c r="B5361">
        <v>0.99996721820229495</v>
      </c>
      <c r="C5361">
        <v>0.83106710809698003</v>
      </c>
      <c r="D5361">
        <v>0.52863572601391795</v>
      </c>
      <c r="E5361">
        <v>0.32113909439433702</v>
      </c>
      <c r="F5361">
        <v>0.29905021307097501</v>
      </c>
      <c r="G5361">
        <v>0.21785581399651099</v>
      </c>
      <c r="H5361">
        <v>0.16752684476788501</v>
      </c>
      <c r="I5361">
        <v>0.12907912422645701</v>
      </c>
      <c r="J5361">
        <v>0.10383799068107499</v>
      </c>
      <c r="K5361">
        <v>8.9546275495899594E-2</v>
      </c>
      <c r="L5361">
        <v>733.21081519909205</v>
      </c>
      <c r="M5361">
        <v>15.834855255150099</v>
      </c>
      <c r="N5361">
        <v>47.203662093553802</v>
      </c>
      <c r="O5361">
        <v>45.583994340850701</v>
      </c>
      <c r="P5361">
        <v>-7.5534190716337601E-2</v>
      </c>
      <c r="Q5361">
        <v>0.130306202109087</v>
      </c>
      <c r="R5361">
        <v>0.97969905294092996</v>
      </c>
      <c r="S5361" t="s">
        <v>11187</v>
      </c>
      <c r="T5361" t="s">
        <v>11650</v>
      </c>
      <c r="U5361" t="s">
        <v>11650</v>
      </c>
      <c r="V5361" t="s">
        <v>11650</v>
      </c>
      <c r="W5361" t="s">
        <v>16953</v>
      </c>
      <c r="X5361">
        <v>9</v>
      </c>
      <c r="Y5361" t="s">
        <v>22615</v>
      </c>
      <c r="Z5361" t="s">
        <v>28423</v>
      </c>
      <c r="AA5361">
        <v>0.3351531776070541</v>
      </c>
      <c r="AB5361" t="str">
        <f>HYPERLINK("Melting_Curves/meltCurve_Q9NZM3_2_ITSN2.pdf", "Melting_Curves/meltCurve_Q9NZM3_2_ITSN2.pdf")</f>
        <v>Melting_Curves/meltCurve_Q9NZM3_2_ITSN2.pdf</v>
      </c>
    </row>
    <row r="5362" spans="1:28" x14ac:dyDescent="0.25">
      <c r="A5362" t="s">
        <v>5366</v>
      </c>
      <c r="B5362">
        <v>0.99996721820229495</v>
      </c>
      <c r="C5362">
        <v>1.01824931857681</v>
      </c>
      <c r="D5362">
        <v>0.97919135978229799</v>
      </c>
      <c r="E5362">
        <v>0.77094748546643899</v>
      </c>
      <c r="F5362">
        <v>0.32170060038767401</v>
      </c>
      <c r="G5362">
        <v>0.25523865166925702</v>
      </c>
      <c r="H5362">
        <v>0.15011684948333001</v>
      </c>
      <c r="I5362">
        <v>9.3878033009900899E-2</v>
      </c>
      <c r="J5362">
        <v>7.6654965986740403E-2</v>
      </c>
      <c r="K5362">
        <v>5.8325908179076402E-2</v>
      </c>
      <c r="L5362">
        <v>1555.9899678391</v>
      </c>
      <c r="M5362">
        <v>30.215952550961202</v>
      </c>
      <c r="N5362">
        <v>51.916375540146703</v>
      </c>
      <c r="O5362">
        <v>51.2716689055503</v>
      </c>
      <c r="P5362">
        <v>-0.131333548278387</v>
      </c>
      <c r="Q5362">
        <v>0.108597015193639</v>
      </c>
      <c r="R5362">
        <v>0.98776177237079699</v>
      </c>
      <c r="S5362" t="s">
        <v>11188</v>
      </c>
      <c r="T5362" t="s">
        <v>11650</v>
      </c>
      <c r="U5362" t="s">
        <v>11650</v>
      </c>
      <c r="V5362" t="s">
        <v>11650</v>
      </c>
      <c r="W5362" t="s">
        <v>16954</v>
      </c>
      <c r="X5362">
        <v>30</v>
      </c>
      <c r="Y5362" t="s">
        <v>22616</v>
      </c>
      <c r="Z5362" t="s">
        <v>28424</v>
      </c>
      <c r="AA5362">
        <v>0.45574191918725337</v>
      </c>
      <c r="AB5362" t="str">
        <f>HYPERLINK("Melting_Curves/meltCurve_Q9NZN3_EHD3.pdf", "Melting_Curves/meltCurve_Q9NZN3_EHD3.pdf")</f>
        <v>Melting_Curves/meltCurve_Q9NZN3_EHD3.pdf</v>
      </c>
    </row>
    <row r="5363" spans="1:28" x14ac:dyDescent="0.25">
      <c r="A5363" t="s">
        <v>5367</v>
      </c>
      <c r="B5363">
        <v>0.99996721820229495</v>
      </c>
      <c r="C5363">
        <v>0.84081384675700599</v>
      </c>
      <c r="D5363">
        <v>0.63071847427597205</v>
      </c>
      <c r="E5363">
        <v>0.34102575584112199</v>
      </c>
      <c r="F5363">
        <v>0.219910022711685</v>
      </c>
      <c r="G5363">
        <v>0.17401009403815701</v>
      </c>
      <c r="H5363">
        <v>0.112655929675356</v>
      </c>
      <c r="I5363">
        <v>7.45659977320412E-2</v>
      </c>
      <c r="J5363">
        <v>5.8298788969854597E-2</v>
      </c>
      <c r="K5363">
        <v>4.7510944918701399E-2</v>
      </c>
      <c r="L5363">
        <v>733.68521269612597</v>
      </c>
      <c r="M5363">
        <v>15.481371657622899</v>
      </c>
      <c r="N5363">
        <v>47.8281797781096</v>
      </c>
      <c r="O5363">
        <v>46.621887090648599</v>
      </c>
      <c r="P5363">
        <v>-7.7551120718376707E-2</v>
      </c>
      <c r="Q5363">
        <v>6.5908226378212295E-2</v>
      </c>
      <c r="R5363">
        <v>0.99445541110528202</v>
      </c>
      <c r="S5363" t="s">
        <v>11189</v>
      </c>
      <c r="T5363" t="s">
        <v>11650</v>
      </c>
      <c r="U5363" t="s">
        <v>11650</v>
      </c>
      <c r="V5363" t="s">
        <v>11650</v>
      </c>
      <c r="W5363" t="s">
        <v>16955</v>
      </c>
      <c r="X5363">
        <v>32</v>
      </c>
      <c r="Y5363" t="s">
        <v>22617</v>
      </c>
      <c r="Z5363" t="s">
        <v>28425</v>
      </c>
      <c r="AA5363">
        <v>0.3193023483865029</v>
      </c>
      <c r="AB5363" t="str">
        <f>HYPERLINK("Melting_Curves/meltCurve_Q9NZN4_EHD2.pdf", "Melting_Curves/meltCurve_Q9NZN4_EHD2.pdf")</f>
        <v>Melting_Curves/meltCurve_Q9NZN4_EHD2.pdf</v>
      </c>
    </row>
    <row r="5364" spans="1:28" x14ac:dyDescent="0.25">
      <c r="A5364" t="s">
        <v>5368</v>
      </c>
      <c r="B5364">
        <v>0.99996721820229495</v>
      </c>
      <c r="C5364">
        <v>0.92647315861310897</v>
      </c>
      <c r="D5364">
        <v>0.861880374952533</v>
      </c>
      <c r="E5364">
        <v>0.70787925772626503</v>
      </c>
      <c r="F5364">
        <v>0.83868565060347999</v>
      </c>
      <c r="G5364">
        <v>0.68597197462988402</v>
      </c>
      <c r="H5364">
        <v>0.50919722415226498</v>
      </c>
      <c r="I5364">
        <v>0.29440670298748101</v>
      </c>
      <c r="J5364">
        <v>0.162669149852188</v>
      </c>
      <c r="K5364">
        <v>0.16451218430944101</v>
      </c>
      <c r="L5364">
        <v>573.03180304350496</v>
      </c>
      <c r="M5364">
        <v>9.6484059066482608</v>
      </c>
      <c r="N5364">
        <v>59.391339231633403</v>
      </c>
      <c r="O5364">
        <v>57.008299898786198</v>
      </c>
      <c r="P5364">
        <v>-4.23350067319989E-2</v>
      </c>
      <c r="Q5364">
        <v>0</v>
      </c>
      <c r="R5364">
        <v>0.93212527163302605</v>
      </c>
      <c r="S5364" t="s">
        <v>11190</v>
      </c>
      <c r="T5364" t="s">
        <v>11650</v>
      </c>
      <c r="U5364" t="s">
        <v>11650</v>
      </c>
      <c r="V5364" t="s">
        <v>11650</v>
      </c>
      <c r="W5364" t="s">
        <v>16956</v>
      </c>
      <c r="X5364">
        <v>12</v>
      </c>
      <c r="Y5364" t="s">
        <v>22618</v>
      </c>
      <c r="Z5364" t="s">
        <v>28426</v>
      </c>
      <c r="AA5364">
        <v>0.64562210602959758</v>
      </c>
      <c r="AB5364" t="str">
        <f>HYPERLINK("Melting_Curves/meltCurve_Q9NZN5_2_ARHGEF12.pdf", "Melting_Curves/meltCurve_Q9NZN5_2_ARHGEF12.pdf")</f>
        <v>Melting_Curves/meltCurve_Q9NZN5_2_ARHGEF12.pdf</v>
      </c>
    </row>
    <row r="5365" spans="1:28" x14ac:dyDescent="0.25">
      <c r="A5365" t="s">
        <v>5369</v>
      </c>
      <c r="B5365">
        <v>0.99996721820229495</v>
      </c>
      <c r="C5365">
        <v>1.1230610321124299</v>
      </c>
      <c r="D5365">
        <v>1.2075369115281001</v>
      </c>
      <c r="E5365">
        <v>1.4525719061287701</v>
      </c>
      <c r="F5365">
        <v>1.7096698170573399</v>
      </c>
      <c r="G5365">
        <v>1.01927239725387</v>
      </c>
      <c r="H5365">
        <v>0.20889230330925501</v>
      </c>
      <c r="I5365">
        <v>0.17246940708728101</v>
      </c>
      <c r="J5365">
        <v>0.12629401477490301</v>
      </c>
      <c r="K5365">
        <v>9.3885671338606105E-2</v>
      </c>
      <c r="L5365">
        <v>11138.1004581876</v>
      </c>
      <c r="M5365">
        <v>184.90805747952601</v>
      </c>
      <c r="N5365">
        <v>60.334904083467499</v>
      </c>
      <c r="O5365">
        <v>60.228839347225502</v>
      </c>
      <c r="P5365">
        <v>-0.66707519782419999</v>
      </c>
      <c r="Q5365">
        <v>0.130872603141726</v>
      </c>
      <c r="R5365">
        <v>0.76706056787100296</v>
      </c>
      <c r="S5365" t="s">
        <v>11191</v>
      </c>
      <c r="T5365" t="s">
        <v>11650</v>
      </c>
      <c r="U5365" t="s">
        <v>11650</v>
      </c>
      <c r="V5365" t="s">
        <v>11650</v>
      </c>
      <c r="W5365" t="s">
        <v>16957</v>
      </c>
      <c r="X5365">
        <v>1</v>
      </c>
      <c r="Y5365" t="s">
        <v>22619</v>
      </c>
      <c r="Z5365" t="s">
        <v>28427</v>
      </c>
      <c r="AA5365">
        <v>0.71729264814834914</v>
      </c>
      <c r="AB5365" t="str">
        <f>HYPERLINK("Melting_Curves/meltCurve_Q9NZN9_3_AIPL1.pdf", "Melting_Curves/meltCurve_Q9NZN9_3_AIPL1.pdf")</f>
        <v>Melting_Curves/meltCurve_Q9NZN9_3_AIPL1.pdf</v>
      </c>
    </row>
    <row r="5366" spans="1:28" x14ac:dyDescent="0.25">
      <c r="A5366" t="s">
        <v>5370</v>
      </c>
      <c r="B5366">
        <v>0.99996721820229495</v>
      </c>
      <c r="C5366">
        <v>0.92192090661593795</v>
      </c>
      <c r="D5366">
        <v>0.71013920848822198</v>
      </c>
      <c r="E5366">
        <v>0.362971073153595</v>
      </c>
      <c r="F5366">
        <v>0.33522396473060501</v>
      </c>
      <c r="G5366">
        <v>0.30755751853122398</v>
      </c>
      <c r="H5366">
        <v>0.20579921206447799</v>
      </c>
      <c r="I5366">
        <v>0.15132971109179599</v>
      </c>
      <c r="J5366">
        <v>0.11138675893472</v>
      </c>
      <c r="K5366">
        <v>9.57077926657985E-2</v>
      </c>
      <c r="L5366">
        <v>752.75641624942602</v>
      </c>
      <c r="M5366">
        <v>15.6890116789119</v>
      </c>
      <c r="N5366">
        <v>49.040422995952802</v>
      </c>
      <c r="O5366">
        <v>47.220628062329197</v>
      </c>
      <c r="P5366">
        <v>-7.1118389966627504E-2</v>
      </c>
      <c r="Q5366">
        <v>0.14386687856688599</v>
      </c>
      <c r="R5366">
        <v>0.97506923165841697</v>
      </c>
      <c r="S5366" t="s">
        <v>11192</v>
      </c>
      <c r="T5366" t="s">
        <v>11650</v>
      </c>
      <c r="U5366" t="s">
        <v>11650</v>
      </c>
      <c r="V5366" t="s">
        <v>11650</v>
      </c>
      <c r="W5366" t="s">
        <v>16958</v>
      </c>
      <c r="X5366">
        <v>5</v>
      </c>
      <c r="Y5366" t="s">
        <v>22620</v>
      </c>
      <c r="Z5366" t="s">
        <v>28428</v>
      </c>
      <c r="AA5366">
        <v>0.39175378516930759</v>
      </c>
      <c r="AB5366" t="str">
        <f>HYPERLINK("Melting_Curves/meltCurve_Q9NZQ3_3_NCKIPSD.pdf", "Melting_Curves/meltCurve_Q9NZQ3_3_NCKIPSD.pdf")</f>
        <v>Melting_Curves/meltCurve_Q9NZQ3_3_NCKIPSD.pdf</v>
      </c>
    </row>
    <row r="5367" spans="1:28" x14ac:dyDescent="0.25">
      <c r="A5367" t="s">
        <v>5371</v>
      </c>
      <c r="B5367">
        <v>0.99996721820229495</v>
      </c>
      <c r="C5367">
        <v>0.95866438800272602</v>
      </c>
      <c r="D5367">
        <v>0.54274885467934197</v>
      </c>
      <c r="E5367">
        <v>0.24266165947418</v>
      </c>
      <c r="F5367">
        <v>0.21021159477406201</v>
      </c>
      <c r="G5367">
        <v>0.18166175588328801</v>
      </c>
      <c r="H5367">
        <v>0.12994043537791899</v>
      </c>
      <c r="I5367">
        <v>9.3252546010728202E-2</v>
      </c>
      <c r="J5367">
        <v>6.28564363440971E-2</v>
      </c>
      <c r="K5367">
        <v>5.0743750437692699E-2</v>
      </c>
      <c r="L5367">
        <v>1186.7828686202099</v>
      </c>
      <c r="M5367">
        <v>25.6571009309713</v>
      </c>
      <c r="N5367">
        <v>46.726405858118</v>
      </c>
      <c r="O5367">
        <v>45.977280159893397</v>
      </c>
      <c r="P5367">
        <v>-0.12361880752085699</v>
      </c>
      <c r="Q5367">
        <v>0.113915853241623</v>
      </c>
      <c r="R5367">
        <v>0.98155134566017699</v>
      </c>
      <c r="S5367" t="s">
        <v>11193</v>
      </c>
      <c r="T5367" t="s">
        <v>11650</v>
      </c>
      <c r="U5367" t="s">
        <v>11650</v>
      </c>
      <c r="V5367" t="s">
        <v>11650</v>
      </c>
      <c r="W5367" t="s">
        <v>16959</v>
      </c>
      <c r="X5367">
        <v>15</v>
      </c>
      <c r="Y5367" t="s">
        <v>22621</v>
      </c>
      <c r="Z5367" t="s">
        <v>28429</v>
      </c>
      <c r="AA5367">
        <v>0.30630536563143912</v>
      </c>
      <c r="AB5367" t="str">
        <f>HYPERLINK("Melting_Curves/meltCurve_Q9NZT2_2_OGFR.pdf", "Melting_Curves/meltCurve_Q9NZT2_2_OGFR.pdf")</f>
        <v>Melting_Curves/meltCurve_Q9NZT2_2_OGFR.pdf</v>
      </c>
    </row>
    <row r="5368" spans="1:28" x14ac:dyDescent="0.25">
      <c r="A5368" t="s">
        <v>5372</v>
      </c>
      <c r="B5368">
        <v>0.99996721820229495</v>
      </c>
      <c r="C5368">
        <v>0.92246751986808895</v>
      </c>
      <c r="D5368">
        <v>0.75842497125073305</v>
      </c>
      <c r="E5368">
        <v>0.56183888504579804</v>
      </c>
      <c r="F5368">
        <v>0.24602214300124201</v>
      </c>
      <c r="G5368">
        <v>0.230921792329468</v>
      </c>
      <c r="H5368">
        <v>0.1495461538326</v>
      </c>
      <c r="I5368">
        <v>0.10202761402133501</v>
      </c>
      <c r="J5368">
        <v>7.6116474278486501E-2</v>
      </c>
      <c r="K5368">
        <v>6.3259490931995802E-2</v>
      </c>
      <c r="L5368">
        <v>748.84287152175398</v>
      </c>
      <c r="M5368">
        <v>15.0981551339846</v>
      </c>
      <c r="N5368">
        <v>50.106509174823799</v>
      </c>
      <c r="O5368">
        <v>48.752609279704899</v>
      </c>
      <c r="P5368">
        <v>-7.1932989631195196E-2</v>
      </c>
      <c r="Q5368">
        <v>7.0992318782095304E-2</v>
      </c>
      <c r="R5368">
        <v>0.98852807486527705</v>
      </c>
      <c r="S5368" t="s">
        <v>11194</v>
      </c>
      <c r="T5368" t="s">
        <v>11650</v>
      </c>
      <c r="U5368" t="s">
        <v>11650</v>
      </c>
      <c r="V5368" t="s">
        <v>11650</v>
      </c>
      <c r="W5368" t="s">
        <v>16960</v>
      </c>
      <c r="X5368">
        <v>25</v>
      </c>
      <c r="Y5368" t="s">
        <v>22622</v>
      </c>
      <c r="Z5368" t="s">
        <v>28430</v>
      </c>
      <c r="AA5368">
        <v>0.39040589337054599</v>
      </c>
      <c r="AB5368" t="str">
        <f>HYPERLINK("Melting_Curves/meltCurve_Q9NZU5_LMCD1.pdf", "Melting_Curves/meltCurve_Q9NZU5_LMCD1.pdf")</f>
        <v>Melting_Curves/meltCurve_Q9NZU5_LMCD1.pdf</v>
      </c>
    </row>
    <row r="5369" spans="1:28" x14ac:dyDescent="0.25">
      <c r="A5369" t="s">
        <v>5373</v>
      </c>
      <c r="B5369">
        <v>0.99996721820229495</v>
      </c>
      <c r="C5369">
        <v>0.96374964090909498</v>
      </c>
      <c r="D5369">
        <v>0.97855575545184204</v>
      </c>
      <c r="E5369">
        <v>1.16158713168193</v>
      </c>
      <c r="F5369">
        <v>1.54000931523754</v>
      </c>
      <c r="G5369">
        <v>1.7485583814552099</v>
      </c>
      <c r="H5369">
        <v>1.2636521738486199</v>
      </c>
      <c r="I5369">
        <v>0.89335176252105697</v>
      </c>
      <c r="J5369">
        <v>0.64407388755858197</v>
      </c>
      <c r="K5369">
        <v>0.66905768803323595</v>
      </c>
      <c r="L5369">
        <v>15000</v>
      </c>
      <c r="M5369">
        <v>233.57731194828699</v>
      </c>
      <c r="O5369">
        <v>64.213853286747096</v>
      </c>
      <c r="P5369">
        <v>-0.31231867279826597</v>
      </c>
      <c r="Q5369">
        <v>0.65655590818760301</v>
      </c>
      <c r="R5369">
        <v>0.15399668621127</v>
      </c>
      <c r="S5369" t="s">
        <v>11195</v>
      </c>
      <c r="T5369" t="s">
        <v>11650</v>
      </c>
      <c r="U5369" t="s">
        <v>11650</v>
      </c>
      <c r="V5369" t="s">
        <v>11650</v>
      </c>
      <c r="W5369" t="s">
        <v>16961</v>
      </c>
      <c r="X5369">
        <v>12</v>
      </c>
      <c r="Y5369" t="s">
        <v>22623</v>
      </c>
      <c r="Z5369" t="s">
        <v>28431</v>
      </c>
      <c r="AA5369">
        <v>0.93385769660036055</v>
      </c>
      <c r="AB5369" t="str">
        <f>HYPERLINK("Melting_Curves/meltCurve_Q9NZV1_CRIM1.pdf", "Melting_Curves/meltCurve_Q9NZV1_CRIM1.pdf")</f>
        <v>Melting_Curves/meltCurve_Q9NZV1_CRIM1.pdf</v>
      </c>
    </row>
    <row r="5370" spans="1:28" x14ac:dyDescent="0.25">
      <c r="A5370" t="s">
        <v>5374</v>
      </c>
      <c r="B5370">
        <v>0.99996721820229495</v>
      </c>
      <c r="C5370">
        <v>0.90764705736037998</v>
      </c>
      <c r="D5370">
        <v>0.88319752310395006</v>
      </c>
      <c r="E5370">
        <v>0.75118673856103602</v>
      </c>
      <c r="F5370">
        <v>0.32873197216865402</v>
      </c>
      <c r="G5370">
        <v>0.21258065651323901</v>
      </c>
      <c r="H5370">
        <v>0.13462784201674799</v>
      </c>
      <c r="I5370">
        <v>0.102372001922875</v>
      </c>
      <c r="J5370">
        <v>7.4918395556743705E-2</v>
      </c>
      <c r="K5370">
        <v>5.35351622661486E-2</v>
      </c>
      <c r="L5370">
        <v>1053.9137354894599</v>
      </c>
      <c r="M5370">
        <v>20.475650178671</v>
      </c>
      <c r="N5370">
        <v>51.8794757949737</v>
      </c>
      <c r="O5370">
        <v>50.988151823767097</v>
      </c>
      <c r="P5370">
        <v>-9.2932650532227198E-2</v>
      </c>
      <c r="Q5370">
        <v>7.4349564323189704E-2</v>
      </c>
      <c r="R5370">
        <v>0.98424433014030699</v>
      </c>
      <c r="S5370" t="s">
        <v>11196</v>
      </c>
      <c r="T5370" t="s">
        <v>11650</v>
      </c>
      <c r="U5370" t="s">
        <v>11650</v>
      </c>
      <c r="V5370" t="s">
        <v>11650</v>
      </c>
      <c r="W5370" t="s">
        <v>16962</v>
      </c>
      <c r="X5370">
        <v>21</v>
      </c>
      <c r="Y5370" t="s">
        <v>22624</v>
      </c>
      <c r="Z5370" t="s">
        <v>28432</v>
      </c>
      <c r="AA5370">
        <v>0.44059448814663799</v>
      </c>
      <c r="AB5370" t="str">
        <f>HYPERLINK("Melting_Curves/meltCurve_Q9NZW5_MPP6.pdf", "Melting_Curves/meltCurve_Q9NZW5_MPP6.pdf")</f>
        <v>Melting_Curves/meltCurve_Q9NZW5_MPP6.pdf</v>
      </c>
    </row>
    <row r="5371" spans="1:28" x14ac:dyDescent="0.25">
      <c r="A5371" t="s">
        <v>5375</v>
      </c>
      <c r="B5371">
        <v>0.99996721820229495</v>
      </c>
      <c r="C5371">
        <v>0.96116483562103805</v>
      </c>
      <c r="D5371">
        <v>0.95763896534208504</v>
      </c>
      <c r="E5371">
        <v>1.0237436309426999</v>
      </c>
      <c r="F5371">
        <v>1.3986090569107399</v>
      </c>
      <c r="G5371">
        <v>1.58986391501392</v>
      </c>
      <c r="H5371">
        <v>1.2845227691216801</v>
      </c>
      <c r="I5371">
        <v>1.2837956514533699</v>
      </c>
      <c r="J5371">
        <v>1.2853152661749401</v>
      </c>
      <c r="K5371">
        <v>0.83492954671914199</v>
      </c>
      <c r="L5371">
        <v>12618.824363019199</v>
      </c>
      <c r="M5371">
        <v>250</v>
      </c>
      <c r="O5371">
        <v>50.472067456892397</v>
      </c>
      <c r="P5371">
        <v>0.34611480605883199</v>
      </c>
      <c r="Q5371">
        <v>1.2795060766069</v>
      </c>
      <c r="R5371">
        <v>0.39921290857202701</v>
      </c>
      <c r="S5371" t="s">
        <v>11197</v>
      </c>
      <c r="T5371" t="s">
        <v>11650</v>
      </c>
      <c r="U5371" t="s">
        <v>11650</v>
      </c>
      <c r="V5371" t="s">
        <v>11650</v>
      </c>
      <c r="W5371" t="s">
        <v>16963</v>
      </c>
      <c r="X5371">
        <v>12</v>
      </c>
      <c r="Y5371" t="s">
        <v>22625</v>
      </c>
      <c r="Z5371" t="s">
        <v>28433</v>
      </c>
      <c r="AA5371">
        <v>1.1818843406150781</v>
      </c>
      <c r="AB5371" t="str">
        <f>HYPERLINK("Melting_Curves/meltCurve_Q9NZZ3_CHMP5.pdf", "Melting_Curves/meltCurve_Q9NZZ3_CHMP5.pdf")</f>
        <v>Melting_Curves/meltCurve_Q9NZZ3_CHMP5.pdf</v>
      </c>
    </row>
    <row r="5372" spans="1:28" x14ac:dyDescent="0.25">
      <c r="A5372" t="s">
        <v>5376</v>
      </c>
      <c r="B5372">
        <v>0.99996721820229495</v>
      </c>
      <c r="C5372">
        <v>1.0555141974437099</v>
      </c>
      <c r="D5372">
        <v>1.04002903494153</v>
      </c>
      <c r="E5372">
        <v>1.0895999532899201</v>
      </c>
      <c r="F5372">
        <v>2.3752208912517201</v>
      </c>
      <c r="G5372">
        <v>1.58031824614227</v>
      </c>
      <c r="H5372">
        <v>0.74330619393563602</v>
      </c>
      <c r="I5372">
        <v>0.52648572323160803</v>
      </c>
      <c r="J5372">
        <v>0.36546828780853902</v>
      </c>
      <c r="K5372">
        <v>0.29409685475783698</v>
      </c>
      <c r="L5372">
        <v>3110.3642364522002</v>
      </c>
      <c r="M5372">
        <v>49.977066273948203</v>
      </c>
      <c r="N5372">
        <v>63.645429421425099</v>
      </c>
      <c r="O5372">
        <v>62.136428378608102</v>
      </c>
      <c r="P5372">
        <v>-0.133776288794487</v>
      </c>
      <c r="Q5372">
        <v>0.33470496214817902</v>
      </c>
      <c r="R5372">
        <v>0.34121074166405602</v>
      </c>
      <c r="S5372" t="s">
        <v>11198</v>
      </c>
      <c r="T5372" t="s">
        <v>11650</v>
      </c>
      <c r="U5372" t="s">
        <v>11650</v>
      </c>
      <c r="V5372" t="s">
        <v>11650</v>
      </c>
      <c r="W5372" t="s">
        <v>16964</v>
      </c>
      <c r="X5372">
        <v>6</v>
      </c>
      <c r="Y5372" t="s">
        <v>22626</v>
      </c>
      <c r="Z5372" t="s">
        <v>28434</v>
      </c>
      <c r="AA5372">
        <v>0.82950291084313832</v>
      </c>
      <c r="AB5372" t="str">
        <f>HYPERLINK("Melting_Curves/meltCurve_Q9P000_COMMD9.pdf", "Melting_Curves/meltCurve_Q9P000_COMMD9.pdf")</f>
        <v>Melting_Curves/meltCurve_Q9P000_COMMD9.pdf</v>
      </c>
    </row>
    <row r="5373" spans="1:28" x14ac:dyDescent="0.25">
      <c r="A5373" t="s">
        <v>5377</v>
      </c>
      <c r="B5373">
        <v>0.99996721820229495</v>
      </c>
      <c r="C5373">
        <v>1.0268937123909601</v>
      </c>
      <c r="D5373">
        <v>1.0363342693475099</v>
      </c>
      <c r="E5373">
        <v>1.0937985584689101</v>
      </c>
      <c r="F5373">
        <v>1.57669772778955</v>
      </c>
      <c r="G5373">
        <v>1.7807465745384401</v>
      </c>
      <c r="H5373">
        <v>1.3526556152189</v>
      </c>
      <c r="I5373">
        <v>1.4998205662219299</v>
      </c>
      <c r="J5373">
        <v>1.4688323199767099</v>
      </c>
      <c r="K5373">
        <v>0.98114864154130799</v>
      </c>
      <c r="L5373">
        <v>12565.7690764036</v>
      </c>
      <c r="M5373">
        <v>250</v>
      </c>
      <c r="O5373">
        <v>50.2598594781972</v>
      </c>
      <c r="P5373">
        <v>0.55128109646868995</v>
      </c>
      <c r="Q5373">
        <v>1.4433169694018699</v>
      </c>
      <c r="R5373">
        <v>0.52330170893912897</v>
      </c>
      <c r="S5373" t="s">
        <v>11199</v>
      </c>
      <c r="T5373" t="s">
        <v>11650</v>
      </c>
      <c r="U5373" t="s">
        <v>11650</v>
      </c>
      <c r="V5373" t="s">
        <v>11650</v>
      </c>
      <c r="W5373" t="s">
        <v>16965</v>
      </c>
      <c r="X5373">
        <v>12</v>
      </c>
      <c r="Y5373" t="s">
        <v>22627</v>
      </c>
      <c r="Z5373" t="s">
        <v>28435</v>
      </c>
      <c r="AA5373">
        <v>1.2916180011874621</v>
      </c>
      <c r="AB5373" t="str">
        <f>HYPERLINK("Melting_Curves/meltCurve_Q9P013_CWC15.pdf", "Melting_Curves/meltCurve_Q9P013_CWC15.pdf")</f>
        <v>Melting_Curves/meltCurve_Q9P013_CWC15.pdf</v>
      </c>
    </row>
    <row r="5374" spans="1:28" x14ac:dyDescent="0.25">
      <c r="A5374" t="s">
        <v>5378</v>
      </c>
      <c r="B5374">
        <v>0.99996721820229495</v>
      </c>
      <c r="C5374">
        <v>1.07448914562896</v>
      </c>
      <c r="D5374">
        <v>0.95052891547382201</v>
      </c>
      <c r="E5374">
        <v>0.88774277737385499</v>
      </c>
      <c r="F5374">
        <v>0.35308352401801701</v>
      </c>
      <c r="G5374">
        <v>0.31315924326239097</v>
      </c>
      <c r="H5374">
        <v>0.187631989215885</v>
      </c>
      <c r="I5374">
        <v>0.15889583343307701</v>
      </c>
      <c r="J5374">
        <v>0.10788699073939299</v>
      </c>
      <c r="K5374">
        <v>9.3644854291527205E-2</v>
      </c>
      <c r="L5374">
        <v>2480.8968030155902</v>
      </c>
      <c r="M5374">
        <v>47.922409513659098</v>
      </c>
      <c r="N5374">
        <v>52.212620271172298</v>
      </c>
      <c r="O5374">
        <v>51.6791264635389</v>
      </c>
      <c r="P5374">
        <v>-0.19305993639711599</v>
      </c>
      <c r="Q5374">
        <v>0.167223951364628</v>
      </c>
      <c r="R5374">
        <v>0.97610872853512398</v>
      </c>
      <c r="S5374" t="s">
        <v>11200</v>
      </c>
      <c r="T5374" t="s">
        <v>11650</v>
      </c>
      <c r="U5374" t="s">
        <v>11650</v>
      </c>
      <c r="V5374" t="s">
        <v>11650</v>
      </c>
      <c r="W5374" t="s">
        <v>16966</v>
      </c>
      <c r="X5374">
        <v>7</v>
      </c>
      <c r="Y5374" t="s">
        <v>22628</v>
      </c>
      <c r="Z5374" t="s">
        <v>28436</v>
      </c>
      <c r="AA5374">
        <v>0.49599389353155399</v>
      </c>
      <c r="AB5374" t="str">
        <f>HYPERLINK("Melting_Curves/meltCurve_Q9P016_THYN1.pdf", "Melting_Curves/meltCurve_Q9P016_THYN1.pdf")</f>
        <v>Melting_Curves/meltCurve_Q9P016_THYN1.pdf</v>
      </c>
    </row>
    <row r="5375" spans="1:28" x14ac:dyDescent="0.25">
      <c r="A5375" t="s">
        <v>5379</v>
      </c>
      <c r="B5375">
        <v>0.99996721820229495</v>
      </c>
      <c r="C5375">
        <v>1.00546474136468</v>
      </c>
      <c r="D5375">
        <v>1.0930576814230899</v>
      </c>
      <c r="E5375">
        <v>1.54377990297399</v>
      </c>
      <c r="F5375">
        <v>1.34831853066985</v>
      </c>
      <c r="G5375">
        <v>0.95253144404456203</v>
      </c>
      <c r="H5375">
        <v>0.46731153620367899</v>
      </c>
      <c r="I5375">
        <v>0.29525011006264201</v>
      </c>
      <c r="J5375">
        <v>0.216361448981576</v>
      </c>
      <c r="K5375">
        <v>0.16485788251355199</v>
      </c>
      <c r="L5375">
        <v>2851.9663054369098</v>
      </c>
      <c r="M5375">
        <v>47.377114526241499</v>
      </c>
      <c r="N5375">
        <v>60.871866222931999</v>
      </c>
      <c r="O5375">
        <v>60.090174576002099</v>
      </c>
      <c r="P5375">
        <v>-0.15684557776351801</v>
      </c>
      <c r="Q5375">
        <v>0.204268311267466</v>
      </c>
      <c r="R5375">
        <v>0.80005108413182702</v>
      </c>
      <c r="S5375" t="s">
        <v>11201</v>
      </c>
      <c r="T5375" t="s">
        <v>11650</v>
      </c>
      <c r="U5375" t="s">
        <v>11650</v>
      </c>
      <c r="V5375" t="s">
        <v>11650</v>
      </c>
      <c r="W5375" t="s">
        <v>16967</v>
      </c>
      <c r="X5375">
        <v>6</v>
      </c>
      <c r="Y5375" t="s">
        <v>22629</v>
      </c>
      <c r="Z5375" t="s">
        <v>28437</v>
      </c>
      <c r="AA5375">
        <v>0.74227669268434071</v>
      </c>
      <c r="AB5375" t="str">
        <f>HYPERLINK("Melting_Curves/meltCurve_Q9P032_NDUFAF4.pdf", "Melting_Curves/meltCurve_Q9P032_NDUFAF4.pdf")</f>
        <v>Melting_Curves/meltCurve_Q9P032_NDUFAF4.pdf</v>
      </c>
    </row>
    <row r="5376" spans="1:28" x14ac:dyDescent="0.25">
      <c r="A5376" t="s">
        <v>5380</v>
      </c>
      <c r="B5376">
        <v>0.99996721820229495</v>
      </c>
      <c r="C5376">
        <v>0.98203434014419999</v>
      </c>
      <c r="D5376">
        <v>1.08918510468926</v>
      </c>
      <c r="E5376">
        <v>1.44214155812374</v>
      </c>
      <c r="F5376">
        <v>1.57434764014316</v>
      </c>
      <c r="G5376">
        <v>1.23312136572076</v>
      </c>
      <c r="H5376">
        <v>0.56405201673611105</v>
      </c>
      <c r="I5376">
        <v>0.230364337414076</v>
      </c>
      <c r="J5376">
        <v>9.7377714510218802E-2</v>
      </c>
      <c r="K5376">
        <v>9.2455223159035899E-2</v>
      </c>
      <c r="L5376">
        <v>4183.6399963002405</v>
      </c>
      <c r="M5376">
        <v>68.491852048453296</v>
      </c>
      <c r="N5376">
        <v>61.337009545952398</v>
      </c>
      <c r="O5376">
        <v>61.030295836709698</v>
      </c>
      <c r="P5376">
        <v>-0.245838483593733</v>
      </c>
      <c r="Q5376">
        <v>0.123773672190611</v>
      </c>
      <c r="R5376">
        <v>0.78025177635114995</v>
      </c>
      <c r="S5376" t="s">
        <v>11202</v>
      </c>
      <c r="T5376" t="s">
        <v>11650</v>
      </c>
      <c r="U5376" t="s">
        <v>11650</v>
      </c>
      <c r="V5376" t="s">
        <v>11650</v>
      </c>
      <c r="W5376" t="s">
        <v>16968</v>
      </c>
      <c r="X5376">
        <v>1</v>
      </c>
      <c r="Y5376" t="s">
        <v>22630</v>
      </c>
      <c r="Z5376" t="s">
        <v>28438</v>
      </c>
      <c r="AA5376">
        <v>0.74078505780423731</v>
      </c>
      <c r="AB5376" t="str">
        <f>HYPERLINK("Melting_Curves/meltCurve_Q9P035_PTPLAD1.pdf", "Melting_Curves/meltCurve_Q9P035_PTPLAD1.pdf")</f>
        <v>Melting_Curves/meltCurve_Q9P035_PTPLAD1.pdf</v>
      </c>
    </row>
    <row r="5377" spans="1:28" x14ac:dyDescent="0.25">
      <c r="A5377" t="s">
        <v>5381</v>
      </c>
      <c r="B5377">
        <v>0.99996721820229495</v>
      </c>
      <c r="C5377">
        <v>0.84625538816240897</v>
      </c>
      <c r="D5377">
        <v>1.3219128219996701</v>
      </c>
      <c r="E5377">
        <v>2.7186881250542898</v>
      </c>
      <c r="F5377">
        <v>3.2220253038379698</v>
      </c>
      <c r="G5377">
        <v>1.6858257397898899</v>
      </c>
      <c r="H5377">
        <v>0.93290770428645098</v>
      </c>
      <c r="I5377">
        <v>0.58629438779628995</v>
      </c>
      <c r="J5377">
        <v>0.34894273702059397</v>
      </c>
      <c r="K5377">
        <v>0.283590999716689</v>
      </c>
      <c r="L5377">
        <v>3788.0381250243399</v>
      </c>
      <c r="M5377">
        <v>59.537216366697102</v>
      </c>
      <c r="N5377">
        <v>64.602582757628895</v>
      </c>
      <c r="O5377">
        <v>63.553032844285298</v>
      </c>
      <c r="P5377">
        <v>-0.16465430310662399</v>
      </c>
      <c r="Q5377">
        <v>0.29695884845600301</v>
      </c>
      <c r="R5377">
        <v>2.77968435623588E-2</v>
      </c>
      <c r="S5377" t="s">
        <v>11203</v>
      </c>
      <c r="T5377" t="s">
        <v>11650</v>
      </c>
      <c r="U5377" t="s">
        <v>11650</v>
      </c>
      <c r="V5377" t="s">
        <v>11650</v>
      </c>
      <c r="W5377" t="s">
        <v>16969</v>
      </c>
      <c r="X5377">
        <v>1</v>
      </c>
      <c r="Y5377" t="s">
        <v>22631</v>
      </c>
      <c r="Z5377" t="s">
        <v>28439</v>
      </c>
      <c r="AA5377">
        <v>0.85184741589122626</v>
      </c>
      <c r="AB5377" t="str">
        <f>HYPERLINK("Melting_Curves/meltCurve_Q9P0I2_EMC3.pdf", "Melting_Curves/meltCurve_Q9P0I2_EMC3.pdf")</f>
        <v>Melting_Curves/meltCurve_Q9P0I2_EMC3.pdf</v>
      </c>
    </row>
    <row r="5378" spans="1:28" x14ac:dyDescent="0.25">
      <c r="A5378" t="s">
        <v>5382</v>
      </c>
      <c r="B5378">
        <v>0.99996721820229495</v>
      </c>
      <c r="C5378">
        <v>0.98425640375213197</v>
      </c>
      <c r="D5378">
        <v>0.956767238907411</v>
      </c>
      <c r="E5378">
        <v>1.0863104545895199</v>
      </c>
      <c r="F5378">
        <v>0.36120489167958603</v>
      </c>
      <c r="G5378">
        <v>0.27235188105777303</v>
      </c>
      <c r="H5378">
        <v>0.16952247885365099</v>
      </c>
      <c r="I5378">
        <v>0.122179034985704</v>
      </c>
      <c r="J5378">
        <v>0.12520729220738799</v>
      </c>
      <c r="K5378">
        <v>7.4868180838098305E-2</v>
      </c>
      <c r="L5378">
        <v>13190.6282771396</v>
      </c>
      <c r="M5378">
        <v>250</v>
      </c>
      <c r="N5378">
        <v>52.8395893861357</v>
      </c>
      <c r="O5378">
        <v>52.759136648724002</v>
      </c>
      <c r="P5378">
        <v>-1.0035871759077499</v>
      </c>
      <c r="Q5378">
        <v>0.15282571360712199</v>
      </c>
      <c r="R5378">
        <v>0.98099160107234196</v>
      </c>
      <c r="S5378" t="s">
        <v>11204</v>
      </c>
      <c r="T5378" t="s">
        <v>11650</v>
      </c>
      <c r="U5378" t="s">
        <v>11650</v>
      </c>
      <c r="V5378" t="s">
        <v>11650</v>
      </c>
      <c r="W5378" t="s">
        <v>16970</v>
      </c>
      <c r="X5378">
        <v>9</v>
      </c>
      <c r="Y5378" t="s">
        <v>22632</v>
      </c>
      <c r="Z5378" t="s">
        <v>28440</v>
      </c>
      <c r="AA5378">
        <v>0.51330659091178121</v>
      </c>
      <c r="AB5378" t="str">
        <f>HYPERLINK("Melting_Curves/meltCurve_Q9P0J1_PDP1.pdf", "Melting_Curves/meltCurve_Q9P0J1_PDP1.pdf")</f>
        <v>Melting_Curves/meltCurve_Q9P0J1_PDP1.pdf</v>
      </c>
    </row>
    <row r="5379" spans="1:28" x14ac:dyDescent="0.25">
      <c r="A5379" t="s">
        <v>5383</v>
      </c>
      <c r="B5379">
        <v>0.99996721820229495</v>
      </c>
      <c r="C5379">
        <v>0.89148998099068399</v>
      </c>
      <c r="D5379">
        <v>0.80260228167568104</v>
      </c>
      <c r="E5379">
        <v>0.984326298532192</v>
      </c>
      <c r="F5379">
        <v>0.93039406398034397</v>
      </c>
      <c r="G5379">
        <v>0.78289346552651595</v>
      </c>
      <c r="H5379">
        <v>0.55640783711229003</v>
      </c>
      <c r="I5379">
        <v>0.61201540189039305</v>
      </c>
      <c r="J5379">
        <v>0.55382605626820403</v>
      </c>
      <c r="K5379">
        <v>0.43698969677685501</v>
      </c>
      <c r="L5379">
        <v>412.665959877636</v>
      </c>
      <c r="M5379">
        <v>6.0840748029898597</v>
      </c>
      <c r="N5379">
        <v>67.827233102074501</v>
      </c>
      <c r="O5379">
        <v>61.593313016354799</v>
      </c>
      <c r="P5379">
        <v>-2.4770634073539299E-2</v>
      </c>
      <c r="Q5379">
        <v>0</v>
      </c>
      <c r="R5379">
        <v>0.84645923538755197</v>
      </c>
      <c r="S5379" t="s">
        <v>11205</v>
      </c>
      <c r="T5379" t="s">
        <v>11650</v>
      </c>
      <c r="U5379" t="s">
        <v>11650</v>
      </c>
      <c r="V5379" t="s">
        <v>11650</v>
      </c>
      <c r="W5379" t="s">
        <v>16971</v>
      </c>
      <c r="X5379">
        <v>4</v>
      </c>
      <c r="Y5379" t="s">
        <v>22633</v>
      </c>
      <c r="Z5379" t="s">
        <v>28441</v>
      </c>
      <c r="AA5379">
        <v>0.77330997808297997</v>
      </c>
      <c r="AB5379" t="str">
        <f>HYPERLINK("Melting_Curves/meltCurve_Q9P0J7_KCMF1.pdf", "Melting_Curves/meltCurve_Q9P0J7_KCMF1.pdf")</f>
        <v>Melting_Curves/meltCurve_Q9P0J7_KCMF1.pdf</v>
      </c>
    </row>
    <row r="5380" spans="1:28" x14ac:dyDescent="0.25">
      <c r="A5380" t="s">
        <v>5384</v>
      </c>
      <c r="B5380">
        <v>0.99996721820229495</v>
      </c>
      <c r="C5380">
        <v>0.85478479729813295</v>
      </c>
      <c r="D5380">
        <v>0.79484881108549899</v>
      </c>
      <c r="E5380">
        <v>0.55387213578501104</v>
      </c>
      <c r="F5380">
        <v>0.386524479397715</v>
      </c>
      <c r="G5380">
        <v>0.24581382106793201</v>
      </c>
      <c r="H5380">
        <v>0.207023070038034</v>
      </c>
      <c r="I5380">
        <v>0.16125571071164899</v>
      </c>
      <c r="J5380">
        <v>0.13728079408272301</v>
      </c>
      <c r="K5380">
        <v>0.15630428428378401</v>
      </c>
      <c r="L5380">
        <v>656.68550775617405</v>
      </c>
      <c r="M5380">
        <v>13.206215958132301</v>
      </c>
      <c r="N5380">
        <v>50.806653839912599</v>
      </c>
      <c r="O5380">
        <v>48.6267845160205</v>
      </c>
      <c r="P5380">
        <v>-5.9588688909582202E-2</v>
      </c>
      <c r="Q5380">
        <v>0.122496629466089</v>
      </c>
      <c r="R5380">
        <v>0.99493708765799505</v>
      </c>
      <c r="S5380" t="s">
        <v>11206</v>
      </c>
      <c r="T5380" t="s">
        <v>11650</v>
      </c>
      <c r="U5380" t="s">
        <v>11650</v>
      </c>
      <c r="V5380" t="s">
        <v>11650</v>
      </c>
      <c r="W5380" t="s">
        <v>16972</v>
      </c>
      <c r="X5380">
        <v>47</v>
      </c>
      <c r="Y5380" t="s">
        <v>22634</v>
      </c>
      <c r="Z5380" t="s">
        <v>28442</v>
      </c>
      <c r="AA5380">
        <v>0.43334548887147101</v>
      </c>
      <c r="AB5380" t="str">
        <f>HYPERLINK("Melting_Curves/meltCurve_Q9P0K7_4_RAI14.pdf", "Melting_Curves/meltCurve_Q9P0K7_4_RAI14.pdf")</f>
        <v>Melting_Curves/meltCurve_Q9P0K7_4_RAI14.pdf</v>
      </c>
    </row>
    <row r="5381" spans="1:28" x14ac:dyDescent="0.25">
      <c r="A5381" t="s">
        <v>5385</v>
      </c>
      <c r="B5381">
        <v>0.99996721820229495</v>
      </c>
      <c r="C5381">
        <v>0.91756848506037103</v>
      </c>
      <c r="D5381">
        <v>1.10998874503792</v>
      </c>
      <c r="E5381">
        <v>1.16395166735742</v>
      </c>
      <c r="F5381">
        <v>1.2399915556221299</v>
      </c>
      <c r="G5381">
        <v>1.3266689916732599</v>
      </c>
      <c r="H5381">
        <v>0.47711063594291298</v>
      </c>
      <c r="I5381">
        <v>0.206079993442531</v>
      </c>
      <c r="J5381">
        <v>0.13933507946461299</v>
      </c>
      <c r="K5381">
        <v>9.5502991352237096E-2</v>
      </c>
      <c r="L5381">
        <v>7955.1027957227798</v>
      </c>
      <c r="M5381">
        <v>130.86695044182699</v>
      </c>
      <c r="N5381">
        <v>60.9491258948593</v>
      </c>
      <c r="O5381">
        <v>60.773525426169002</v>
      </c>
      <c r="P5381">
        <v>-0.45950122058548598</v>
      </c>
      <c r="Q5381">
        <v>0.14644585116041101</v>
      </c>
      <c r="R5381">
        <v>0.89860671992706198</v>
      </c>
      <c r="S5381" t="s">
        <v>11207</v>
      </c>
      <c r="T5381" t="s">
        <v>11650</v>
      </c>
      <c r="U5381" t="s">
        <v>11650</v>
      </c>
      <c r="V5381" t="s">
        <v>11650</v>
      </c>
      <c r="W5381" t="s">
        <v>16973</v>
      </c>
      <c r="X5381">
        <v>17</v>
      </c>
      <c r="Y5381" t="s">
        <v>22635</v>
      </c>
      <c r="Z5381" t="s">
        <v>28443</v>
      </c>
      <c r="AA5381">
        <v>0.73822634623655481</v>
      </c>
      <c r="AB5381" t="str">
        <f>HYPERLINK("Melting_Curves/meltCurve_Q9P0L0_VAPA.pdf", "Melting_Curves/meltCurve_Q9P0L0_VAPA.pdf")</f>
        <v>Melting_Curves/meltCurve_Q9P0L0_VAPA.pdf</v>
      </c>
    </row>
    <row r="5382" spans="1:28" x14ac:dyDescent="0.25">
      <c r="A5382" t="s">
        <v>5386</v>
      </c>
      <c r="B5382">
        <v>0.99996721820229495</v>
      </c>
      <c r="C5382">
        <v>0.94856268319035997</v>
      </c>
      <c r="D5382">
        <v>0.92050596847298805</v>
      </c>
      <c r="E5382">
        <v>0.87559441254235704</v>
      </c>
      <c r="F5382">
        <v>1.1581517851829899</v>
      </c>
      <c r="G5382">
        <v>0.96920024491515999</v>
      </c>
      <c r="H5382">
        <v>0.78049718478126695</v>
      </c>
      <c r="I5382">
        <v>0.91678557698637497</v>
      </c>
      <c r="J5382">
        <v>0.90249024672047395</v>
      </c>
      <c r="K5382">
        <v>0.58360381517511895</v>
      </c>
      <c r="L5382">
        <v>1099.7764410941199</v>
      </c>
      <c r="M5382">
        <v>15.109542567211999</v>
      </c>
      <c r="Q5382">
        <v>0</v>
      </c>
      <c r="R5382">
        <v>0.51299692742227498</v>
      </c>
      <c r="S5382" t="s">
        <v>11208</v>
      </c>
      <c r="T5382" t="s">
        <v>11650</v>
      </c>
      <c r="U5382" t="s">
        <v>11650</v>
      </c>
      <c r="V5382" t="s">
        <v>11650</v>
      </c>
      <c r="W5382" t="s">
        <v>16974</v>
      </c>
      <c r="X5382">
        <v>9</v>
      </c>
      <c r="Y5382" t="s">
        <v>22636</v>
      </c>
      <c r="Z5382" t="s">
        <v>28444</v>
      </c>
      <c r="AA5382">
        <v>0.94282699161904415</v>
      </c>
      <c r="AB5382" t="str">
        <f>HYPERLINK("Melting_Curves/meltCurve_Q9P0P0_RNF181.pdf", "Melting_Curves/meltCurve_Q9P0P0_RNF181.pdf")</f>
        <v>Melting_Curves/meltCurve_Q9P0P0_RNF181.pdf</v>
      </c>
    </row>
    <row r="5383" spans="1:28" x14ac:dyDescent="0.25">
      <c r="A5383" t="s">
        <v>5387</v>
      </c>
      <c r="B5383">
        <v>0.99996721820229495</v>
      </c>
      <c r="C5383">
        <v>1.1860389251627499</v>
      </c>
      <c r="D5383">
        <v>1.12278553612534</v>
      </c>
      <c r="E5383">
        <v>0.98214003485297896</v>
      </c>
      <c r="F5383">
        <v>1.0338770577251</v>
      </c>
      <c r="G5383">
        <v>1.0109644692206801</v>
      </c>
      <c r="H5383">
        <v>0.49044661783861099</v>
      </c>
      <c r="I5383">
        <v>0.34038832242329098</v>
      </c>
      <c r="J5383">
        <v>0.25102708607866597</v>
      </c>
      <c r="K5383">
        <v>0.15518109755346499</v>
      </c>
      <c r="L5383">
        <v>2948.5930261028202</v>
      </c>
      <c r="M5383">
        <v>48.833426808626903</v>
      </c>
      <c r="N5383">
        <v>61.128451026989303</v>
      </c>
      <c r="O5383">
        <v>60.279625957630202</v>
      </c>
      <c r="P5383">
        <v>-0.156983544441055</v>
      </c>
      <c r="Q5383">
        <v>0.22488328492627299</v>
      </c>
      <c r="R5383">
        <v>0.95469774882576897</v>
      </c>
      <c r="S5383" t="s">
        <v>11209</v>
      </c>
      <c r="T5383" t="s">
        <v>11650</v>
      </c>
      <c r="U5383" t="s">
        <v>11650</v>
      </c>
      <c r="V5383" t="s">
        <v>11650</v>
      </c>
      <c r="W5383" t="s">
        <v>16975</v>
      </c>
      <c r="X5383">
        <v>4</v>
      </c>
      <c r="Y5383" t="s">
        <v>22637</v>
      </c>
      <c r="Z5383" t="s">
        <v>28445</v>
      </c>
      <c r="AA5383">
        <v>0.75357208374938078</v>
      </c>
      <c r="AB5383" t="str">
        <f>HYPERLINK("Melting_Curves/meltCurve_Q9P0R6_GSKIP.pdf", "Melting_Curves/meltCurve_Q9P0R6_GSKIP.pdf")</f>
        <v>Melting_Curves/meltCurve_Q9P0R6_GSKIP.pdf</v>
      </c>
    </row>
    <row r="5384" spans="1:28" x14ac:dyDescent="0.25">
      <c r="A5384" t="s">
        <v>5388</v>
      </c>
      <c r="B5384">
        <v>0.99996721820229495</v>
      </c>
      <c r="C5384">
        <v>1.0971763793393401</v>
      </c>
      <c r="D5384">
        <v>1.0273142859329001</v>
      </c>
      <c r="E5384">
        <v>1.02271159548214</v>
      </c>
      <c r="F5384">
        <v>1.1738724742620701</v>
      </c>
      <c r="G5384">
        <v>1.30958003295339</v>
      </c>
      <c r="H5384">
        <v>0.87086096774234401</v>
      </c>
      <c r="I5384">
        <v>0.69113445074067303</v>
      </c>
      <c r="J5384">
        <v>0.58349307217509405</v>
      </c>
      <c r="K5384">
        <v>0.41279974231689298</v>
      </c>
      <c r="L5384">
        <v>2272.6021263246098</v>
      </c>
      <c r="M5384">
        <v>35.511719315289803</v>
      </c>
      <c r="N5384">
        <v>67.628588103809903</v>
      </c>
      <c r="O5384">
        <v>63.793911940665303</v>
      </c>
      <c r="P5384">
        <v>-7.9912139420171904E-2</v>
      </c>
      <c r="Q5384">
        <v>0.42577928443783097</v>
      </c>
      <c r="R5384">
        <v>0.78752536186160804</v>
      </c>
      <c r="S5384" t="s">
        <v>11210</v>
      </c>
      <c r="T5384" t="s">
        <v>11650</v>
      </c>
      <c r="U5384" t="s">
        <v>11650</v>
      </c>
      <c r="V5384" t="s">
        <v>11650</v>
      </c>
      <c r="W5384" t="s">
        <v>16976</v>
      </c>
      <c r="X5384">
        <v>5</v>
      </c>
      <c r="Y5384" t="s">
        <v>22638</v>
      </c>
      <c r="Z5384" t="s">
        <v>28446</v>
      </c>
      <c r="AA5384">
        <v>0.88625823602667575</v>
      </c>
      <c r="AB5384" t="str">
        <f>HYPERLINK("Melting_Curves/meltCurve_Q9P0S2_COX16.pdf", "Melting_Curves/meltCurve_Q9P0S2_COX16.pdf")</f>
        <v>Melting_Curves/meltCurve_Q9P0S2_COX16.pdf</v>
      </c>
    </row>
    <row r="5385" spans="1:28" x14ac:dyDescent="0.25">
      <c r="A5385" t="s">
        <v>5389</v>
      </c>
      <c r="B5385">
        <v>0.99996721820229495</v>
      </c>
      <c r="C5385">
        <v>0.91965617167451896</v>
      </c>
      <c r="D5385">
        <v>0.68669137362528099</v>
      </c>
      <c r="E5385">
        <v>0.62890540207683099</v>
      </c>
      <c r="F5385">
        <v>0.63440798601227999</v>
      </c>
      <c r="G5385">
        <v>0.39714040878853402</v>
      </c>
      <c r="H5385">
        <v>0.31544768925340899</v>
      </c>
      <c r="I5385">
        <v>0.28301156781317099</v>
      </c>
      <c r="J5385">
        <v>0.27392783157040301</v>
      </c>
      <c r="K5385">
        <v>0.24060868892066101</v>
      </c>
      <c r="L5385">
        <v>446.69775990449102</v>
      </c>
      <c r="M5385">
        <v>8.6067480476202292</v>
      </c>
      <c r="N5385">
        <v>54.231396941836103</v>
      </c>
      <c r="O5385">
        <v>49.326980327762598</v>
      </c>
      <c r="P5385">
        <v>-3.69094369583126E-2</v>
      </c>
      <c r="Q5385">
        <v>0.154585596254432</v>
      </c>
      <c r="R5385">
        <v>0.96173900372724497</v>
      </c>
      <c r="S5385" t="s">
        <v>11211</v>
      </c>
      <c r="T5385" t="s">
        <v>11650</v>
      </c>
      <c r="U5385" t="s">
        <v>11650</v>
      </c>
      <c r="V5385" t="s">
        <v>11650</v>
      </c>
      <c r="W5385" t="s">
        <v>16977</v>
      </c>
      <c r="X5385">
        <v>4</v>
      </c>
      <c r="Y5385" t="s">
        <v>22639</v>
      </c>
      <c r="Z5385" t="s">
        <v>28447</v>
      </c>
      <c r="AA5385">
        <v>0.52772403698079906</v>
      </c>
      <c r="AB5385" t="str">
        <f>HYPERLINK("Melting_Curves/meltCurve_Q9P0V3_SH3BP4.pdf", "Melting_Curves/meltCurve_Q9P0V3_SH3BP4.pdf")</f>
        <v>Melting_Curves/meltCurve_Q9P0V3_SH3BP4.pdf</v>
      </c>
    </row>
    <row r="5386" spans="1:28" x14ac:dyDescent="0.25">
      <c r="A5386" t="s">
        <v>5390</v>
      </c>
      <c r="B5386">
        <v>0.99996721820229495</v>
      </c>
      <c r="C5386">
        <v>0.86089535330758404</v>
      </c>
      <c r="D5386">
        <v>0.61742599781140095</v>
      </c>
      <c r="E5386">
        <v>0.80705379100988495</v>
      </c>
      <c r="F5386">
        <v>0.69389932991432901</v>
      </c>
      <c r="G5386">
        <v>0.54196097608439098</v>
      </c>
      <c r="H5386">
        <v>0.45948948064987799</v>
      </c>
      <c r="I5386">
        <v>0.31428784778455898</v>
      </c>
      <c r="J5386">
        <v>0.203449426566193</v>
      </c>
      <c r="K5386">
        <v>0.25919392159158999</v>
      </c>
      <c r="L5386">
        <v>352.59888364978201</v>
      </c>
      <c r="M5386">
        <v>6.1364335539867598</v>
      </c>
      <c r="N5386">
        <v>57.459904119419697</v>
      </c>
      <c r="O5386">
        <v>52.255641738523401</v>
      </c>
      <c r="P5386">
        <v>-2.9445486068692399E-2</v>
      </c>
      <c r="Q5386">
        <v>0</v>
      </c>
      <c r="R5386">
        <v>0.88874964990924599</v>
      </c>
      <c r="S5386" t="s">
        <v>11212</v>
      </c>
      <c r="T5386" t="s">
        <v>11650</v>
      </c>
      <c r="U5386" t="s">
        <v>11650</v>
      </c>
      <c r="V5386" t="s">
        <v>11650</v>
      </c>
      <c r="W5386" t="s">
        <v>16978</v>
      </c>
      <c r="X5386">
        <v>2</v>
      </c>
      <c r="Y5386" t="s">
        <v>22640</v>
      </c>
      <c r="Z5386" t="s">
        <v>28448</v>
      </c>
      <c r="AA5386">
        <v>0.58087673032089515</v>
      </c>
      <c r="AB5386" t="str">
        <f>HYPERLINK("Melting_Curves/meltCurve_Q9P1F3_ABRACL.pdf", "Melting_Curves/meltCurve_Q9P1F3_ABRACL.pdf")</f>
        <v>Melting_Curves/meltCurve_Q9P1F3_ABRACL.pdf</v>
      </c>
    </row>
    <row r="5387" spans="1:28" x14ac:dyDescent="0.25">
      <c r="A5387" t="s">
        <v>5391</v>
      </c>
      <c r="B5387">
        <v>0.99996721820229495</v>
      </c>
      <c r="C5387">
        <v>0.994822920018821</v>
      </c>
      <c r="D5387">
        <v>1.8051335729698199</v>
      </c>
      <c r="E5387">
        <v>3.04314280681153</v>
      </c>
      <c r="F5387">
        <v>4.5450595520865598</v>
      </c>
      <c r="G5387">
        <v>8.2243811882474596</v>
      </c>
      <c r="H5387">
        <v>5.8530865788791697</v>
      </c>
      <c r="I5387">
        <v>6.8681877790975996</v>
      </c>
      <c r="J5387">
        <v>6.262873261927</v>
      </c>
      <c r="K5387">
        <v>4.7784014220429398</v>
      </c>
      <c r="S5387" t="s">
        <v>11213</v>
      </c>
      <c r="T5387" t="s">
        <v>11650</v>
      </c>
      <c r="U5387" t="s">
        <v>11651</v>
      </c>
      <c r="V5387" t="s">
        <v>11650</v>
      </c>
      <c r="W5387" t="s">
        <v>16979</v>
      </c>
      <c r="X5387">
        <v>3</v>
      </c>
      <c r="Y5387" t="s">
        <v>22641</v>
      </c>
      <c r="Z5387" t="s">
        <v>28449</v>
      </c>
      <c r="AB5387" t="str">
        <f>HYPERLINK("Melting_Curves/meltCurve_Q9P1U0_ZNRD1.pdf", "Melting_Curves/meltCurve_Q9P1U0_ZNRD1.pdf")</f>
        <v>Melting_Curves/meltCurve_Q9P1U0_ZNRD1.pdf</v>
      </c>
    </row>
    <row r="5388" spans="1:28" x14ac:dyDescent="0.25">
      <c r="A5388" t="s">
        <v>5392</v>
      </c>
      <c r="B5388">
        <v>0.99996721820229495</v>
      </c>
      <c r="C5388">
        <v>1.03254098127488</v>
      </c>
      <c r="D5388">
        <v>0.96965421432069898</v>
      </c>
      <c r="E5388">
        <v>0.78801598497024905</v>
      </c>
      <c r="F5388">
        <v>0.51435448975631104</v>
      </c>
      <c r="G5388">
        <v>0.413734813764496</v>
      </c>
      <c r="H5388">
        <v>0.28044105982284701</v>
      </c>
      <c r="I5388">
        <v>0.21666677922625199</v>
      </c>
      <c r="J5388">
        <v>0.17241020245955099</v>
      </c>
      <c r="K5388">
        <v>0.15747756018862699</v>
      </c>
      <c r="L5388">
        <v>866.35023824242796</v>
      </c>
      <c r="M5388">
        <v>16.342504835942201</v>
      </c>
      <c r="N5388">
        <v>54.335075362447</v>
      </c>
      <c r="O5388">
        <v>52.237387336382298</v>
      </c>
      <c r="P5388">
        <v>-6.5379545188622407E-2</v>
      </c>
      <c r="Q5388">
        <v>0.164140269349248</v>
      </c>
      <c r="R5388">
        <v>0.989312906121248</v>
      </c>
      <c r="S5388" t="s">
        <v>11214</v>
      </c>
      <c r="T5388" t="s">
        <v>11650</v>
      </c>
      <c r="U5388" t="s">
        <v>11650</v>
      </c>
      <c r="V5388" t="s">
        <v>11650</v>
      </c>
      <c r="W5388" t="s">
        <v>16980</v>
      </c>
      <c r="X5388">
        <v>22</v>
      </c>
      <c r="Y5388" t="s">
        <v>22642</v>
      </c>
      <c r="Z5388" t="s">
        <v>28450</v>
      </c>
      <c r="AA5388">
        <v>0.54257083265299388</v>
      </c>
      <c r="AB5388" t="str">
        <f>HYPERLINK("Melting_Curves/meltCurve_Q9P1Z2_2_CALCOCO1.pdf", "Melting_Curves/meltCurve_Q9P1Z2_2_CALCOCO1.pdf")</f>
        <v>Melting_Curves/meltCurve_Q9P1Z2_2_CALCOCO1.pdf</v>
      </c>
    </row>
    <row r="5389" spans="1:28" x14ac:dyDescent="0.25">
      <c r="A5389" t="s">
        <v>5393</v>
      </c>
      <c r="B5389">
        <v>0.99996721820229495</v>
      </c>
      <c r="C5389">
        <v>0.87710137844977498</v>
      </c>
      <c r="D5389">
        <v>0.80923721070523602</v>
      </c>
      <c r="E5389">
        <v>1.46811820844354</v>
      </c>
      <c r="F5389">
        <v>0.54171629500566798</v>
      </c>
      <c r="G5389">
        <v>0.47814384463811399</v>
      </c>
      <c r="H5389">
        <v>0.34615958173199401</v>
      </c>
      <c r="I5389">
        <v>0.27739593633216098</v>
      </c>
      <c r="J5389">
        <v>0.25594721616056898</v>
      </c>
      <c r="K5389">
        <v>0.23175108561584001</v>
      </c>
      <c r="L5389">
        <v>13212.0222703868</v>
      </c>
      <c r="M5389">
        <v>250</v>
      </c>
      <c r="N5389">
        <v>53.062444728032901</v>
      </c>
      <c r="O5389">
        <v>52.844717726269401</v>
      </c>
      <c r="P5389">
        <v>-0.80675133031603696</v>
      </c>
      <c r="Q5389">
        <v>0.31787939562242901</v>
      </c>
      <c r="R5389">
        <v>0.78864370485122004</v>
      </c>
      <c r="S5389" t="s">
        <v>11215</v>
      </c>
      <c r="T5389" t="s">
        <v>11650</v>
      </c>
      <c r="U5389" t="s">
        <v>11650</v>
      </c>
      <c r="V5389" t="s">
        <v>11650</v>
      </c>
      <c r="W5389" t="s">
        <v>16981</v>
      </c>
      <c r="X5389">
        <v>4</v>
      </c>
      <c r="Y5389" t="s">
        <v>22643</v>
      </c>
      <c r="Z5389" t="s">
        <v>28451</v>
      </c>
      <c r="AA5389">
        <v>0.61007420363361298</v>
      </c>
      <c r="AB5389" t="str">
        <f>HYPERLINK("Melting_Curves/meltCurve_Q9P253_VPS18.pdf", "Melting_Curves/meltCurve_Q9P253_VPS18.pdf")</f>
        <v>Melting_Curves/meltCurve_Q9P253_VPS18.pdf</v>
      </c>
    </row>
    <row r="5390" spans="1:28" x14ac:dyDescent="0.25">
      <c r="A5390" t="s">
        <v>5394</v>
      </c>
      <c r="B5390">
        <v>0.99996721820229495</v>
      </c>
      <c r="C5390">
        <v>0.95711519301367398</v>
      </c>
      <c r="D5390">
        <v>0.83985563412249897</v>
      </c>
      <c r="E5390">
        <v>0.91097101828455995</v>
      </c>
      <c r="F5390">
        <v>0.49127967038410397</v>
      </c>
      <c r="G5390">
        <v>0.353315874833877</v>
      </c>
      <c r="H5390">
        <v>0.212781339272368</v>
      </c>
      <c r="I5390">
        <v>0.17647830928218999</v>
      </c>
      <c r="J5390">
        <v>0.110976145940945</v>
      </c>
      <c r="K5390">
        <v>8.6724773349128606E-2</v>
      </c>
      <c r="L5390">
        <v>834.94348506675306</v>
      </c>
      <c r="M5390">
        <v>15.5688886028444</v>
      </c>
      <c r="N5390">
        <v>54.244161067809699</v>
      </c>
      <c r="O5390">
        <v>52.767564046526402</v>
      </c>
      <c r="P5390">
        <v>-6.7798077387259695E-2</v>
      </c>
      <c r="Q5390">
        <v>8.0929359918402693E-2</v>
      </c>
      <c r="R5390">
        <v>0.97027796440204195</v>
      </c>
      <c r="S5390" t="s">
        <v>11216</v>
      </c>
      <c r="T5390" t="s">
        <v>11650</v>
      </c>
      <c r="U5390" t="s">
        <v>11650</v>
      </c>
      <c r="V5390" t="s">
        <v>11650</v>
      </c>
      <c r="W5390" t="s">
        <v>16982</v>
      </c>
      <c r="X5390">
        <v>9</v>
      </c>
      <c r="Y5390" t="s">
        <v>22644</v>
      </c>
      <c r="Z5390" t="s">
        <v>28452</v>
      </c>
      <c r="AA5390">
        <v>0.51675878582308388</v>
      </c>
      <c r="AB5390" t="str">
        <f>HYPERLINK("Melting_Curves/meltCurve_Q9P258_RCC2.pdf", "Melting_Curves/meltCurve_Q9P258_RCC2.pdf")</f>
        <v>Melting_Curves/meltCurve_Q9P258_RCC2.pdf</v>
      </c>
    </row>
    <row r="5391" spans="1:28" x14ac:dyDescent="0.25">
      <c r="A5391" t="s">
        <v>5395</v>
      </c>
      <c r="B5391">
        <v>0.99996721820229495</v>
      </c>
      <c r="C5391">
        <v>1.01132150134899</v>
      </c>
      <c r="D5391">
        <v>1.21317228736798</v>
      </c>
      <c r="E5391">
        <v>1.6660634559870899</v>
      </c>
      <c r="F5391">
        <v>0.65985966837890897</v>
      </c>
      <c r="G5391">
        <v>0.60709712328778898</v>
      </c>
      <c r="H5391">
        <v>0.37415660758372599</v>
      </c>
      <c r="I5391">
        <v>0.28714789718487399</v>
      </c>
      <c r="J5391">
        <v>0.26808138277397398</v>
      </c>
      <c r="K5391">
        <v>0.18939891857330199</v>
      </c>
      <c r="L5391">
        <v>1590.05526025477</v>
      </c>
      <c r="M5391">
        <v>28.119948879150499</v>
      </c>
      <c r="N5391">
        <v>57.948599300269798</v>
      </c>
      <c r="O5391">
        <v>56.261800701742303</v>
      </c>
      <c r="P5391">
        <v>-9.4099666425005904E-2</v>
      </c>
      <c r="Q5391">
        <v>0.246915834648225</v>
      </c>
      <c r="R5391">
        <v>0.72560471025826101</v>
      </c>
      <c r="S5391" t="s">
        <v>11217</v>
      </c>
      <c r="T5391" t="s">
        <v>11650</v>
      </c>
      <c r="U5391" t="s">
        <v>11650</v>
      </c>
      <c r="V5391" t="s">
        <v>11650</v>
      </c>
      <c r="W5391" t="s">
        <v>16983</v>
      </c>
      <c r="X5391">
        <v>8</v>
      </c>
      <c r="Y5391" t="s">
        <v>22645</v>
      </c>
      <c r="Z5391" t="s">
        <v>28453</v>
      </c>
      <c r="AA5391">
        <v>0.66788415818381874</v>
      </c>
      <c r="AB5391" t="str">
        <f>HYPERLINK("Melting_Curves/meltCurve_Q9P260_2_KIAA1468.pdf", "Melting_Curves/meltCurve_Q9P260_2_KIAA1468.pdf")</f>
        <v>Melting_Curves/meltCurve_Q9P260_2_KIAA1468.pdf</v>
      </c>
    </row>
    <row r="5392" spans="1:28" x14ac:dyDescent="0.25">
      <c r="A5392" t="s">
        <v>5396</v>
      </c>
      <c r="B5392">
        <v>0.99996721820229495</v>
      </c>
      <c r="C5392">
        <v>1.0609627257585901</v>
      </c>
      <c r="D5392">
        <v>1.1085825555495401</v>
      </c>
      <c r="E5392">
        <v>1.20507865214823</v>
      </c>
      <c r="F5392">
        <v>1.29326177774361</v>
      </c>
      <c r="G5392">
        <v>0.74135113345258097</v>
      </c>
      <c r="H5392">
        <v>0.32548144162168402</v>
      </c>
      <c r="I5392">
        <v>0.23029100961811699</v>
      </c>
      <c r="J5392">
        <v>0.16340233381272801</v>
      </c>
      <c r="K5392">
        <v>0.119551898290924</v>
      </c>
      <c r="L5392">
        <v>2392.1464236253901</v>
      </c>
      <c r="M5392">
        <v>40.881434958185999</v>
      </c>
      <c r="N5392">
        <v>59.096397976148097</v>
      </c>
      <c r="O5392">
        <v>58.374762524670402</v>
      </c>
      <c r="P5392">
        <v>-0.14606242523330501</v>
      </c>
      <c r="Q5392">
        <v>0.16574918447443501</v>
      </c>
      <c r="R5392">
        <v>0.92010868149584801</v>
      </c>
      <c r="S5392" t="s">
        <v>11218</v>
      </c>
      <c r="T5392" t="s">
        <v>11650</v>
      </c>
      <c r="U5392" t="s">
        <v>11650</v>
      </c>
      <c r="V5392" t="s">
        <v>11650</v>
      </c>
      <c r="W5392" t="s">
        <v>16984</v>
      </c>
      <c r="X5392">
        <v>16</v>
      </c>
      <c r="Y5392" t="s">
        <v>22646</v>
      </c>
      <c r="Z5392" t="s">
        <v>28454</v>
      </c>
      <c r="AA5392">
        <v>0.68375611146416548</v>
      </c>
      <c r="AB5392" t="str">
        <f>HYPERLINK("Melting_Curves/meltCurve_Q9P265_DIP2B.pdf", "Melting_Curves/meltCurve_Q9P265_DIP2B.pdf")</f>
        <v>Melting_Curves/meltCurve_Q9P265_DIP2B.pdf</v>
      </c>
    </row>
    <row r="5393" spans="1:28" x14ac:dyDescent="0.25">
      <c r="A5393" t="s">
        <v>5397</v>
      </c>
      <c r="B5393">
        <v>0.99996721820229495</v>
      </c>
      <c r="C5393">
        <v>1.02904629045881</v>
      </c>
      <c r="D5393">
        <v>0.97546138593547504</v>
      </c>
      <c r="E5393">
        <v>0.91215047302611296</v>
      </c>
      <c r="F5393">
        <v>1.0299171759392201</v>
      </c>
      <c r="G5393">
        <v>0.97431085047521704</v>
      </c>
      <c r="H5393">
        <v>0.69583582371379904</v>
      </c>
      <c r="I5393">
        <v>0.62453467540934104</v>
      </c>
      <c r="J5393">
        <v>0.61705334782780696</v>
      </c>
      <c r="K5393">
        <v>0.47587403138553602</v>
      </c>
      <c r="L5393">
        <v>2124.8018098009402</v>
      </c>
      <c r="M5393">
        <v>35.244040394971101</v>
      </c>
      <c r="O5393">
        <v>60.095170320505801</v>
      </c>
      <c r="P5393">
        <v>-6.6966309117774306E-2</v>
      </c>
      <c r="Q5393">
        <v>0.54326046493942903</v>
      </c>
      <c r="R5393">
        <v>0.94490654425910003</v>
      </c>
      <c r="S5393" t="s">
        <v>11219</v>
      </c>
      <c r="T5393" t="s">
        <v>11650</v>
      </c>
      <c r="U5393" t="s">
        <v>11650</v>
      </c>
      <c r="V5393" t="s">
        <v>11650</v>
      </c>
      <c r="W5393" t="s">
        <v>16985</v>
      </c>
      <c r="X5393">
        <v>14</v>
      </c>
      <c r="Y5393" t="s">
        <v>22647</v>
      </c>
      <c r="Z5393" t="s">
        <v>28455</v>
      </c>
      <c r="AA5393">
        <v>0.85431836798480221</v>
      </c>
      <c r="AB5393" t="str">
        <f>HYPERLINK("Melting_Curves/meltCurve_Q9P266_KIAA1462.pdf", "Melting_Curves/meltCurve_Q9P266_KIAA1462.pdf")</f>
        <v>Melting_Curves/meltCurve_Q9P266_KIAA1462.pdf</v>
      </c>
    </row>
    <row r="5394" spans="1:28" x14ac:dyDescent="0.25">
      <c r="A5394" t="s">
        <v>5398</v>
      </c>
      <c r="B5394">
        <v>0.99996721820229495</v>
      </c>
      <c r="C5394">
        <v>0.95689204647991299</v>
      </c>
      <c r="D5394">
        <v>0.95361132791461201</v>
      </c>
      <c r="E5394">
        <v>0.94207128771718296</v>
      </c>
      <c r="F5394">
        <v>1.55197846127474</v>
      </c>
      <c r="G5394">
        <v>1.34527012077189</v>
      </c>
      <c r="H5394">
        <v>0.83198679866866398</v>
      </c>
      <c r="I5394">
        <v>0.87010420889652096</v>
      </c>
      <c r="J5394">
        <v>0.98224189365609205</v>
      </c>
      <c r="K5394">
        <v>0.77741903857350803</v>
      </c>
      <c r="L5394">
        <v>1358.40459429472</v>
      </c>
      <c r="M5394">
        <v>18.054422276448101</v>
      </c>
      <c r="Q5394">
        <v>0</v>
      </c>
      <c r="R5394">
        <v>9.4868693678667806E-2</v>
      </c>
      <c r="S5394" t="s">
        <v>11220</v>
      </c>
      <c r="T5394" t="s">
        <v>11650</v>
      </c>
      <c r="U5394" t="s">
        <v>11650</v>
      </c>
      <c r="V5394" t="s">
        <v>11650</v>
      </c>
      <c r="W5394" t="s">
        <v>12015</v>
      </c>
      <c r="X5394">
        <v>16</v>
      </c>
      <c r="Y5394" t="s">
        <v>17779</v>
      </c>
      <c r="Z5394" t="s">
        <v>28456</v>
      </c>
      <c r="AA5394">
        <v>0.97493839592301312</v>
      </c>
      <c r="AB5394" t="str">
        <f>HYPERLINK("Melting_Curves/meltCurve_Q9P270_SLAIN2.pdf", "Melting_Curves/meltCurve_Q9P270_SLAIN2.pdf")</f>
        <v>Melting_Curves/meltCurve_Q9P270_SLAIN2.pdf</v>
      </c>
    </row>
    <row r="5395" spans="1:28" x14ac:dyDescent="0.25">
      <c r="A5395" t="s">
        <v>5399</v>
      </c>
      <c r="B5395">
        <v>0.99996721820229495</v>
      </c>
      <c r="C5395">
        <v>1.1497749248982501</v>
      </c>
      <c r="D5395">
        <v>1.0989476622658501</v>
      </c>
      <c r="E5395">
        <v>0.93937462771219804</v>
      </c>
      <c r="F5395">
        <v>0.62441346390460495</v>
      </c>
      <c r="G5395">
        <v>0.54637822331305197</v>
      </c>
      <c r="H5395">
        <v>0.33943082803614899</v>
      </c>
      <c r="I5395">
        <v>0.18182762254549301</v>
      </c>
      <c r="J5395">
        <v>0.113597530398746</v>
      </c>
      <c r="K5395">
        <v>6.8180445420114602E-2</v>
      </c>
      <c r="L5395">
        <v>823.73797402531</v>
      </c>
      <c r="M5395">
        <v>14.430753429191199</v>
      </c>
      <c r="N5395">
        <v>57.225832338406804</v>
      </c>
      <c r="O5395">
        <v>56.019541911245902</v>
      </c>
      <c r="P5395">
        <v>-6.3261915959832299E-2</v>
      </c>
      <c r="Q5395">
        <v>1.7795726511906002E-2</v>
      </c>
      <c r="R5395">
        <v>0.95922682015149996</v>
      </c>
      <c r="S5395" t="s">
        <v>11221</v>
      </c>
      <c r="T5395" t="s">
        <v>11650</v>
      </c>
      <c r="U5395" t="s">
        <v>11650</v>
      </c>
      <c r="V5395" t="s">
        <v>11650</v>
      </c>
      <c r="W5395" t="s">
        <v>16986</v>
      </c>
      <c r="X5395">
        <v>5</v>
      </c>
      <c r="Y5395" t="s">
        <v>22648</v>
      </c>
      <c r="Z5395" t="s">
        <v>28457</v>
      </c>
      <c r="AA5395">
        <v>0.59272738179467477</v>
      </c>
      <c r="AB5395" t="str">
        <f>HYPERLINK("Melting_Curves/meltCurve_Q9P287_BCCIP.pdf", "Melting_Curves/meltCurve_Q9P287_BCCIP.pdf")</f>
        <v>Melting_Curves/meltCurve_Q9P287_BCCIP.pdf</v>
      </c>
    </row>
    <row r="5396" spans="1:28" x14ac:dyDescent="0.25">
      <c r="A5396" t="s">
        <v>5400</v>
      </c>
      <c r="B5396">
        <v>0.99996721820229495</v>
      </c>
      <c r="C5396">
        <v>1.0011780097713101</v>
      </c>
      <c r="D5396">
        <v>1.0486659663278799</v>
      </c>
      <c r="E5396">
        <v>0.78274018178896698</v>
      </c>
      <c r="F5396">
        <v>0.63049049325544104</v>
      </c>
      <c r="G5396">
        <v>0.29533652691255502</v>
      </c>
      <c r="H5396">
        <v>0.126550649034678</v>
      </c>
      <c r="I5396">
        <v>0.108588416585469</v>
      </c>
      <c r="J5396">
        <v>5.6272345929480098E-2</v>
      </c>
      <c r="K5396">
        <v>7.0963469789085507E-2</v>
      </c>
      <c r="L5396">
        <v>1067.44975690452</v>
      </c>
      <c r="M5396">
        <v>19.7941361024534</v>
      </c>
      <c r="N5396">
        <v>54.231333505945301</v>
      </c>
      <c r="O5396">
        <v>53.386210964099902</v>
      </c>
      <c r="P5396">
        <v>-8.7832330913661896E-2</v>
      </c>
      <c r="Q5396">
        <v>5.2471627406120401E-2</v>
      </c>
      <c r="R5396">
        <v>0.99364769141620102</v>
      </c>
      <c r="S5396" t="s">
        <v>11222</v>
      </c>
      <c r="T5396" t="s">
        <v>11650</v>
      </c>
      <c r="U5396" t="s">
        <v>11650</v>
      </c>
      <c r="V5396" t="s">
        <v>11650</v>
      </c>
      <c r="W5396" t="s">
        <v>16987</v>
      </c>
      <c r="X5396">
        <v>3</v>
      </c>
      <c r="Y5396" t="s">
        <v>22648</v>
      </c>
      <c r="Z5396" t="s">
        <v>28458</v>
      </c>
      <c r="AA5396">
        <v>0.50547343495337116</v>
      </c>
      <c r="AB5396" t="str">
        <f>HYPERLINK("Melting_Curves/meltCurve_Q9P287_2_BCCIP.pdf", "Melting_Curves/meltCurve_Q9P287_2_BCCIP.pdf")</f>
        <v>Melting_Curves/meltCurve_Q9P287_2_BCCIP.pdf</v>
      </c>
    </row>
    <row r="5397" spans="1:28" x14ac:dyDescent="0.25">
      <c r="A5397" t="s">
        <v>5401</v>
      </c>
      <c r="B5397">
        <v>0.99996721820229495</v>
      </c>
      <c r="C5397">
        <v>1.0711365354616</v>
      </c>
      <c r="D5397">
        <v>0.96135239738810596</v>
      </c>
      <c r="E5397">
        <v>0.97500473218502204</v>
      </c>
      <c r="F5397">
        <v>0.94053960810024995</v>
      </c>
      <c r="G5397">
        <v>0.52152794184014595</v>
      </c>
      <c r="H5397">
        <v>0.19144613854497999</v>
      </c>
      <c r="I5397">
        <v>0.115089104150729</v>
      </c>
      <c r="J5397">
        <v>0.11263761623351</v>
      </c>
      <c r="K5397">
        <v>5.8465341634491498E-2</v>
      </c>
      <c r="L5397">
        <v>1824.40618607134</v>
      </c>
      <c r="M5397">
        <v>32.056757742278599</v>
      </c>
      <c r="N5397">
        <v>57.246780880909398</v>
      </c>
      <c r="O5397">
        <v>56.691654193326102</v>
      </c>
      <c r="P5397">
        <v>-0.12927405163335301</v>
      </c>
      <c r="Q5397">
        <v>8.55316208396244E-2</v>
      </c>
      <c r="R5397">
        <v>0.99498606447523896</v>
      </c>
      <c r="S5397" t="s">
        <v>11223</v>
      </c>
      <c r="T5397" t="s">
        <v>11650</v>
      </c>
      <c r="U5397" t="s">
        <v>11650</v>
      </c>
      <c r="V5397" t="s">
        <v>11650</v>
      </c>
      <c r="W5397" t="s">
        <v>16988</v>
      </c>
      <c r="X5397">
        <v>11</v>
      </c>
      <c r="Y5397" t="s">
        <v>22649</v>
      </c>
      <c r="Z5397" t="s">
        <v>28459</v>
      </c>
      <c r="AA5397">
        <v>0.60644945739556921</v>
      </c>
      <c r="AB5397" t="str">
        <f>HYPERLINK("Melting_Curves/meltCurve_Q9P299_COPZ2.pdf", "Melting_Curves/meltCurve_Q9P299_COPZ2.pdf")</f>
        <v>Melting_Curves/meltCurve_Q9P299_COPZ2.pdf</v>
      </c>
    </row>
    <row r="5398" spans="1:28" x14ac:dyDescent="0.25">
      <c r="A5398" t="s">
        <v>5402</v>
      </c>
      <c r="B5398">
        <v>0.99996721820229495</v>
      </c>
      <c r="C5398">
        <v>1.00021128928519</v>
      </c>
      <c r="D5398">
        <v>0.99887934072562801</v>
      </c>
      <c r="E5398">
        <v>1.08117488423441</v>
      </c>
      <c r="F5398">
        <v>1.1085277211487301</v>
      </c>
      <c r="G5398">
        <v>1.06232301283011</v>
      </c>
      <c r="H5398">
        <v>0.70623214229525699</v>
      </c>
      <c r="I5398">
        <v>0.65518409519758602</v>
      </c>
      <c r="J5398">
        <v>0.60135867906867801</v>
      </c>
      <c r="K5398">
        <v>0.44553204806602797</v>
      </c>
      <c r="L5398">
        <v>2560.29385243053</v>
      </c>
      <c r="M5398">
        <v>42.086844774266702</v>
      </c>
      <c r="O5398">
        <v>60.696704189345297</v>
      </c>
      <c r="P5398">
        <v>-8.0286719213691807E-2</v>
      </c>
      <c r="Q5398">
        <v>0.53684976844907495</v>
      </c>
      <c r="R5398">
        <v>0.91258050265119395</v>
      </c>
      <c r="S5398" t="s">
        <v>11224</v>
      </c>
      <c r="T5398" t="s">
        <v>11650</v>
      </c>
      <c r="U5398" t="s">
        <v>11650</v>
      </c>
      <c r="V5398" t="s">
        <v>11650</v>
      </c>
      <c r="W5398" t="s">
        <v>16989</v>
      </c>
      <c r="X5398">
        <v>22</v>
      </c>
      <c r="Y5398" t="s">
        <v>22650</v>
      </c>
      <c r="Z5398" t="s">
        <v>28460</v>
      </c>
      <c r="AA5398">
        <v>0.86011773504486266</v>
      </c>
      <c r="AB5398" t="str">
        <f>HYPERLINK("Melting_Curves/meltCurve_Q9P2B4_CTTNBP2NL.pdf", "Melting_Curves/meltCurve_Q9P2B4_CTTNBP2NL.pdf")</f>
        <v>Melting_Curves/meltCurve_Q9P2B4_CTTNBP2NL.pdf</v>
      </c>
    </row>
    <row r="5399" spans="1:28" x14ac:dyDescent="0.25">
      <c r="A5399" t="s">
        <v>5403</v>
      </c>
      <c r="B5399">
        <v>0.99996721820229495</v>
      </c>
      <c r="C5399">
        <v>1.03093094059391</v>
      </c>
      <c r="D5399">
        <v>1.3265039497626401</v>
      </c>
      <c r="E5399">
        <v>1.59860173433738</v>
      </c>
      <c r="F5399">
        <v>1.6793536380584599</v>
      </c>
      <c r="G5399">
        <v>1.9207072190649499</v>
      </c>
      <c r="H5399">
        <v>1.4025213817303199</v>
      </c>
      <c r="I5399">
        <v>0.74863476645415095</v>
      </c>
      <c r="J5399">
        <v>0.35657044855168801</v>
      </c>
      <c r="K5399">
        <v>0.39812476656345402</v>
      </c>
      <c r="L5399">
        <v>15000</v>
      </c>
      <c r="M5399">
        <v>233.98484661729699</v>
      </c>
      <c r="N5399">
        <v>64.494014158027696</v>
      </c>
      <c r="O5399">
        <v>64.102028991227996</v>
      </c>
      <c r="P5399">
        <v>-0.56821190002588595</v>
      </c>
      <c r="Q5399">
        <v>0.37733510363506101</v>
      </c>
      <c r="R5399">
        <v>0.24381125791566999</v>
      </c>
      <c r="S5399" t="s">
        <v>11225</v>
      </c>
      <c r="T5399" t="s">
        <v>11650</v>
      </c>
      <c r="U5399" t="s">
        <v>11650</v>
      </c>
      <c r="V5399" t="s">
        <v>11650</v>
      </c>
      <c r="W5399" t="s">
        <v>16990</v>
      </c>
      <c r="X5399">
        <v>1</v>
      </c>
      <c r="Y5399" t="s">
        <v>22651</v>
      </c>
      <c r="Z5399" t="s">
        <v>28461</v>
      </c>
      <c r="AA5399">
        <v>0.87776192857967295</v>
      </c>
      <c r="AB5399" t="str">
        <f>HYPERLINK("Melting_Curves/meltCurve_Q9P2C4_TMEM181.pdf", "Melting_Curves/meltCurve_Q9P2C4_TMEM181.pdf")</f>
        <v>Melting_Curves/meltCurve_Q9P2C4_TMEM181.pdf</v>
      </c>
    </row>
    <row r="5400" spans="1:28" x14ac:dyDescent="0.25">
      <c r="A5400" t="s">
        <v>5404</v>
      </c>
      <c r="B5400">
        <v>0.99996721820229495</v>
      </c>
      <c r="C5400">
        <v>0.891524331227462</v>
      </c>
      <c r="D5400">
        <v>0.77647497315551195</v>
      </c>
      <c r="E5400">
        <v>0.449727898128645</v>
      </c>
      <c r="F5400">
        <v>0.34002193273688702</v>
      </c>
      <c r="G5400">
        <v>0.24472450859466599</v>
      </c>
      <c r="H5400">
        <v>0.17185232809031201</v>
      </c>
      <c r="I5400">
        <v>9.4635423047558703E-2</v>
      </c>
      <c r="J5400">
        <v>8.85734106805348E-2</v>
      </c>
      <c r="K5400">
        <v>4.7704327774238699E-2</v>
      </c>
      <c r="L5400">
        <v>659.12690335491504</v>
      </c>
      <c r="M5400">
        <v>13.313819411380001</v>
      </c>
      <c r="N5400">
        <v>50.024541033583702</v>
      </c>
      <c r="O5400">
        <v>48.430064823405303</v>
      </c>
      <c r="P5400">
        <v>-6.43154049131478E-2</v>
      </c>
      <c r="Q5400">
        <v>6.4341058194125805E-2</v>
      </c>
      <c r="R5400">
        <v>0.99180604678784701</v>
      </c>
      <c r="S5400" t="s">
        <v>11226</v>
      </c>
      <c r="T5400" t="s">
        <v>11650</v>
      </c>
      <c r="U5400" t="s">
        <v>11650</v>
      </c>
      <c r="V5400" t="s">
        <v>11650</v>
      </c>
      <c r="W5400" t="s">
        <v>16991</v>
      </c>
      <c r="X5400">
        <v>1</v>
      </c>
      <c r="Y5400" t="s">
        <v>22652</v>
      </c>
      <c r="Z5400" t="s">
        <v>28462</v>
      </c>
      <c r="AA5400">
        <v>0.38887949642548481</v>
      </c>
      <c r="AB5400" t="str">
        <f>HYPERLINK("Melting_Curves/meltCurve_Q9P2D3_3_HEATR5B.pdf", "Melting_Curves/meltCurve_Q9P2D3_3_HEATR5B.pdf")</f>
        <v>Melting_Curves/meltCurve_Q9P2D3_3_HEATR5B.pdf</v>
      </c>
    </row>
    <row r="5401" spans="1:28" x14ac:dyDescent="0.25">
      <c r="A5401" t="s">
        <v>5405</v>
      </c>
      <c r="B5401">
        <v>0.99996721820229495</v>
      </c>
      <c r="C5401">
        <v>0.83603906480476398</v>
      </c>
      <c r="D5401">
        <v>1.0070791856438699</v>
      </c>
      <c r="E5401">
        <v>0.99629045377472203</v>
      </c>
      <c r="F5401">
        <v>1.40872887491549</v>
      </c>
      <c r="G5401">
        <v>1.2508406456110901</v>
      </c>
      <c r="H5401">
        <v>0.88398880544619995</v>
      </c>
      <c r="I5401">
        <v>0.714673946764115</v>
      </c>
      <c r="J5401">
        <v>0.50559508113366902</v>
      </c>
      <c r="K5401">
        <v>0.50096496915714706</v>
      </c>
      <c r="L5401">
        <v>2852.8238272099502</v>
      </c>
      <c r="M5401">
        <v>44.947771160793401</v>
      </c>
      <c r="N5401">
        <v>68.548928211279204</v>
      </c>
      <c r="O5401">
        <v>63.344499923052801</v>
      </c>
      <c r="P5401">
        <v>-9.1870553812680097E-2</v>
      </c>
      <c r="Q5401">
        <v>0.48211120913053501</v>
      </c>
      <c r="R5401">
        <v>0.65818077958347798</v>
      </c>
      <c r="S5401" t="s">
        <v>11227</v>
      </c>
      <c r="T5401" t="s">
        <v>11650</v>
      </c>
      <c r="U5401" t="s">
        <v>11650</v>
      </c>
      <c r="V5401" t="s">
        <v>11650</v>
      </c>
      <c r="W5401" t="s">
        <v>16992</v>
      </c>
      <c r="X5401">
        <v>4</v>
      </c>
      <c r="Y5401" t="s">
        <v>22653</v>
      </c>
      <c r="Z5401" t="s">
        <v>28463</v>
      </c>
      <c r="AA5401">
        <v>0.88859714161551484</v>
      </c>
      <c r="AB5401" t="str">
        <f>HYPERLINK("Melting_Curves/meltCurve_Q9P2E7_PCDH10.pdf", "Melting_Curves/meltCurve_Q9P2E7_PCDH10.pdf")</f>
        <v>Melting_Curves/meltCurve_Q9P2E7_PCDH10.pdf</v>
      </c>
    </row>
    <row r="5402" spans="1:28" x14ac:dyDescent="0.25">
      <c r="A5402" t="s">
        <v>5406</v>
      </c>
      <c r="B5402">
        <v>0.99996721820229495</v>
      </c>
      <c r="C5402">
        <v>1.0946129620160701</v>
      </c>
      <c r="D5402">
        <v>1.11555259386377</v>
      </c>
      <c r="E5402">
        <v>1.0743056996447899</v>
      </c>
      <c r="F5402">
        <v>0.90001063937163694</v>
      </c>
      <c r="G5402">
        <v>1.0225398056528201</v>
      </c>
      <c r="H5402">
        <v>0.62825466162360499</v>
      </c>
      <c r="I5402">
        <v>0.465290243035762</v>
      </c>
      <c r="J5402">
        <v>0.38612590249832002</v>
      </c>
      <c r="K5402">
        <v>0.302909470907266</v>
      </c>
      <c r="L5402">
        <v>2422.14309377773</v>
      </c>
      <c r="M5402">
        <v>39.778443014427999</v>
      </c>
      <c r="N5402">
        <v>62.729335399266603</v>
      </c>
      <c r="O5402">
        <v>60.737582453260501</v>
      </c>
      <c r="P5402">
        <v>-0.10737996385289</v>
      </c>
      <c r="Q5402">
        <v>0.34416902940608601</v>
      </c>
      <c r="R5402">
        <v>0.94937337319677095</v>
      </c>
      <c r="S5402" t="s">
        <v>11228</v>
      </c>
      <c r="T5402" t="s">
        <v>11650</v>
      </c>
      <c r="U5402" t="s">
        <v>11650</v>
      </c>
      <c r="V5402" t="s">
        <v>11650</v>
      </c>
      <c r="W5402" t="s">
        <v>16993</v>
      </c>
      <c r="X5402">
        <v>106</v>
      </c>
      <c r="Y5402" t="s">
        <v>22654</v>
      </c>
      <c r="Z5402" t="s">
        <v>28464</v>
      </c>
      <c r="AA5402">
        <v>0.80339186028691856</v>
      </c>
      <c r="AB5402" t="str">
        <f>HYPERLINK("Melting_Curves/meltCurve_Q9P2E9_RRBP1.pdf", "Melting_Curves/meltCurve_Q9P2E9_RRBP1.pdf")</f>
        <v>Melting_Curves/meltCurve_Q9P2E9_RRBP1.pdf</v>
      </c>
    </row>
    <row r="5403" spans="1:28" x14ac:dyDescent="0.25">
      <c r="A5403" t="s">
        <v>5407</v>
      </c>
      <c r="B5403">
        <v>0.99996721820229495</v>
      </c>
      <c r="C5403">
        <v>1.1304138031328901</v>
      </c>
      <c r="D5403">
        <v>1.15593331990626</v>
      </c>
      <c r="E5403">
        <v>1.2626610984637801</v>
      </c>
      <c r="F5403">
        <v>1.2812989170078899</v>
      </c>
      <c r="G5403">
        <v>1.13931128373733</v>
      </c>
      <c r="H5403">
        <v>0.71083658250067305</v>
      </c>
      <c r="I5403">
        <v>0.48637947372649298</v>
      </c>
      <c r="J5403">
        <v>0.35006388384927301</v>
      </c>
      <c r="K5403">
        <v>0.32693433711213898</v>
      </c>
      <c r="L5403">
        <v>2918.1367996178601</v>
      </c>
      <c r="M5403">
        <v>47.367258094843599</v>
      </c>
      <c r="N5403">
        <v>63.166479979312399</v>
      </c>
      <c r="O5403">
        <v>61.497117376932202</v>
      </c>
      <c r="P5403">
        <v>-0.12617031886378699</v>
      </c>
      <c r="Q5403">
        <v>0.34477081474905502</v>
      </c>
      <c r="R5403">
        <v>0.83272456262364303</v>
      </c>
      <c r="S5403" t="s">
        <v>11229</v>
      </c>
      <c r="T5403" t="s">
        <v>11650</v>
      </c>
      <c r="U5403" t="s">
        <v>11650</v>
      </c>
      <c r="V5403" t="s">
        <v>11650</v>
      </c>
      <c r="W5403" t="s">
        <v>16994</v>
      </c>
      <c r="X5403">
        <v>106</v>
      </c>
      <c r="Y5403" t="s">
        <v>22654</v>
      </c>
      <c r="Z5403" t="s">
        <v>28465</v>
      </c>
      <c r="AA5403">
        <v>0.81853426220049996</v>
      </c>
      <c r="AB5403" t="str">
        <f>HYPERLINK("Melting_Curves/meltCurve_Q9P2E9_2_RRBP1.pdf", "Melting_Curves/meltCurve_Q9P2E9_2_RRBP1.pdf")</f>
        <v>Melting_Curves/meltCurve_Q9P2E9_2_RRBP1.pdf</v>
      </c>
    </row>
    <row r="5404" spans="1:28" x14ac:dyDescent="0.25">
      <c r="A5404" t="s">
        <v>5408</v>
      </c>
      <c r="B5404">
        <v>0.99996721820229495</v>
      </c>
      <c r="C5404">
        <v>1.02672051415445</v>
      </c>
      <c r="D5404">
        <v>1.1041444294912499</v>
      </c>
      <c r="E5404">
        <v>1.1314180028179699</v>
      </c>
      <c r="F5404">
        <v>0.82332242846836301</v>
      </c>
      <c r="G5404">
        <v>0.81973367770009098</v>
      </c>
      <c r="H5404">
        <v>0.45761337511028299</v>
      </c>
      <c r="I5404">
        <v>0.27667677788185302</v>
      </c>
      <c r="J5404">
        <v>0.221287856956107</v>
      </c>
      <c r="K5404">
        <v>0.170356944696783</v>
      </c>
      <c r="L5404">
        <v>1350.8772149551901</v>
      </c>
      <c r="M5404">
        <v>22.647316669829198</v>
      </c>
      <c r="N5404">
        <v>60.537175014804397</v>
      </c>
      <c r="O5404">
        <v>59.189223004555302</v>
      </c>
      <c r="P5404">
        <v>-8.2129543729456106E-2</v>
      </c>
      <c r="Q5404">
        <v>0.14142823620508399</v>
      </c>
      <c r="R5404">
        <v>0.96146977437815995</v>
      </c>
      <c r="S5404" t="s">
        <v>11230</v>
      </c>
      <c r="T5404" t="s">
        <v>11650</v>
      </c>
      <c r="U5404" t="s">
        <v>11650</v>
      </c>
      <c r="V5404" t="s">
        <v>11650</v>
      </c>
      <c r="W5404" t="s">
        <v>16995</v>
      </c>
      <c r="X5404">
        <v>5</v>
      </c>
      <c r="Y5404" t="s">
        <v>22655</v>
      </c>
      <c r="Z5404" t="s">
        <v>28466</v>
      </c>
      <c r="AA5404">
        <v>0.71098087905116314</v>
      </c>
      <c r="AB5404" t="str">
        <f>HYPERLINK("Melting_Curves/meltCurve_Q9P2I0_CPSF2.pdf", "Melting_Curves/meltCurve_Q9P2I0_CPSF2.pdf")</f>
        <v>Melting_Curves/meltCurve_Q9P2I0_CPSF2.pdf</v>
      </c>
    </row>
    <row r="5405" spans="1:28" x14ac:dyDescent="0.25">
      <c r="A5405" t="s">
        <v>5409</v>
      </c>
      <c r="B5405">
        <v>0.99996721820229495</v>
      </c>
      <c r="C5405">
        <v>1.08732539986479</v>
      </c>
      <c r="D5405">
        <v>0.92243312742975603</v>
      </c>
      <c r="E5405">
        <v>0.67700263193473897</v>
      </c>
      <c r="F5405">
        <v>0.66882141600596401</v>
      </c>
      <c r="G5405">
        <v>0.48572304048661002</v>
      </c>
      <c r="H5405">
        <v>0.303441022554856</v>
      </c>
      <c r="I5405">
        <v>0.18958909258270901</v>
      </c>
      <c r="J5405">
        <v>0.16425173782052699</v>
      </c>
      <c r="K5405">
        <v>0.110157814316079</v>
      </c>
      <c r="L5405">
        <v>598.83117935761595</v>
      </c>
      <c r="M5405">
        <v>10.726234262875799</v>
      </c>
      <c r="N5405">
        <v>55.972519516151401</v>
      </c>
      <c r="O5405">
        <v>53.993124515742501</v>
      </c>
      <c r="P5405">
        <v>-4.9007742543783497E-2</v>
      </c>
      <c r="Q5405">
        <v>1.3596837636124201E-2</v>
      </c>
      <c r="R5405">
        <v>0.975719234889868</v>
      </c>
      <c r="S5405" t="s">
        <v>11231</v>
      </c>
      <c r="T5405" t="s">
        <v>11650</v>
      </c>
      <c r="U5405" t="s">
        <v>11650</v>
      </c>
      <c r="V5405" t="s">
        <v>11650</v>
      </c>
      <c r="W5405" t="s">
        <v>16996</v>
      </c>
      <c r="X5405">
        <v>3</v>
      </c>
      <c r="Y5405" t="s">
        <v>22656</v>
      </c>
      <c r="Z5405" t="s">
        <v>28467</v>
      </c>
      <c r="AA5405">
        <v>0.55548478523447165</v>
      </c>
      <c r="AB5405" t="str">
        <f>HYPERLINK("Melting_Curves/meltCurve_Q9P2K8_2_EIF2AK4.pdf", "Melting_Curves/meltCurve_Q9P2K8_2_EIF2AK4.pdf")</f>
        <v>Melting_Curves/meltCurve_Q9P2K8_2_EIF2AK4.pdf</v>
      </c>
    </row>
    <row r="5406" spans="1:28" x14ac:dyDescent="0.25">
      <c r="A5406" t="s">
        <v>5410</v>
      </c>
      <c r="B5406">
        <v>0.99996721820229495</v>
      </c>
      <c r="C5406">
        <v>0.91785301154722998</v>
      </c>
      <c r="D5406">
        <v>0.78221528408811303</v>
      </c>
      <c r="E5406">
        <v>0.79573633405969901</v>
      </c>
      <c r="F5406">
        <v>0.81440411771944399</v>
      </c>
      <c r="G5406">
        <v>0.657237184948818</v>
      </c>
      <c r="H5406">
        <v>0.42161762833206201</v>
      </c>
      <c r="I5406">
        <v>0.37189120005471699</v>
      </c>
      <c r="J5406">
        <v>0.30098503322523801</v>
      </c>
      <c r="K5406">
        <v>0.29213662999059697</v>
      </c>
      <c r="L5406">
        <v>424.80957627233698</v>
      </c>
      <c r="M5406">
        <v>7.0631228125014403</v>
      </c>
      <c r="N5406">
        <v>60.144728730733597</v>
      </c>
      <c r="O5406">
        <v>55.881493078987802</v>
      </c>
      <c r="P5406">
        <v>-3.1655352291655198E-2</v>
      </c>
      <c r="Q5406">
        <v>0</v>
      </c>
      <c r="R5406">
        <v>0.94996581831912097</v>
      </c>
      <c r="S5406" t="s">
        <v>11232</v>
      </c>
      <c r="T5406" t="s">
        <v>11650</v>
      </c>
      <c r="U5406" t="s">
        <v>11650</v>
      </c>
      <c r="V5406" t="s">
        <v>11650</v>
      </c>
      <c r="W5406" t="s">
        <v>16997</v>
      </c>
      <c r="X5406">
        <v>5</v>
      </c>
      <c r="Y5406" t="s">
        <v>22657</v>
      </c>
      <c r="Z5406" t="s">
        <v>28468</v>
      </c>
      <c r="AA5406">
        <v>0.64708517651194997</v>
      </c>
      <c r="AB5406" t="str">
        <f>HYPERLINK("Melting_Curves/meltCurve_Q9P2N5_RBM27.pdf", "Melting_Curves/meltCurve_Q9P2N5_RBM27.pdf")</f>
        <v>Melting_Curves/meltCurve_Q9P2N5_RBM27.pdf</v>
      </c>
    </row>
    <row r="5407" spans="1:28" x14ac:dyDescent="0.25">
      <c r="A5407" t="s">
        <v>5411</v>
      </c>
      <c r="B5407">
        <v>0.99996721820229495</v>
      </c>
      <c r="C5407">
        <v>0.92305796816337904</v>
      </c>
      <c r="D5407">
        <v>0.62831232651612101</v>
      </c>
      <c r="E5407">
        <v>0.20100003518805201</v>
      </c>
      <c r="F5407">
        <v>0.178115078682025</v>
      </c>
      <c r="G5407">
        <v>0.13964487063576</v>
      </c>
      <c r="H5407">
        <v>8.6430362827757803E-2</v>
      </c>
      <c r="I5407">
        <v>6.1726203901988998E-2</v>
      </c>
      <c r="J5407">
        <v>4.3765106290676897E-2</v>
      </c>
      <c r="K5407">
        <v>3.9550007105467001E-2</v>
      </c>
      <c r="L5407">
        <v>1153.7696465408101</v>
      </c>
      <c r="M5407">
        <v>24.677965395426</v>
      </c>
      <c r="N5407">
        <v>47.069075756731102</v>
      </c>
      <c r="O5407">
        <v>46.449273265574298</v>
      </c>
      <c r="P5407">
        <v>-0.12268295487898701</v>
      </c>
      <c r="Q5407">
        <v>7.6349627244363602E-2</v>
      </c>
      <c r="R5407">
        <v>0.992284564235134</v>
      </c>
      <c r="S5407" t="s">
        <v>11233</v>
      </c>
      <c r="T5407" t="s">
        <v>11650</v>
      </c>
      <c r="U5407" t="s">
        <v>11650</v>
      </c>
      <c r="V5407" t="s">
        <v>11650</v>
      </c>
      <c r="W5407" t="s">
        <v>16998</v>
      </c>
      <c r="X5407">
        <v>17</v>
      </c>
      <c r="Y5407" t="s">
        <v>22658</v>
      </c>
      <c r="Z5407" t="s">
        <v>28469</v>
      </c>
      <c r="AA5407">
        <v>0.2928007632509545</v>
      </c>
      <c r="AB5407" t="str">
        <f>HYPERLINK("Melting_Curves/meltCurve_Q9P2R3_ANKFY1.pdf", "Melting_Curves/meltCurve_Q9P2R3_ANKFY1.pdf")</f>
        <v>Melting_Curves/meltCurve_Q9P2R3_ANKFY1.pdf</v>
      </c>
    </row>
    <row r="5408" spans="1:28" x14ac:dyDescent="0.25">
      <c r="A5408" t="s">
        <v>5412</v>
      </c>
      <c r="B5408">
        <v>0.99996721820229495</v>
      </c>
      <c r="C5408">
        <v>1.02769859512936</v>
      </c>
      <c r="D5408">
        <v>1.0876655213767099</v>
      </c>
      <c r="E5408">
        <v>1.09611170671515</v>
      </c>
      <c r="F5408">
        <v>1.5323150883893899</v>
      </c>
      <c r="G5408">
        <v>1.49523448652443</v>
      </c>
      <c r="H5408">
        <v>0.74245062583451404</v>
      </c>
      <c r="I5408">
        <v>0.40469955833737598</v>
      </c>
      <c r="J5408">
        <v>0.30005631801854898</v>
      </c>
      <c r="K5408">
        <v>0.182014848997409</v>
      </c>
      <c r="L5408">
        <v>3356.3368234483</v>
      </c>
      <c r="M5408">
        <v>54.060420228747098</v>
      </c>
      <c r="N5408">
        <v>62.860006821009598</v>
      </c>
      <c r="O5408">
        <v>62.000150070020197</v>
      </c>
      <c r="P5408">
        <v>-0.16495463983018699</v>
      </c>
      <c r="Q5408">
        <v>0.243276017607575</v>
      </c>
      <c r="R5408">
        <v>0.71880042879290096</v>
      </c>
      <c r="S5408" t="s">
        <v>11234</v>
      </c>
      <c r="T5408" t="s">
        <v>11650</v>
      </c>
      <c r="U5408" t="s">
        <v>11650</v>
      </c>
      <c r="V5408" t="s">
        <v>11650</v>
      </c>
      <c r="W5408" t="s">
        <v>16999</v>
      </c>
      <c r="X5408">
        <v>2</v>
      </c>
      <c r="Y5408" t="s">
        <v>22659</v>
      </c>
      <c r="Z5408" t="s">
        <v>28470</v>
      </c>
      <c r="AA5408">
        <v>0.80203516452027557</v>
      </c>
      <c r="AB5408" t="str">
        <f>HYPERLINK("Melting_Curves/meltCurve_Q9P2X0_DPM3.pdf", "Melting_Curves/meltCurve_Q9P2X0_DPM3.pdf")</f>
        <v>Melting_Curves/meltCurve_Q9P2X0_DPM3.pdf</v>
      </c>
    </row>
    <row r="5409" spans="1:28" x14ac:dyDescent="0.25">
      <c r="A5409" t="s">
        <v>5413</v>
      </c>
      <c r="B5409">
        <v>0.99996721820229495</v>
      </c>
      <c r="C5409">
        <v>0.74324654022163805</v>
      </c>
      <c r="D5409">
        <v>0.51036249643170495</v>
      </c>
      <c r="E5409">
        <v>0.24205220469430899</v>
      </c>
      <c r="F5409">
        <v>0.168641384806134</v>
      </c>
      <c r="G5409">
        <v>0.13244199565220999</v>
      </c>
      <c r="H5409">
        <v>8.1418786215594494E-2</v>
      </c>
      <c r="I5409">
        <v>7.0493204995033906E-2</v>
      </c>
      <c r="J5409">
        <v>5.4723187337492103E-2</v>
      </c>
      <c r="K5409">
        <v>4.3929092510562102E-2</v>
      </c>
      <c r="L5409">
        <v>785.22234542111698</v>
      </c>
      <c r="M5409">
        <v>17.149501186416899</v>
      </c>
      <c r="N5409">
        <v>46.174367240488799</v>
      </c>
      <c r="O5409">
        <v>45.177920722422698</v>
      </c>
      <c r="P5409">
        <v>-8.8545066738003095E-2</v>
      </c>
      <c r="Q5409">
        <v>6.7018187013813693E-2</v>
      </c>
      <c r="R5409">
        <v>0.99124400801154799</v>
      </c>
      <c r="S5409" t="s">
        <v>11235</v>
      </c>
      <c r="T5409" t="s">
        <v>11650</v>
      </c>
      <c r="U5409" t="s">
        <v>11650</v>
      </c>
      <c r="V5409" t="s">
        <v>11650</v>
      </c>
      <c r="W5409" t="s">
        <v>17000</v>
      </c>
      <c r="X5409">
        <v>8</v>
      </c>
      <c r="Y5409" t="s">
        <v>22660</v>
      </c>
      <c r="Z5409" t="s">
        <v>28471</v>
      </c>
      <c r="AA5409">
        <v>0.26774846725343798</v>
      </c>
      <c r="AB5409" t="str">
        <f>HYPERLINK("Melting_Curves/meltCurve_Q9P2X3_IMPACT.pdf", "Melting_Curves/meltCurve_Q9P2X3_IMPACT.pdf")</f>
        <v>Melting_Curves/meltCurve_Q9P2X3_IMPACT.pdf</v>
      </c>
    </row>
    <row r="5410" spans="1:28" x14ac:dyDescent="0.25">
      <c r="A5410" t="s">
        <v>5414</v>
      </c>
      <c r="B5410">
        <v>0.99996721820229495</v>
      </c>
      <c r="C5410">
        <v>1.1570801337833601</v>
      </c>
      <c r="D5410">
        <v>1.11852954116416</v>
      </c>
      <c r="E5410">
        <v>1.04115148057887</v>
      </c>
      <c r="F5410">
        <v>0.50989823365837506</v>
      </c>
      <c r="G5410">
        <v>0.29408297651749898</v>
      </c>
      <c r="H5410">
        <v>0.171361596138357</v>
      </c>
      <c r="I5410">
        <v>9.3509793193190596E-2</v>
      </c>
      <c r="J5410">
        <v>5.6849028528696298E-2</v>
      </c>
      <c r="K5410">
        <v>5.4257764584077502E-2</v>
      </c>
      <c r="S5410" t="s">
        <v>11236</v>
      </c>
      <c r="T5410" t="s">
        <v>11650</v>
      </c>
      <c r="U5410" t="s">
        <v>11651</v>
      </c>
      <c r="V5410" t="s">
        <v>11650</v>
      </c>
      <c r="W5410" t="s">
        <v>17001</v>
      </c>
      <c r="X5410">
        <v>16</v>
      </c>
      <c r="Y5410" t="s">
        <v>22661</v>
      </c>
      <c r="Z5410" t="s">
        <v>28472</v>
      </c>
      <c r="AB5410" t="str">
        <f>HYPERLINK("Melting_Curves/meltCurve_Q9UBB4_ATXN10.pdf", "Melting_Curves/meltCurve_Q9UBB4_ATXN10.pdf")</f>
        <v>Melting_Curves/meltCurve_Q9UBB4_ATXN10.pdf</v>
      </c>
    </row>
    <row r="5411" spans="1:28" x14ac:dyDescent="0.25">
      <c r="A5411" t="s">
        <v>5415</v>
      </c>
      <c r="B5411">
        <v>0.99996721820229495</v>
      </c>
      <c r="C5411">
        <v>1.0996342063309801</v>
      </c>
      <c r="D5411">
        <v>1.0486828214511601</v>
      </c>
      <c r="E5411">
        <v>0.81404498078426102</v>
      </c>
      <c r="F5411">
        <v>0.34396331111713402</v>
      </c>
      <c r="G5411">
        <v>0.28681546270243102</v>
      </c>
      <c r="H5411">
        <v>0.17632914238255701</v>
      </c>
      <c r="I5411">
        <v>0.110331854124727</v>
      </c>
      <c r="J5411">
        <v>8.2441912118826496E-2</v>
      </c>
      <c r="K5411">
        <v>6.4522870614925995E-2</v>
      </c>
      <c r="L5411">
        <v>1840.5229366855101</v>
      </c>
      <c r="M5411">
        <v>35.622371929339501</v>
      </c>
      <c r="N5411">
        <v>52.114339281653798</v>
      </c>
      <c r="O5411">
        <v>51.505598116142203</v>
      </c>
      <c r="P5411">
        <v>-0.150156497908844</v>
      </c>
      <c r="Q5411">
        <v>0.13157106463621401</v>
      </c>
      <c r="R5411">
        <v>0.97632992593513901</v>
      </c>
      <c r="S5411" t="s">
        <v>11237</v>
      </c>
      <c r="T5411" t="s">
        <v>11650</v>
      </c>
      <c r="U5411" t="s">
        <v>11650</v>
      </c>
      <c r="V5411" t="s">
        <v>11650</v>
      </c>
      <c r="W5411" t="s">
        <v>17002</v>
      </c>
      <c r="X5411">
        <v>13</v>
      </c>
      <c r="Y5411" t="s">
        <v>22662</v>
      </c>
      <c r="Z5411" t="s">
        <v>28473</v>
      </c>
      <c r="AA5411">
        <v>0.47323506048347602</v>
      </c>
      <c r="AB5411" t="str">
        <f>HYPERLINK("Melting_Curves/meltCurve_Q9UBB6_NCDN.pdf", "Melting_Curves/meltCurve_Q9UBB6_NCDN.pdf")</f>
        <v>Melting_Curves/meltCurve_Q9UBB6_NCDN.pdf</v>
      </c>
    </row>
    <row r="5412" spans="1:28" x14ac:dyDescent="0.25">
      <c r="A5412" t="s">
        <v>5416</v>
      </c>
      <c r="B5412">
        <v>0.99996721820229495</v>
      </c>
      <c r="C5412">
        <v>1.00115784959306</v>
      </c>
      <c r="D5412">
        <v>0.84123305667660297</v>
      </c>
      <c r="E5412">
        <v>0.62572653009895496</v>
      </c>
      <c r="F5412">
        <v>0.41660289775725901</v>
      </c>
      <c r="G5412">
        <v>0.30749151478400699</v>
      </c>
      <c r="H5412">
        <v>0.1941806195287</v>
      </c>
      <c r="I5412">
        <v>0.16749872348317699</v>
      </c>
      <c r="J5412">
        <v>0.126133255231834</v>
      </c>
      <c r="K5412">
        <v>0.110152272738433</v>
      </c>
      <c r="L5412">
        <v>753.13052638021895</v>
      </c>
      <c r="M5412">
        <v>14.734664727223601</v>
      </c>
      <c r="N5412">
        <v>52.012427719681</v>
      </c>
      <c r="O5412">
        <v>50.199084765868903</v>
      </c>
      <c r="P5412">
        <v>-6.5134157763675593E-2</v>
      </c>
      <c r="Q5412">
        <v>0.112481944922366</v>
      </c>
      <c r="R5412">
        <v>0.99514103020425004</v>
      </c>
      <c r="S5412" t="s">
        <v>11238</v>
      </c>
      <c r="T5412" t="s">
        <v>11650</v>
      </c>
      <c r="U5412" t="s">
        <v>11650</v>
      </c>
      <c r="V5412" t="s">
        <v>11650</v>
      </c>
      <c r="W5412" t="s">
        <v>17003</v>
      </c>
      <c r="X5412">
        <v>21</v>
      </c>
      <c r="Y5412" t="s">
        <v>22663</v>
      </c>
      <c r="Z5412" t="s">
        <v>28474</v>
      </c>
      <c r="AA5412">
        <v>0.46227992695950332</v>
      </c>
      <c r="AB5412" t="str">
        <f>HYPERLINK("Melting_Curves/meltCurve_Q9UBC2_2_EPS15L1.pdf", "Melting_Curves/meltCurve_Q9UBC2_2_EPS15L1.pdf")</f>
        <v>Melting_Curves/meltCurve_Q9UBC2_2_EPS15L1.pdf</v>
      </c>
    </row>
    <row r="5413" spans="1:28" x14ac:dyDescent="0.25">
      <c r="A5413" t="s">
        <v>5417</v>
      </c>
      <c r="B5413">
        <v>0.99996721820229495</v>
      </c>
      <c r="C5413">
        <v>0.97379043669828202</v>
      </c>
      <c r="D5413">
        <v>1.0037683484156901</v>
      </c>
      <c r="E5413">
        <v>0.88095803331995204</v>
      </c>
      <c r="F5413">
        <v>0.582778368088817</v>
      </c>
      <c r="G5413">
        <v>0.30207672084943399</v>
      </c>
      <c r="H5413">
        <v>0.16710300211408899</v>
      </c>
      <c r="I5413">
        <v>0.124930031170183</v>
      </c>
      <c r="J5413">
        <v>7.3172428548220494E-2</v>
      </c>
      <c r="K5413">
        <v>6.4543694172596894E-2</v>
      </c>
      <c r="L5413">
        <v>1154.7252457864299</v>
      </c>
      <c r="M5413">
        <v>21.4491122658401</v>
      </c>
      <c r="N5413">
        <v>54.259906353687498</v>
      </c>
      <c r="O5413">
        <v>53.374174415035398</v>
      </c>
      <c r="P5413">
        <v>-9.2710770567450404E-2</v>
      </c>
      <c r="Q5413">
        <v>7.7213332995859002E-2</v>
      </c>
      <c r="R5413">
        <v>0.99689539005333905</v>
      </c>
      <c r="S5413" t="s">
        <v>11239</v>
      </c>
      <c r="T5413" t="s">
        <v>11650</v>
      </c>
      <c r="U5413" t="s">
        <v>11650</v>
      </c>
      <c r="V5413" t="s">
        <v>11650</v>
      </c>
      <c r="W5413" t="s">
        <v>17004</v>
      </c>
      <c r="X5413">
        <v>21</v>
      </c>
      <c r="Y5413" t="s">
        <v>22664</v>
      </c>
      <c r="Z5413" t="s">
        <v>28475</v>
      </c>
      <c r="AA5413">
        <v>0.51398068141101161</v>
      </c>
      <c r="AB5413" t="str">
        <f>HYPERLINK("Melting_Curves/meltCurve_Q9UBE0_SAE1.pdf", "Melting_Curves/meltCurve_Q9UBE0_SAE1.pdf")</f>
        <v>Melting_Curves/meltCurve_Q9UBE0_SAE1.pdf</v>
      </c>
    </row>
    <row r="5414" spans="1:28" x14ac:dyDescent="0.25">
      <c r="A5414" t="s">
        <v>5418</v>
      </c>
      <c r="B5414">
        <v>0.99996721820229495</v>
      </c>
      <c r="C5414">
        <v>1.0471827242795899</v>
      </c>
      <c r="D5414">
        <v>1.0614321072114801</v>
      </c>
      <c r="E5414">
        <v>1.37603456033329</v>
      </c>
      <c r="F5414">
        <v>1.1831021990164601</v>
      </c>
      <c r="G5414">
        <v>0.59312705015507405</v>
      </c>
      <c r="H5414">
        <v>0.28034177727958298</v>
      </c>
      <c r="I5414">
        <v>0.18986647049049499</v>
      </c>
      <c r="J5414">
        <v>0.16011892167717201</v>
      </c>
      <c r="K5414">
        <v>0.14740554003790499</v>
      </c>
      <c r="L5414">
        <v>5468.8836397226796</v>
      </c>
      <c r="M5414">
        <v>95.958602127114204</v>
      </c>
      <c r="N5414">
        <v>57.285067236518401</v>
      </c>
      <c r="O5414">
        <v>56.967374916742997</v>
      </c>
      <c r="P5414">
        <v>-0.33945450091976398</v>
      </c>
      <c r="Q5414">
        <v>0.19390944961192599</v>
      </c>
      <c r="R5414">
        <v>0.90766694032546003</v>
      </c>
      <c r="S5414" t="s">
        <v>11240</v>
      </c>
      <c r="T5414" t="s">
        <v>11650</v>
      </c>
      <c r="U5414" t="s">
        <v>11650</v>
      </c>
      <c r="V5414" t="s">
        <v>11650</v>
      </c>
      <c r="W5414" t="s">
        <v>17005</v>
      </c>
      <c r="X5414">
        <v>19</v>
      </c>
      <c r="Y5414" t="s">
        <v>22665</v>
      </c>
      <c r="Z5414" t="s">
        <v>28476</v>
      </c>
      <c r="AA5414">
        <v>0.6510301641330053</v>
      </c>
      <c r="AB5414" t="str">
        <f>HYPERLINK("Melting_Curves/meltCurve_Q9UBF2_COPG2.pdf", "Melting_Curves/meltCurve_Q9UBF2_COPG2.pdf")</f>
        <v>Melting_Curves/meltCurve_Q9UBF2_COPG2.pdf</v>
      </c>
    </row>
    <row r="5415" spans="1:28" x14ac:dyDescent="0.25">
      <c r="A5415" t="s">
        <v>5419</v>
      </c>
      <c r="B5415">
        <v>0.99996721820229495</v>
      </c>
      <c r="C5415">
        <v>1.01533074997995</v>
      </c>
      <c r="D5415">
        <v>1.09609802129081</v>
      </c>
      <c r="E5415">
        <v>1.2941664540433999</v>
      </c>
      <c r="F5415">
        <v>1.93459242616285</v>
      </c>
      <c r="G5415">
        <v>2.1128319678116201</v>
      </c>
      <c r="H5415">
        <v>1.51074966617326</v>
      </c>
      <c r="I5415">
        <v>1.4273677547427801</v>
      </c>
      <c r="J5415">
        <v>1.1807335806620201</v>
      </c>
      <c r="K5415">
        <v>0.60233004449491001</v>
      </c>
      <c r="L5415">
        <v>15000</v>
      </c>
      <c r="M5415">
        <v>213.870389547575</v>
      </c>
      <c r="Q5415">
        <v>0</v>
      </c>
      <c r="R5415">
        <v>-0.46298352441429103</v>
      </c>
      <c r="S5415" t="s">
        <v>11241</v>
      </c>
      <c r="T5415" t="s">
        <v>11650</v>
      </c>
      <c r="U5415" t="s">
        <v>11650</v>
      </c>
      <c r="V5415" t="s">
        <v>11650</v>
      </c>
      <c r="W5415" t="s">
        <v>17006</v>
      </c>
      <c r="X5415">
        <v>3</v>
      </c>
      <c r="Y5415" t="s">
        <v>22666</v>
      </c>
      <c r="Z5415" t="s">
        <v>28477</v>
      </c>
      <c r="AA5415">
        <v>0.99453804688542646</v>
      </c>
      <c r="AB5415" t="str">
        <f>HYPERLINK("Melting_Curves/meltCurve_Q9UBF6_RNF7.pdf", "Melting_Curves/meltCurve_Q9UBF6_RNF7.pdf")</f>
        <v>Melting_Curves/meltCurve_Q9UBF6_RNF7.pdf</v>
      </c>
    </row>
    <row r="5416" spans="1:28" x14ac:dyDescent="0.25">
      <c r="A5416" t="s">
        <v>5420</v>
      </c>
      <c r="B5416">
        <v>0.99996721820229495</v>
      </c>
      <c r="C5416">
        <v>1.06681678092604</v>
      </c>
      <c r="D5416">
        <v>1.0949371675077799</v>
      </c>
      <c r="E5416">
        <v>1.1061577977966399</v>
      </c>
      <c r="F5416">
        <v>0.68884713683316501</v>
      </c>
      <c r="G5416">
        <v>0.38111495312692201</v>
      </c>
      <c r="H5416">
        <v>0.20479058857596399</v>
      </c>
      <c r="I5416">
        <v>0.105733449627767</v>
      </c>
      <c r="J5416">
        <v>7.0701611153707294E-2</v>
      </c>
      <c r="K5416">
        <v>5.8215763662034799E-2</v>
      </c>
      <c r="L5416">
        <v>1445.6112646879999</v>
      </c>
      <c r="M5416">
        <v>26.151672640919699</v>
      </c>
      <c r="N5416">
        <v>55.652537777819703</v>
      </c>
      <c r="O5416">
        <v>54.957801001494701</v>
      </c>
      <c r="P5416">
        <v>-0.109363847180556</v>
      </c>
      <c r="Q5416">
        <v>8.0697222747382197E-2</v>
      </c>
      <c r="R5416">
        <v>0.97293157522006102</v>
      </c>
      <c r="S5416" t="s">
        <v>11242</v>
      </c>
      <c r="T5416" t="s">
        <v>11650</v>
      </c>
      <c r="U5416" t="s">
        <v>11650</v>
      </c>
      <c r="V5416" t="s">
        <v>11650</v>
      </c>
      <c r="W5416" t="s">
        <v>17007</v>
      </c>
      <c r="X5416">
        <v>10</v>
      </c>
      <c r="Y5416" t="s">
        <v>22667</v>
      </c>
      <c r="Z5416" t="s">
        <v>28478</v>
      </c>
      <c r="AA5416">
        <v>0.55671693284250201</v>
      </c>
      <c r="AB5416" t="str">
        <f>HYPERLINK("Melting_Curves/meltCurve_Q9UBF8_2_PI4KB.pdf", "Melting_Curves/meltCurve_Q9UBF8_2_PI4KB.pdf")</f>
        <v>Melting_Curves/meltCurve_Q9UBF8_2_PI4KB.pdf</v>
      </c>
    </row>
    <row r="5417" spans="1:28" x14ac:dyDescent="0.25">
      <c r="A5417" t="s">
        <v>5421</v>
      </c>
      <c r="B5417">
        <v>0.99996721820229495</v>
      </c>
      <c r="C5417">
        <v>0.88400022733056804</v>
      </c>
      <c r="D5417">
        <v>1.0433143199335999</v>
      </c>
      <c r="E5417">
        <v>1.00210288752525</v>
      </c>
      <c r="F5417">
        <v>0.88504342299650496</v>
      </c>
      <c r="G5417">
        <v>0.82845033402046198</v>
      </c>
      <c r="H5417">
        <v>0.46722140704433401</v>
      </c>
      <c r="I5417">
        <v>0.26135372858427602</v>
      </c>
      <c r="J5417">
        <v>0.16231369870034401</v>
      </c>
      <c r="K5417">
        <v>0.18719374821433499</v>
      </c>
      <c r="L5417">
        <v>1490.9055096786101</v>
      </c>
      <c r="M5417">
        <v>24.932767632464699</v>
      </c>
      <c r="N5417">
        <v>60.551804237290803</v>
      </c>
      <c r="O5417">
        <v>59.416340546159901</v>
      </c>
      <c r="P5417">
        <v>-9.0896462563196403E-2</v>
      </c>
      <c r="Q5417">
        <v>0.13356401474500501</v>
      </c>
      <c r="R5417">
        <v>0.97911055802781699</v>
      </c>
      <c r="S5417" t="s">
        <v>11243</v>
      </c>
      <c r="T5417" t="s">
        <v>11650</v>
      </c>
      <c r="U5417" t="s">
        <v>11650</v>
      </c>
      <c r="V5417" t="s">
        <v>11650</v>
      </c>
      <c r="W5417" t="s">
        <v>17008</v>
      </c>
      <c r="X5417">
        <v>27</v>
      </c>
      <c r="Y5417" t="s">
        <v>22668</v>
      </c>
      <c r="Z5417" t="s">
        <v>28479</v>
      </c>
      <c r="AA5417">
        <v>0.71193107718977677</v>
      </c>
      <c r="AB5417" t="str">
        <f>HYPERLINK("Melting_Curves/meltCurve_Q9UBG0_MRC2.pdf", "Melting_Curves/meltCurve_Q9UBG0_MRC2.pdf")</f>
        <v>Melting_Curves/meltCurve_Q9UBG0_MRC2.pdf</v>
      </c>
    </row>
    <row r="5418" spans="1:28" x14ac:dyDescent="0.25">
      <c r="A5418" t="s">
        <v>5422</v>
      </c>
      <c r="B5418">
        <v>0.99996721820229495</v>
      </c>
      <c r="C5418">
        <v>0.79736623821645702</v>
      </c>
      <c r="D5418">
        <v>1.0246112628525199</v>
      </c>
      <c r="E5418">
        <v>1.3424163219106999</v>
      </c>
      <c r="F5418">
        <v>1.8461112547957801</v>
      </c>
      <c r="G5418">
        <v>1.27273417582274</v>
      </c>
      <c r="H5418">
        <v>0.541369352713854</v>
      </c>
      <c r="I5418">
        <v>0.410804566537111</v>
      </c>
      <c r="J5418">
        <v>0.29570365661128101</v>
      </c>
      <c r="K5418">
        <v>0.25008642197685499</v>
      </c>
      <c r="L5418">
        <v>7671.9811440766798</v>
      </c>
      <c r="M5418">
        <v>126.484923389518</v>
      </c>
      <c r="N5418">
        <v>61.144735863681298</v>
      </c>
      <c r="O5418">
        <v>60.6401412645302</v>
      </c>
      <c r="P5418">
        <v>-0.35545837234982303</v>
      </c>
      <c r="Q5418">
        <v>0.31833627994911301</v>
      </c>
      <c r="R5418">
        <v>0.60155195319958499</v>
      </c>
      <c r="S5418" t="s">
        <v>11244</v>
      </c>
      <c r="T5418" t="s">
        <v>11650</v>
      </c>
      <c r="U5418" t="s">
        <v>11650</v>
      </c>
      <c r="V5418" t="s">
        <v>11650</v>
      </c>
      <c r="W5418" t="s">
        <v>17009</v>
      </c>
      <c r="X5418">
        <v>8</v>
      </c>
      <c r="Y5418" t="s">
        <v>22669</v>
      </c>
      <c r="Z5418" t="s">
        <v>28480</v>
      </c>
      <c r="AA5418">
        <v>0.78795225529832535</v>
      </c>
      <c r="AB5418" t="str">
        <f>HYPERLINK("Melting_Curves/meltCurve_Q9UBI6_GNG12.pdf", "Melting_Curves/meltCurve_Q9UBI6_GNG12.pdf")</f>
        <v>Melting_Curves/meltCurve_Q9UBI6_GNG12.pdf</v>
      </c>
    </row>
    <row r="5419" spans="1:28" x14ac:dyDescent="0.25">
      <c r="A5419" t="s">
        <v>5423</v>
      </c>
      <c r="B5419">
        <v>0.99996721820229495</v>
      </c>
      <c r="C5419">
        <v>1.0547502929095101</v>
      </c>
      <c r="D5419">
        <v>0.78693500363302105</v>
      </c>
      <c r="E5419">
        <v>0.49851940338771</v>
      </c>
      <c r="F5419">
        <v>0.36451888481413403</v>
      </c>
      <c r="G5419">
        <v>0.28936308657880599</v>
      </c>
      <c r="H5419">
        <v>0.16785342127278799</v>
      </c>
      <c r="I5419">
        <v>0.122843664779414</v>
      </c>
      <c r="J5419">
        <v>8.9747327461639298E-2</v>
      </c>
      <c r="K5419">
        <v>5.5165245081598299E-2</v>
      </c>
      <c r="L5419">
        <v>762.82592436899495</v>
      </c>
      <c r="M5419">
        <v>15.22722088019</v>
      </c>
      <c r="N5419">
        <v>50.754075479640797</v>
      </c>
      <c r="O5419">
        <v>49.256035375904602</v>
      </c>
      <c r="P5419">
        <v>-7.0371134062948995E-2</v>
      </c>
      <c r="Q5419">
        <v>8.9558618602864001E-2</v>
      </c>
      <c r="R5419">
        <v>0.97900933530032297</v>
      </c>
      <c r="S5419" t="s">
        <v>11245</v>
      </c>
      <c r="T5419" t="s">
        <v>11650</v>
      </c>
      <c r="U5419" t="s">
        <v>11650</v>
      </c>
      <c r="V5419" t="s">
        <v>11650</v>
      </c>
      <c r="W5419" t="s">
        <v>17010</v>
      </c>
      <c r="X5419">
        <v>9</v>
      </c>
      <c r="Y5419" t="s">
        <v>22670</v>
      </c>
      <c r="Z5419" t="s">
        <v>28481</v>
      </c>
      <c r="AA5419">
        <v>0.4170349903210292</v>
      </c>
      <c r="AB5419" t="str">
        <f>HYPERLINK("Melting_Curves/meltCurve_Q9UBK8_2_MTRR.pdf", "Melting_Curves/meltCurve_Q9UBK8_2_MTRR.pdf")</f>
        <v>Melting_Curves/meltCurve_Q9UBK8_2_MTRR.pdf</v>
      </c>
    </row>
    <row r="5420" spans="1:28" x14ac:dyDescent="0.25">
      <c r="A5420" t="s">
        <v>5424</v>
      </c>
      <c r="B5420">
        <v>0.99996721820229495</v>
      </c>
      <c r="C5420">
        <v>0.94749002134770599</v>
      </c>
      <c r="D5420">
        <v>1.0907336894794499</v>
      </c>
      <c r="E5420">
        <v>1.3119675363766801</v>
      </c>
      <c r="F5420">
        <v>2.1529992841562899</v>
      </c>
      <c r="G5420">
        <v>1.17660294630152</v>
      </c>
      <c r="H5420">
        <v>0.30216636152571102</v>
      </c>
      <c r="I5420">
        <v>0.174713270463554</v>
      </c>
      <c r="J5420">
        <v>0</v>
      </c>
      <c r="K5420">
        <v>4.3678610626342602E-2</v>
      </c>
      <c r="L5420">
        <v>8321.1439973210599</v>
      </c>
      <c r="M5420">
        <v>137.520637100062</v>
      </c>
      <c r="N5420">
        <v>60.577329554378103</v>
      </c>
      <c r="O5420">
        <v>60.495537895092099</v>
      </c>
      <c r="P5420">
        <v>-0.52710954523244402</v>
      </c>
      <c r="Q5420">
        <v>7.2494874466678905E-2</v>
      </c>
      <c r="R5420">
        <v>0.64864377225299896</v>
      </c>
      <c r="S5420" t="s">
        <v>11246</v>
      </c>
      <c r="T5420" t="s">
        <v>11650</v>
      </c>
      <c r="U5420" t="s">
        <v>11650</v>
      </c>
      <c r="V5420" t="s">
        <v>11650</v>
      </c>
      <c r="W5420" t="s">
        <v>17011</v>
      </c>
      <c r="X5420">
        <v>1</v>
      </c>
      <c r="Y5420" t="s">
        <v>22671</v>
      </c>
      <c r="Z5420" t="s">
        <v>28482</v>
      </c>
      <c r="AA5420">
        <v>0.70687322421996879</v>
      </c>
      <c r="AB5420" t="str">
        <f>HYPERLINK("Melting_Curves/meltCurve_Q9UBK9_UXT.pdf", "Melting_Curves/meltCurve_Q9UBK9_UXT.pdf")</f>
        <v>Melting_Curves/meltCurve_Q9UBK9_UXT.pdf</v>
      </c>
    </row>
    <row r="5421" spans="1:28" x14ac:dyDescent="0.25">
      <c r="A5421" t="s">
        <v>5425</v>
      </c>
      <c r="B5421">
        <v>0.99996721820229495</v>
      </c>
      <c r="C5421">
        <v>1.02812792369061</v>
      </c>
      <c r="D5421">
        <v>0.97449620373458901</v>
      </c>
      <c r="E5421">
        <v>0.78182001410494395</v>
      </c>
      <c r="F5421">
        <v>0.60683993738618602</v>
      </c>
      <c r="G5421">
        <v>0.53672945331196598</v>
      </c>
      <c r="H5421">
        <v>0.33768799822311901</v>
      </c>
      <c r="I5421">
        <v>0.2140533680932</v>
      </c>
      <c r="J5421">
        <v>0.160751268650006</v>
      </c>
      <c r="K5421">
        <v>0.105784711483406</v>
      </c>
      <c r="L5421">
        <v>606.22786656484402</v>
      </c>
      <c r="M5421">
        <v>10.696604041574</v>
      </c>
      <c r="N5421">
        <v>56.674797536041901</v>
      </c>
      <c r="O5421">
        <v>54.801675065239699</v>
      </c>
      <c r="P5421">
        <v>-4.8815218549498399E-2</v>
      </c>
      <c r="Q5421">
        <v>0</v>
      </c>
      <c r="R5421">
        <v>0.98698088321811295</v>
      </c>
      <c r="S5421" t="s">
        <v>11247</v>
      </c>
      <c r="T5421" t="s">
        <v>11650</v>
      </c>
      <c r="U5421" t="s">
        <v>11650</v>
      </c>
      <c r="V5421" t="s">
        <v>11650</v>
      </c>
      <c r="W5421" t="s">
        <v>17012</v>
      </c>
      <c r="X5421">
        <v>12</v>
      </c>
      <c r="Y5421" t="s">
        <v>22672</v>
      </c>
      <c r="Z5421" t="s">
        <v>28483</v>
      </c>
      <c r="AA5421">
        <v>0.57378957736725256</v>
      </c>
      <c r="AB5421" t="str">
        <f>HYPERLINK("Melting_Curves/meltCurve_Q9UBL6_2_CPNE7.pdf", "Melting_Curves/meltCurve_Q9UBL6_2_CPNE7.pdf")</f>
        <v>Melting_Curves/meltCurve_Q9UBL6_2_CPNE7.pdf</v>
      </c>
    </row>
    <row r="5422" spans="1:28" x14ac:dyDescent="0.25">
      <c r="A5422" t="s">
        <v>5426</v>
      </c>
      <c r="B5422">
        <v>0.99996721820229495</v>
      </c>
      <c r="C5422">
        <v>0.52969131109952206</v>
      </c>
      <c r="D5422">
        <v>0.696459596766141</v>
      </c>
      <c r="E5422">
        <v>0.77162008268107596</v>
      </c>
      <c r="F5422">
        <v>0.38380841807051902</v>
      </c>
      <c r="G5422">
        <v>0.26639579237627897</v>
      </c>
      <c r="H5422">
        <v>0.19756203622278701</v>
      </c>
      <c r="I5422">
        <v>0.15173959746865001</v>
      </c>
      <c r="J5422">
        <v>9.8765523064526906E-2</v>
      </c>
      <c r="K5422">
        <v>8.6284362465538597E-2</v>
      </c>
      <c r="L5422">
        <v>390.55820732639597</v>
      </c>
      <c r="M5422">
        <v>7.6870473013650296</v>
      </c>
      <c r="N5422">
        <v>50.8073115896077</v>
      </c>
      <c r="O5422">
        <v>47.711751737608097</v>
      </c>
      <c r="P5422">
        <v>-4.0331439747072602E-2</v>
      </c>
      <c r="Q5422">
        <v>0</v>
      </c>
      <c r="R5422">
        <v>0.83366945753109301</v>
      </c>
      <c r="S5422" t="s">
        <v>11248</v>
      </c>
      <c r="T5422" t="s">
        <v>11650</v>
      </c>
      <c r="U5422" t="s">
        <v>11650</v>
      </c>
      <c r="V5422" t="s">
        <v>11650</v>
      </c>
      <c r="W5422" t="s">
        <v>17013</v>
      </c>
      <c r="X5422">
        <v>4</v>
      </c>
      <c r="Y5422" t="s">
        <v>22673</v>
      </c>
      <c r="Z5422" t="s">
        <v>28484</v>
      </c>
      <c r="AA5422">
        <v>0.41706975486639641</v>
      </c>
      <c r="AB5422" t="str">
        <f>HYPERLINK("Melting_Curves/meltCurve_Q9UBM7_DHCR7.pdf", "Melting_Curves/meltCurve_Q9UBM7_DHCR7.pdf")</f>
        <v>Melting_Curves/meltCurve_Q9UBM7_DHCR7.pdf</v>
      </c>
    </row>
    <row r="5423" spans="1:28" x14ac:dyDescent="0.25">
      <c r="A5423" t="s">
        <v>5427</v>
      </c>
      <c r="B5423">
        <v>0.99996721820229495</v>
      </c>
      <c r="C5423">
        <v>1.0328205298969499</v>
      </c>
      <c r="D5423">
        <v>1.00323820861839</v>
      </c>
      <c r="E5423">
        <v>1.00525124529437</v>
      </c>
      <c r="F5423">
        <v>1.3267890268619</v>
      </c>
      <c r="G5423">
        <v>1.3569150404562</v>
      </c>
      <c r="H5423">
        <v>1.09282666537871</v>
      </c>
      <c r="I5423">
        <v>0.86037395408110395</v>
      </c>
      <c r="J5423">
        <v>0.83286411027423901</v>
      </c>
      <c r="K5423">
        <v>0.72768556918924898</v>
      </c>
      <c r="L5423">
        <v>15000</v>
      </c>
      <c r="M5423">
        <v>234.93043810920801</v>
      </c>
      <c r="O5423">
        <v>63.844060168018302</v>
      </c>
      <c r="P5423">
        <v>-0.202137960390912</v>
      </c>
      <c r="Q5423">
        <v>0.78027013980014504</v>
      </c>
      <c r="R5423">
        <v>0.30671201760351902</v>
      </c>
      <c r="S5423" t="s">
        <v>11249</v>
      </c>
      <c r="T5423" t="s">
        <v>11650</v>
      </c>
      <c r="U5423" t="s">
        <v>11650</v>
      </c>
      <c r="V5423" t="s">
        <v>11650</v>
      </c>
      <c r="W5423" t="s">
        <v>17014</v>
      </c>
      <c r="X5423">
        <v>6</v>
      </c>
      <c r="Y5423" t="s">
        <v>22674</v>
      </c>
      <c r="Z5423" t="s">
        <v>28485</v>
      </c>
      <c r="AA5423">
        <v>0.95497364380607563</v>
      </c>
      <c r="AB5423" t="str">
        <f>HYPERLINK("Melting_Curves/meltCurve_Q9UBN6_TNFRSF10D.pdf", "Melting_Curves/meltCurve_Q9UBN6_TNFRSF10D.pdf")</f>
        <v>Melting_Curves/meltCurve_Q9UBN6_TNFRSF10D.pdf</v>
      </c>
    </row>
    <row r="5424" spans="1:28" x14ac:dyDescent="0.25">
      <c r="A5424" t="s">
        <v>5428</v>
      </c>
      <c r="B5424">
        <v>0.99996721820229495</v>
      </c>
      <c r="C5424">
        <v>1.0111306509864499</v>
      </c>
      <c r="D5424">
        <v>0.77654733781895102</v>
      </c>
      <c r="E5424">
        <v>0.34024176587201299</v>
      </c>
      <c r="F5424">
        <v>0.31975101695554498</v>
      </c>
      <c r="G5424">
        <v>0.212049470813087</v>
      </c>
      <c r="H5424">
        <v>0.120423731519663</v>
      </c>
      <c r="I5424">
        <v>6.3542140115186996E-2</v>
      </c>
      <c r="J5424">
        <v>5.7541661717735601E-2</v>
      </c>
      <c r="K5424">
        <v>4.1135312009436598E-2</v>
      </c>
      <c r="L5424">
        <v>908.02364963785794</v>
      </c>
      <c r="M5424">
        <v>18.639472986256401</v>
      </c>
      <c r="N5424">
        <v>49.178358709881898</v>
      </c>
      <c r="O5424">
        <v>48.164756548247297</v>
      </c>
      <c r="P5424">
        <v>-8.89623850610579E-2</v>
      </c>
      <c r="Q5424">
        <v>8.0517416259426794E-2</v>
      </c>
      <c r="R5424">
        <v>0.97827374684879298</v>
      </c>
      <c r="S5424" t="s">
        <v>11250</v>
      </c>
      <c r="T5424" t="s">
        <v>11650</v>
      </c>
      <c r="U5424" t="s">
        <v>11650</v>
      </c>
      <c r="V5424" t="s">
        <v>11650</v>
      </c>
      <c r="W5424" t="s">
        <v>17015</v>
      </c>
      <c r="X5424">
        <v>6</v>
      </c>
      <c r="Y5424" t="s">
        <v>22675</v>
      </c>
      <c r="Z5424" t="s">
        <v>28486</v>
      </c>
      <c r="AA5424">
        <v>0.3625527214721867</v>
      </c>
      <c r="AB5424" t="str">
        <f>HYPERLINK("Melting_Curves/meltCurve_Q9UBP0_3_SPAST.pdf", "Melting_Curves/meltCurve_Q9UBP0_3_SPAST.pdf")</f>
        <v>Melting_Curves/meltCurve_Q9UBP0_3_SPAST.pdf</v>
      </c>
    </row>
    <row r="5425" spans="1:28" x14ac:dyDescent="0.25">
      <c r="A5425" t="s">
        <v>5429</v>
      </c>
      <c r="B5425">
        <v>0.99996721820229495</v>
      </c>
      <c r="C5425">
        <v>0.96258016492770204</v>
      </c>
      <c r="D5425">
        <v>1.0104515029713399</v>
      </c>
      <c r="E5425">
        <v>1.0395326102467699</v>
      </c>
      <c r="F5425">
        <v>1.4174070923015401</v>
      </c>
      <c r="G5425">
        <v>0.76879392941894698</v>
      </c>
      <c r="H5425">
        <v>0.32731887391778602</v>
      </c>
      <c r="I5425">
        <v>0.19798889685228899</v>
      </c>
      <c r="J5425">
        <v>0.13027483391792299</v>
      </c>
      <c r="K5425">
        <v>0.124072329752672</v>
      </c>
      <c r="L5425">
        <v>2457.0219588897598</v>
      </c>
      <c r="M5425">
        <v>41.765502658592801</v>
      </c>
      <c r="N5425">
        <v>59.310134644991699</v>
      </c>
      <c r="O5425">
        <v>58.694607850540898</v>
      </c>
      <c r="P5425">
        <v>-0.15233127623880299</v>
      </c>
      <c r="Q5425">
        <v>0.14369457029660601</v>
      </c>
      <c r="R5425">
        <v>0.90214769572180598</v>
      </c>
      <c r="S5425" t="s">
        <v>11251</v>
      </c>
      <c r="T5425" t="s">
        <v>11650</v>
      </c>
      <c r="U5425" t="s">
        <v>11650</v>
      </c>
      <c r="V5425" t="s">
        <v>11650</v>
      </c>
      <c r="W5425" t="s">
        <v>17016</v>
      </c>
      <c r="X5425">
        <v>2</v>
      </c>
      <c r="Y5425" t="s">
        <v>22676</v>
      </c>
      <c r="Z5425" t="s">
        <v>28487</v>
      </c>
      <c r="AA5425">
        <v>0.68425532470012285</v>
      </c>
      <c r="AB5425" t="str">
        <f>HYPERLINK("Melting_Curves/meltCurve_Q9UBP6_METTL1.pdf", "Melting_Curves/meltCurve_Q9UBP6_METTL1.pdf")</f>
        <v>Melting_Curves/meltCurve_Q9UBP6_METTL1.pdf</v>
      </c>
    </row>
    <row r="5426" spans="1:28" x14ac:dyDescent="0.25">
      <c r="A5426" t="s">
        <v>5430</v>
      </c>
      <c r="B5426">
        <v>0.99996721820229495</v>
      </c>
      <c r="C5426">
        <v>1.0168872709054899</v>
      </c>
      <c r="D5426">
        <v>0.73886427082628003</v>
      </c>
      <c r="E5426">
        <v>0.50362835548951002</v>
      </c>
      <c r="F5426">
        <v>0.40134575687888102</v>
      </c>
      <c r="G5426">
        <v>0.272566377547446</v>
      </c>
      <c r="H5426">
        <v>0.17846949453547001</v>
      </c>
      <c r="I5426">
        <v>0.109000833484515</v>
      </c>
      <c r="J5426">
        <v>8.0547040514971802E-2</v>
      </c>
      <c r="K5426">
        <v>7.2312437318622094E-2</v>
      </c>
      <c r="L5426">
        <v>663.04669464564802</v>
      </c>
      <c r="M5426">
        <v>13.1873130921804</v>
      </c>
      <c r="N5426">
        <v>50.843806868863503</v>
      </c>
      <c r="O5426">
        <v>49.165103400775202</v>
      </c>
      <c r="P5426">
        <v>-6.2498861055867598E-2</v>
      </c>
      <c r="Q5426">
        <v>6.8119174286804696E-2</v>
      </c>
      <c r="R5426">
        <v>0.98326037623750695</v>
      </c>
      <c r="S5426" t="s">
        <v>11252</v>
      </c>
      <c r="T5426" t="s">
        <v>11650</v>
      </c>
      <c r="U5426" t="s">
        <v>11650</v>
      </c>
      <c r="V5426" t="s">
        <v>11650</v>
      </c>
      <c r="W5426" t="s">
        <v>17017</v>
      </c>
      <c r="X5426">
        <v>5</v>
      </c>
      <c r="Y5426" t="s">
        <v>22677</v>
      </c>
      <c r="Z5426" t="s">
        <v>28488</v>
      </c>
      <c r="AA5426">
        <v>0.41476808770329487</v>
      </c>
      <c r="AB5426" t="str">
        <f>HYPERLINK("Melting_Curves/meltCurve_Q9UBP9_4_GULP1.pdf", "Melting_Curves/meltCurve_Q9UBP9_4_GULP1.pdf")</f>
        <v>Melting_Curves/meltCurve_Q9UBP9_4_GULP1.pdf</v>
      </c>
    </row>
    <row r="5427" spans="1:28" x14ac:dyDescent="0.25">
      <c r="A5427" t="s">
        <v>5431</v>
      </c>
      <c r="B5427">
        <v>0.99996721820229495</v>
      </c>
      <c r="C5427">
        <v>1.04428182671421</v>
      </c>
      <c r="D5427">
        <v>1.12259606730298</v>
      </c>
      <c r="E5427">
        <v>1.32287060200032</v>
      </c>
      <c r="F5427">
        <v>1.85977919919659</v>
      </c>
      <c r="G5427">
        <v>1.7039898464443901</v>
      </c>
      <c r="H5427">
        <v>0.62299163398979795</v>
      </c>
      <c r="I5427">
        <v>0.23210696321836899</v>
      </c>
      <c r="J5427">
        <v>0.143751335034939</v>
      </c>
      <c r="K5427">
        <v>0.113171141847643</v>
      </c>
      <c r="L5427">
        <v>6211.8270557800697</v>
      </c>
      <c r="M5427">
        <v>101.604682172661</v>
      </c>
      <c r="N5427">
        <v>61.368878990541297</v>
      </c>
      <c r="O5427">
        <v>61.113519725823203</v>
      </c>
      <c r="P5427">
        <v>-0.34943301057578002</v>
      </c>
      <c r="Q5427">
        <v>0.15928728769832101</v>
      </c>
      <c r="R5427">
        <v>0.614656057963192</v>
      </c>
      <c r="S5427" t="s">
        <v>11253</v>
      </c>
      <c r="T5427" t="s">
        <v>11650</v>
      </c>
      <c r="U5427" t="s">
        <v>11650</v>
      </c>
      <c r="V5427" t="s">
        <v>11650</v>
      </c>
      <c r="W5427" t="s">
        <v>17018</v>
      </c>
      <c r="X5427">
        <v>13</v>
      </c>
      <c r="Y5427" t="s">
        <v>22678</v>
      </c>
      <c r="Z5427" t="s">
        <v>28489</v>
      </c>
      <c r="AA5427">
        <v>0.75217806141696963</v>
      </c>
      <c r="AB5427" t="str">
        <f>HYPERLINK("Melting_Curves/meltCurve_Q9UBQ0_VPS29.pdf", "Melting_Curves/meltCurve_Q9UBQ0_VPS29.pdf")</f>
        <v>Melting_Curves/meltCurve_Q9UBQ0_VPS29.pdf</v>
      </c>
    </row>
    <row r="5428" spans="1:28" x14ac:dyDescent="0.25">
      <c r="A5428" t="s">
        <v>5432</v>
      </c>
      <c r="B5428">
        <v>0.99996721820229495</v>
      </c>
      <c r="C5428">
        <v>1.0148362708993</v>
      </c>
      <c r="D5428">
        <v>0.99714955657322302</v>
      </c>
      <c r="E5428">
        <v>0.90539335216664696</v>
      </c>
      <c r="F5428">
        <v>0.64243758565211895</v>
      </c>
      <c r="G5428">
        <v>0.29213401669950501</v>
      </c>
      <c r="H5428">
        <v>0.15076111710420001</v>
      </c>
      <c r="I5428">
        <v>8.0279120907793905E-2</v>
      </c>
      <c r="J5428">
        <v>5.0147251124354697E-2</v>
      </c>
      <c r="K5428">
        <v>4.0843606135517803E-2</v>
      </c>
      <c r="L5428">
        <v>1225.9873311917599</v>
      </c>
      <c r="M5428">
        <v>22.547996311854298</v>
      </c>
      <c r="N5428">
        <v>54.611275707080601</v>
      </c>
      <c r="O5428">
        <v>53.950095796391999</v>
      </c>
      <c r="P5428">
        <v>-9.9579693415729295E-2</v>
      </c>
      <c r="Q5428">
        <v>4.6970907710501802E-2</v>
      </c>
      <c r="R5428">
        <v>0.99866882915715505</v>
      </c>
      <c r="S5428" t="s">
        <v>11254</v>
      </c>
      <c r="T5428" t="s">
        <v>11650</v>
      </c>
      <c r="U5428" t="s">
        <v>11650</v>
      </c>
      <c r="V5428" t="s">
        <v>11650</v>
      </c>
      <c r="W5428" t="s">
        <v>17019</v>
      </c>
      <c r="X5428">
        <v>17</v>
      </c>
      <c r="Y5428" t="s">
        <v>22679</v>
      </c>
      <c r="Z5428" t="s">
        <v>28490</v>
      </c>
      <c r="AA5428">
        <v>0.5141198660978693</v>
      </c>
      <c r="AB5428" t="str">
        <f>HYPERLINK("Melting_Curves/meltCurve_Q9UBQ7_GRHPR.pdf", "Melting_Curves/meltCurve_Q9UBQ7_GRHPR.pdf")</f>
        <v>Melting_Curves/meltCurve_Q9UBQ7_GRHPR.pdf</v>
      </c>
    </row>
    <row r="5429" spans="1:28" x14ac:dyDescent="0.25">
      <c r="A5429" t="s">
        <v>5433</v>
      </c>
      <c r="B5429">
        <v>0.99996721820229495</v>
      </c>
      <c r="C5429">
        <v>0.94451964436066405</v>
      </c>
      <c r="D5429">
        <v>0.90073094488592698</v>
      </c>
      <c r="E5429">
        <v>1.0868855707360601</v>
      </c>
      <c r="F5429">
        <v>1.1910454325069599</v>
      </c>
      <c r="G5429">
        <v>1.1143320215274599</v>
      </c>
      <c r="H5429">
        <v>0.52166024493291296</v>
      </c>
      <c r="I5429">
        <v>0.26926676166515701</v>
      </c>
      <c r="J5429">
        <v>0.17662967926331</v>
      </c>
      <c r="K5429">
        <v>0.13400715091555501</v>
      </c>
      <c r="L5429">
        <v>4394.7461221629801</v>
      </c>
      <c r="M5429">
        <v>72.340203053448803</v>
      </c>
      <c r="N5429">
        <v>61.138940973053202</v>
      </c>
      <c r="O5429">
        <v>60.704713002352499</v>
      </c>
      <c r="P5429">
        <v>-0.24309729966030599</v>
      </c>
      <c r="Q5429">
        <v>0.184013971665941</v>
      </c>
      <c r="R5429">
        <v>0.94937201101147395</v>
      </c>
      <c r="S5429" t="s">
        <v>11255</v>
      </c>
      <c r="T5429" t="s">
        <v>11650</v>
      </c>
      <c r="U5429" t="s">
        <v>11650</v>
      </c>
      <c r="V5429" t="s">
        <v>11650</v>
      </c>
      <c r="W5429" t="s">
        <v>17020</v>
      </c>
      <c r="X5429">
        <v>14</v>
      </c>
      <c r="Y5429" t="s">
        <v>22680</v>
      </c>
      <c r="Z5429" t="s">
        <v>28491</v>
      </c>
      <c r="AA5429">
        <v>0.74947328353189413</v>
      </c>
      <c r="AB5429" t="str">
        <f>HYPERLINK("Melting_Curves/meltCurve_Q9UBR2_CTSZ.pdf", "Melting_Curves/meltCurve_Q9UBR2_CTSZ.pdf")</f>
        <v>Melting_Curves/meltCurve_Q9UBR2_CTSZ.pdf</v>
      </c>
    </row>
    <row r="5430" spans="1:28" x14ac:dyDescent="0.25">
      <c r="A5430" t="s">
        <v>5434</v>
      </c>
      <c r="B5430">
        <v>0.99996721820229495</v>
      </c>
      <c r="C5430">
        <v>0.90433865644037803</v>
      </c>
      <c r="D5430">
        <v>0.92379132567238798</v>
      </c>
      <c r="E5430">
        <v>1.5433202304022</v>
      </c>
      <c r="F5430">
        <v>1.7045241592990601</v>
      </c>
      <c r="G5430">
        <v>1.94849194224311</v>
      </c>
      <c r="H5430">
        <v>1.10072100382351</v>
      </c>
      <c r="I5430">
        <v>0.38273226003085398</v>
      </c>
      <c r="J5430">
        <v>0.17231405205901801</v>
      </c>
      <c r="K5430">
        <v>0.23591632048095099</v>
      </c>
      <c r="L5430">
        <v>15000</v>
      </c>
      <c r="M5430">
        <v>235.614879617285</v>
      </c>
      <c r="N5430">
        <v>63.805289264145202</v>
      </c>
      <c r="O5430">
        <v>63.658625414993402</v>
      </c>
      <c r="P5430">
        <v>-0.73644494399633098</v>
      </c>
      <c r="Q5430">
        <v>0.20410675737178799</v>
      </c>
      <c r="R5430">
        <v>0.48943023864024898</v>
      </c>
      <c r="S5430" t="s">
        <v>11256</v>
      </c>
      <c r="T5430" t="s">
        <v>11650</v>
      </c>
      <c r="U5430" t="s">
        <v>11650</v>
      </c>
      <c r="V5430" t="s">
        <v>11650</v>
      </c>
      <c r="W5430" t="s">
        <v>12235</v>
      </c>
      <c r="X5430">
        <v>11</v>
      </c>
      <c r="Y5430" t="s">
        <v>17997</v>
      </c>
      <c r="Z5430" t="s">
        <v>28492</v>
      </c>
      <c r="AA5430">
        <v>0.83198655411025024</v>
      </c>
      <c r="AB5430" t="str">
        <f>HYPERLINK("Melting_Curves/meltCurve_Q9UBS4_DNAJB11.pdf", "Melting_Curves/meltCurve_Q9UBS4_DNAJB11.pdf")</f>
        <v>Melting_Curves/meltCurve_Q9UBS4_DNAJB11.pdf</v>
      </c>
    </row>
    <row r="5431" spans="1:28" x14ac:dyDescent="0.25">
      <c r="A5431" t="s">
        <v>5435</v>
      </c>
      <c r="B5431">
        <v>0.99996721820229495</v>
      </c>
      <c r="C5431">
        <v>1.0043399088674101</v>
      </c>
      <c r="D5431">
        <v>0.90959078968060603</v>
      </c>
      <c r="E5431">
        <v>0.67852957597633001</v>
      </c>
      <c r="F5431">
        <v>0.51856930336408802</v>
      </c>
      <c r="G5431">
        <v>0.39976460644693601</v>
      </c>
      <c r="H5431">
        <v>0.244101887139061</v>
      </c>
      <c r="I5431">
        <v>0.175908328001563</v>
      </c>
      <c r="J5431">
        <v>0.114693502430133</v>
      </c>
      <c r="K5431">
        <v>8.9323496715037906E-2</v>
      </c>
      <c r="L5431">
        <v>638.43366114355797</v>
      </c>
      <c r="M5431">
        <v>11.9267279484664</v>
      </c>
      <c r="N5431">
        <v>54.001763915458099</v>
      </c>
      <c r="O5431">
        <v>52.091341842726301</v>
      </c>
      <c r="P5431">
        <v>-5.44190584765602E-2</v>
      </c>
      <c r="Q5431">
        <v>4.9508907292115899E-2</v>
      </c>
      <c r="R5431">
        <v>0.99295743122622204</v>
      </c>
      <c r="S5431" t="s">
        <v>11257</v>
      </c>
      <c r="T5431" t="s">
        <v>11650</v>
      </c>
      <c r="U5431" t="s">
        <v>11650</v>
      </c>
      <c r="V5431" t="s">
        <v>11650</v>
      </c>
      <c r="W5431" t="s">
        <v>17021</v>
      </c>
      <c r="X5431">
        <v>13</v>
      </c>
      <c r="Y5431" t="s">
        <v>22681</v>
      </c>
      <c r="Z5431" t="s">
        <v>28493</v>
      </c>
      <c r="AA5431">
        <v>0.50423940687105362</v>
      </c>
      <c r="AB5431" t="str">
        <f>HYPERLINK("Melting_Curves/meltCurve_Q9UBS8_RNF14.pdf", "Melting_Curves/meltCurve_Q9UBS8_RNF14.pdf")</f>
        <v>Melting_Curves/meltCurve_Q9UBS8_RNF14.pdf</v>
      </c>
    </row>
    <row r="5432" spans="1:28" x14ac:dyDescent="0.25">
      <c r="A5432" t="s">
        <v>5436</v>
      </c>
      <c r="B5432">
        <v>0.99996721820229495</v>
      </c>
      <c r="C5432">
        <v>0.97243666057199196</v>
      </c>
      <c r="D5432">
        <v>0.95232362518512403</v>
      </c>
      <c r="E5432">
        <v>0.90483829093691404</v>
      </c>
      <c r="F5432">
        <v>1.3128918481857701</v>
      </c>
      <c r="G5432">
        <v>0.99094992171143104</v>
      </c>
      <c r="H5432">
        <v>0.67038598962203699</v>
      </c>
      <c r="I5432">
        <v>0.40775001770623498</v>
      </c>
      <c r="J5432">
        <v>0.24082346184373599</v>
      </c>
      <c r="K5432">
        <v>0.22506265398770001</v>
      </c>
      <c r="L5432">
        <v>2331.50960352526</v>
      </c>
      <c r="M5432">
        <v>37.7790247324047</v>
      </c>
      <c r="N5432">
        <v>62.662317857228203</v>
      </c>
      <c r="O5432">
        <v>61.542253259111497</v>
      </c>
      <c r="P5432">
        <v>-0.120063998626653</v>
      </c>
      <c r="Q5432">
        <v>0.21766239832303899</v>
      </c>
      <c r="R5432">
        <v>0.90626459457097897</v>
      </c>
      <c r="S5432" t="s">
        <v>11258</v>
      </c>
      <c r="T5432" t="s">
        <v>11650</v>
      </c>
      <c r="U5432" t="s">
        <v>11650</v>
      </c>
      <c r="V5432" t="s">
        <v>11650</v>
      </c>
      <c r="W5432" t="s">
        <v>17022</v>
      </c>
      <c r="X5432">
        <v>2</v>
      </c>
      <c r="Y5432" t="s">
        <v>22682</v>
      </c>
      <c r="Z5432" t="s">
        <v>28494</v>
      </c>
      <c r="AA5432">
        <v>0.7870109261675815</v>
      </c>
      <c r="AB5432" t="str">
        <f>HYPERLINK("Melting_Curves/meltCurve_Q9UBS9_SUCO.pdf", "Melting_Curves/meltCurve_Q9UBS9_SUCO.pdf")</f>
        <v>Melting_Curves/meltCurve_Q9UBS9_SUCO.pdf</v>
      </c>
    </row>
    <row r="5433" spans="1:28" x14ac:dyDescent="0.25">
      <c r="A5433" t="s">
        <v>5437</v>
      </c>
      <c r="B5433">
        <v>0.99996721820229495</v>
      </c>
      <c r="C5433">
        <v>0.98032333468178401</v>
      </c>
      <c r="D5433">
        <v>0.94766684755035802</v>
      </c>
      <c r="E5433">
        <v>0.89222327806786395</v>
      </c>
      <c r="F5433">
        <v>0.495151012927457</v>
      </c>
      <c r="G5433">
        <v>0.27381924135317698</v>
      </c>
      <c r="H5433">
        <v>0.150875031645649</v>
      </c>
      <c r="I5433">
        <v>9.9505811860784305E-2</v>
      </c>
      <c r="J5433">
        <v>8.0801614677324496E-2</v>
      </c>
      <c r="K5433">
        <v>7.00521963626482E-2</v>
      </c>
      <c r="L5433">
        <v>1264.74291523221</v>
      </c>
      <c r="M5433">
        <v>23.820628573337</v>
      </c>
      <c r="N5433">
        <v>53.525661114937499</v>
      </c>
      <c r="O5433">
        <v>52.724492878479303</v>
      </c>
      <c r="P5433">
        <v>-0.103088917128303</v>
      </c>
      <c r="Q5433">
        <v>8.7308326161891797E-2</v>
      </c>
      <c r="R5433">
        <v>0.99283497602281501</v>
      </c>
      <c r="S5433" t="s">
        <v>11259</v>
      </c>
      <c r="T5433" t="s">
        <v>11650</v>
      </c>
      <c r="U5433" t="s">
        <v>11650</v>
      </c>
      <c r="V5433" t="s">
        <v>11650</v>
      </c>
      <c r="W5433" t="s">
        <v>17023</v>
      </c>
      <c r="X5433">
        <v>23</v>
      </c>
      <c r="Y5433" t="s">
        <v>22683</v>
      </c>
      <c r="Z5433" t="s">
        <v>28495</v>
      </c>
      <c r="AA5433">
        <v>0.49487962349832598</v>
      </c>
      <c r="AB5433" t="str">
        <f>HYPERLINK("Melting_Curves/meltCurve_Q9UBT2_UBA2.pdf", "Melting_Curves/meltCurve_Q9UBT2_UBA2.pdf")</f>
        <v>Melting_Curves/meltCurve_Q9UBT2_UBA2.pdf</v>
      </c>
    </row>
    <row r="5434" spans="1:28" x14ac:dyDescent="0.25">
      <c r="A5434" t="s">
        <v>5438</v>
      </c>
      <c r="B5434">
        <v>0.99996721820229495</v>
      </c>
      <c r="C5434">
        <v>0.76816390114838295</v>
      </c>
      <c r="D5434">
        <v>0.55849336839063901</v>
      </c>
      <c r="E5434">
        <v>0.21113536861559001</v>
      </c>
      <c r="F5434">
        <v>0.187911537076696</v>
      </c>
      <c r="G5434">
        <v>0.14906355161444301</v>
      </c>
      <c r="H5434">
        <v>7.9464266129722794E-2</v>
      </c>
      <c r="I5434">
        <v>2.4808117639362401E-2</v>
      </c>
      <c r="J5434">
        <v>4.6322823864625599E-2</v>
      </c>
      <c r="K5434">
        <v>4.5874460534179103E-2</v>
      </c>
      <c r="L5434">
        <v>799.06214379206801</v>
      </c>
      <c r="M5434">
        <v>17.3095811665724</v>
      </c>
      <c r="N5434">
        <v>46.490675121283601</v>
      </c>
      <c r="O5434">
        <v>45.560083667715801</v>
      </c>
      <c r="P5434">
        <v>-8.9532779320462594E-2</v>
      </c>
      <c r="Q5434">
        <v>5.7426965993746401E-2</v>
      </c>
      <c r="R5434">
        <v>0.98698977453371295</v>
      </c>
      <c r="S5434" t="s">
        <v>11260</v>
      </c>
      <c r="T5434" t="s">
        <v>11650</v>
      </c>
      <c r="U5434" t="s">
        <v>11650</v>
      </c>
      <c r="V5434" t="s">
        <v>11650</v>
      </c>
      <c r="W5434" t="s">
        <v>17024</v>
      </c>
      <c r="X5434">
        <v>1</v>
      </c>
      <c r="Y5434" t="s">
        <v>22684</v>
      </c>
      <c r="Z5434" t="s">
        <v>28496</v>
      </c>
      <c r="AA5434">
        <v>0.2710061698683347</v>
      </c>
      <c r="AB5434" t="str">
        <f>HYPERLINK("Melting_Curves/meltCurve_Q9UBT7_2_CTNNAL1.pdf", "Melting_Curves/meltCurve_Q9UBT7_2_CTNNAL1.pdf")</f>
        <v>Melting_Curves/meltCurve_Q9UBT7_2_CTNNAL1.pdf</v>
      </c>
    </row>
    <row r="5435" spans="1:28" x14ac:dyDescent="0.25">
      <c r="A5435" t="s">
        <v>5439</v>
      </c>
      <c r="B5435">
        <v>0.99996721820229495</v>
      </c>
      <c r="C5435">
        <v>0.96768812545975402</v>
      </c>
      <c r="D5435">
        <v>0.99360416672387197</v>
      </c>
      <c r="E5435">
        <v>1.03818603232894</v>
      </c>
      <c r="F5435">
        <v>1.09976131181342</v>
      </c>
      <c r="G5435">
        <v>1.0182034163346101</v>
      </c>
      <c r="H5435">
        <v>0.62869842834493295</v>
      </c>
      <c r="I5435">
        <v>0.43008408730013897</v>
      </c>
      <c r="J5435">
        <v>0.28615233938048901</v>
      </c>
      <c r="K5435">
        <v>0.25516783927075498</v>
      </c>
      <c r="L5435">
        <v>2354.8489512373699</v>
      </c>
      <c r="M5435">
        <v>38.436157573324699</v>
      </c>
      <c r="N5435">
        <v>62.506806573294803</v>
      </c>
      <c r="O5435">
        <v>61.101362428381897</v>
      </c>
      <c r="P5435">
        <v>-0.115307441824287</v>
      </c>
      <c r="Q5435">
        <v>0.266791968514762</v>
      </c>
      <c r="R5435">
        <v>0.98063271290071297</v>
      </c>
      <c r="S5435" t="s">
        <v>11261</v>
      </c>
      <c r="T5435" t="s">
        <v>11650</v>
      </c>
      <c r="U5435" t="s">
        <v>11650</v>
      </c>
      <c r="V5435" t="s">
        <v>11650</v>
      </c>
      <c r="W5435" t="s">
        <v>17025</v>
      </c>
      <c r="X5435">
        <v>4</v>
      </c>
      <c r="Y5435" t="s">
        <v>22685</v>
      </c>
      <c r="Z5435" t="s">
        <v>28497</v>
      </c>
      <c r="AA5435">
        <v>0.78947114705420729</v>
      </c>
      <c r="AB5435" t="str">
        <f>HYPERLINK("Melting_Curves/meltCurve_Q9UBU6_FAM8A1.pdf", "Melting_Curves/meltCurve_Q9UBU6_FAM8A1.pdf")</f>
        <v>Melting_Curves/meltCurve_Q9UBU6_FAM8A1.pdf</v>
      </c>
    </row>
    <row r="5436" spans="1:28" x14ac:dyDescent="0.25">
      <c r="A5436" t="s">
        <v>5440</v>
      </c>
      <c r="B5436">
        <v>0.99996721820229495</v>
      </c>
      <c r="C5436">
        <v>0.831083398434462</v>
      </c>
      <c r="D5436">
        <v>0.89914494536753498</v>
      </c>
      <c r="E5436">
        <v>1.4593345930332</v>
      </c>
      <c r="F5436">
        <v>1.01128889650026</v>
      </c>
      <c r="G5436">
        <v>0.66706466133974296</v>
      </c>
      <c r="H5436">
        <v>0.30878319901808299</v>
      </c>
      <c r="I5436">
        <v>0.16877124584994499</v>
      </c>
      <c r="J5436">
        <v>9.2956772879658894E-2</v>
      </c>
      <c r="K5436">
        <v>0.159399276395186</v>
      </c>
      <c r="L5436">
        <v>2060.2842919681302</v>
      </c>
      <c r="M5436">
        <v>35.503194752823902</v>
      </c>
      <c r="N5436">
        <v>58.5550930570231</v>
      </c>
      <c r="O5436">
        <v>57.847768204983197</v>
      </c>
      <c r="P5436">
        <v>-0.13254809646812701</v>
      </c>
      <c r="Q5436">
        <v>0.13612440087219299</v>
      </c>
      <c r="R5436">
        <v>0.86326462518271296</v>
      </c>
      <c r="S5436" t="s">
        <v>11262</v>
      </c>
      <c r="T5436" t="s">
        <v>11650</v>
      </c>
      <c r="U5436" t="s">
        <v>11650</v>
      </c>
      <c r="V5436" t="s">
        <v>11650</v>
      </c>
      <c r="W5436" t="s">
        <v>17026</v>
      </c>
      <c r="X5436">
        <v>2</v>
      </c>
      <c r="Y5436" t="s">
        <v>22686</v>
      </c>
      <c r="Z5436" t="s">
        <v>28498</v>
      </c>
      <c r="AA5436">
        <v>0.6595816304877371</v>
      </c>
      <c r="AB5436" t="str">
        <f>HYPERLINK("Melting_Curves/meltCurve_Q9UBV2_SEL1L.pdf", "Melting_Curves/meltCurve_Q9UBV2_SEL1L.pdf")</f>
        <v>Melting_Curves/meltCurve_Q9UBV2_SEL1L.pdf</v>
      </c>
    </row>
    <row r="5437" spans="1:28" x14ac:dyDescent="0.25">
      <c r="A5437" t="s">
        <v>5441</v>
      </c>
      <c r="B5437">
        <v>0.99996721820229495</v>
      </c>
      <c r="C5437">
        <v>0.97632526610939596</v>
      </c>
      <c r="D5437">
        <v>0.91507198493479502</v>
      </c>
      <c r="E5437">
        <v>0.93152572503891595</v>
      </c>
      <c r="F5437">
        <v>0.86921595861286804</v>
      </c>
      <c r="G5437">
        <v>0.325520030410752</v>
      </c>
      <c r="H5437">
        <v>0.147381916952775</v>
      </c>
      <c r="I5437">
        <v>8.9308633769873594E-2</v>
      </c>
      <c r="J5437">
        <v>6.2720568011835398E-2</v>
      </c>
      <c r="K5437">
        <v>5.4343184687145302E-2</v>
      </c>
      <c r="L5437">
        <v>1869.84952938782</v>
      </c>
      <c r="M5437">
        <v>33.680688542252298</v>
      </c>
      <c r="N5437">
        <v>55.771348799316598</v>
      </c>
      <c r="O5437">
        <v>55.322354918719398</v>
      </c>
      <c r="P5437">
        <v>-0.14136528767029399</v>
      </c>
      <c r="Q5437">
        <v>7.1203412399647906E-2</v>
      </c>
      <c r="R5437">
        <v>0.99259495789449204</v>
      </c>
      <c r="S5437" t="s">
        <v>11263</v>
      </c>
      <c r="T5437" t="s">
        <v>11650</v>
      </c>
      <c r="U5437" t="s">
        <v>11650</v>
      </c>
      <c r="V5437" t="s">
        <v>11650</v>
      </c>
      <c r="W5437" t="s">
        <v>17027</v>
      </c>
      <c r="X5437">
        <v>5</v>
      </c>
      <c r="Y5437" t="s">
        <v>22687</v>
      </c>
      <c r="Z5437" t="s">
        <v>28499</v>
      </c>
      <c r="AA5437">
        <v>0.55657128836057013</v>
      </c>
      <c r="AB5437" t="str">
        <f>HYPERLINK("Melting_Curves/meltCurve_Q9UBV8_PEF1.pdf", "Melting_Curves/meltCurve_Q9UBV8_PEF1.pdf")</f>
        <v>Melting_Curves/meltCurve_Q9UBV8_PEF1.pdf</v>
      </c>
    </row>
    <row r="5438" spans="1:28" x14ac:dyDescent="0.25">
      <c r="A5438" t="s">
        <v>5442</v>
      </c>
      <c r="B5438">
        <v>0.99996721820229495</v>
      </c>
      <c r="C5438">
        <v>1.12022649019284</v>
      </c>
      <c r="D5438">
        <v>1.3188590631353001</v>
      </c>
      <c r="E5438">
        <v>1.6096721524775801</v>
      </c>
      <c r="F5438">
        <v>2.2244238186646199</v>
      </c>
      <c r="G5438">
        <v>1.29199834958781</v>
      </c>
      <c r="H5438">
        <v>0.30910443534582799</v>
      </c>
      <c r="I5438">
        <v>0.157420410388737</v>
      </c>
      <c r="J5438">
        <v>7.2606851214773796E-2</v>
      </c>
      <c r="K5438">
        <v>9.1456055602135697E-2</v>
      </c>
      <c r="L5438">
        <v>12104.1802401486</v>
      </c>
      <c r="M5438">
        <v>199.65904764368099</v>
      </c>
      <c r="N5438">
        <v>60.697578022413801</v>
      </c>
      <c r="O5438">
        <v>60.618169133878702</v>
      </c>
      <c r="P5438">
        <v>-0.73519887582047305</v>
      </c>
      <c r="Q5438">
        <v>0.107149712232499</v>
      </c>
      <c r="R5438">
        <v>0.57457053676810099</v>
      </c>
      <c r="S5438" t="s">
        <v>11264</v>
      </c>
      <c r="T5438" t="s">
        <v>11650</v>
      </c>
      <c r="U5438" t="s">
        <v>11650</v>
      </c>
      <c r="V5438" t="s">
        <v>11650</v>
      </c>
      <c r="W5438" t="s">
        <v>17028</v>
      </c>
      <c r="X5438">
        <v>3</v>
      </c>
      <c r="Y5438" t="s">
        <v>22688</v>
      </c>
      <c r="Z5438" t="s">
        <v>28500</v>
      </c>
      <c r="AA5438">
        <v>0.72111095170022954</v>
      </c>
      <c r="AB5438" t="str">
        <f>HYPERLINK("Melting_Curves/meltCurve_Q9UBW8_COPS7A.pdf", "Melting_Curves/meltCurve_Q9UBW8_COPS7A.pdf")</f>
        <v>Melting_Curves/meltCurve_Q9UBW8_COPS7A.pdf</v>
      </c>
    </row>
    <row r="5439" spans="1:28" x14ac:dyDescent="0.25">
      <c r="A5439" t="s">
        <v>5443</v>
      </c>
      <c r="B5439">
        <v>0.99996721820229495</v>
      </c>
      <c r="C5439">
        <v>0.98322277725470197</v>
      </c>
      <c r="D5439">
        <v>1.0079423154585401</v>
      </c>
      <c r="E5439">
        <v>1.07777453806322</v>
      </c>
      <c r="F5439">
        <v>1.20217441337183</v>
      </c>
      <c r="G5439">
        <v>1.33838494262571</v>
      </c>
      <c r="H5439">
        <v>1.07963700408787</v>
      </c>
      <c r="I5439">
        <v>1.0808179457656899</v>
      </c>
      <c r="J5439">
        <v>1.06676648308845</v>
      </c>
      <c r="K5439">
        <v>0.653220984629163</v>
      </c>
      <c r="L5439">
        <v>15000</v>
      </c>
      <c r="M5439">
        <v>213.65243948630999</v>
      </c>
      <c r="Q5439">
        <v>0</v>
      </c>
      <c r="R5439">
        <v>0.34954390230791499</v>
      </c>
      <c r="S5439" t="s">
        <v>11265</v>
      </c>
      <c r="T5439" t="s">
        <v>11650</v>
      </c>
      <c r="U5439" t="s">
        <v>11650</v>
      </c>
      <c r="V5439" t="s">
        <v>11650</v>
      </c>
      <c r="W5439" t="s">
        <v>17029</v>
      </c>
      <c r="X5439">
        <v>8</v>
      </c>
      <c r="Y5439" t="s">
        <v>22689</v>
      </c>
      <c r="Z5439" t="s">
        <v>28501</v>
      </c>
      <c r="AA5439">
        <v>0.99541065802868312</v>
      </c>
      <c r="AB5439" t="str">
        <f>HYPERLINK("Melting_Curves/meltCurve_Q9UBY9_HSPB7.pdf", "Melting_Curves/meltCurve_Q9UBY9_HSPB7.pdf")</f>
        <v>Melting_Curves/meltCurve_Q9UBY9_HSPB7.pdf</v>
      </c>
    </row>
    <row r="5440" spans="1:28" x14ac:dyDescent="0.25">
      <c r="A5440" t="s">
        <v>5444</v>
      </c>
      <c r="B5440">
        <v>0.99996721820229495</v>
      </c>
      <c r="C5440">
        <v>0.972947138163756</v>
      </c>
      <c r="D5440">
        <v>0.7427522551672</v>
      </c>
      <c r="E5440">
        <v>0.80254650322756604</v>
      </c>
      <c r="F5440">
        <v>0.30111306361816198</v>
      </c>
      <c r="G5440">
        <v>0.20135723382326501</v>
      </c>
      <c r="H5440">
        <v>0.107662675430253</v>
      </c>
      <c r="I5440">
        <v>5.1884221476771103E-2</v>
      </c>
      <c r="J5440">
        <v>2.8965393761578102E-2</v>
      </c>
      <c r="K5440">
        <v>2.58186802296482E-2</v>
      </c>
      <c r="L5440">
        <v>809.80703579784495</v>
      </c>
      <c r="M5440">
        <v>15.6469484925722</v>
      </c>
      <c r="N5440">
        <v>51.788776315889201</v>
      </c>
      <c r="O5440">
        <v>50.931705790892202</v>
      </c>
      <c r="P5440">
        <v>-7.64196596914513E-2</v>
      </c>
      <c r="Q5440">
        <v>5.0839586171891396E-3</v>
      </c>
      <c r="R5440">
        <v>0.96074971455411395</v>
      </c>
      <c r="S5440" t="s">
        <v>11266</v>
      </c>
      <c r="T5440" t="s">
        <v>11650</v>
      </c>
      <c r="U5440" t="s">
        <v>11650</v>
      </c>
      <c r="V5440" t="s">
        <v>11650</v>
      </c>
      <c r="W5440" t="s">
        <v>17030</v>
      </c>
      <c r="X5440">
        <v>2</v>
      </c>
      <c r="Y5440" t="s">
        <v>22690</v>
      </c>
      <c r="Z5440" t="s">
        <v>28502</v>
      </c>
      <c r="AA5440">
        <v>0.41590572984254309</v>
      </c>
      <c r="AB5440" t="str">
        <f>HYPERLINK("Melting_Curves/meltCurve_Q9UDR5_AASS.pdf", "Melting_Curves/meltCurve_Q9UDR5_AASS.pdf")</f>
        <v>Melting_Curves/meltCurve_Q9UDR5_AASS.pdf</v>
      </c>
    </row>
    <row r="5441" spans="1:28" x14ac:dyDescent="0.25">
      <c r="A5441" t="s">
        <v>5445</v>
      </c>
      <c r="B5441">
        <v>0.99996721820229495</v>
      </c>
      <c r="C5441">
        <v>1.0061216715908201</v>
      </c>
      <c r="D5441">
        <v>1.0567548188540901</v>
      </c>
      <c r="E5441">
        <v>1.0812235515537101</v>
      </c>
      <c r="F5441">
        <v>1.0209342722718999</v>
      </c>
      <c r="G5441">
        <v>1.0095092304605</v>
      </c>
      <c r="H5441">
        <v>0.716873186185919</v>
      </c>
      <c r="I5441">
        <v>0.61331763013563001</v>
      </c>
      <c r="J5441">
        <v>0.52447118313306196</v>
      </c>
      <c r="K5441">
        <v>0.40010713452294999</v>
      </c>
      <c r="L5441">
        <v>1668.72772552022</v>
      </c>
      <c r="M5441">
        <v>26.916696330251</v>
      </c>
      <c r="N5441">
        <v>66.322522174304396</v>
      </c>
      <c r="O5441">
        <v>61.656857434916603</v>
      </c>
      <c r="P5441">
        <v>-6.3997222991577604E-2</v>
      </c>
      <c r="Q5441">
        <v>0.41362382820439297</v>
      </c>
      <c r="R5441">
        <v>0.96372419376359297</v>
      </c>
      <c r="S5441" t="s">
        <v>11267</v>
      </c>
      <c r="T5441" t="s">
        <v>11650</v>
      </c>
      <c r="U5441" t="s">
        <v>11650</v>
      </c>
      <c r="V5441" t="s">
        <v>11650</v>
      </c>
      <c r="W5441" t="s">
        <v>17031</v>
      </c>
      <c r="X5441">
        <v>46</v>
      </c>
      <c r="Y5441" t="s">
        <v>22691</v>
      </c>
      <c r="Z5441" t="s">
        <v>28503</v>
      </c>
      <c r="AA5441">
        <v>0.84632953324889426</v>
      </c>
      <c r="AB5441" t="str">
        <f>HYPERLINK("Melting_Curves/meltCurve_Q9UDT6_2_CLIP2.pdf", "Melting_Curves/meltCurve_Q9UDT6_2_CLIP2.pdf")</f>
        <v>Melting_Curves/meltCurve_Q9UDT6_2_CLIP2.pdf</v>
      </c>
    </row>
    <row r="5442" spans="1:28" x14ac:dyDescent="0.25">
      <c r="A5442" t="s">
        <v>5446</v>
      </c>
      <c r="B5442">
        <v>0.99996721820229495</v>
      </c>
      <c r="C5442">
        <v>0.91876725798921899</v>
      </c>
      <c r="D5442">
        <v>0.89506950694819798</v>
      </c>
      <c r="E5442">
        <v>0.78001759990275998</v>
      </c>
      <c r="F5442">
        <v>0.66308298505771501</v>
      </c>
      <c r="G5442">
        <v>0.56952836987191802</v>
      </c>
      <c r="H5442">
        <v>0.35240119890467297</v>
      </c>
      <c r="I5442">
        <v>0.26914557677714002</v>
      </c>
      <c r="J5442">
        <v>0.22280455866532101</v>
      </c>
      <c r="K5442">
        <v>0.180214041538133</v>
      </c>
      <c r="L5442">
        <v>500.63347650592999</v>
      </c>
      <c r="M5442">
        <v>8.7174221710285291</v>
      </c>
      <c r="N5442">
        <v>57.429076359744897</v>
      </c>
      <c r="O5442">
        <v>54.647216366141599</v>
      </c>
      <c r="P5442">
        <v>-3.9913120712906099E-2</v>
      </c>
      <c r="Q5442">
        <v>0</v>
      </c>
      <c r="R5442">
        <v>0.99373599009465197</v>
      </c>
      <c r="S5442" t="s">
        <v>11268</v>
      </c>
      <c r="T5442" t="s">
        <v>11650</v>
      </c>
      <c r="U5442" t="s">
        <v>11650</v>
      </c>
      <c r="V5442" t="s">
        <v>11650</v>
      </c>
      <c r="W5442" t="s">
        <v>17032</v>
      </c>
      <c r="X5442">
        <v>16</v>
      </c>
      <c r="Y5442" t="s">
        <v>22692</v>
      </c>
      <c r="Z5442" t="s">
        <v>28504</v>
      </c>
      <c r="AA5442">
        <v>0.59165726789400186</v>
      </c>
      <c r="AB5442" t="str">
        <f>HYPERLINK("Melting_Curves/meltCurve_Q9UDY2_6_TJP2.pdf", "Melting_Curves/meltCurve_Q9UDY2_6_TJP2.pdf")</f>
        <v>Melting_Curves/meltCurve_Q9UDY2_6_TJP2.pdf</v>
      </c>
    </row>
    <row r="5443" spans="1:28" x14ac:dyDescent="0.25">
      <c r="A5443" t="s">
        <v>5447</v>
      </c>
      <c r="B5443">
        <v>0.99996721820229495</v>
      </c>
      <c r="C5443">
        <v>0.98982152027461101</v>
      </c>
      <c r="D5443">
        <v>0.94410540733887605</v>
      </c>
      <c r="E5443">
        <v>0.63143928737103605</v>
      </c>
      <c r="F5443">
        <v>0.27613178402310601</v>
      </c>
      <c r="G5443">
        <v>0.256378451256352</v>
      </c>
      <c r="H5443">
        <v>0.159751818433151</v>
      </c>
      <c r="I5443">
        <v>9.9536291965098306E-2</v>
      </c>
      <c r="J5443">
        <v>7.5812600324977802E-2</v>
      </c>
      <c r="K5443">
        <v>6.3229406453772993E-2</v>
      </c>
      <c r="L5443">
        <v>1210.32014711119</v>
      </c>
      <c r="M5443">
        <v>23.915193523787199</v>
      </c>
      <c r="N5443">
        <v>51.119669864309799</v>
      </c>
      <c r="O5443">
        <v>50.258961571458798</v>
      </c>
      <c r="P5443">
        <v>-0.106317998570851</v>
      </c>
      <c r="Q5443">
        <v>0.106284209909543</v>
      </c>
      <c r="R5443">
        <v>0.98809295213290205</v>
      </c>
      <c r="S5443" t="s">
        <v>11269</v>
      </c>
      <c r="T5443" t="s">
        <v>11650</v>
      </c>
      <c r="U5443" t="s">
        <v>11650</v>
      </c>
      <c r="V5443" t="s">
        <v>11650</v>
      </c>
      <c r="W5443" t="s">
        <v>17033</v>
      </c>
      <c r="X5443">
        <v>11</v>
      </c>
      <c r="Y5443" t="s">
        <v>22693</v>
      </c>
      <c r="Z5443" t="s">
        <v>28505</v>
      </c>
      <c r="AA5443">
        <v>0.43110402394100672</v>
      </c>
      <c r="AB5443" t="str">
        <f>HYPERLINK("Melting_Curves/meltCurve_Q9UDY4_DNAJB4.pdf", "Melting_Curves/meltCurve_Q9UDY4_DNAJB4.pdf")</f>
        <v>Melting_Curves/meltCurve_Q9UDY4_DNAJB4.pdf</v>
      </c>
    </row>
    <row r="5444" spans="1:28" x14ac:dyDescent="0.25">
      <c r="A5444" t="s">
        <v>5448</v>
      </c>
      <c r="B5444">
        <v>0.99996721820229495</v>
      </c>
      <c r="C5444">
        <v>0.99836835825832704</v>
      </c>
      <c r="D5444">
        <v>0.82309519591987002</v>
      </c>
      <c r="E5444">
        <v>0.39519511438336002</v>
      </c>
      <c r="F5444">
        <v>0.22937883797009201</v>
      </c>
      <c r="G5444">
        <v>0.17281081516197999</v>
      </c>
      <c r="H5444">
        <v>0.102700314850042</v>
      </c>
      <c r="I5444">
        <v>7.4572442539363001E-2</v>
      </c>
      <c r="J5444">
        <v>5.4657340506635198E-2</v>
      </c>
      <c r="K5444">
        <v>4.3591463860108502E-2</v>
      </c>
      <c r="L5444">
        <v>1089.9116335266101</v>
      </c>
      <c r="M5444">
        <v>22.304901266097801</v>
      </c>
      <c r="N5444">
        <v>49.236009757405697</v>
      </c>
      <c r="O5444">
        <v>48.476551508478501</v>
      </c>
      <c r="P5444">
        <v>-0.10611641810065101</v>
      </c>
      <c r="Q5444">
        <v>7.7503655062048593E-2</v>
      </c>
      <c r="R5444">
        <v>0.99424933203921895</v>
      </c>
      <c r="S5444" t="s">
        <v>11270</v>
      </c>
      <c r="T5444" t="s">
        <v>11650</v>
      </c>
      <c r="U5444" t="s">
        <v>11650</v>
      </c>
      <c r="V5444" t="s">
        <v>11650</v>
      </c>
      <c r="W5444" t="s">
        <v>17034</v>
      </c>
      <c r="X5444">
        <v>9</v>
      </c>
      <c r="Y5444" t="s">
        <v>22694</v>
      </c>
      <c r="Z5444" t="s">
        <v>28506</v>
      </c>
      <c r="AA5444">
        <v>0.36041765364506873</v>
      </c>
      <c r="AB5444" t="str">
        <f>HYPERLINK("Melting_Curves/meltCurve_Q9UDY8_MALT1.pdf", "Melting_Curves/meltCurve_Q9UDY8_MALT1.pdf")</f>
        <v>Melting_Curves/meltCurve_Q9UDY8_MALT1.pdf</v>
      </c>
    </row>
    <row r="5445" spans="1:28" x14ac:dyDescent="0.25">
      <c r="A5445" t="s">
        <v>5449</v>
      </c>
      <c r="B5445">
        <v>0.99996721820229495</v>
      </c>
      <c r="C5445">
        <v>0.91968077392094705</v>
      </c>
      <c r="D5445">
        <v>0.90546861801048495</v>
      </c>
      <c r="E5445">
        <v>0.92584724502292604</v>
      </c>
      <c r="F5445">
        <v>1.2990641978576001</v>
      </c>
      <c r="G5445">
        <v>1.1211592637991299</v>
      </c>
      <c r="H5445">
        <v>0.96408797621829501</v>
      </c>
      <c r="I5445">
        <v>1.03952287697448</v>
      </c>
      <c r="J5445">
        <v>0.96440615000996699</v>
      </c>
      <c r="K5445">
        <v>0.66716121301103604</v>
      </c>
      <c r="L5445">
        <v>15000</v>
      </c>
      <c r="M5445">
        <v>221.757533352064</v>
      </c>
      <c r="O5445">
        <v>67.635943961423905</v>
      </c>
      <c r="P5445">
        <v>-0.27297431519016302</v>
      </c>
      <c r="Q5445">
        <v>0.66697184754171801</v>
      </c>
      <c r="R5445">
        <v>0.45859151611796201</v>
      </c>
      <c r="S5445" t="s">
        <v>11271</v>
      </c>
      <c r="T5445" t="s">
        <v>11650</v>
      </c>
      <c r="U5445" t="s">
        <v>11650</v>
      </c>
      <c r="V5445" t="s">
        <v>11650</v>
      </c>
      <c r="W5445" t="s">
        <v>17035</v>
      </c>
      <c r="X5445">
        <v>9</v>
      </c>
      <c r="Y5445" t="s">
        <v>22695</v>
      </c>
      <c r="Z5445" t="s">
        <v>28507</v>
      </c>
      <c r="AA5445">
        <v>0.97386599222199888</v>
      </c>
      <c r="AB5445" t="str">
        <f>HYPERLINK("Melting_Curves/meltCurve_Q9UEE9_CFDP1.pdf", "Melting_Curves/meltCurve_Q9UEE9_CFDP1.pdf")</f>
        <v>Melting_Curves/meltCurve_Q9UEE9_CFDP1.pdf</v>
      </c>
    </row>
    <row r="5446" spans="1:28" x14ac:dyDescent="0.25">
      <c r="A5446" t="s">
        <v>5450</v>
      </c>
      <c r="B5446">
        <v>0.99996721820229495</v>
      </c>
      <c r="C5446">
        <v>1.0258299667037001</v>
      </c>
      <c r="D5446">
        <v>1.0477205566549499</v>
      </c>
      <c r="E5446">
        <v>1.07615252598162</v>
      </c>
      <c r="F5446">
        <v>1.1228413148042899</v>
      </c>
      <c r="G5446">
        <v>1.6304902751955099</v>
      </c>
      <c r="H5446">
        <v>0.89768860604857703</v>
      </c>
      <c r="I5446">
        <v>0.465164686201466</v>
      </c>
      <c r="J5446">
        <v>0.47363922635024203</v>
      </c>
      <c r="K5446">
        <v>0.35156560320146502</v>
      </c>
      <c r="L5446">
        <v>5202.3430516950502</v>
      </c>
      <c r="M5446">
        <v>83.670298059947498</v>
      </c>
      <c r="N5446">
        <v>63.502356872934797</v>
      </c>
      <c r="O5446">
        <v>62.141199015526801</v>
      </c>
      <c r="P5446">
        <v>-0.19765151401528</v>
      </c>
      <c r="Q5446">
        <v>0.412823769199195</v>
      </c>
      <c r="R5446">
        <v>0.67808466273684898</v>
      </c>
      <c r="S5446" t="s">
        <v>11272</v>
      </c>
      <c r="T5446" t="s">
        <v>11650</v>
      </c>
      <c r="U5446" t="s">
        <v>11650</v>
      </c>
      <c r="V5446" t="s">
        <v>11650</v>
      </c>
      <c r="W5446" t="s">
        <v>17036</v>
      </c>
      <c r="X5446">
        <v>4</v>
      </c>
      <c r="Y5446" t="s">
        <v>18974</v>
      </c>
      <c r="Z5446" t="s">
        <v>28508</v>
      </c>
      <c r="AA5446">
        <v>0.84744952208106616</v>
      </c>
      <c r="AB5446" t="str">
        <f>HYPERLINK("Melting_Curves/meltCurve_Q9UEL6_MPZL1.pdf", "Melting_Curves/meltCurve_Q9UEL6_MPZL1.pdf")</f>
        <v>Melting_Curves/meltCurve_Q9UEL6_MPZL1.pdf</v>
      </c>
    </row>
    <row r="5447" spans="1:28" x14ac:dyDescent="0.25">
      <c r="A5447" t="s">
        <v>5451</v>
      </c>
      <c r="B5447">
        <v>0.99996721820229495</v>
      </c>
      <c r="C5447">
        <v>0.82798033094313195</v>
      </c>
      <c r="D5447">
        <v>1.0064411623965901</v>
      </c>
      <c r="E5447">
        <v>0.82682645696363399</v>
      </c>
      <c r="F5447">
        <v>1.13550216440125</v>
      </c>
      <c r="G5447">
        <v>1.25546857826464</v>
      </c>
      <c r="H5447">
        <v>1.00929008116673</v>
      </c>
      <c r="I5447">
        <v>0.67562866908250396</v>
      </c>
      <c r="J5447">
        <v>0.50346712017129502</v>
      </c>
      <c r="K5447">
        <v>0.52826607524781899</v>
      </c>
      <c r="L5447">
        <v>15000</v>
      </c>
      <c r="M5447">
        <v>235.08318285014599</v>
      </c>
      <c r="O5447">
        <v>63.802596914948801</v>
      </c>
      <c r="P5447">
        <v>-0.445955144962003</v>
      </c>
      <c r="Q5447">
        <v>0.51586344787809002</v>
      </c>
      <c r="R5447">
        <v>0.74624114203801795</v>
      </c>
      <c r="S5447" t="s">
        <v>11273</v>
      </c>
      <c r="T5447" t="s">
        <v>11650</v>
      </c>
      <c r="U5447" t="s">
        <v>11650</v>
      </c>
      <c r="V5447" t="s">
        <v>11650</v>
      </c>
      <c r="W5447" t="s">
        <v>17037</v>
      </c>
      <c r="X5447">
        <v>11</v>
      </c>
      <c r="Y5447" t="s">
        <v>22696</v>
      </c>
      <c r="Z5447" t="s">
        <v>28509</v>
      </c>
      <c r="AA5447">
        <v>0.90012264243657436</v>
      </c>
      <c r="AB5447" t="str">
        <f>HYPERLINK("Melting_Curves/meltCurve_Q9UEU0_VTI1B.pdf", "Melting_Curves/meltCurve_Q9UEU0_VTI1B.pdf")</f>
        <v>Melting_Curves/meltCurve_Q9UEU0_VTI1B.pdf</v>
      </c>
    </row>
    <row r="5448" spans="1:28" x14ac:dyDescent="0.25">
      <c r="A5448" t="s">
        <v>5452</v>
      </c>
      <c r="B5448">
        <v>0.99996721820229495</v>
      </c>
      <c r="C5448">
        <v>0.90122945248040698</v>
      </c>
      <c r="D5448">
        <v>0.56771587232689102</v>
      </c>
      <c r="E5448">
        <v>0.21438236325816101</v>
      </c>
      <c r="F5448">
        <v>0.17935821918612499</v>
      </c>
      <c r="G5448">
        <v>0.139376762877266</v>
      </c>
      <c r="H5448">
        <v>9.4992568719466694E-2</v>
      </c>
      <c r="I5448">
        <v>7.2404984615562704E-2</v>
      </c>
      <c r="J5448">
        <v>9.6790699634202906E-2</v>
      </c>
      <c r="K5448">
        <v>5.4188491715717498E-2</v>
      </c>
      <c r="L5448">
        <v>1117.43342141174</v>
      </c>
      <c r="M5448">
        <v>24.139460182449199</v>
      </c>
      <c r="N5448">
        <v>46.696654956712798</v>
      </c>
      <c r="O5448">
        <v>45.9765635067087</v>
      </c>
      <c r="P5448">
        <v>-0.11883829144551999</v>
      </c>
      <c r="Q5448">
        <v>9.4645514585443499E-2</v>
      </c>
      <c r="R5448">
        <v>0.99446412873580303</v>
      </c>
      <c r="S5448" t="s">
        <v>11274</v>
      </c>
      <c r="T5448" t="s">
        <v>11650</v>
      </c>
      <c r="U5448" t="s">
        <v>11650</v>
      </c>
      <c r="V5448" t="s">
        <v>11650</v>
      </c>
      <c r="W5448" t="s">
        <v>17038</v>
      </c>
      <c r="X5448">
        <v>8</v>
      </c>
      <c r="Y5448" t="s">
        <v>22697</v>
      </c>
      <c r="Z5448" t="s">
        <v>28510</v>
      </c>
      <c r="AA5448">
        <v>0.29342951474513451</v>
      </c>
      <c r="AB5448" t="str">
        <f>HYPERLINK("Melting_Curves/meltCurve_Q9UEW8_STK39.pdf", "Melting_Curves/meltCurve_Q9UEW8_STK39.pdf")</f>
        <v>Melting_Curves/meltCurve_Q9UEW8_STK39.pdf</v>
      </c>
    </row>
    <row r="5449" spans="1:28" x14ac:dyDescent="0.25">
      <c r="A5449" t="s">
        <v>5453</v>
      </c>
      <c r="B5449">
        <v>0.99996721820229495</v>
      </c>
      <c r="C5449">
        <v>0.98618382435259</v>
      </c>
      <c r="D5449">
        <v>1.01743248870234</v>
      </c>
      <c r="E5449">
        <v>1.3026717335567</v>
      </c>
      <c r="F5449">
        <v>1.4355416058870101</v>
      </c>
      <c r="G5449">
        <v>1.33554635229156</v>
      </c>
      <c r="H5449">
        <v>0.94780015496717696</v>
      </c>
      <c r="I5449">
        <v>0.601148123639899</v>
      </c>
      <c r="J5449">
        <v>0.41446826329136499</v>
      </c>
      <c r="K5449">
        <v>0.286887904974581</v>
      </c>
      <c r="L5449">
        <v>3372.7310590399702</v>
      </c>
      <c r="M5449">
        <v>52.945585397653602</v>
      </c>
      <c r="N5449">
        <v>64.947596950615406</v>
      </c>
      <c r="O5449">
        <v>63.611155186348398</v>
      </c>
      <c r="P5449">
        <v>-0.141725618679548</v>
      </c>
      <c r="Q5449">
        <v>0.31889889210192202</v>
      </c>
      <c r="R5449">
        <v>0.70680377422042695</v>
      </c>
      <c r="S5449" t="s">
        <v>11275</v>
      </c>
      <c r="T5449" t="s">
        <v>11650</v>
      </c>
      <c r="U5449" t="s">
        <v>11650</v>
      </c>
      <c r="V5449" t="s">
        <v>11650</v>
      </c>
      <c r="W5449" t="s">
        <v>17039</v>
      </c>
      <c r="X5449">
        <v>22</v>
      </c>
      <c r="Y5449" t="s">
        <v>22698</v>
      </c>
      <c r="Z5449" t="s">
        <v>28511</v>
      </c>
      <c r="AA5449">
        <v>0.85842350753503771</v>
      </c>
      <c r="AB5449" t="str">
        <f>HYPERLINK("Melting_Curves/meltCurve_Q9UEY8_2_ADD3.pdf", "Melting_Curves/meltCurve_Q9UEY8_2_ADD3.pdf")</f>
        <v>Melting_Curves/meltCurve_Q9UEY8_2_ADD3.pdf</v>
      </c>
    </row>
    <row r="5450" spans="1:28" x14ac:dyDescent="0.25">
      <c r="A5450" t="s">
        <v>5454</v>
      </c>
      <c r="B5450">
        <v>0.99996721820229495</v>
      </c>
      <c r="C5450">
        <v>1.12238460458212</v>
      </c>
      <c r="D5450">
        <v>1.1216851042823699</v>
      </c>
      <c r="E5450">
        <v>1.17845427788784</v>
      </c>
      <c r="F5450">
        <v>1.3311183655485901</v>
      </c>
      <c r="G5450">
        <v>1.2593647079390899</v>
      </c>
      <c r="H5450">
        <v>0.610261223252895</v>
      </c>
      <c r="I5450">
        <v>0.29555996939560503</v>
      </c>
      <c r="J5450">
        <v>0.26208535826817903</v>
      </c>
      <c r="K5450">
        <v>0.17473262760684699</v>
      </c>
      <c r="L5450">
        <v>5770.9067673139898</v>
      </c>
      <c r="M5450">
        <v>94.639330200702702</v>
      </c>
      <c r="N5450">
        <v>61.403546723730599</v>
      </c>
      <c r="O5450">
        <v>60.950678738383203</v>
      </c>
      <c r="P5450">
        <v>-0.29480239164334998</v>
      </c>
      <c r="Q5450">
        <v>0.24055233159356401</v>
      </c>
      <c r="R5450">
        <v>0.86642277462625295</v>
      </c>
      <c r="S5450" t="s">
        <v>11276</v>
      </c>
      <c r="T5450" t="s">
        <v>11650</v>
      </c>
      <c r="U5450" t="s">
        <v>11650</v>
      </c>
      <c r="V5450" t="s">
        <v>11650</v>
      </c>
      <c r="W5450" t="s">
        <v>17040</v>
      </c>
      <c r="X5450">
        <v>3</v>
      </c>
      <c r="Y5450" t="s">
        <v>22699</v>
      </c>
      <c r="Z5450" t="s">
        <v>28512</v>
      </c>
      <c r="AA5450">
        <v>0.77217378162055683</v>
      </c>
      <c r="AB5450" t="str">
        <f>HYPERLINK("Melting_Curves/meltCurve_Q9UFN0_NIPSNAP3A.pdf", "Melting_Curves/meltCurve_Q9UFN0_NIPSNAP3A.pdf")</f>
        <v>Melting_Curves/meltCurve_Q9UFN0_NIPSNAP3A.pdf</v>
      </c>
    </row>
    <row r="5451" spans="1:28" x14ac:dyDescent="0.25">
      <c r="A5451" t="s">
        <v>5455</v>
      </c>
      <c r="B5451">
        <v>0.99996721820229495</v>
      </c>
      <c r="C5451">
        <v>1.01084979330557</v>
      </c>
      <c r="D5451">
        <v>0.82070471761042196</v>
      </c>
      <c r="E5451">
        <v>0.65398610609035102</v>
      </c>
      <c r="F5451">
        <v>0.533469995018235</v>
      </c>
      <c r="G5451">
        <v>0.57620027530750695</v>
      </c>
      <c r="H5451">
        <v>0.371392985368319</v>
      </c>
      <c r="I5451">
        <v>0.27957115644131703</v>
      </c>
      <c r="J5451">
        <v>0.224130862980399</v>
      </c>
      <c r="K5451">
        <v>0.15702422043231701</v>
      </c>
      <c r="L5451">
        <v>426.73062042991</v>
      </c>
      <c r="M5451">
        <v>7.5969670873837396</v>
      </c>
      <c r="N5451">
        <v>56.171181934111402</v>
      </c>
      <c r="O5451">
        <v>52.6753950105781</v>
      </c>
      <c r="P5451">
        <v>-3.61050170472643E-2</v>
      </c>
      <c r="Q5451">
        <v>0</v>
      </c>
      <c r="R5451">
        <v>0.96056523603751098</v>
      </c>
      <c r="S5451" t="s">
        <v>11277</v>
      </c>
      <c r="T5451" t="s">
        <v>11650</v>
      </c>
      <c r="U5451" t="s">
        <v>11650</v>
      </c>
      <c r="V5451" t="s">
        <v>11650</v>
      </c>
      <c r="W5451" t="s">
        <v>17041</v>
      </c>
      <c r="X5451">
        <v>2</v>
      </c>
      <c r="Y5451" t="s">
        <v>22700</v>
      </c>
      <c r="Z5451" t="s">
        <v>28513</v>
      </c>
      <c r="AA5451">
        <v>0.55680665148664754</v>
      </c>
      <c r="AB5451" t="str">
        <f>HYPERLINK("Melting_Curves/meltCurve_Q9UFW8_CGGBP1.pdf", "Melting_Curves/meltCurve_Q9UFW8_CGGBP1.pdf")</f>
        <v>Melting_Curves/meltCurve_Q9UFW8_CGGBP1.pdf</v>
      </c>
    </row>
    <row r="5452" spans="1:28" x14ac:dyDescent="0.25">
      <c r="A5452" t="s">
        <v>5456</v>
      </c>
      <c r="B5452">
        <v>0.99996721820229495</v>
      </c>
      <c r="C5452">
        <v>0.92490287331175003</v>
      </c>
      <c r="D5452">
        <v>0.78722124577986097</v>
      </c>
      <c r="E5452">
        <v>0.66601660375207306</v>
      </c>
      <c r="F5452">
        <v>0.47929277789762298</v>
      </c>
      <c r="G5452">
        <v>0.28417264039770401</v>
      </c>
      <c r="H5452">
        <v>0.17674896677098401</v>
      </c>
      <c r="I5452">
        <v>0.115201062207412</v>
      </c>
      <c r="J5452">
        <v>6.3264220599957802E-2</v>
      </c>
      <c r="K5452">
        <v>3.8582977959501302E-2</v>
      </c>
      <c r="L5452">
        <v>597.21042129944703</v>
      </c>
      <c r="M5452">
        <v>11.3752441380056</v>
      </c>
      <c r="N5452">
        <v>52.500883076924303</v>
      </c>
      <c r="O5452">
        <v>50.956873000676097</v>
      </c>
      <c r="P5452">
        <v>-5.58247221516937E-2</v>
      </c>
      <c r="Q5452">
        <v>0</v>
      </c>
      <c r="R5452">
        <v>0.99652383456482097</v>
      </c>
      <c r="S5452" t="s">
        <v>11278</v>
      </c>
      <c r="T5452" t="s">
        <v>11650</v>
      </c>
      <c r="U5452" t="s">
        <v>11650</v>
      </c>
      <c r="V5452" t="s">
        <v>11650</v>
      </c>
      <c r="W5452" t="s">
        <v>17042</v>
      </c>
      <c r="X5452">
        <v>2</v>
      </c>
      <c r="Y5452" t="s">
        <v>22701</v>
      </c>
      <c r="Z5452" t="s">
        <v>28514</v>
      </c>
      <c r="AA5452">
        <v>0.44816413015790169</v>
      </c>
      <c r="AB5452" t="str">
        <f>HYPERLINK("Melting_Curves/meltCurve_Q9UG56_2_PISD.pdf", "Melting_Curves/meltCurve_Q9UG56_2_PISD.pdf")</f>
        <v>Melting_Curves/meltCurve_Q9UG56_2_PISD.pdf</v>
      </c>
    </row>
    <row r="5453" spans="1:28" x14ac:dyDescent="0.25">
      <c r="A5453" t="s">
        <v>5457</v>
      </c>
      <c r="B5453">
        <v>0.99996721820229495</v>
      </c>
      <c r="C5453">
        <v>1.03354363559674</v>
      </c>
      <c r="D5453">
        <v>0.91832697731549395</v>
      </c>
      <c r="E5453">
        <v>0.80593226969195098</v>
      </c>
      <c r="F5453">
        <v>0.52183742758211904</v>
      </c>
      <c r="G5453">
        <v>0.42146088380685298</v>
      </c>
      <c r="H5453">
        <v>0.25467269131073</v>
      </c>
      <c r="I5453">
        <v>0.191012577560076</v>
      </c>
      <c r="J5453">
        <v>0.174335523084795</v>
      </c>
      <c r="K5453">
        <v>0.13918286657772899</v>
      </c>
      <c r="L5453">
        <v>800.092667379663</v>
      </c>
      <c r="M5453">
        <v>14.978802827065</v>
      </c>
      <c r="N5453">
        <v>54.516203816840097</v>
      </c>
      <c r="O5453">
        <v>52.490082624758799</v>
      </c>
      <c r="P5453">
        <v>-6.2034533056169197E-2</v>
      </c>
      <c r="Q5453">
        <v>0.13054039670307399</v>
      </c>
      <c r="R5453">
        <v>0.99001906510360604</v>
      </c>
      <c r="S5453" t="s">
        <v>11279</v>
      </c>
      <c r="T5453" t="s">
        <v>11650</v>
      </c>
      <c r="U5453" t="s">
        <v>11650</v>
      </c>
      <c r="V5453" t="s">
        <v>11650</v>
      </c>
      <c r="W5453" t="s">
        <v>17043</v>
      </c>
      <c r="X5453">
        <v>14</v>
      </c>
      <c r="Y5453" t="s">
        <v>22702</v>
      </c>
      <c r="Z5453" t="s">
        <v>28515</v>
      </c>
      <c r="AA5453">
        <v>0.53773734326066358</v>
      </c>
      <c r="AB5453" t="str">
        <f>HYPERLINK("Melting_Curves/meltCurve_Q9UG63_ABCF2.pdf", "Melting_Curves/meltCurve_Q9UG63_ABCF2.pdf")</f>
        <v>Melting_Curves/meltCurve_Q9UG63_ABCF2.pdf</v>
      </c>
    </row>
    <row r="5454" spans="1:28" x14ac:dyDescent="0.25">
      <c r="A5454" t="s">
        <v>5458</v>
      </c>
      <c r="B5454">
        <v>0.99996721820229495</v>
      </c>
      <c r="C5454">
        <v>0.98641235230968904</v>
      </c>
      <c r="D5454">
        <v>0.94748735736059597</v>
      </c>
      <c r="E5454">
        <v>0.91179559971735702</v>
      </c>
      <c r="F5454">
        <v>0.95021863507591298</v>
      </c>
      <c r="G5454">
        <v>0.80251277620660399</v>
      </c>
      <c r="H5454">
        <v>0.45087793619996602</v>
      </c>
      <c r="I5454">
        <v>0.33131004039976097</v>
      </c>
      <c r="J5454">
        <v>0.29335727631008601</v>
      </c>
      <c r="K5454">
        <v>0.14959126862173799</v>
      </c>
      <c r="L5454">
        <v>1179.49639155153</v>
      </c>
      <c r="M5454">
        <v>19.703916391016101</v>
      </c>
      <c r="N5454">
        <v>60.892761581905702</v>
      </c>
      <c r="O5454">
        <v>59.254665745077503</v>
      </c>
      <c r="P5454">
        <v>-7.1336322543359101E-2</v>
      </c>
      <c r="Q5454">
        <v>0.14192413786390501</v>
      </c>
      <c r="R5454">
        <v>0.98446717979901999</v>
      </c>
      <c r="S5454" t="s">
        <v>11280</v>
      </c>
      <c r="T5454" t="s">
        <v>11650</v>
      </c>
      <c r="U5454" t="s">
        <v>11650</v>
      </c>
      <c r="V5454" t="s">
        <v>11650</v>
      </c>
      <c r="W5454" t="s">
        <v>17044</v>
      </c>
      <c r="X5454">
        <v>1</v>
      </c>
      <c r="Y5454" t="s">
        <v>22703</v>
      </c>
      <c r="Z5454" t="s">
        <v>28516</v>
      </c>
      <c r="AA5454">
        <v>0.71742384811749116</v>
      </c>
      <c r="AB5454" t="str">
        <f>HYPERLINK("Melting_Curves/meltCurve_Q9UGC6_RGS17.pdf", "Melting_Curves/meltCurve_Q9UGC6_RGS17.pdf")</f>
        <v>Melting_Curves/meltCurve_Q9UGC6_RGS17.pdf</v>
      </c>
    </row>
    <row r="5455" spans="1:28" x14ac:dyDescent="0.25">
      <c r="A5455" t="s">
        <v>5459</v>
      </c>
      <c r="B5455">
        <v>0.99996721820229495</v>
      </c>
      <c r="C5455">
        <v>1.0413505643901499</v>
      </c>
      <c r="D5455">
        <v>0.97135481720197703</v>
      </c>
      <c r="E5455">
        <v>1.0331005389685</v>
      </c>
      <c r="F5455">
        <v>1.08508675622606</v>
      </c>
      <c r="G5455">
        <v>1.1818923934190799</v>
      </c>
      <c r="H5455">
        <v>0.91715657747234403</v>
      </c>
      <c r="I5455">
        <v>0.52561818902675395</v>
      </c>
      <c r="J5455">
        <v>0.28969250750800402</v>
      </c>
      <c r="K5455">
        <v>0.30087412242094502</v>
      </c>
      <c r="L5455">
        <v>3807.6206511534501</v>
      </c>
      <c r="M5455">
        <v>60.2090500820876</v>
      </c>
      <c r="N5455">
        <v>64.135599344655404</v>
      </c>
      <c r="O5455">
        <v>63.1703538914701</v>
      </c>
      <c r="P5455">
        <v>-0.170534925745805</v>
      </c>
      <c r="Q5455">
        <v>0.28431043311746801</v>
      </c>
      <c r="R5455">
        <v>0.954766499420871</v>
      </c>
      <c r="S5455" t="s">
        <v>11281</v>
      </c>
      <c r="T5455" t="s">
        <v>11650</v>
      </c>
      <c r="U5455" t="s">
        <v>11650</v>
      </c>
      <c r="V5455" t="s">
        <v>11650</v>
      </c>
      <c r="W5455" t="s">
        <v>17045</v>
      </c>
      <c r="X5455">
        <v>2</v>
      </c>
      <c r="Y5455" t="s">
        <v>22704</v>
      </c>
      <c r="Z5455" t="s">
        <v>28517</v>
      </c>
      <c r="AA5455">
        <v>0.84001078188206835</v>
      </c>
      <c r="AB5455" t="str">
        <f>HYPERLINK("Melting_Curves/meltCurve_Q9UGC7_4_MTRF1L.pdf", "Melting_Curves/meltCurve_Q9UGC7_4_MTRF1L.pdf")</f>
        <v>Melting_Curves/meltCurve_Q9UGC7_4_MTRF1L.pdf</v>
      </c>
    </row>
    <row r="5456" spans="1:28" x14ac:dyDescent="0.25">
      <c r="A5456" t="s">
        <v>5460</v>
      </c>
      <c r="B5456">
        <v>0.99996721820229495</v>
      </c>
      <c r="C5456">
        <v>1.0329616214339801</v>
      </c>
      <c r="D5456">
        <v>0.90293025272391003</v>
      </c>
      <c r="E5456">
        <v>0.68271084514056501</v>
      </c>
      <c r="F5456">
        <v>0.325655341845413</v>
      </c>
      <c r="G5456">
        <v>0.272783877138847</v>
      </c>
      <c r="H5456">
        <v>0.16144707222236501</v>
      </c>
      <c r="I5456">
        <v>0.11496499516981699</v>
      </c>
      <c r="J5456">
        <v>8.6378135204669096E-2</v>
      </c>
      <c r="K5456">
        <v>6.9273811575055105E-2</v>
      </c>
      <c r="L5456">
        <v>1031.9767263925401</v>
      </c>
      <c r="M5456">
        <v>20.185655289940701</v>
      </c>
      <c r="N5456">
        <v>51.698230485771603</v>
      </c>
      <c r="O5456">
        <v>50.630439181826503</v>
      </c>
      <c r="P5456">
        <v>-8.9668815115421394E-2</v>
      </c>
      <c r="Q5456">
        <v>0.100385096007967</v>
      </c>
      <c r="R5456">
        <v>0.98837431980692603</v>
      </c>
      <c r="S5456" t="s">
        <v>11282</v>
      </c>
      <c r="T5456" t="s">
        <v>11650</v>
      </c>
      <c r="U5456" t="s">
        <v>11650</v>
      </c>
      <c r="V5456" t="s">
        <v>11650</v>
      </c>
      <c r="W5456" t="s">
        <v>17046</v>
      </c>
      <c r="X5456">
        <v>33</v>
      </c>
      <c r="Y5456" t="s">
        <v>22705</v>
      </c>
      <c r="Z5456" t="s">
        <v>28518</v>
      </c>
      <c r="AA5456">
        <v>0.44624107974313648</v>
      </c>
      <c r="AB5456" t="str">
        <f>HYPERLINK("Melting_Curves/meltCurve_Q9UGI8_TES.pdf", "Melting_Curves/meltCurve_Q9UGI8_TES.pdf")</f>
        <v>Melting_Curves/meltCurve_Q9UGI8_TES.pdf</v>
      </c>
    </row>
    <row r="5457" spans="1:28" x14ac:dyDescent="0.25">
      <c r="A5457" t="s">
        <v>5461</v>
      </c>
      <c r="B5457">
        <v>0.99996721820229495</v>
      </c>
      <c r="C5457">
        <v>0.88853714442807796</v>
      </c>
      <c r="D5457">
        <v>0.92649233446347701</v>
      </c>
      <c r="E5457">
        <v>0.83949044028941999</v>
      </c>
      <c r="F5457">
        <v>0.65566498981237098</v>
      </c>
      <c r="G5457">
        <v>0.51235926970358003</v>
      </c>
      <c r="H5457">
        <v>0.355437378695377</v>
      </c>
      <c r="I5457">
        <v>0.30171928251076202</v>
      </c>
      <c r="J5457">
        <v>0.21603565103749001</v>
      </c>
      <c r="K5457">
        <v>0.16301161105133</v>
      </c>
      <c r="L5457">
        <v>538.41684185799897</v>
      </c>
      <c r="M5457">
        <v>9.4306516284845294</v>
      </c>
      <c r="N5457">
        <v>57.368695239885</v>
      </c>
      <c r="O5457">
        <v>54.701736333956902</v>
      </c>
      <c r="P5457">
        <v>-4.2168489012065297E-2</v>
      </c>
      <c r="Q5457">
        <v>2.22152324174857E-2</v>
      </c>
      <c r="R5457">
        <v>0.99046933868959197</v>
      </c>
      <c r="S5457" t="s">
        <v>11283</v>
      </c>
      <c r="T5457" t="s">
        <v>11650</v>
      </c>
      <c r="U5457" t="s">
        <v>11650</v>
      </c>
      <c r="V5457" t="s">
        <v>11650</v>
      </c>
      <c r="W5457" t="s">
        <v>17047</v>
      </c>
      <c r="X5457">
        <v>1</v>
      </c>
      <c r="Y5457" t="s">
        <v>22706</v>
      </c>
      <c r="Z5457" t="s">
        <v>28519</v>
      </c>
      <c r="AA5457">
        <v>0.59347761560784695</v>
      </c>
      <c r="AB5457" t="str">
        <f>HYPERLINK("Melting_Curves/meltCurve_Q9UGK8_SERGEF.pdf", "Melting_Curves/meltCurve_Q9UGK8_SERGEF.pdf")</f>
        <v>Melting_Curves/meltCurve_Q9UGK8_SERGEF.pdf</v>
      </c>
    </row>
    <row r="5458" spans="1:28" x14ac:dyDescent="0.25">
      <c r="A5458" t="s">
        <v>5462</v>
      </c>
      <c r="B5458">
        <v>0.99996721820229495</v>
      </c>
      <c r="C5458">
        <v>0.916485677685838</v>
      </c>
      <c r="D5458">
        <v>0.86560358803728299</v>
      </c>
      <c r="E5458">
        <v>0.78273422833067796</v>
      </c>
      <c r="F5458">
        <v>0.76934646307738297</v>
      </c>
      <c r="G5458">
        <v>0.69321280236402605</v>
      </c>
      <c r="H5458">
        <v>0.44994642473771601</v>
      </c>
      <c r="I5458">
        <v>0.38149095123073801</v>
      </c>
      <c r="J5458">
        <v>0.36717602257017501</v>
      </c>
      <c r="K5458">
        <v>0.30835949722539502</v>
      </c>
      <c r="L5458">
        <v>409.28720642828</v>
      </c>
      <c r="M5458">
        <v>6.7098493135753703</v>
      </c>
      <c r="N5458">
        <v>60.997977893904803</v>
      </c>
      <c r="O5458">
        <v>56.265202473594101</v>
      </c>
      <c r="P5458">
        <v>-2.98780255746612E-2</v>
      </c>
      <c r="Q5458">
        <v>0</v>
      </c>
      <c r="R5458">
        <v>0.97346268231688704</v>
      </c>
      <c r="S5458" t="s">
        <v>11284</v>
      </c>
      <c r="T5458" t="s">
        <v>11650</v>
      </c>
      <c r="U5458" t="s">
        <v>11650</v>
      </c>
      <c r="V5458" t="s">
        <v>11650</v>
      </c>
      <c r="W5458" t="s">
        <v>17048</v>
      </c>
      <c r="X5458">
        <v>16</v>
      </c>
      <c r="Y5458" t="s">
        <v>22707</v>
      </c>
      <c r="Z5458" t="s">
        <v>28520</v>
      </c>
      <c r="AA5458">
        <v>0.66153710271949662</v>
      </c>
      <c r="AB5458" t="str">
        <f>HYPERLINK("Melting_Curves/meltCurve_Q9UGP4_LIMD1.pdf", "Melting_Curves/meltCurve_Q9UGP4_LIMD1.pdf")</f>
        <v>Melting_Curves/meltCurve_Q9UGP4_LIMD1.pdf</v>
      </c>
    </row>
    <row r="5459" spans="1:28" x14ac:dyDescent="0.25">
      <c r="A5459" t="s">
        <v>5463</v>
      </c>
      <c r="B5459">
        <v>0.99996721820229495</v>
      </c>
      <c r="C5459">
        <v>0.81668083586561802</v>
      </c>
      <c r="D5459">
        <v>0.98542903843406404</v>
      </c>
      <c r="E5459">
        <v>1.16712374112689</v>
      </c>
      <c r="F5459">
        <v>1.1239917118618299</v>
      </c>
      <c r="G5459">
        <v>0.62748522443476495</v>
      </c>
      <c r="H5459">
        <v>0.26974093706658397</v>
      </c>
      <c r="I5459">
        <v>0.15733632646185899</v>
      </c>
      <c r="J5459">
        <v>0.108182521916037</v>
      </c>
      <c r="K5459">
        <v>0.10889096292622701</v>
      </c>
      <c r="L5459">
        <v>2403.5855059904402</v>
      </c>
      <c r="M5459">
        <v>41.709394791348402</v>
      </c>
      <c r="N5459">
        <v>58.058932885624699</v>
      </c>
      <c r="O5459">
        <v>57.494984507048997</v>
      </c>
      <c r="P5459">
        <v>-0.157168221802787</v>
      </c>
      <c r="Q5459">
        <v>0.133397628291899</v>
      </c>
      <c r="R5459">
        <v>0.94799863653227701</v>
      </c>
      <c r="S5459" t="s">
        <v>11285</v>
      </c>
      <c r="T5459" t="s">
        <v>11650</v>
      </c>
      <c r="U5459" t="s">
        <v>11650</v>
      </c>
      <c r="V5459" t="s">
        <v>11650</v>
      </c>
      <c r="W5459" t="s">
        <v>17049</v>
      </c>
      <c r="X5459">
        <v>18</v>
      </c>
      <c r="Y5459" t="s">
        <v>22708</v>
      </c>
      <c r="Z5459" t="s">
        <v>28521</v>
      </c>
      <c r="AA5459">
        <v>0.64571716809068491</v>
      </c>
      <c r="AB5459" t="str">
        <f>HYPERLINK("Melting_Curves/meltCurve_Q9UGP8_SEC63.pdf", "Melting_Curves/meltCurve_Q9UGP8_SEC63.pdf")</f>
        <v>Melting_Curves/meltCurve_Q9UGP8_SEC63.pdf</v>
      </c>
    </row>
    <row r="5460" spans="1:28" x14ac:dyDescent="0.25">
      <c r="A5460" t="s">
        <v>5464</v>
      </c>
      <c r="B5460">
        <v>0.99996721820229495</v>
      </c>
      <c r="C5460">
        <v>1.0146365090307501</v>
      </c>
      <c r="D5460">
        <v>1.00986599071867</v>
      </c>
      <c r="E5460">
        <v>0.97275769410816304</v>
      </c>
      <c r="F5460">
        <v>1.41296826233805</v>
      </c>
      <c r="G5460">
        <v>1.4988817465133499</v>
      </c>
      <c r="H5460">
        <v>1.04444787032083</v>
      </c>
      <c r="I5460">
        <v>0.82497221285236899</v>
      </c>
      <c r="J5460">
        <v>0.66383593893009496</v>
      </c>
      <c r="K5460">
        <v>0.56824354325756399</v>
      </c>
      <c r="L5460">
        <v>3735.99463030586</v>
      </c>
      <c r="M5460">
        <v>57.853205544788402</v>
      </c>
      <c r="O5460">
        <v>64.500118440626196</v>
      </c>
      <c r="P5460">
        <v>-9.2715103211711503E-2</v>
      </c>
      <c r="Q5460">
        <v>0.586530617373337</v>
      </c>
      <c r="R5460">
        <v>0.43387978686237799</v>
      </c>
      <c r="S5460" t="s">
        <v>11286</v>
      </c>
      <c r="T5460" t="s">
        <v>11650</v>
      </c>
      <c r="U5460" t="s">
        <v>11650</v>
      </c>
      <c r="V5460" t="s">
        <v>11650</v>
      </c>
      <c r="W5460" t="s">
        <v>17050</v>
      </c>
      <c r="X5460">
        <v>1</v>
      </c>
      <c r="Y5460" t="s">
        <v>22709</v>
      </c>
      <c r="Z5460" t="s">
        <v>28522</v>
      </c>
      <c r="AA5460">
        <v>0.925927496306993</v>
      </c>
      <c r="AB5460" t="str">
        <f>HYPERLINK("Melting_Curves/meltCurve_Q9UGQ2_2_CACFD1.pdf", "Melting_Curves/meltCurve_Q9UGQ2_2_CACFD1.pdf")</f>
        <v>Melting_Curves/meltCurve_Q9UGQ2_2_CACFD1.pdf</v>
      </c>
    </row>
    <row r="5461" spans="1:28" x14ac:dyDescent="0.25">
      <c r="A5461" t="s">
        <v>5465</v>
      </c>
      <c r="B5461">
        <v>0.99996721820229495</v>
      </c>
      <c r="C5461">
        <v>0.95736677841075102</v>
      </c>
      <c r="D5461">
        <v>0.989643465858416</v>
      </c>
      <c r="E5461">
        <v>0.93009690712379001</v>
      </c>
      <c r="F5461">
        <v>1.4171686496559099</v>
      </c>
      <c r="G5461">
        <v>1.79300720228488</v>
      </c>
      <c r="H5461">
        <v>1.3950416690654399</v>
      </c>
      <c r="I5461">
        <v>0.948620963844097</v>
      </c>
      <c r="J5461">
        <v>0.90291665170652702</v>
      </c>
      <c r="K5461">
        <v>0.61898488734484403</v>
      </c>
      <c r="L5461">
        <v>3965.75335504432</v>
      </c>
      <c r="M5461">
        <v>57.790401574652599</v>
      </c>
      <c r="O5461">
        <v>68.541019359108404</v>
      </c>
      <c r="P5461">
        <v>-0.106031556628429</v>
      </c>
      <c r="Q5461">
        <v>0.49697477090851799</v>
      </c>
      <c r="R5461">
        <v>6.2230441868259198E-2</v>
      </c>
      <c r="S5461" t="s">
        <v>11287</v>
      </c>
      <c r="T5461" t="s">
        <v>11650</v>
      </c>
      <c r="U5461" t="s">
        <v>11650</v>
      </c>
      <c r="V5461" t="s">
        <v>11650</v>
      </c>
      <c r="W5461" t="s">
        <v>17051</v>
      </c>
      <c r="X5461">
        <v>3</v>
      </c>
      <c r="Y5461" t="s">
        <v>22710</v>
      </c>
      <c r="Z5461" t="s">
        <v>28523</v>
      </c>
      <c r="AA5461">
        <v>0.97205387068346627</v>
      </c>
      <c r="AB5461" t="str">
        <f>HYPERLINK("Melting_Curves/meltCurve_Q9UGQ3_2_SLC2A6.pdf", "Melting_Curves/meltCurve_Q9UGQ3_2_SLC2A6.pdf")</f>
        <v>Melting_Curves/meltCurve_Q9UGQ3_2_SLC2A6.pdf</v>
      </c>
    </row>
    <row r="5462" spans="1:28" x14ac:dyDescent="0.25">
      <c r="A5462" t="s">
        <v>5466</v>
      </c>
      <c r="B5462">
        <v>0.99996721820229495</v>
      </c>
      <c r="C5462">
        <v>1.0113940300776201</v>
      </c>
      <c r="D5462">
        <v>1.04122900306725</v>
      </c>
      <c r="E5462">
        <v>1.1157945346607601</v>
      </c>
      <c r="F5462">
        <v>1.2767387790142499</v>
      </c>
      <c r="G5462">
        <v>1.27214260947517</v>
      </c>
      <c r="H5462">
        <v>0.89916515926805196</v>
      </c>
      <c r="I5462">
        <v>0.55252416450648001</v>
      </c>
      <c r="J5462">
        <v>0.432959762108302</v>
      </c>
      <c r="K5462">
        <v>0.26609990127257899</v>
      </c>
      <c r="L5462">
        <v>2991.4419834632399</v>
      </c>
      <c r="M5462">
        <v>47.232587724277003</v>
      </c>
      <c r="N5462">
        <v>64.683026748009496</v>
      </c>
      <c r="O5462">
        <v>63.221062936909597</v>
      </c>
      <c r="P5462">
        <v>-0.12826687120503599</v>
      </c>
      <c r="Q5462">
        <v>0.31325726322995601</v>
      </c>
      <c r="R5462">
        <v>0.84077033795596501</v>
      </c>
      <c r="S5462" t="s">
        <v>11288</v>
      </c>
      <c r="T5462" t="s">
        <v>11650</v>
      </c>
      <c r="U5462" t="s">
        <v>11650</v>
      </c>
      <c r="V5462" t="s">
        <v>11650</v>
      </c>
      <c r="W5462" t="s">
        <v>17052</v>
      </c>
      <c r="X5462">
        <v>4</v>
      </c>
      <c r="Y5462" t="s">
        <v>22711</v>
      </c>
      <c r="Z5462" t="s">
        <v>28524</v>
      </c>
      <c r="AA5462">
        <v>0.84912742564848387</v>
      </c>
      <c r="AB5462" t="str">
        <f>HYPERLINK("Melting_Curves/meltCurve_Q9UGT4_SUSD2.pdf", "Melting_Curves/meltCurve_Q9UGT4_SUSD2.pdf")</f>
        <v>Melting_Curves/meltCurve_Q9UGT4_SUSD2.pdf</v>
      </c>
    </row>
    <row r="5463" spans="1:28" x14ac:dyDescent="0.25">
      <c r="A5463" t="s">
        <v>5467</v>
      </c>
      <c r="B5463">
        <v>0.99996721820229495</v>
      </c>
      <c r="C5463">
        <v>1.1104707225852399</v>
      </c>
      <c r="D5463">
        <v>1.0936927527211999</v>
      </c>
      <c r="E5463">
        <v>0.95638281484699095</v>
      </c>
      <c r="F5463">
        <v>1.05943569579684</v>
      </c>
      <c r="G5463">
        <v>1.46854389024542</v>
      </c>
      <c r="H5463">
        <v>1.24667760448506</v>
      </c>
      <c r="I5463">
        <v>1.2062552948888701</v>
      </c>
      <c r="J5463">
        <v>0.99328308770971696</v>
      </c>
      <c r="K5463">
        <v>0.89829406389398003</v>
      </c>
      <c r="L5463">
        <v>615.45045802086202</v>
      </c>
      <c r="M5463">
        <v>14.0636760673633</v>
      </c>
      <c r="O5463">
        <v>42.905399018899999</v>
      </c>
      <c r="P5463">
        <v>1.0599717865281201E-2</v>
      </c>
      <c r="Q5463">
        <v>1.1293334664907899</v>
      </c>
      <c r="R5463">
        <v>4.6866847603676202E-2</v>
      </c>
      <c r="S5463" t="s">
        <v>11289</v>
      </c>
      <c r="T5463" t="s">
        <v>11650</v>
      </c>
      <c r="U5463" t="s">
        <v>11650</v>
      </c>
      <c r="V5463" t="s">
        <v>11650</v>
      </c>
      <c r="W5463" t="s">
        <v>17053</v>
      </c>
      <c r="X5463">
        <v>2</v>
      </c>
      <c r="Y5463" t="s">
        <v>22712</v>
      </c>
      <c r="Z5463" t="s">
        <v>28525</v>
      </c>
      <c r="AA5463">
        <v>1.107610074795822</v>
      </c>
      <c r="AB5463" t="str">
        <f>HYPERLINK("Melting_Curves/meltCurve_Q9UGU0_2_TCF20.pdf", "Melting_Curves/meltCurve_Q9UGU0_2_TCF20.pdf")</f>
        <v>Melting_Curves/meltCurve_Q9UGU0_2_TCF20.pdf</v>
      </c>
    </row>
    <row r="5464" spans="1:28" x14ac:dyDescent="0.25">
      <c r="A5464" t="s">
        <v>5468</v>
      </c>
      <c r="B5464">
        <v>0.99996721820229495</v>
      </c>
      <c r="C5464">
        <v>1.13348205543527</v>
      </c>
      <c r="D5464">
        <v>1.05346680002371</v>
      </c>
      <c r="E5464">
        <v>1.0425812961291301</v>
      </c>
      <c r="F5464">
        <v>0.54218367741051299</v>
      </c>
      <c r="G5464">
        <v>0.28496801727306198</v>
      </c>
      <c r="H5464">
        <v>0.133757067783041</v>
      </c>
      <c r="I5464">
        <v>8.0028126104971994E-2</v>
      </c>
      <c r="J5464">
        <v>5.53468663987422E-2</v>
      </c>
      <c r="K5464">
        <v>4.7117015451566602E-2</v>
      </c>
      <c r="L5464">
        <v>1683.9921614321599</v>
      </c>
      <c r="M5464">
        <v>31.392660403569501</v>
      </c>
      <c r="N5464">
        <v>53.954379599706101</v>
      </c>
      <c r="O5464">
        <v>53.426596087994596</v>
      </c>
      <c r="P5464">
        <v>-0.134721024463475</v>
      </c>
      <c r="Q5464">
        <v>8.2887987511538405E-2</v>
      </c>
      <c r="R5464">
        <v>0.973007056348828</v>
      </c>
      <c r="S5464" t="s">
        <v>11290</v>
      </c>
      <c r="T5464" t="s">
        <v>11650</v>
      </c>
      <c r="U5464" t="s">
        <v>11650</v>
      </c>
      <c r="V5464" t="s">
        <v>11650</v>
      </c>
      <c r="W5464" t="s">
        <v>17054</v>
      </c>
      <c r="X5464">
        <v>7</v>
      </c>
      <c r="Y5464" t="s">
        <v>22713</v>
      </c>
      <c r="Z5464" t="s">
        <v>28526</v>
      </c>
      <c r="AA5464">
        <v>0.50544658226336581</v>
      </c>
      <c r="AB5464" t="str">
        <f>HYPERLINK("Melting_Curves/meltCurve_Q9UGV2_NDRG3.pdf", "Melting_Curves/meltCurve_Q9UGV2_NDRG3.pdf")</f>
        <v>Melting_Curves/meltCurve_Q9UGV2_NDRG3.pdf</v>
      </c>
    </row>
    <row r="5465" spans="1:28" x14ac:dyDescent="0.25">
      <c r="A5465" t="s">
        <v>5469</v>
      </c>
      <c r="B5465">
        <v>0.99996721820229495</v>
      </c>
      <c r="C5465">
        <v>0.80355076542065496</v>
      </c>
      <c r="D5465">
        <v>0.63896696450262402</v>
      </c>
      <c r="E5465">
        <v>0.287216988956848</v>
      </c>
      <c r="F5465">
        <v>0.26858382218392501</v>
      </c>
      <c r="G5465">
        <v>0.230659492287349</v>
      </c>
      <c r="H5465">
        <v>0.181037170204014</v>
      </c>
      <c r="I5465">
        <v>0.129722956383345</v>
      </c>
      <c r="J5465">
        <v>6.8604144613385099E-2</v>
      </c>
      <c r="K5465">
        <v>7.27627795006386E-2</v>
      </c>
      <c r="L5465">
        <v>734.20920155778003</v>
      </c>
      <c r="M5465">
        <v>15.685688690575301</v>
      </c>
      <c r="N5465">
        <v>47.590926117605797</v>
      </c>
      <c r="O5465">
        <v>46.066608352008799</v>
      </c>
      <c r="P5465">
        <v>-7.5446448218637205E-2</v>
      </c>
      <c r="Q5465">
        <v>0.113773735065022</v>
      </c>
      <c r="R5465">
        <v>0.97832136899983302</v>
      </c>
      <c r="S5465" t="s">
        <v>11291</v>
      </c>
      <c r="T5465" t="s">
        <v>11650</v>
      </c>
      <c r="U5465" t="s">
        <v>11650</v>
      </c>
      <c r="V5465" t="s">
        <v>11650</v>
      </c>
      <c r="W5465" t="s">
        <v>17055</v>
      </c>
      <c r="X5465">
        <v>8</v>
      </c>
      <c r="Y5465" t="s">
        <v>22714</v>
      </c>
      <c r="Z5465" t="s">
        <v>28527</v>
      </c>
      <c r="AA5465">
        <v>0.33708087604777892</v>
      </c>
      <c r="AB5465" t="str">
        <f>HYPERLINK("Melting_Curves/meltCurve_Q9UH62_ARMCX3.pdf", "Melting_Curves/meltCurve_Q9UH62_ARMCX3.pdf")</f>
        <v>Melting_Curves/meltCurve_Q9UH62_ARMCX3.pdf</v>
      </c>
    </row>
    <row r="5466" spans="1:28" x14ac:dyDescent="0.25">
      <c r="A5466" t="s">
        <v>5470</v>
      </c>
      <c r="B5466">
        <v>0.99996721820229495</v>
      </c>
      <c r="C5466">
        <v>0.99182008540156896</v>
      </c>
      <c r="D5466">
        <v>0.95032360895870405</v>
      </c>
      <c r="E5466">
        <v>0.98314744183924496</v>
      </c>
      <c r="F5466">
        <v>0.74413329990342902</v>
      </c>
      <c r="G5466">
        <v>0.33666051384705498</v>
      </c>
      <c r="H5466">
        <v>0.17804035835569201</v>
      </c>
      <c r="I5466">
        <v>0.120693343963044</v>
      </c>
      <c r="J5466">
        <v>9.2857013845298306E-2</v>
      </c>
      <c r="K5466">
        <v>7.7557137668151102E-2</v>
      </c>
      <c r="L5466">
        <v>1485.5456300998601</v>
      </c>
      <c r="M5466">
        <v>27.026504888176898</v>
      </c>
      <c r="N5466">
        <v>55.389993297642199</v>
      </c>
      <c r="O5466">
        <v>54.667962225981903</v>
      </c>
      <c r="P5466">
        <v>-0.112052371866737</v>
      </c>
      <c r="Q5466">
        <v>9.3391556420663394E-2</v>
      </c>
      <c r="R5466">
        <v>0.996764684731545</v>
      </c>
      <c r="S5466" t="s">
        <v>11292</v>
      </c>
      <c r="T5466" t="s">
        <v>11650</v>
      </c>
      <c r="U5466" t="s">
        <v>11650</v>
      </c>
      <c r="V5466" t="s">
        <v>11650</v>
      </c>
      <c r="W5466" t="s">
        <v>17056</v>
      </c>
      <c r="X5466">
        <v>40</v>
      </c>
      <c r="Y5466" t="s">
        <v>22715</v>
      </c>
      <c r="Z5466" t="s">
        <v>28528</v>
      </c>
      <c r="AA5466">
        <v>0.55297349485791003</v>
      </c>
      <c r="AB5466" t="str">
        <f>HYPERLINK("Melting_Curves/meltCurve_Q9UH65_SWAP70.pdf", "Melting_Curves/meltCurve_Q9UH65_SWAP70.pdf")</f>
        <v>Melting_Curves/meltCurve_Q9UH65_SWAP70.pdf</v>
      </c>
    </row>
    <row r="5467" spans="1:28" x14ac:dyDescent="0.25">
      <c r="A5467" t="s">
        <v>5471</v>
      </c>
      <c r="B5467">
        <v>0.99996721820229495</v>
      </c>
      <c r="C5467">
        <v>0.86843302063235905</v>
      </c>
      <c r="D5467">
        <v>0.79440488017890198</v>
      </c>
      <c r="E5467">
        <v>0.85920995514991205</v>
      </c>
      <c r="F5467">
        <v>0.71191149170615797</v>
      </c>
      <c r="G5467">
        <v>0.61146136112538496</v>
      </c>
      <c r="H5467">
        <v>0.39469957875101402</v>
      </c>
      <c r="I5467">
        <v>0.20451658656423499</v>
      </c>
      <c r="J5467">
        <v>0.120344678823848</v>
      </c>
      <c r="K5467">
        <v>0.11667029311839899</v>
      </c>
      <c r="L5467">
        <v>606.55081176640999</v>
      </c>
      <c r="M5467">
        <v>10.5328830005495</v>
      </c>
      <c r="N5467">
        <v>57.586399397838797</v>
      </c>
      <c r="O5467">
        <v>55.626845800619598</v>
      </c>
      <c r="P5467">
        <v>-4.7356100299748197E-2</v>
      </c>
      <c r="Q5467">
        <v>0</v>
      </c>
      <c r="R5467">
        <v>0.952672364453795</v>
      </c>
      <c r="S5467" t="s">
        <v>11293</v>
      </c>
      <c r="T5467" t="s">
        <v>11650</v>
      </c>
      <c r="U5467" t="s">
        <v>11650</v>
      </c>
      <c r="V5467" t="s">
        <v>11650</v>
      </c>
      <c r="W5467" t="s">
        <v>17057</v>
      </c>
      <c r="X5467">
        <v>3</v>
      </c>
      <c r="Y5467" t="s">
        <v>22716</v>
      </c>
      <c r="Z5467" t="s">
        <v>28529</v>
      </c>
      <c r="AA5467">
        <v>0.59943547995405899</v>
      </c>
      <c r="AB5467" t="str">
        <f>HYPERLINK("Melting_Curves/meltCurve_Q9UH99_SUN2.pdf", "Melting_Curves/meltCurve_Q9UH99_SUN2.pdf")</f>
        <v>Melting_Curves/meltCurve_Q9UH99_SUN2.pdf</v>
      </c>
    </row>
    <row r="5468" spans="1:28" x14ac:dyDescent="0.25">
      <c r="A5468" t="s">
        <v>5472</v>
      </c>
      <c r="B5468">
        <v>0.99996721820229495</v>
      </c>
      <c r="C5468">
        <v>0.97726017126002496</v>
      </c>
      <c r="D5468">
        <v>1.12791252858784</v>
      </c>
      <c r="E5468">
        <v>1.2780884919361299</v>
      </c>
      <c r="F5468">
        <v>1.7640451597034801</v>
      </c>
      <c r="G5468">
        <v>2.0821344935748001</v>
      </c>
      <c r="H5468">
        <v>1.46812182815519</v>
      </c>
      <c r="I5468">
        <v>1.1518876394573501</v>
      </c>
      <c r="J5468">
        <v>0.70358431474430705</v>
      </c>
      <c r="K5468">
        <v>0.121070614093854</v>
      </c>
      <c r="L5468">
        <v>15000</v>
      </c>
      <c r="M5468">
        <v>223.20475462809401</v>
      </c>
      <c r="N5468">
        <v>67.286355567213405</v>
      </c>
      <c r="O5468">
        <v>67.197488724030805</v>
      </c>
      <c r="P5468">
        <v>-0.72996684062765804</v>
      </c>
      <c r="Q5468">
        <v>0.12095191251429201</v>
      </c>
      <c r="R5468">
        <v>0.21716677419414901</v>
      </c>
      <c r="S5468" t="s">
        <v>11294</v>
      </c>
      <c r="T5468" t="s">
        <v>11650</v>
      </c>
      <c r="U5468" t="s">
        <v>11650</v>
      </c>
      <c r="V5468" t="s">
        <v>11650</v>
      </c>
      <c r="W5468" t="s">
        <v>17058</v>
      </c>
      <c r="X5468">
        <v>3</v>
      </c>
      <c r="Y5468" t="s">
        <v>22717</v>
      </c>
      <c r="Z5468" t="s">
        <v>28530</v>
      </c>
      <c r="AA5468">
        <v>0.91816836851318595</v>
      </c>
      <c r="AB5468" t="str">
        <f>HYPERLINK("Melting_Curves/meltCurve_Q9UHA4_LAMTOR3.pdf", "Melting_Curves/meltCurve_Q9UHA4_LAMTOR3.pdf")</f>
        <v>Melting_Curves/meltCurve_Q9UHA4_LAMTOR3.pdf</v>
      </c>
    </row>
    <row r="5469" spans="1:28" x14ac:dyDescent="0.25">
      <c r="A5469" t="s">
        <v>5473</v>
      </c>
      <c r="B5469">
        <v>0.99996721820229495</v>
      </c>
      <c r="C5469">
        <v>0.85003083323094697</v>
      </c>
      <c r="D5469">
        <v>0.64970281665920904</v>
      </c>
      <c r="E5469">
        <v>1.15330484633438</v>
      </c>
      <c r="F5469">
        <v>1.58617717000808</v>
      </c>
      <c r="G5469">
        <v>1.0037810732537</v>
      </c>
      <c r="H5469">
        <v>0.67964657480989699</v>
      </c>
      <c r="I5469">
        <v>0.89266564280352001</v>
      </c>
      <c r="J5469">
        <v>0.91938147520264002</v>
      </c>
      <c r="K5469">
        <v>0.778226648070933</v>
      </c>
      <c r="L5469">
        <v>13051.9751665767</v>
      </c>
      <c r="M5469">
        <v>223.181512270561</v>
      </c>
      <c r="O5469">
        <v>58.476732951274997</v>
      </c>
      <c r="P5469">
        <v>-0.17415029165864601</v>
      </c>
      <c r="Q5469">
        <v>0.81748055877634596</v>
      </c>
      <c r="R5469">
        <v>0.16633197375424599</v>
      </c>
      <c r="S5469" t="s">
        <v>11295</v>
      </c>
      <c r="T5469" t="s">
        <v>11650</v>
      </c>
      <c r="U5469" t="s">
        <v>11650</v>
      </c>
      <c r="V5469" t="s">
        <v>11650</v>
      </c>
      <c r="W5469" t="s">
        <v>17059</v>
      </c>
      <c r="X5469">
        <v>38</v>
      </c>
      <c r="Y5469" t="s">
        <v>22718</v>
      </c>
      <c r="Z5469" t="s">
        <v>28531</v>
      </c>
      <c r="AA5469">
        <v>0.92994477334327574</v>
      </c>
      <c r="AB5469" t="str">
        <f>HYPERLINK("Melting_Curves/meltCurve_Q9UHB6_LIMA1.pdf", "Melting_Curves/meltCurve_Q9UHB6_LIMA1.pdf")</f>
        <v>Melting_Curves/meltCurve_Q9UHB6_LIMA1.pdf</v>
      </c>
    </row>
    <row r="5470" spans="1:28" x14ac:dyDescent="0.25">
      <c r="A5470" t="s">
        <v>5474</v>
      </c>
      <c r="B5470">
        <v>0.99996721820229495</v>
      </c>
      <c r="C5470">
        <v>1.0601754381444799</v>
      </c>
      <c r="D5470">
        <v>0.83955499444876103</v>
      </c>
      <c r="E5470">
        <v>0.98242173974468305</v>
      </c>
      <c r="F5470">
        <v>1.1510136024578499</v>
      </c>
      <c r="G5470">
        <v>1.07399734617569</v>
      </c>
      <c r="H5470">
        <v>0.72451453727476101</v>
      </c>
      <c r="I5470">
        <v>0.77277220982246697</v>
      </c>
      <c r="J5470">
        <v>0.76099322317468199</v>
      </c>
      <c r="K5470">
        <v>0.60848263425405202</v>
      </c>
      <c r="L5470">
        <v>15000</v>
      </c>
      <c r="M5470">
        <v>249.17499559389901</v>
      </c>
      <c r="O5470">
        <v>60.1947788076208</v>
      </c>
      <c r="P5470">
        <v>-0.29588796581934301</v>
      </c>
      <c r="Q5470">
        <v>0.71408189529126698</v>
      </c>
      <c r="R5470">
        <v>0.74277287578569495</v>
      </c>
      <c r="S5470" t="s">
        <v>11296</v>
      </c>
      <c r="T5470" t="s">
        <v>11650</v>
      </c>
      <c r="U5470" t="s">
        <v>11650</v>
      </c>
      <c r="V5470" t="s">
        <v>11650</v>
      </c>
      <c r="W5470" t="s">
        <v>17060</v>
      </c>
      <c r="X5470">
        <v>37</v>
      </c>
      <c r="Y5470" t="s">
        <v>22718</v>
      </c>
      <c r="Z5470" t="s">
        <v>28532</v>
      </c>
      <c r="AA5470">
        <v>0.90661768963985689</v>
      </c>
      <c r="AB5470" t="str">
        <f>HYPERLINK("Melting_Curves/meltCurve_Q9UHB6_4_LIMA1.pdf", "Melting_Curves/meltCurve_Q9UHB6_4_LIMA1.pdf")</f>
        <v>Melting_Curves/meltCurve_Q9UHB6_4_LIMA1.pdf</v>
      </c>
    </row>
    <row r="5471" spans="1:28" x14ac:dyDescent="0.25">
      <c r="A5471" t="s">
        <v>5475</v>
      </c>
      <c r="B5471">
        <v>0.99996721820229495</v>
      </c>
      <c r="C5471">
        <v>1.0405538760427799</v>
      </c>
      <c r="D5471">
        <v>0.98991058110593</v>
      </c>
      <c r="E5471">
        <v>0.89158086733785702</v>
      </c>
      <c r="F5471">
        <v>1.0640042224527799</v>
      </c>
      <c r="G5471">
        <v>0.88223739744163199</v>
      </c>
      <c r="H5471">
        <v>0.58195659624528195</v>
      </c>
      <c r="I5471">
        <v>0.51583754559252204</v>
      </c>
      <c r="J5471">
        <v>0.489108066797319</v>
      </c>
      <c r="K5471">
        <v>0.32622211263949802</v>
      </c>
      <c r="L5471">
        <v>1571.1516769186701</v>
      </c>
      <c r="M5471">
        <v>26.205861450234401</v>
      </c>
      <c r="N5471">
        <v>63.493833357773902</v>
      </c>
      <c r="O5471">
        <v>59.608353983393002</v>
      </c>
      <c r="P5471">
        <v>-6.7705743513732597E-2</v>
      </c>
      <c r="Q5471">
        <v>0.38398775052674</v>
      </c>
      <c r="R5471">
        <v>0.951080165565651</v>
      </c>
      <c r="S5471" t="s">
        <v>11297</v>
      </c>
      <c r="T5471" t="s">
        <v>11650</v>
      </c>
      <c r="U5471" t="s">
        <v>11650</v>
      </c>
      <c r="V5471" t="s">
        <v>11650</v>
      </c>
      <c r="W5471" t="s">
        <v>17061</v>
      </c>
      <c r="X5471">
        <v>2</v>
      </c>
      <c r="Y5471" t="s">
        <v>22719</v>
      </c>
      <c r="Z5471" t="s">
        <v>28533</v>
      </c>
      <c r="AA5471">
        <v>0.79811785665425461</v>
      </c>
      <c r="AB5471" t="str">
        <f>HYPERLINK("Melting_Curves/meltCurve_Q9UHB7_2_AFF4.pdf", "Melting_Curves/meltCurve_Q9UHB7_2_AFF4.pdf")</f>
        <v>Melting_Curves/meltCurve_Q9UHB7_2_AFF4.pdf</v>
      </c>
    </row>
    <row r="5472" spans="1:28" x14ac:dyDescent="0.25">
      <c r="A5472" t="s">
        <v>5476</v>
      </c>
      <c r="B5472">
        <v>0.99996721820229495</v>
      </c>
      <c r="C5472">
        <v>1.0752689464738101</v>
      </c>
      <c r="D5472">
        <v>1.15873837345924</v>
      </c>
      <c r="E5472">
        <v>1.3279856954940401</v>
      </c>
      <c r="F5472">
        <v>0.70452430245098197</v>
      </c>
      <c r="G5472">
        <v>0.30500170388937797</v>
      </c>
      <c r="H5472">
        <v>0.15475405722330601</v>
      </c>
      <c r="I5472">
        <v>0.100412659452527</v>
      </c>
      <c r="J5472">
        <v>6.55427909815893E-2</v>
      </c>
      <c r="K5472">
        <v>5.6705056611992002E-2</v>
      </c>
      <c r="L5472">
        <v>2072.3312049314</v>
      </c>
      <c r="M5472">
        <v>37.837273816021302</v>
      </c>
      <c r="N5472">
        <v>55.072954831793197</v>
      </c>
      <c r="O5472">
        <v>54.617256548725798</v>
      </c>
      <c r="P5472">
        <v>-0.15690001269496501</v>
      </c>
      <c r="Q5472">
        <v>9.4075772561209997E-2</v>
      </c>
      <c r="R5472">
        <v>0.92780412546963298</v>
      </c>
      <c r="S5472" t="s">
        <v>11298</v>
      </c>
      <c r="T5472" t="s">
        <v>11650</v>
      </c>
      <c r="U5472" t="s">
        <v>11650</v>
      </c>
      <c r="V5472" t="s">
        <v>11650</v>
      </c>
      <c r="W5472" t="s">
        <v>17062</v>
      </c>
      <c r="X5472">
        <v>7</v>
      </c>
      <c r="Y5472" t="s">
        <v>22720</v>
      </c>
      <c r="Z5472" t="s">
        <v>28534</v>
      </c>
      <c r="AA5472">
        <v>0.54389716272919719</v>
      </c>
      <c r="AB5472" t="str">
        <f>HYPERLINK("Melting_Curves/meltCurve_Q9UHD1_CHORDC1.pdf", "Melting_Curves/meltCurve_Q9UHD1_CHORDC1.pdf")</f>
        <v>Melting_Curves/meltCurve_Q9UHD1_CHORDC1.pdf</v>
      </c>
    </row>
    <row r="5473" spans="1:28" x14ac:dyDescent="0.25">
      <c r="A5473" t="s">
        <v>5477</v>
      </c>
      <c r="B5473">
        <v>0.99996721820229495</v>
      </c>
      <c r="C5473">
        <v>0.88957824412377196</v>
      </c>
      <c r="D5473">
        <v>0.79039917811208404</v>
      </c>
      <c r="E5473">
        <v>0.33644865355315201</v>
      </c>
      <c r="F5473">
        <v>0.29898691799566801</v>
      </c>
      <c r="G5473">
        <v>0.231659824716313</v>
      </c>
      <c r="H5473">
        <v>0.152549246118976</v>
      </c>
      <c r="I5473">
        <v>9.5780907701856197E-2</v>
      </c>
      <c r="J5473">
        <v>6.1346946851876E-2</v>
      </c>
      <c r="K5473">
        <v>4.8180801208093198E-2</v>
      </c>
      <c r="L5473">
        <v>806.311651460544</v>
      </c>
      <c r="M5473">
        <v>16.6395574565686</v>
      </c>
      <c r="N5473">
        <v>49.027675051562603</v>
      </c>
      <c r="O5473">
        <v>47.773832097221899</v>
      </c>
      <c r="P5473">
        <v>-7.9420188368765604E-2</v>
      </c>
      <c r="Q5473">
        <v>8.7967674476010296E-2</v>
      </c>
      <c r="R5473">
        <v>0.97971537635351302</v>
      </c>
      <c r="S5473" t="s">
        <v>11299</v>
      </c>
      <c r="T5473" t="s">
        <v>11650</v>
      </c>
      <c r="U5473" t="s">
        <v>11650</v>
      </c>
      <c r="V5473" t="s">
        <v>11650</v>
      </c>
      <c r="W5473" t="s">
        <v>17063</v>
      </c>
      <c r="X5473">
        <v>8</v>
      </c>
      <c r="Y5473" t="s">
        <v>22721</v>
      </c>
      <c r="Z5473" t="s">
        <v>28535</v>
      </c>
      <c r="AA5473">
        <v>0.3638266165843147</v>
      </c>
      <c r="AB5473" t="str">
        <f>HYPERLINK("Melting_Curves/meltCurve_Q9UHD2_TBK1.pdf", "Melting_Curves/meltCurve_Q9UHD2_TBK1.pdf")</f>
        <v>Melting_Curves/meltCurve_Q9UHD2_TBK1.pdf</v>
      </c>
    </row>
    <row r="5474" spans="1:28" x14ac:dyDescent="0.25">
      <c r="A5474" t="s">
        <v>5478</v>
      </c>
      <c r="B5474">
        <v>0.99996721820229495</v>
      </c>
      <c r="C5474">
        <v>0.96012661241061104</v>
      </c>
      <c r="D5474">
        <v>1.04445304846784</v>
      </c>
      <c r="E5474">
        <v>1.5428302802232901</v>
      </c>
      <c r="F5474">
        <v>1.99927278888765</v>
      </c>
      <c r="G5474">
        <v>1.22485177766766</v>
      </c>
      <c r="H5474">
        <v>0.52433797182908304</v>
      </c>
      <c r="I5474">
        <v>0.44613670461809102</v>
      </c>
      <c r="J5474">
        <v>0.355108971105353</v>
      </c>
      <c r="K5474">
        <v>0.29274438914662199</v>
      </c>
      <c r="L5474">
        <v>9332.4075005761097</v>
      </c>
      <c r="M5474">
        <v>154.07977572212701</v>
      </c>
      <c r="N5474">
        <v>61.086490306303702</v>
      </c>
      <c r="O5474">
        <v>60.5584704713403</v>
      </c>
      <c r="P5474">
        <v>-0.40418773026446198</v>
      </c>
      <c r="Q5474">
        <v>0.364563184980642</v>
      </c>
      <c r="R5474">
        <v>0.50738639593468804</v>
      </c>
      <c r="S5474" t="s">
        <v>11300</v>
      </c>
      <c r="T5474" t="s">
        <v>11650</v>
      </c>
      <c r="U5474" t="s">
        <v>11650</v>
      </c>
      <c r="V5474" t="s">
        <v>11650</v>
      </c>
      <c r="W5474" t="s">
        <v>17064</v>
      </c>
      <c r="X5474">
        <v>35</v>
      </c>
      <c r="Y5474" t="s">
        <v>22722</v>
      </c>
      <c r="Z5474" t="s">
        <v>28536</v>
      </c>
      <c r="AA5474">
        <v>0.80041079833124862</v>
      </c>
      <c r="AB5474" t="str">
        <f>HYPERLINK("Melting_Curves/meltCurve_Q9UHD8_5_SEPT9.pdf", "Melting_Curves/meltCurve_Q9UHD8_5_SEPT9.pdf")</f>
        <v>Melting_Curves/meltCurve_Q9UHD8_5_SEPT9.pdf</v>
      </c>
    </row>
    <row r="5475" spans="1:28" x14ac:dyDescent="0.25">
      <c r="A5475" t="s">
        <v>5479</v>
      </c>
      <c r="B5475">
        <v>0.99996721820229495</v>
      </c>
      <c r="C5475">
        <v>1.0308783772113801</v>
      </c>
      <c r="D5475">
        <v>0.96087833966908498</v>
      </c>
      <c r="E5475">
        <v>0.92600878042895596</v>
      </c>
      <c r="F5475">
        <v>1.07230132716298</v>
      </c>
      <c r="G5475">
        <v>1.07410184375146</v>
      </c>
      <c r="H5475">
        <v>0.68168766263346103</v>
      </c>
      <c r="I5475">
        <v>0.58225504351053303</v>
      </c>
      <c r="J5475">
        <v>0.44315114987477999</v>
      </c>
      <c r="K5475">
        <v>0.29236384823348899</v>
      </c>
      <c r="L5475">
        <v>1689.86009041694</v>
      </c>
      <c r="M5475">
        <v>26.990621363122901</v>
      </c>
      <c r="N5475">
        <v>64.762381692173605</v>
      </c>
      <c r="O5475">
        <v>62.268519301661897</v>
      </c>
      <c r="P5475">
        <v>-7.6269093572860602E-2</v>
      </c>
      <c r="Q5475">
        <v>0.296182957500573</v>
      </c>
      <c r="R5475">
        <v>0.94415935173121301</v>
      </c>
      <c r="S5475" t="s">
        <v>11301</v>
      </c>
      <c r="T5475" t="s">
        <v>11650</v>
      </c>
      <c r="U5475" t="s">
        <v>11650</v>
      </c>
      <c r="V5475" t="s">
        <v>11650</v>
      </c>
      <c r="W5475" t="s">
        <v>17065</v>
      </c>
      <c r="X5475">
        <v>9</v>
      </c>
      <c r="Y5475" t="s">
        <v>22723</v>
      </c>
      <c r="Z5475" t="s">
        <v>28537</v>
      </c>
      <c r="AA5475">
        <v>0.82917507295116044</v>
      </c>
      <c r="AB5475" t="str">
        <f>HYPERLINK("Melting_Curves/meltCurve_Q9UHD9_UBQLN2.pdf", "Melting_Curves/meltCurve_Q9UHD9_UBQLN2.pdf")</f>
        <v>Melting_Curves/meltCurve_Q9UHD9_UBQLN2.pdf</v>
      </c>
    </row>
    <row r="5476" spans="1:28" x14ac:dyDescent="0.25">
      <c r="A5476" t="s">
        <v>5480</v>
      </c>
      <c r="B5476">
        <v>0.99996721820229495</v>
      </c>
      <c r="C5476">
        <v>0.93201569764338399</v>
      </c>
      <c r="D5476">
        <v>1.01896422331339</v>
      </c>
      <c r="E5476">
        <v>1.27889305165536</v>
      </c>
      <c r="F5476">
        <v>1.58611866518842</v>
      </c>
      <c r="G5476">
        <v>1.8737111932691</v>
      </c>
      <c r="H5476">
        <v>1.25300142821273</v>
      </c>
      <c r="I5476">
        <v>0.92618267802520404</v>
      </c>
      <c r="J5476">
        <v>0.68321852143058204</v>
      </c>
      <c r="K5476">
        <v>0.65820679419943795</v>
      </c>
      <c r="L5476">
        <v>9564.4409270128308</v>
      </c>
      <c r="M5476">
        <v>148.18993848628699</v>
      </c>
      <c r="O5476">
        <v>64.530017592302002</v>
      </c>
      <c r="P5476">
        <v>-0.18949672831533901</v>
      </c>
      <c r="Q5476">
        <v>0.66993097700535298</v>
      </c>
      <c r="R5476">
        <v>5.7026666296284202E-2</v>
      </c>
      <c r="S5476" t="s">
        <v>11302</v>
      </c>
      <c r="T5476" t="s">
        <v>11650</v>
      </c>
      <c r="U5476" t="s">
        <v>11650</v>
      </c>
      <c r="V5476" t="s">
        <v>11650</v>
      </c>
      <c r="W5476" t="s">
        <v>17066</v>
      </c>
      <c r="X5476">
        <v>3</v>
      </c>
      <c r="Y5476" t="s">
        <v>22724</v>
      </c>
      <c r="Z5476" t="s">
        <v>28538</v>
      </c>
      <c r="AA5476">
        <v>0.94005330547308807</v>
      </c>
      <c r="AB5476" t="str">
        <f>HYPERLINK("Melting_Curves/meltCurve_Q9UHE8_STEAP1.pdf", "Melting_Curves/meltCurve_Q9UHE8_STEAP1.pdf")</f>
        <v>Melting_Curves/meltCurve_Q9UHE8_STEAP1.pdf</v>
      </c>
    </row>
    <row r="5477" spans="1:28" x14ac:dyDescent="0.25">
      <c r="A5477" t="s">
        <v>5481</v>
      </c>
      <c r="B5477">
        <v>0.99996721820229495</v>
      </c>
      <c r="C5477">
        <v>1.1657400120152599</v>
      </c>
      <c r="D5477">
        <v>1.1859511162243399</v>
      </c>
      <c r="E5477">
        <v>1.19839392561532</v>
      </c>
      <c r="F5477">
        <v>1.4863019787152201</v>
      </c>
      <c r="G5477">
        <v>1.8165616539110001</v>
      </c>
      <c r="H5477">
        <v>0.86538663190360499</v>
      </c>
      <c r="I5477">
        <v>0.25661434067887301</v>
      </c>
      <c r="J5477">
        <v>0.156875950428117</v>
      </c>
      <c r="K5477">
        <v>0.117574738621769</v>
      </c>
      <c r="L5477">
        <v>4781.0429599874597</v>
      </c>
      <c r="M5477">
        <v>76.590546791120303</v>
      </c>
      <c r="N5477">
        <v>62.685324500178702</v>
      </c>
      <c r="O5477">
        <v>62.380900746493801</v>
      </c>
      <c r="P5477">
        <v>-0.26491649686697</v>
      </c>
      <c r="Q5477">
        <v>0.136931370933847</v>
      </c>
      <c r="R5477">
        <v>0.66548947264025304</v>
      </c>
      <c r="S5477" t="s">
        <v>11303</v>
      </c>
      <c r="T5477" t="s">
        <v>11650</v>
      </c>
      <c r="U5477" t="s">
        <v>11650</v>
      </c>
      <c r="V5477" t="s">
        <v>11650</v>
      </c>
      <c r="W5477" t="s">
        <v>17067</v>
      </c>
      <c r="X5477">
        <v>23</v>
      </c>
      <c r="Y5477" t="s">
        <v>22725</v>
      </c>
      <c r="Z5477" t="s">
        <v>28539</v>
      </c>
      <c r="AA5477">
        <v>0.78303129469632049</v>
      </c>
      <c r="AB5477" t="str">
        <f>HYPERLINK("Melting_Curves/meltCurve_Q9UHG3_PCYOX1.pdf", "Melting_Curves/meltCurve_Q9UHG3_PCYOX1.pdf")</f>
        <v>Melting_Curves/meltCurve_Q9UHG3_PCYOX1.pdf</v>
      </c>
    </row>
    <row r="5478" spans="1:28" x14ac:dyDescent="0.25">
      <c r="A5478" t="s">
        <v>5482</v>
      </c>
      <c r="B5478">
        <v>0.99996721820229495</v>
      </c>
      <c r="C5478">
        <v>0.89316595853217995</v>
      </c>
      <c r="D5478">
        <v>0.76493326768375602</v>
      </c>
      <c r="E5478">
        <v>1.4426406632662601</v>
      </c>
      <c r="F5478">
        <v>1.6269734307879</v>
      </c>
      <c r="G5478">
        <v>1.2703090665173999</v>
      </c>
      <c r="H5478">
        <v>1.2036106747024999</v>
      </c>
      <c r="I5478">
        <v>1.0339522524184901</v>
      </c>
      <c r="J5478">
        <v>0.87644661218938102</v>
      </c>
      <c r="K5478">
        <v>0.70137071904437798</v>
      </c>
      <c r="L5478">
        <v>15000</v>
      </c>
      <c r="M5478">
        <v>223.53184581000201</v>
      </c>
      <c r="O5478">
        <v>67.099158438463306</v>
      </c>
      <c r="P5478">
        <v>-0.24873522535378301</v>
      </c>
      <c r="Q5478">
        <v>0.70134143730016196</v>
      </c>
      <c r="R5478">
        <v>4.72882199347033E-2</v>
      </c>
      <c r="S5478" t="s">
        <v>11304</v>
      </c>
      <c r="T5478" t="s">
        <v>11650</v>
      </c>
      <c r="U5478" t="s">
        <v>11650</v>
      </c>
      <c r="V5478" t="s">
        <v>11650</v>
      </c>
      <c r="W5478" t="s">
        <v>17068</v>
      </c>
      <c r="X5478">
        <v>1</v>
      </c>
      <c r="Y5478" t="s">
        <v>22726</v>
      </c>
      <c r="Z5478" t="s">
        <v>28540</v>
      </c>
      <c r="AA5478">
        <v>0.97121847458169708</v>
      </c>
      <c r="AB5478" t="str">
        <f>HYPERLINK("Melting_Curves/meltCurve_Q9UHI8_ADAMTS1.pdf", "Melting_Curves/meltCurve_Q9UHI8_ADAMTS1.pdf")</f>
        <v>Melting_Curves/meltCurve_Q9UHI8_ADAMTS1.pdf</v>
      </c>
    </row>
    <row r="5479" spans="1:28" x14ac:dyDescent="0.25">
      <c r="A5479" t="s">
        <v>5483</v>
      </c>
      <c r="B5479">
        <v>0.99996721820229495</v>
      </c>
      <c r="C5479">
        <v>0.93455339932004999</v>
      </c>
      <c r="D5479">
        <v>0.97127413667485596</v>
      </c>
      <c r="E5479">
        <v>0.81044743558206001</v>
      </c>
      <c r="F5479">
        <v>0.44179719152813601</v>
      </c>
      <c r="G5479">
        <v>0.37140373275211902</v>
      </c>
      <c r="H5479">
        <v>0.205203807186077</v>
      </c>
      <c r="I5479">
        <v>0.14335195267647399</v>
      </c>
      <c r="J5479">
        <v>0.11789841904045301</v>
      </c>
      <c r="K5479">
        <v>8.1579791517691305E-2</v>
      </c>
      <c r="L5479">
        <v>876.58959395166698</v>
      </c>
      <c r="M5479">
        <v>16.549415362252802</v>
      </c>
      <c r="N5479">
        <v>53.642721198471101</v>
      </c>
      <c r="O5479">
        <v>52.212739701452001</v>
      </c>
      <c r="P5479">
        <v>-7.1799822808305103E-2</v>
      </c>
      <c r="Q5479">
        <v>9.3959990319149103E-2</v>
      </c>
      <c r="R5479">
        <v>0.98260210704746997</v>
      </c>
      <c r="S5479" t="s">
        <v>11305</v>
      </c>
      <c r="T5479" t="s">
        <v>11650</v>
      </c>
      <c r="U5479" t="s">
        <v>11650</v>
      </c>
      <c r="V5479" t="s">
        <v>11650</v>
      </c>
      <c r="W5479" t="s">
        <v>17069</v>
      </c>
      <c r="X5479">
        <v>8</v>
      </c>
      <c r="Y5479" t="s">
        <v>22727</v>
      </c>
      <c r="Z5479" t="s">
        <v>28541</v>
      </c>
      <c r="AA5479">
        <v>0.50253290395922756</v>
      </c>
      <c r="AB5479" t="str">
        <f>HYPERLINK("Melting_Curves/meltCurve_Q9UHJ6_SHPK.pdf", "Melting_Curves/meltCurve_Q9UHJ6_SHPK.pdf")</f>
        <v>Melting_Curves/meltCurve_Q9UHJ6_SHPK.pdf</v>
      </c>
    </row>
    <row r="5480" spans="1:28" x14ac:dyDescent="0.25">
      <c r="A5480" t="s">
        <v>5484</v>
      </c>
      <c r="B5480">
        <v>0.99996721820229495</v>
      </c>
      <c r="C5480">
        <v>0.98746435829173596</v>
      </c>
      <c r="D5480">
        <v>1.0357636747495</v>
      </c>
      <c r="E5480">
        <v>1.1910409736771099</v>
      </c>
      <c r="F5480">
        <v>1.65014735681365</v>
      </c>
      <c r="G5480">
        <v>1.71805920266676</v>
      </c>
      <c r="H5480">
        <v>1.2867881221154001</v>
      </c>
      <c r="I5480">
        <v>0.90496404486653503</v>
      </c>
      <c r="J5480">
        <v>0.289945708670168</v>
      </c>
      <c r="K5480">
        <v>0.14826597124638599</v>
      </c>
      <c r="L5480">
        <v>5496.4676621489698</v>
      </c>
      <c r="M5480">
        <v>83.665852133327206</v>
      </c>
      <c r="N5480">
        <v>65.967713298264698</v>
      </c>
      <c r="O5480">
        <v>65.657967503503798</v>
      </c>
      <c r="P5480">
        <v>-0.27206008984361901</v>
      </c>
      <c r="Q5480">
        <v>0.14598799200274301</v>
      </c>
      <c r="R5480">
        <v>0.537904883644577</v>
      </c>
      <c r="S5480" t="s">
        <v>11306</v>
      </c>
      <c r="T5480" t="s">
        <v>11650</v>
      </c>
      <c r="U5480" t="s">
        <v>11650</v>
      </c>
      <c r="V5480" t="s">
        <v>11650</v>
      </c>
      <c r="W5480" t="s">
        <v>17070</v>
      </c>
      <c r="X5480">
        <v>14</v>
      </c>
      <c r="Y5480" t="s">
        <v>22728</v>
      </c>
      <c r="Z5480" t="s">
        <v>28542</v>
      </c>
      <c r="AA5480">
        <v>0.87819198757214745</v>
      </c>
      <c r="AB5480" t="str">
        <f>HYPERLINK("Melting_Curves/meltCurve_Q9UHL4_DPP7.pdf", "Melting_Curves/meltCurve_Q9UHL4_DPP7.pdf")</f>
        <v>Melting_Curves/meltCurve_Q9UHL4_DPP7.pdf</v>
      </c>
    </row>
    <row r="5481" spans="1:28" x14ac:dyDescent="0.25">
      <c r="A5481" t="s">
        <v>5485</v>
      </c>
      <c r="B5481">
        <v>0.99996721820229495</v>
      </c>
      <c r="C5481">
        <v>0.87799277193687697</v>
      </c>
      <c r="D5481">
        <v>1.1800169983684601</v>
      </c>
      <c r="E5481">
        <v>1.63857433990462</v>
      </c>
      <c r="F5481">
        <v>1.95456251286905</v>
      </c>
      <c r="G5481">
        <v>1.7367190752568999</v>
      </c>
      <c r="H5481">
        <v>0.93880109242743603</v>
      </c>
      <c r="I5481">
        <v>0.431126360538301</v>
      </c>
      <c r="J5481">
        <v>0.30442548885967502</v>
      </c>
      <c r="K5481">
        <v>0.30381184601757</v>
      </c>
      <c r="L5481">
        <v>5151.67227717079</v>
      </c>
      <c r="M5481">
        <v>82.000244878640501</v>
      </c>
      <c r="N5481">
        <v>63.545191347579497</v>
      </c>
      <c r="O5481">
        <v>62.787747845271603</v>
      </c>
      <c r="P5481">
        <v>-0.22770843343526001</v>
      </c>
      <c r="Q5481">
        <v>0.30257291331288799</v>
      </c>
      <c r="R5481">
        <v>0.40175280533527402</v>
      </c>
      <c r="S5481" t="s">
        <v>11307</v>
      </c>
      <c r="T5481" t="s">
        <v>11650</v>
      </c>
      <c r="U5481" t="s">
        <v>11650</v>
      </c>
      <c r="V5481" t="s">
        <v>11650</v>
      </c>
      <c r="W5481" t="s">
        <v>17071</v>
      </c>
      <c r="X5481">
        <v>19</v>
      </c>
      <c r="Y5481" t="s">
        <v>22729</v>
      </c>
      <c r="Z5481" t="s">
        <v>28543</v>
      </c>
      <c r="AA5481">
        <v>0.83391162347769676</v>
      </c>
      <c r="AB5481" t="str">
        <f>HYPERLINK("Melting_Curves/meltCurve_Q9UHN6_TMEM2.pdf", "Melting_Curves/meltCurve_Q9UHN6_TMEM2.pdf")</f>
        <v>Melting_Curves/meltCurve_Q9UHN6_TMEM2.pdf</v>
      </c>
    </row>
    <row r="5482" spans="1:28" x14ac:dyDescent="0.25">
      <c r="A5482" t="s">
        <v>5486</v>
      </c>
      <c r="B5482">
        <v>0.99996721820229495</v>
      </c>
      <c r="C5482">
        <v>0.90573910866251905</v>
      </c>
      <c r="D5482">
        <v>0.96488067070516104</v>
      </c>
      <c r="E5482">
        <v>0.96939684337739296</v>
      </c>
      <c r="F5482">
        <v>0.66627593246318295</v>
      </c>
      <c r="G5482">
        <v>0.54808071482001097</v>
      </c>
      <c r="H5482">
        <v>0.335952317057921</v>
      </c>
      <c r="I5482">
        <v>0.21511218726018</v>
      </c>
      <c r="J5482">
        <v>0.15140953110577801</v>
      </c>
      <c r="K5482">
        <v>0.13444873692463699</v>
      </c>
      <c r="L5482">
        <v>787.20967806876297</v>
      </c>
      <c r="M5482">
        <v>13.8436174775852</v>
      </c>
      <c r="N5482">
        <v>57.394842723668198</v>
      </c>
      <c r="O5482">
        <v>55.717283123960101</v>
      </c>
      <c r="P5482">
        <v>-5.83939321328832E-2</v>
      </c>
      <c r="Q5482">
        <v>6.0042950976145697E-2</v>
      </c>
      <c r="R5482">
        <v>0.97988962555713099</v>
      </c>
      <c r="S5482" t="s">
        <v>11308</v>
      </c>
      <c r="T5482" t="s">
        <v>11650</v>
      </c>
      <c r="U5482" t="s">
        <v>11650</v>
      </c>
      <c r="V5482" t="s">
        <v>11650</v>
      </c>
      <c r="W5482" t="s">
        <v>17072</v>
      </c>
      <c r="X5482">
        <v>11</v>
      </c>
      <c r="Y5482" t="s">
        <v>22730</v>
      </c>
      <c r="Z5482" t="s">
        <v>28544</v>
      </c>
      <c r="AA5482">
        <v>0.60421686958183329</v>
      </c>
      <c r="AB5482" t="str">
        <f>HYPERLINK("Melting_Curves/meltCurve_Q9UHP3_USP25.pdf", "Melting_Curves/meltCurve_Q9UHP3_USP25.pdf")</f>
        <v>Melting_Curves/meltCurve_Q9UHP3_USP25.pdf</v>
      </c>
    </row>
    <row r="5483" spans="1:28" x14ac:dyDescent="0.25">
      <c r="A5483" t="s">
        <v>5487</v>
      </c>
      <c r="B5483">
        <v>0.99996721820229495</v>
      </c>
      <c r="C5483">
        <v>0.77124928225691303</v>
      </c>
      <c r="D5483">
        <v>0.92994829483799002</v>
      </c>
      <c r="E5483">
        <v>1.38660525995152</v>
      </c>
      <c r="F5483">
        <v>1.34502784932036</v>
      </c>
      <c r="G5483">
        <v>1.0700213626989801</v>
      </c>
      <c r="H5483">
        <v>0.77419452569271696</v>
      </c>
      <c r="I5483">
        <v>0.46340637451998401</v>
      </c>
      <c r="J5483">
        <v>0.24342404118695499</v>
      </c>
      <c r="K5483">
        <v>0.40739590565382</v>
      </c>
      <c r="L5483">
        <v>3287.2562315555201</v>
      </c>
      <c r="M5483">
        <v>53.107985961112398</v>
      </c>
      <c r="N5483">
        <v>63.191635232962803</v>
      </c>
      <c r="O5483">
        <v>61.8100115453732</v>
      </c>
      <c r="P5483">
        <v>-0.14360076275008099</v>
      </c>
      <c r="Q5483">
        <v>0.33147840921495397</v>
      </c>
      <c r="R5483">
        <v>0.73882777838177505</v>
      </c>
      <c r="S5483" t="s">
        <v>11309</v>
      </c>
      <c r="T5483" t="s">
        <v>11650</v>
      </c>
      <c r="U5483" t="s">
        <v>11650</v>
      </c>
      <c r="V5483" t="s">
        <v>11650</v>
      </c>
      <c r="W5483" t="s">
        <v>17073</v>
      </c>
      <c r="X5483">
        <v>15</v>
      </c>
      <c r="Y5483" t="s">
        <v>22731</v>
      </c>
      <c r="Z5483" t="s">
        <v>28545</v>
      </c>
      <c r="AA5483">
        <v>0.82098805444093348</v>
      </c>
      <c r="AB5483" t="str">
        <f>HYPERLINK("Melting_Curves/meltCurve_Q9UHQ4_BCAP29.pdf", "Melting_Curves/meltCurve_Q9UHQ4_BCAP29.pdf")</f>
        <v>Melting_Curves/meltCurve_Q9UHQ4_BCAP29.pdf</v>
      </c>
    </row>
    <row r="5484" spans="1:28" x14ac:dyDescent="0.25">
      <c r="A5484" t="s">
        <v>5488</v>
      </c>
      <c r="B5484">
        <v>0.99996721820229495</v>
      </c>
      <c r="C5484">
        <v>0.77502443443794</v>
      </c>
      <c r="D5484">
        <v>0.90661425581883204</v>
      </c>
      <c r="E5484">
        <v>0.79915621511276802</v>
      </c>
      <c r="F5484">
        <v>0.67283686362890804</v>
      </c>
      <c r="G5484">
        <v>0.39357007310366299</v>
      </c>
      <c r="H5484">
        <v>0.15819121778749101</v>
      </c>
      <c r="I5484">
        <v>0.10287682962435001</v>
      </c>
      <c r="J5484">
        <v>7.8810814946980806E-2</v>
      </c>
      <c r="K5484">
        <v>5.4601460342214601E-2</v>
      </c>
      <c r="L5484">
        <v>748.80872956404903</v>
      </c>
      <c r="M5484">
        <v>13.628935062579901</v>
      </c>
      <c r="N5484">
        <v>54.942588326676898</v>
      </c>
      <c r="O5484">
        <v>53.8001908090367</v>
      </c>
      <c r="P5484">
        <v>-6.3340566631238604E-2</v>
      </c>
      <c r="Q5484">
        <v>0</v>
      </c>
      <c r="R5484">
        <v>0.96237280602000497</v>
      </c>
      <c r="S5484" t="s">
        <v>11310</v>
      </c>
      <c r="T5484" t="s">
        <v>11650</v>
      </c>
      <c r="U5484" t="s">
        <v>11650</v>
      </c>
      <c r="V5484" t="s">
        <v>11650</v>
      </c>
      <c r="W5484" t="s">
        <v>17074</v>
      </c>
      <c r="X5484">
        <v>9</v>
      </c>
      <c r="Y5484" t="s">
        <v>22732</v>
      </c>
      <c r="Z5484" t="s">
        <v>28546</v>
      </c>
      <c r="AA5484">
        <v>0.51938520785951903</v>
      </c>
      <c r="AB5484" t="str">
        <f>HYPERLINK("Melting_Curves/meltCurve_Q9UHQ9_CYB5R1.pdf", "Melting_Curves/meltCurve_Q9UHQ9_CYB5R1.pdf")</f>
        <v>Melting_Curves/meltCurve_Q9UHQ9_CYB5R1.pdf</v>
      </c>
    </row>
    <row r="5485" spans="1:28" x14ac:dyDescent="0.25">
      <c r="A5485" t="s">
        <v>5489</v>
      </c>
      <c r="B5485">
        <v>0.99996721820229495</v>
      </c>
      <c r="C5485">
        <v>1.1309297268710701</v>
      </c>
      <c r="D5485">
        <v>1.05479177276061</v>
      </c>
      <c r="E5485">
        <v>1.18686598181693</v>
      </c>
      <c r="F5485">
        <v>1.3928164066897899</v>
      </c>
      <c r="G5485">
        <v>1.1435502561400801</v>
      </c>
      <c r="H5485">
        <v>0.52826201667471195</v>
      </c>
      <c r="I5485">
        <v>0.292368418123717</v>
      </c>
      <c r="J5485">
        <v>0.18459955239504999</v>
      </c>
      <c r="K5485">
        <v>0.127572356239916</v>
      </c>
      <c r="L5485">
        <v>4307.3151858199599</v>
      </c>
      <c r="M5485">
        <v>70.875543959372806</v>
      </c>
      <c r="N5485">
        <v>61.187992873791899</v>
      </c>
      <c r="O5485">
        <v>60.724612089934602</v>
      </c>
      <c r="P5485">
        <v>-0.23610404586844499</v>
      </c>
      <c r="Q5485">
        <v>0.190845095648534</v>
      </c>
      <c r="R5485">
        <v>0.87837450968154396</v>
      </c>
      <c r="S5485" t="s">
        <v>11311</v>
      </c>
      <c r="T5485" t="s">
        <v>11650</v>
      </c>
      <c r="U5485" t="s">
        <v>11650</v>
      </c>
      <c r="V5485" t="s">
        <v>11650</v>
      </c>
      <c r="W5485" t="s">
        <v>17075</v>
      </c>
      <c r="X5485">
        <v>11</v>
      </c>
      <c r="Y5485" t="s">
        <v>22733</v>
      </c>
      <c r="Z5485" t="s">
        <v>28547</v>
      </c>
      <c r="AA5485">
        <v>0.75220300862183798</v>
      </c>
      <c r="AB5485" t="str">
        <f>HYPERLINK("Melting_Curves/meltCurve_Q9UHR4_BAIAP2L1.pdf", "Melting_Curves/meltCurve_Q9UHR4_BAIAP2L1.pdf")</f>
        <v>Melting_Curves/meltCurve_Q9UHR4_BAIAP2L1.pdf</v>
      </c>
    </row>
    <row r="5486" spans="1:28" x14ac:dyDescent="0.25">
      <c r="A5486" t="s">
        <v>5490</v>
      </c>
      <c r="B5486">
        <v>0.99996721820229495</v>
      </c>
      <c r="C5486">
        <v>0.96281774455751101</v>
      </c>
      <c r="D5486">
        <v>1.0061730074764199</v>
      </c>
      <c r="E5486">
        <v>1.1057024520532199</v>
      </c>
      <c r="F5486">
        <v>1.5557905492963</v>
      </c>
      <c r="G5486">
        <v>1.91513928406019</v>
      </c>
      <c r="H5486">
        <v>1.1145074675870901</v>
      </c>
      <c r="I5486">
        <v>0.95284453098877797</v>
      </c>
      <c r="J5486">
        <v>0.92409569296683403</v>
      </c>
      <c r="K5486">
        <v>0.63484016811404198</v>
      </c>
      <c r="L5486">
        <v>3046.42939615348</v>
      </c>
      <c r="M5486">
        <v>43.129757905277302</v>
      </c>
      <c r="Q5486">
        <v>9.5504594802787904E-2</v>
      </c>
      <c r="R5486">
        <v>1.9864518265930698E-3</v>
      </c>
      <c r="S5486" t="s">
        <v>11312</v>
      </c>
      <c r="T5486" t="s">
        <v>11650</v>
      </c>
      <c r="U5486" t="s">
        <v>11650</v>
      </c>
      <c r="V5486" t="s">
        <v>11650</v>
      </c>
      <c r="W5486" t="s">
        <v>17076</v>
      </c>
      <c r="X5486">
        <v>15</v>
      </c>
      <c r="Y5486" t="s">
        <v>22734</v>
      </c>
      <c r="Z5486" t="s">
        <v>28548</v>
      </c>
      <c r="AA5486">
        <v>0.97616016852203358</v>
      </c>
      <c r="AB5486" t="str">
        <f>HYPERLINK("Melting_Curves/meltCurve_Q9UHV9_PFDN2.pdf", "Melting_Curves/meltCurve_Q9UHV9_PFDN2.pdf")</f>
        <v>Melting_Curves/meltCurve_Q9UHV9_PFDN2.pdf</v>
      </c>
    </row>
    <row r="5487" spans="1:28" x14ac:dyDescent="0.25">
      <c r="A5487" t="s">
        <v>5491</v>
      </c>
      <c r="B5487">
        <v>0.99996721820229495</v>
      </c>
      <c r="C5487">
        <v>1.00225790190409</v>
      </c>
      <c r="D5487">
        <v>1.08814135552538</v>
      </c>
      <c r="E5487">
        <v>1.1823518494793599</v>
      </c>
      <c r="F5487">
        <v>1.53679914415547</v>
      </c>
      <c r="G5487">
        <v>1.8498098717348599</v>
      </c>
      <c r="H5487">
        <v>1.18117535572611</v>
      </c>
      <c r="I5487">
        <v>0.77224902456428801</v>
      </c>
      <c r="J5487">
        <v>0.34246773172071199</v>
      </c>
      <c r="K5487">
        <v>7.3006474574691504E-2</v>
      </c>
      <c r="L5487">
        <v>3435.2175050004498</v>
      </c>
      <c r="M5487">
        <v>52.1827450990261</v>
      </c>
      <c r="N5487">
        <v>65.946362504460893</v>
      </c>
      <c r="O5487">
        <v>65.734059847214198</v>
      </c>
      <c r="P5487">
        <v>-0.18977081691890599</v>
      </c>
      <c r="Q5487">
        <v>4.3791413564086903E-2</v>
      </c>
      <c r="R5487">
        <v>0.54941905649801803</v>
      </c>
      <c r="S5487" t="s">
        <v>11313</v>
      </c>
      <c r="T5487" t="s">
        <v>11650</v>
      </c>
      <c r="U5487" t="s">
        <v>11650</v>
      </c>
      <c r="V5487" t="s">
        <v>11650</v>
      </c>
      <c r="W5487" t="s">
        <v>17077</v>
      </c>
      <c r="X5487">
        <v>4</v>
      </c>
      <c r="Y5487" t="s">
        <v>22735</v>
      </c>
      <c r="Z5487" t="s">
        <v>28549</v>
      </c>
      <c r="AA5487">
        <v>0.86757708735146999</v>
      </c>
      <c r="AB5487" t="str">
        <f>HYPERLINK("Melting_Curves/meltCurve_Q9UHW5_GPN3.pdf", "Melting_Curves/meltCurve_Q9UHW5_GPN3.pdf")</f>
        <v>Melting_Curves/meltCurve_Q9UHW5_GPN3.pdf</v>
      </c>
    </row>
    <row r="5488" spans="1:28" x14ac:dyDescent="0.25">
      <c r="A5488" t="s">
        <v>5492</v>
      </c>
      <c r="B5488">
        <v>0.99996721820229495</v>
      </c>
      <c r="C5488">
        <v>1.0425986871202999</v>
      </c>
      <c r="D5488">
        <v>1.0310137539212501</v>
      </c>
      <c r="E5488">
        <v>0.88572992043032905</v>
      </c>
      <c r="F5488">
        <v>0.54511233735582099</v>
      </c>
      <c r="G5488">
        <v>0.3903069243833</v>
      </c>
      <c r="H5488">
        <v>0.22491470379408299</v>
      </c>
      <c r="I5488">
        <v>0.162478457345995</v>
      </c>
      <c r="J5488">
        <v>0.14062419003548399</v>
      </c>
      <c r="K5488">
        <v>0.10154164501337</v>
      </c>
      <c r="L5488">
        <v>1062.74864513175</v>
      </c>
      <c r="M5488">
        <v>19.7607035077259</v>
      </c>
      <c r="N5488">
        <v>54.579403284878303</v>
      </c>
      <c r="O5488">
        <v>53.239222568206699</v>
      </c>
      <c r="P5488">
        <v>-8.11465905567713E-2</v>
      </c>
      <c r="Q5488">
        <v>0.12553034139372199</v>
      </c>
      <c r="R5488">
        <v>0.98701148898397295</v>
      </c>
      <c r="S5488" t="s">
        <v>11314</v>
      </c>
      <c r="T5488" t="s">
        <v>11650</v>
      </c>
      <c r="U5488" t="s">
        <v>11650</v>
      </c>
      <c r="V5488" t="s">
        <v>11650</v>
      </c>
      <c r="W5488" t="s">
        <v>17078</v>
      </c>
      <c r="X5488">
        <v>16</v>
      </c>
      <c r="Y5488" t="s">
        <v>22736</v>
      </c>
      <c r="Z5488" t="s">
        <v>28550</v>
      </c>
      <c r="AA5488">
        <v>0.53938941029868837</v>
      </c>
      <c r="AB5488" t="str">
        <f>HYPERLINK("Melting_Curves/meltCurve_Q9UHX1_4_PUF60.pdf", "Melting_Curves/meltCurve_Q9UHX1_4_PUF60.pdf")</f>
        <v>Melting_Curves/meltCurve_Q9UHX1_4_PUF60.pdf</v>
      </c>
    </row>
    <row r="5489" spans="1:28" x14ac:dyDescent="0.25">
      <c r="A5489" t="s">
        <v>5493</v>
      </c>
      <c r="B5489">
        <v>0.99996721820229495</v>
      </c>
      <c r="C5489">
        <v>0.89651599134362603</v>
      </c>
      <c r="D5489">
        <v>0.87733567070999996</v>
      </c>
      <c r="E5489">
        <v>1.0515749826465099</v>
      </c>
      <c r="F5489">
        <v>0.845830358399145</v>
      </c>
      <c r="G5489">
        <v>0.38750737816132602</v>
      </c>
      <c r="H5489">
        <v>0.214666756896362</v>
      </c>
      <c r="I5489">
        <v>0.13662898872898499</v>
      </c>
      <c r="J5489">
        <v>0.114687054617001</v>
      </c>
      <c r="K5489">
        <v>8.8726657418354393E-2</v>
      </c>
      <c r="L5489">
        <v>1773.3808237000501</v>
      </c>
      <c r="M5489">
        <v>31.8537444574796</v>
      </c>
      <c r="N5489">
        <v>56.147137794344602</v>
      </c>
      <c r="O5489">
        <v>55.454559566618101</v>
      </c>
      <c r="P5489">
        <v>-0.126656805110754</v>
      </c>
      <c r="Q5489">
        <v>0.11801121280769999</v>
      </c>
      <c r="R5489">
        <v>0.97675570877574402</v>
      </c>
      <c r="S5489" t="s">
        <v>11315</v>
      </c>
      <c r="T5489" t="s">
        <v>11650</v>
      </c>
      <c r="U5489" t="s">
        <v>11650</v>
      </c>
      <c r="V5489" t="s">
        <v>11650</v>
      </c>
      <c r="W5489" t="s">
        <v>17079</v>
      </c>
      <c r="X5489">
        <v>11</v>
      </c>
      <c r="Y5489" t="s">
        <v>22737</v>
      </c>
      <c r="Z5489" t="s">
        <v>28551</v>
      </c>
      <c r="AA5489">
        <v>0.58403101800096724</v>
      </c>
      <c r="AB5489" t="str">
        <f>HYPERLINK("Melting_Curves/meltCurve_Q9UHY1_NRBP1.pdf", "Melting_Curves/meltCurve_Q9UHY1_NRBP1.pdf")</f>
        <v>Melting_Curves/meltCurve_Q9UHY1_NRBP1.pdf</v>
      </c>
    </row>
    <row r="5490" spans="1:28" x14ac:dyDescent="0.25">
      <c r="A5490" t="s">
        <v>5494</v>
      </c>
      <c r="B5490">
        <v>0.99996721820229495</v>
      </c>
      <c r="C5490">
        <v>0.94597114776939795</v>
      </c>
      <c r="D5490">
        <v>0.79632059178088999</v>
      </c>
      <c r="E5490">
        <v>0.50504130444232997</v>
      </c>
      <c r="F5490">
        <v>0.32701079255903998</v>
      </c>
      <c r="G5490">
        <v>0.26161907734335699</v>
      </c>
      <c r="H5490">
        <v>0.17676354350378601</v>
      </c>
      <c r="I5490">
        <v>0.12863545352886899</v>
      </c>
      <c r="J5490">
        <v>9.5420956067463703E-2</v>
      </c>
      <c r="K5490">
        <v>8.0166729845384296E-2</v>
      </c>
      <c r="L5490">
        <v>750.17608103891803</v>
      </c>
      <c r="M5490">
        <v>15.107614879806</v>
      </c>
      <c r="N5490">
        <v>50.383399531780697</v>
      </c>
      <c r="O5490">
        <v>48.809854718509001</v>
      </c>
      <c r="P5490">
        <v>-6.98001912590447E-2</v>
      </c>
      <c r="Q5490">
        <v>9.8043595399468997E-2</v>
      </c>
      <c r="R5490">
        <v>0.99434597846520101</v>
      </c>
      <c r="S5490" t="s">
        <v>11316</v>
      </c>
      <c r="T5490" t="s">
        <v>11650</v>
      </c>
      <c r="U5490" t="s">
        <v>11650</v>
      </c>
      <c r="V5490" t="s">
        <v>11650</v>
      </c>
      <c r="W5490" t="s">
        <v>17080</v>
      </c>
      <c r="X5490">
        <v>8</v>
      </c>
      <c r="Y5490" t="s">
        <v>22738</v>
      </c>
      <c r="Z5490" t="s">
        <v>28552</v>
      </c>
      <c r="AA5490">
        <v>0.4098109131451238</v>
      </c>
      <c r="AB5490" t="str">
        <f>HYPERLINK("Melting_Curves/meltCurve_Q9UHY7_ENOPH1.pdf", "Melting_Curves/meltCurve_Q9UHY7_ENOPH1.pdf")</f>
        <v>Melting_Curves/meltCurve_Q9UHY7_ENOPH1.pdf</v>
      </c>
    </row>
    <row r="5491" spans="1:28" x14ac:dyDescent="0.25">
      <c r="A5491" t="s">
        <v>5495</v>
      </c>
      <c r="B5491">
        <v>0.99996721820229495</v>
      </c>
      <c r="C5491">
        <v>0.86442869166056202</v>
      </c>
      <c r="D5491">
        <v>0.73119165341317904</v>
      </c>
      <c r="E5491">
        <v>0.73600525924650595</v>
      </c>
      <c r="F5491">
        <v>0.40848252940687602</v>
      </c>
      <c r="G5491">
        <v>0.22152007487154199</v>
      </c>
      <c r="H5491">
        <v>0.14421637798206899</v>
      </c>
      <c r="I5491">
        <v>0.13310295490147001</v>
      </c>
      <c r="J5491">
        <v>7.8142827528025094E-2</v>
      </c>
      <c r="K5491">
        <v>7.9032131610605405E-2</v>
      </c>
      <c r="L5491">
        <v>584.57079592773403</v>
      </c>
      <c r="M5491">
        <v>11.2877207601823</v>
      </c>
      <c r="N5491">
        <v>51.8792518479572</v>
      </c>
      <c r="O5491">
        <v>50.242614980655397</v>
      </c>
      <c r="P5491">
        <v>-5.5632213221502802E-2</v>
      </c>
      <c r="Q5491">
        <v>9.8073850768628304E-3</v>
      </c>
      <c r="R5491">
        <v>0.97286627561250905</v>
      </c>
      <c r="S5491" t="s">
        <v>11317</v>
      </c>
      <c r="T5491" t="s">
        <v>11650</v>
      </c>
      <c r="U5491" t="s">
        <v>11650</v>
      </c>
      <c r="V5491" t="s">
        <v>11650</v>
      </c>
      <c r="W5491" t="s">
        <v>17081</v>
      </c>
      <c r="X5491">
        <v>4</v>
      </c>
      <c r="Y5491" t="s">
        <v>22739</v>
      </c>
      <c r="Z5491" t="s">
        <v>28553</v>
      </c>
      <c r="AA5491">
        <v>0.43213453678033542</v>
      </c>
      <c r="AB5491" t="str">
        <f>HYPERLINK("Melting_Curves/meltCurve_Q9UHY8_FEZ2.pdf", "Melting_Curves/meltCurve_Q9UHY8_FEZ2.pdf")</f>
        <v>Melting_Curves/meltCurve_Q9UHY8_FEZ2.pdf</v>
      </c>
    </row>
    <row r="5492" spans="1:28" x14ac:dyDescent="0.25">
      <c r="A5492" t="s">
        <v>5496</v>
      </c>
      <c r="B5492">
        <v>0.99996721820229495</v>
      </c>
      <c r="C5492">
        <v>0.98426664955478105</v>
      </c>
      <c r="D5492">
        <v>0.995534785264518</v>
      </c>
      <c r="E5492">
        <v>1.02658593342559</v>
      </c>
      <c r="F5492">
        <v>0.66070899921739401</v>
      </c>
      <c r="G5492">
        <v>0.53768034958211497</v>
      </c>
      <c r="H5492">
        <v>0.33803012320608899</v>
      </c>
      <c r="I5492">
        <v>0.32018997036283398</v>
      </c>
      <c r="J5492">
        <v>0.21005722136927099</v>
      </c>
      <c r="K5492">
        <v>0.16254934343900801</v>
      </c>
      <c r="L5492">
        <v>945.266768220156</v>
      </c>
      <c r="M5492">
        <v>16.9063588055106</v>
      </c>
      <c r="N5492">
        <v>57.368668639323602</v>
      </c>
      <c r="O5492">
        <v>55.147193285637002</v>
      </c>
      <c r="P5492">
        <v>-6.3270583577144601E-2</v>
      </c>
      <c r="Q5492">
        <v>0.17451739388422799</v>
      </c>
      <c r="R5492">
        <v>0.97144885924160995</v>
      </c>
      <c r="S5492" t="s">
        <v>11318</v>
      </c>
      <c r="T5492" t="s">
        <v>11650</v>
      </c>
      <c r="U5492" t="s">
        <v>11650</v>
      </c>
      <c r="V5492" t="s">
        <v>11650</v>
      </c>
      <c r="W5492" t="s">
        <v>17082</v>
      </c>
      <c r="X5492">
        <v>6</v>
      </c>
      <c r="Y5492" t="s">
        <v>22740</v>
      </c>
      <c r="Z5492" t="s">
        <v>28554</v>
      </c>
      <c r="AA5492">
        <v>0.62548393508256217</v>
      </c>
      <c r="AB5492" t="str">
        <f>HYPERLINK("Melting_Curves/meltCurve_Q9UI08_EVL.pdf", "Melting_Curves/meltCurve_Q9UI08_EVL.pdf")</f>
        <v>Melting_Curves/meltCurve_Q9UI08_EVL.pdf</v>
      </c>
    </row>
    <row r="5493" spans="1:28" x14ac:dyDescent="0.25">
      <c r="A5493" t="s">
        <v>5497</v>
      </c>
      <c r="B5493">
        <v>0.99996721820229495</v>
      </c>
      <c r="C5493">
        <v>1.0760298667786301</v>
      </c>
      <c r="D5493">
        <v>1.09414383054636</v>
      </c>
      <c r="E5493">
        <v>1.1637227628056801</v>
      </c>
      <c r="F5493">
        <v>1.0099463831754201</v>
      </c>
      <c r="G5493">
        <v>0.80528916997314004</v>
      </c>
      <c r="H5493">
        <v>0.244793972576797</v>
      </c>
      <c r="I5493">
        <v>0.1423819694548</v>
      </c>
      <c r="J5493">
        <v>9.8222174932299205E-2</v>
      </c>
      <c r="K5493">
        <v>9.3459047093005093E-2</v>
      </c>
      <c r="L5493">
        <v>2556.2612752065102</v>
      </c>
      <c r="M5493">
        <v>43.546529053717599</v>
      </c>
      <c r="N5493">
        <v>59.007528709184498</v>
      </c>
      <c r="O5493">
        <v>58.5784472750722</v>
      </c>
      <c r="P5493">
        <v>-0.16708068195662501</v>
      </c>
      <c r="Q5493">
        <v>0.10097886785246001</v>
      </c>
      <c r="R5493">
        <v>0.97827052134654102</v>
      </c>
      <c r="S5493" t="s">
        <v>11319</v>
      </c>
      <c r="T5493" t="s">
        <v>11650</v>
      </c>
      <c r="U5493" t="s">
        <v>11650</v>
      </c>
      <c r="V5493" t="s">
        <v>11650</v>
      </c>
      <c r="W5493" t="s">
        <v>17083</v>
      </c>
      <c r="X5493">
        <v>10</v>
      </c>
      <c r="Y5493" t="s">
        <v>22741</v>
      </c>
      <c r="Z5493" t="s">
        <v>28555</v>
      </c>
      <c r="AA5493">
        <v>0.66444436719119682</v>
      </c>
      <c r="AB5493" t="str">
        <f>HYPERLINK("Melting_Curves/meltCurve_Q9UI12_2_ATP6V1H.pdf", "Melting_Curves/meltCurve_Q9UI12_2_ATP6V1H.pdf")</f>
        <v>Melting_Curves/meltCurve_Q9UI12_2_ATP6V1H.pdf</v>
      </c>
    </row>
    <row r="5494" spans="1:28" x14ac:dyDescent="0.25">
      <c r="A5494" t="s">
        <v>5498</v>
      </c>
      <c r="B5494">
        <v>0.99996721820229495</v>
      </c>
      <c r="C5494">
        <v>0.99972148852609999</v>
      </c>
      <c r="D5494">
        <v>0.92349918223815797</v>
      </c>
      <c r="E5494">
        <v>0.93528403537330296</v>
      </c>
      <c r="F5494">
        <v>0.95632317606107597</v>
      </c>
      <c r="G5494">
        <v>0.67826566046463599</v>
      </c>
      <c r="H5494">
        <v>0.43962197156900201</v>
      </c>
      <c r="I5494">
        <v>0.43427189498165902</v>
      </c>
      <c r="J5494">
        <v>0.31284380162387299</v>
      </c>
      <c r="K5494">
        <v>0.26144956572605799</v>
      </c>
      <c r="L5494">
        <v>1106.0252538570401</v>
      </c>
      <c r="M5494">
        <v>19.029803309279298</v>
      </c>
      <c r="N5494">
        <v>60.4547073704694</v>
      </c>
      <c r="O5494">
        <v>57.490280364054399</v>
      </c>
      <c r="P5494">
        <v>-6.1224638615874502E-2</v>
      </c>
      <c r="Q5494">
        <v>0.260174763451752</v>
      </c>
      <c r="R5494">
        <v>0.98073510994248103</v>
      </c>
      <c r="S5494" t="s">
        <v>11320</v>
      </c>
      <c r="T5494" t="s">
        <v>11650</v>
      </c>
      <c r="U5494" t="s">
        <v>11650</v>
      </c>
      <c r="V5494" t="s">
        <v>11650</v>
      </c>
      <c r="W5494" t="s">
        <v>17084</v>
      </c>
      <c r="X5494">
        <v>4</v>
      </c>
      <c r="Y5494" t="s">
        <v>22742</v>
      </c>
      <c r="Z5494" t="s">
        <v>28556</v>
      </c>
      <c r="AA5494">
        <v>0.71569517820210948</v>
      </c>
      <c r="AB5494" t="str">
        <f>HYPERLINK("Melting_Curves/meltCurve_Q9UI15_TAGLN3.pdf", "Melting_Curves/meltCurve_Q9UI15_TAGLN3.pdf")</f>
        <v>Melting_Curves/meltCurve_Q9UI15_TAGLN3.pdf</v>
      </c>
    </row>
    <row r="5495" spans="1:28" x14ac:dyDescent="0.25">
      <c r="A5495" t="s">
        <v>5499</v>
      </c>
      <c r="B5495">
        <v>0.99996721820229495</v>
      </c>
      <c r="C5495">
        <v>0.92571943859907702</v>
      </c>
      <c r="D5495">
        <v>0.99119794151991703</v>
      </c>
      <c r="E5495">
        <v>0.80794123113362504</v>
      </c>
      <c r="F5495">
        <v>0.44221889186656799</v>
      </c>
      <c r="G5495">
        <v>0.66693309093753494</v>
      </c>
      <c r="H5495">
        <v>0.44094290386325802</v>
      </c>
      <c r="I5495">
        <v>0.33910471503862799</v>
      </c>
      <c r="J5495">
        <v>0.229276772773646</v>
      </c>
      <c r="K5495">
        <v>0.23113266627721199</v>
      </c>
      <c r="L5495">
        <v>475.19348336564099</v>
      </c>
      <c r="M5495">
        <v>8.3555129838628996</v>
      </c>
      <c r="N5495">
        <v>57.9093527329957</v>
      </c>
      <c r="O5495">
        <v>53.893921185232202</v>
      </c>
      <c r="P5495">
        <v>-3.60993726012762E-2</v>
      </c>
      <c r="Q5495">
        <v>6.9515661082160105E-2</v>
      </c>
      <c r="R5495">
        <v>0.89754568774273402</v>
      </c>
      <c r="S5495" t="s">
        <v>11321</v>
      </c>
      <c r="T5495" t="s">
        <v>11650</v>
      </c>
      <c r="U5495" t="s">
        <v>11650</v>
      </c>
      <c r="V5495" t="s">
        <v>11650</v>
      </c>
      <c r="W5495" t="s">
        <v>17085</v>
      </c>
      <c r="X5495">
        <v>6</v>
      </c>
      <c r="Y5495" t="s">
        <v>22743</v>
      </c>
      <c r="Z5495" t="s">
        <v>28557</v>
      </c>
      <c r="AA5495">
        <v>0.60575939706520898</v>
      </c>
      <c r="AB5495" t="str">
        <f>HYPERLINK("Melting_Curves/meltCurve_Q9UI26_IPO11.pdf", "Melting_Curves/meltCurve_Q9UI26_IPO11.pdf")</f>
        <v>Melting_Curves/meltCurve_Q9UI26_IPO11.pdf</v>
      </c>
    </row>
    <row r="5496" spans="1:28" x14ac:dyDescent="0.25">
      <c r="A5496" t="s">
        <v>5500</v>
      </c>
      <c r="B5496">
        <v>0.99996721820229495</v>
      </c>
      <c r="C5496">
        <v>0.93729207411304705</v>
      </c>
      <c r="D5496">
        <v>0.86245819048657102</v>
      </c>
      <c r="E5496">
        <v>0.89566964708976504</v>
      </c>
      <c r="F5496">
        <v>1.0787265867364</v>
      </c>
      <c r="G5496">
        <v>0.80665920085990395</v>
      </c>
      <c r="H5496">
        <v>0.42849052683309202</v>
      </c>
      <c r="I5496">
        <v>0.32677746656930301</v>
      </c>
      <c r="J5496">
        <v>0.216205377067274</v>
      </c>
      <c r="K5496">
        <v>0.124794178063107</v>
      </c>
      <c r="L5496">
        <v>1577.69580677673</v>
      </c>
      <c r="M5496">
        <v>26.4020186441326</v>
      </c>
      <c r="N5496">
        <v>60.574287273453002</v>
      </c>
      <c r="O5496">
        <v>59.4169759216975</v>
      </c>
      <c r="P5496">
        <v>-9.4437064508059207E-2</v>
      </c>
      <c r="Q5496">
        <v>0.149897723945947</v>
      </c>
      <c r="R5496">
        <v>0.95569138305429002</v>
      </c>
      <c r="S5496" t="s">
        <v>11322</v>
      </c>
      <c r="T5496" t="s">
        <v>11650</v>
      </c>
      <c r="U5496" t="s">
        <v>11650</v>
      </c>
      <c r="V5496" t="s">
        <v>11650</v>
      </c>
      <c r="W5496" t="s">
        <v>17086</v>
      </c>
      <c r="X5496">
        <v>5</v>
      </c>
      <c r="Y5496" t="s">
        <v>22744</v>
      </c>
      <c r="Z5496" t="s">
        <v>28558</v>
      </c>
      <c r="AA5496">
        <v>0.71587590261347478</v>
      </c>
      <c r="AB5496" t="str">
        <f>HYPERLINK("Melting_Curves/meltCurve_Q9UI30_TRMT112.pdf", "Melting_Curves/meltCurve_Q9UI30_TRMT112.pdf")</f>
        <v>Melting_Curves/meltCurve_Q9UI30_TRMT112.pdf</v>
      </c>
    </row>
    <row r="5497" spans="1:28" x14ac:dyDescent="0.25">
      <c r="A5497" t="s">
        <v>5501</v>
      </c>
      <c r="B5497">
        <v>0.99996721820229495</v>
      </c>
      <c r="C5497">
        <v>1.0105458673625201</v>
      </c>
      <c r="D5497">
        <v>0.96850064906252697</v>
      </c>
      <c r="E5497">
        <v>0.93597649591764198</v>
      </c>
      <c r="F5497">
        <v>0.97263840651753597</v>
      </c>
      <c r="G5497">
        <v>1.0109183093069201</v>
      </c>
      <c r="H5497">
        <v>0.638269852125114</v>
      </c>
      <c r="I5497">
        <v>0.36511662850448301</v>
      </c>
      <c r="J5497">
        <v>0.16853885025419699</v>
      </c>
      <c r="K5497">
        <v>9.9172445698629194E-2</v>
      </c>
      <c r="L5497">
        <v>1974.4211882489899</v>
      </c>
      <c r="M5497">
        <v>31.788297163578701</v>
      </c>
      <c r="N5497">
        <v>62.475430042334096</v>
      </c>
      <c r="O5497">
        <v>61.867318863795703</v>
      </c>
      <c r="P5497">
        <v>-0.117599626403379</v>
      </c>
      <c r="Q5497">
        <v>8.4501333508428297E-2</v>
      </c>
      <c r="R5497">
        <v>0.99102725568106798</v>
      </c>
      <c r="S5497" t="s">
        <v>11323</v>
      </c>
      <c r="T5497" t="s">
        <v>11650</v>
      </c>
      <c r="U5497" t="s">
        <v>11650</v>
      </c>
      <c r="V5497" t="s">
        <v>11650</v>
      </c>
      <c r="W5497" t="s">
        <v>17087</v>
      </c>
      <c r="X5497">
        <v>4</v>
      </c>
      <c r="Y5497" t="s">
        <v>22745</v>
      </c>
      <c r="Z5497" t="s">
        <v>28559</v>
      </c>
      <c r="AA5497">
        <v>0.76328551195046856</v>
      </c>
      <c r="AB5497" t="str">
        <f>HYPERLINK("Melting_Curves/meltCurve_Q9UI42_2_CPA4.pdf", "Melting_Curves/meltCurve_Q9UI42_2_CPA4.pdf")</f>
        <v>Melting_Curves/meltCurve_Q9UI42_2_CPA4.pdf</v>
      </c>
    </row>
    <row r="5498" spans="1:28" x14ac:dyDescent="0.25">
      <c r="A5498" t="s">
        <v>5502</v>
      </c>
      <c r="B5498">
        <v>0.99996721820229495</v>
      </c>
      <c r="C5498">
        <v>0.88595808912430896</v>
      </c>
      <c r="D5498">
        <v>0.80628590729138505</v>
      </c>
      <c r="E5498">
        <v>0.80453977009059197</v>
      </c>
      <c r="F5498">
        <v>0.36437798436672703</v>
      </c>
      <c r="G5498">
        <v>0.26607719523434298</v>
      </c>
      <c r="H5498">
        <v>0.14815949516384699</v>
      </c>
      <c r="I5498">
        <v>9.1375585000848303E-2</v>
      </c>
      <c r="J5498">
        <v>6.7917837657906696E-2</v>
      </c>
      <c r="K5498">
        <v>5.0943081001225597E-2</v>
      </c>
      <c r="L5498">
        <v>713.65196093878205</v>
      </c>
      <c r="M5498">
        <v>13.6418928292691</v>
      </c>
      <c r="N5498">
        <v>52.452582524982198</v>
      </c>
      <c r="O5498">
        <v>51.227548803516001</v>
      </c>
      <c r="P5498">
        <v>-6.5400011604800898E-2</v>
      </c>
      <c r="Q5498">
        <v>1.77926710770899E-2</v>
      </c>
      <c r="R5498">
        <v>0.96931456645340996</v>
      </c>
      <c r="S5498" t="s">
        <v>11324</v>
      </c>
      <c r="T5498" t="s">
        <v>11650</v>
      </c>
      <c r="U5498" t="s">
        <v>11650</v>
      </c>
      <c r="V5498" t="s">
        <v>11650</v>
      </c>
      <c r="W5498" t="s">
        <v>17088</v>
      </c>
      <c r="X5498">
        <v>13</v>
      </c>
      <c r="Y5498" t="s">
        <v>22746</v>
      </c>
      <c r="Z5498" t="s">
        <v>28560</v>
      </c>
      <c r="AA5498">
        <v>0.44581162550846709</v>
      </c>
      <c r="AB5498" t="str">
        <f>HYPERLINK("Melting_Curves/meltCurve_Q9UIC8_LCMT1.pdf", "Melting_Curves/meltCurve_Q9UIC8_LCMT1.pdf")</f>
        <v>Melting_Curves/meltCurve_Q9UIC8_LCMT1.pdf</v>
      </c>
    </row>
    <row r="5499" spans="1:28" x14ac:dyDescent="0.25">
      <c r="A5499" t="s">
        <v>5503</v>
      </c>
      <c r="B5499">
        <v>0.99996721820229495</v>
      </c>
      <c r="C5499">
        <v>0.61328026613156295</v>
      </c>
      <c r="D5499">
        <v>0.51811400488944503</v>
      </c>
      <c r="E5499">
        <v>0.83153893922261302</v>
      </c>
      <c r="F5499">
        <v>0.76574364860841904</v>
      </c>
      <c r="G5499">
        <v>0.67252455377653597</v>
      </c>
      <c r="H5499">
        <v>0.85526146310774798</v>
      </c>
      <c r="I5499">
        <v>0.82070918285176897</v>
      </c>
      <c r="J5499">
        <v>1.0627953212192101</v>
      </c>
      <c r="K5499">
        <v>1.3178082901336201</v>
      </c>
      <c r="L5499">
        <v>10227.4236800781</v>
      </c>
      <c r="M5499">
        <v>250</v>
      </c>
      <c r="O5499">
        <v>40.907089317702798</v>
      </c>
      <c r="P5499">
        <v>-0.26180984735313401</v>
      </c>
      <c r="Q5499">
        <v>0.82864199154718599</v>
      </c>
      <c r="R5499">
        <v>5.3642869297641699E-2</v>
      </c>
      <c r="S5499" t="s">
        <v>11325</v>
      </c>
      <c r="T5499" t="s">
        <v>11650</v>
      </c>
      <c r="U5499" t="s">
        <v>11650</v>
      </c>
      <c r="V5499" t="s">
        <v>11650</v>
      </c>
      <c r="W5499" t="s">
        <v>17089</v>
      </c>
      <c r="X5499">
        <v>14</v>
      </c>
      <c r="Y5499" t="s">
        <v>22747</v>
      </c>
      <c r="Z5499" t="s">
        <v>28561</v>
      </c>
      <c r="AA5499">
        <v>0.8338534149308271</v>
      </c>
      <c r="AB5499" t="str">
        <f>HYPERLINK("Melting_Curves/meltCurve_Q9UII2_ATPIF1.pdf", "Melting_Curves/meltCurve_Q9UII2_ATPIF1.pdf")</f>
        <v>Melting_Curves/meltCurve_Q9UII2_ATPIF1.pdf</v>
      </c>
    </row>
    <row r="5500" spans="1:28" x14ac:dyDescent="0.25">
      <c r="A5500" t="s">
        <v>5504</v>
      </c>
      <c r="B5500">
        <v>0.99996721820229495</v>
      </c>
      <c r="C5500">
        <v>1.0651412883484801</v>
      </c>
      <c r="D5500">
        <v>0.96743319453857601</v>
      </c>
      <c r="E5500">
        <v>0.86593898498762301</v>
      </c>
      <c r="F5500">
        <v>1.04135492095404</v>
      </c>
      <c r="G5500">
        <v>0.65646860711172905</v>
      </c>
      <c r="H5500">
        <v>0.14493926104959701</v>
      </c>
      <c r="I5500">
        <v>9.9414085647120898E-2</v>
      </c>
      <c r="J5500">
        <v>6.0798161874641099E-2</v>
      </c>
      <c r="K5500">
        <v>5.13825069276546E-2</v>
      </c>
      <c r="L5500">
        <v>2680.8193030749799</v>
      </c>
      <c r="M5500">
        <v>46.4649572995895</v>
      </c>
      <c r="N5500">
        <v>57.878708579616699</v>
      </c>
      <c r="O5500">
        <v>57.588943314591603</v>
      </c>
      <c r="P5500">
        <v>-0.18791593246892199</v>
      </c>
      <c r="Q5500">
        <v>6.8384583280672498E-2</v>
      </c>
      <c r="R5500">
        <v>0.98513909462930205</v>
      </c>
      <c r="S5500" t="s">
        <v>11326</v>
      </c>
      <c r="T5500" t="s">
        <v>11650</v>
      </c>
      <c r="U5500" t="s">
        <v>11650</v>
      </c>
      <c r="V5500" t="s">
        <v>11650</v>
      </c>
      <c r="W5500" t="s">
        <v>17090</v>
      </c>
      <c r="X5500">
        <v>19</v>
      </c>
      <c r="Y5500" t="s">
        <v>22748</v>
      </c>
      <c r="Z5500" t="s">
        <v>28562</v>
      </c>
      <c r="AA5500">
        <v>0.62062903241357914</v>
      </c>
      <c r="AB5500" t="str">
        <f>HYPERLINK("Melting_Curves/meltCurve_Q9UIJ7_AK3.pdf", "Melting_Curves/meltCurve_Q9UIJ7_AK3.pdf")</f>
        <v>Melting_Curves/meltCurve_Q9UIJ7_AK3.pdf</v>
      </c>
    </row>
    <row r="5501" spans="1:28" x14ac:dyDescent="0.25">
      <c r="A5501" t="s">
        <v>5505</v>
      </c>
      <c r="B5501">
        <v>0.99996721820229495</v>
      </c>
      <c r="C5501">
        <v>0.93652804720460503</v>
      </c>
      <c r="D5501">
        <v>1.01379935432235</v>
      </c>
      <c r="E5501">
        <v>1.10902859925385</v>
      </c>
      <c r="F5501">
        <v>1.3934988918237801</v>
      </c>
      <c r="G5501">
        <v>1.5915136252793001</v>
      </c>
      <c r="H5501">
        <v>1.2029092475855401</v>
      </c>
      <c r="I5501">
        <v>1.16019912231323</v>
      </c>
      <c r="J5501">
        <v>0.95366537070755797</v>
      </c>
      <c r="K5501">
        <v>0.67903392852520605</v>
      </c>
      <c r="L5501">
        <v>15000</v>
      </c>
      <c r="M5501">
        <v>222.100431598195</v>
      </c>
      <c r="O5501">
        <v>67.531538358315501</v>
      </c>
      <c r="P5501">
        <v>-0.26400817810842903</v>
      </c>
      <c r="Q5501">
        <v>0.678904209991264</v>
      </c>
      <c r="R5501">
        <v>-5.1726718458498001E-3</v>
      </c>
      <c r="S5501" t="s">
        <v>11327</v>
      </c>
      <c r="T5501" t="s">
        <v>11650</v>
      </c>
      <c r="U5501" t="s">
        <v>11650</v>
      </c>
      <c r="V5501" t="s">
        <v>11650</v>
      </c>
      <c r="W5501" t="s">
        <v>17091</v>
      </c>
      <c r="X5501">
        <v>1</v>
      </c>
      <c r="Y5501" t="s">
        <v>22749</v>
      </c>
      <c r="Z5501" t="s">
        <v>28563</v>
      </c>
      <c r="AA5501">
        <v>0.97368498602609121</v>
      </c>
      <c r="AB5501" t="str">
        <f>HYPERLINK("Melting_Curves/meltCurve_Q9UIL1_3_SCOC.pdf", "Melting_Curves/meltCurve_Q9UIL1_3_SCOC.pdf")</f>
        <v>Melting_Curves/meltCurve_Q9UIL1_3_SCOC.pdf</v>
      </c>
    </row>
    <row r="5502" spans="1:28" x14ac:dyDescent="0.25">
      <c r="A5502" t="s">
        <v>5506</v>
      </c>
      <c r="B5502">
        <v>0.99996721820229495</v>
      </c>
      <c r="C5502">
        <v>0.89935687936181896</v>
      </c>
      <c r="D5502">
        <v>0.95188809337263103</v>
      </c>
      <c r="E5502">
        <v>0.99289766386743705</v>
      </c>
      <c r="F5502">
        <v>0.94252537956722604</v>
      </c>
      <c r="G5502">
        <v>0.67071903757139395</v>
      </c>
      <c r="H5502">
        <v>0.51263159101946998</v>
      </c>
      <c r="I5502">
        <v>0.33244698521965799</v>
      </c>
      <c r="J5502">
        <v>0.188254772269042</v>
      </c>
      <c r="K5502">
        <v>0.279813666760102</v>
      </c>
      <c r="L5502">
        <v>1133.09368192389</v>
      </c>
      <c r="M5502">
        <v>19.268482861115299</v>
      </c>
      <c r="N5502">
        <v>60.340491672530398</v>
      </c>
      <c r="O5502">
        <v>58.183140932467097</v>
      </c>
      <c r="P5502">
        <v>-6.6755244495852795E-2</v>
      </c>
      <c r="Q5502">
        <v>0.19373345983880999</v>
      </c>
      <c r="R5502">
        <v>0.97236569494491698</v>
      </c>
      <c r="S5502" t="s">
        <v>11328</v>
      </c>
      <c r="T5502" t="s">
        <v>11650</v>
      </c>
      <c r="U5502" t="s">
        <v>11650</v>
      </c>
      <c r="V5502" t="s">
        <v>11650</v>
      </c>
      <c r="W5502" t="s">
        <v>17092</v>
      </c>
      <c r="X5502">
        <v>3</v>
      </c>
      <c r="Y5502" t="s">
        <v>22750</v>
      </c>
      <c r="Z5502" t="s">
        <v>28564</v>
      </c>
      <c r="AA5502">
        <v>0.70769130508194233</v>
      </c>
      <c r="AB5502" t="str">
        <f>HYPERLINK("Melting_Curves/meltCurve_Q9UIM3_FKBPL.pdf", "Melting_Curves/meltCurve_Q9UIM3_FKBPL.pdf")</f>
        <v>Melting_Curves/meltCurve_Q9UIM3_FKBPL.pdf</v>
      </c>
    </row>
    <row r="5503" spans="1:28" x14ac:dyDescent="0.25">
      <c r="A5503" t="s">
        <v>5507</v>
      </c>
      <c r="B5503">
        <v>0.99996721820229495</v>
      </c>
      <c r="C5503">
        <v>0.97692194406849497</v>
      </c>
      <c r="D5503">
        <v>1.1070252111896</v>
      </c>
      <c r="E5503">
        <v>1.49884912522366</v>
      </c>
      <c r="F5503">
        <v>2.0581091601362398</v>
      </c>
      <c r="G5503">
        <v>2.5455017954233101</v>
      </c>
      <c r="H5503">
        <v>1.7130305484705699</v>
      </c>
      <c r="I5503">
        <v>0.87916331561119299</v>
      </c>
      <c r="J5503">
        <v>0.414799138460196</v>
      </c>
      <c r="K5503">
        <v>0.50853304781057995</v>
      </c>
      <c r="L5503">
        <v>15000</v>
      </c>
      <c r="M5503">
        <v>233.135262078099</v>
      </c>
      <c r="N5503">
        <v>65.056857627463003</v>
      </c>
      <c r="O5503">
        <v>64.335596799697996</v>
      </c>
      <c r="P5503">
        <v>-0.487714024630299</v>
      </c>
      <c r="Q5503">
        <v>0.46164518388924902</v>
      </c>
      <c r="R5503">
        <v>-3.27606143109411E-2</v>
      </c>
      <c r="S5503" t="s">
        <v>11329</v>
      </c>
      <c r="T5503" t="s">
        <v>11650</v>
      </c>
      <c r="U5503" t="s">
        <v>11650</v>
      </c>
      <c r="V5503" t="s">
        <v>11650</v>
      </c>
      <c r="W5503" t="s">
        <v>17093</v>
      </c>
      <c r="X5503">
        <v>9</v>
      </c>
      <c r="Y5503" t="s">
        <v>22751</v>
      </c>
      <c r="Z5503" t="s">
        <v>28565</v>
      </c>
      <c r="AA5503">
        <v>0.89850624082968333</v>
      </c>
      <c r="AB5503" t="str">
        <f>HYPERLINK("Melting_Curves/meltCurve_Q9UIQ6_3_LNPEP.pdf", "Melting_Curves/meltCurve_Q9UIQ6_3_LNPEP.pdf")</f>
        <v>Melting_Curves/meltCurve_Q9UIQ6_3_LNPEP.pdf</v>
      </c>
    </row>
    <row r="5504" spans="1:28" x14ac:dyDescent="0.25">
      <c r="A5504" t="s">
        <v>5508</v>
      </c>
      <c r="B5504">
        <v>0.99996721820229495</v>
      </c>
      <c r="C5504">
        <v>0.94151793861954702</v>
      </c>
      <c r="D5504">
        <v>1.0129153718614401</v>
      </c>
      <c r="E5504">
        <v>1.0808917852615401</v>
      </c>
      <c r="F5504">
        <v>1.4945051355991401</v>
      </c>
      <c r="G5504">
        <v>1.4284733975117301</v>
      </c>
      <c r="H5504">
        <v>1.11910303218021</v>
      </c>
      <c r="I5504">
        <v>1.01454752636044</v>
      </c>
      <c r="J5504">
        <v>0.65795870159426695</v>
      </c>
      <c r="K5504">
        <v>0.99668333149472998</v>
      </c>
      <c r="L5504">
        <v>1176.2091832531801</v>
      </c>
      <c r="M5504">
        <v>14.815187113288101</v>
      </c>
      <c r="Q5504">
        <v>1.9261293889317299E-2</v>
      </c>
      <c r="R5504">
        <v>-7.6253604105163603E-2</v>
      </c>
      <c r="S5504" t="s">
        <v>11330</v>
      </c>
      <c r="T5504" t="s">
        <v>11650</v>
      </c>
      <c r="U5504" t="s">
        <v>11650</v>
      </c>
      <c r="V5504" t="s">
        <v>11650</v>
      </c>
      <c r="W5504" t="s">
        <v>17094</v>
      </c>
      <c r="X5504">
        <v>8</v>
      </c>
      <c r="Y5504" t="s">
        <v>22752</v>
      </c>
      <c r="Z5504" t="s">
        <v>28566</v>
      </c>
      <c r="AA5504">
        <v>0.98434644631291102</v>
      </c>
      <c r="AB5504" t="str">
        <f>HYPERLINK("Melting_Curves/meltCurve_Q9UJ14_GGT7.pdf", "Melting_Curves/meltCurve_Q9UJ14_GGT7.pdf")</f>
        <v>Melting_Curves/meltCurve_Q9UJ14_GGT7.pdf</v>
      </c>
    </row>
    <row r="5505" spans="1:28" x14ac:dyDescent="0.25">
      <c r="A5505" t="s">
        <v>5509</v>
      </c>
      <c r="B5505">
        <v>0.99996721820229495</v>
      </c>
      <c r="C5505">
        <v>0.79850182219500698</v>
      </c>
      <c r="D5505">
        <v>0.69501409593011998</v>
      </c>
      <c r="E5505">
        <v>0.40409965872026199</v>
      </c>
      <c r="F5505">
        <v>0.28893293620055999</v>
      </c>
      <c r="G5505">
        <v>0.21474238204957599</v>
      </c>
      <c r="H5505">
        <v>0.14322203753117199</v>
      </c>
      <c r="I5505">
        <v>0.105835958470914</v>
      </c>
      <c r="J5505">
        <v>9.4096492771474E-2</v>
      </c>
      <c r="K5505">
        <v>7.11096299859722E-2</v>
      </c>
      <c r="L5505">
        <v>625.07644316491906</v>
      </c>
      <c r="M5505">
        <v>12.9840138455424</v>
      </c>
      <c r="N5505">
        <v>48.750256469749303</v>
      </c>
      <c r="O5505">
        <v>47.042947383405398</v>
      </c>
      <c r="P5505">
        <v>-6.3852511157574399E-2</v>
      </c>
      <c r="Q5505">
        <v>7.4776930006690404E-2</v>
      </c>
      <c r="R5505">
        <v>0.99169213334699702</v>
      </c>
      <c r="S5505" t="s">
        <v>11331</v>
      </c>
      <c r="T5505" t="s">
        <v>11650</v>
      </c>
      <c r="U5505" t="s">
        <v>11650</v>
      </c>
      <c r="V5505" t="s">
        <v>11650</v>
      </c>
      <c r="W5505" t="s">
        <v>17095</v>
      </c>
      <c r="X5505">
        <v>6</v>
      </c>
      <c r="Y5505" t="s">
        <v>22753</v>
      </c>
      <c r="Z5505" t="s">
        <v>28567</v>
      </c>
      <c r="AA5505">
        <v>0.35701811423457969</v>
      </c>
      <c r="AB5505" t="str">
        <f>HYPERLINK("Melting_Curves/meltCurve_Q9UJ68_5_MSRA.pdf", "Melting_Curves/meltCurve_Q9UJ68_5_MSRA.pdf")</f>
        <v>Melting_Curves/meltCurve_Q9UJ68_5_MSRA.pdf</v>
      </c>
    </row>
    <row r="5506" spans="1:28" x14ac:dyDescent="0.25">
      <c r="A5506" t="s">
        <v>5510</v>
      </c>
      <c r="B5506">
        <v>0.99996721820229495</v>
      </c>
      <c r="C5506">
        <v>1.1992066518873901</v>
      </c>
      <c r="D5506">
        <v>1.1848583224807601</v>
      </c>
      <c r="E5506">
        <v>1.06845818760261</v>
      </c>
      <c r="F5506">
        <v>1.304327503373</v>
      </c>
      <c r="G5506">
        <v>1.5250086622907499</v>
      </c>
      <c r="H5506">
        <v>0.61313815470785904</v>
      </c>
      <c r="I5506">
        <v>0.38057331320622201</v>
      </c>
      <c r="J5506">
        <v>0.18659886186338001</v>
      </c>
      <c r="K5506">
        <v>0.25357509773657999</v>
      </c>
      <c r="L5506">
        <v>5862.0388169403404</v>
      </c>
      <c r="M5506">
        <v>96.181297984053899</v>
      </c>
      <c r="N5506">
        <v>61.443287018460403</v>
      </c>
      <c r="O5506">
        <v>60.921468744920404</v>
      </c>
      <c r="P5506">
        <v>-0.28820943287889</v>
      </c>
      <c r="Q5506">
        <v>0.269789814592097</v>
      </c>
      <c r="R5506">
        <v>0.77103052875137201</v>
      </c>
      <c r="S5506" t="s">
        <v>11332</v>
      </c>
      <c r="T5506" t="s">
        <v>11650</v>
      </c>
      <c r="U5506" t="s">
        <v>11650</v>
      </c>
      <c r="V5506" t="s">
        <v>11650</v>
      </c>
      <c r="W5506" t="s">
        <v>17096</v>
      </c>
      <c r="X5506">
        <v>19</v>
      </c>
      <c r="Y5506" t="s">
        <v>22754</v>
      </c>
      <c r="Z5506" t="s">
        <v>28568</v>
      </c>
      <c r="AA5506">
        <v>0.78019473571401687</v>
      </c>
      <c r="AB5506" t="str">
        <f>HYPERLINK("Melting_Curves/meltCurve_Q9UJ70_NAGK.pdf", "Melting_Curves/meltCurve_Q9UJ70_NAGK.pdf")</f>
        <v>Melting_Curves/meltCurve_Q9UJ70_NAGK.pdf</v>
      </c>
    </row>
    <row r="5507" spans="1:28" x14ac:dyDescent="0.25">
      <c r="A5507" t="s">
        <v>5511</v>
      </c>
      <c r="B5507">
        <v>0.99996721820229495</v>
      </c>
      <c r="C5507">
        <v>0.97061606765091601</v>
      </c>
      <c r="D5507">
        <v>1.11912519819238</v>
      </c>
      <c r="E5507">
        <v>1.53548851180458</v>
      </c>
      <c r="F5507">
        <v>1.8659148580068901</v>
      </c>
      <c r="G5507">
        <v>1.9736046963996901</v>
      </c>
      <c r="H5507">
        <v>0.854258485949831</v>
      </c>
      <c r="I5507">
        <v>0.499509814390382</v>
      </c>
      <c r="J5507">
        <v>0.31033361238912599</v>
      </c>
      <c r="K5507">
        <v>0.48997366641919299</v>
      </c>
      <c r="L5507">
        <v>4617.7219858971803</v>
      </c>
      <c r="M5507">
        <v>74.381991742803805</v>
      </c>
      <c r="N5507">
        <v>63.559950588705902</v>
      </c>
      <c r="O5507">
        <v>62.036353266661898</v>
      </c>
      <c r="P5507">
        <v>-0.176432030632998</v>
      </c>
      <c r="Q5507">
        <v>0.411406036661842</v>
      </c>
      <c r="R5507">
        <v>0.31979903213406702</v>
      </c>
      <c r="S5507" t="s">
        <v>11333</v>
      </c>
      <c r="T5507" t="s">
        <v>11650</v>
      </c>
      <c r="U5507" t="s">
        <v>11650</v>
      </c>
      <c r="V5507" t="s">
        <v>11650</v>
      </c>
      <c r="W5507" t="s">
        <v>17097</v>
      </c>
      <c r="X5507">
        <v>4</v>
      </c>
      <c r="Y5507" t="s">
        <v>22755</v>
      </c>
      <c r="Z5507" t="s">
        <v>28569</v>
      </c>
      <c r="AA5507">
        <v>0.84535571311494651</v>
      </c>
      <c r="AB5507" t="str">
        <f>HYPERLINK("Melting_Curves/meltCurve_Q9UJA5_TRMT6.pdf", "Melting_Curves/meltCurve_Q9UJA5_TRMT6.pdf")</f>
        <v>Melting_Curves/meltCurve_Q9UJA5_TRMT6.pdf</v>
      </c>
    </row>
    <row r="5508" spans="1:28" x14ac:dyDescent="0.25">
      <c r="A5508" t="s">
        <v>5512</v>
      </c>
      <c r="B5508">
        <v>0.99996721820229495</v>
      </c>
      <c r="C5508">
        <v>1.2512585634253299</v>
      </c>
      <c r="D5508">
        <v>1.30658277206038</v>
      </c>
      <c r="E5508">
        <v>1.22535410632408</v>
      </c>
      <c r="F5508">
        <v>1.37408206795898</v>
      </c>
      <c r="G5508">
        <v>0.84385692276640001</v>
      </c>
      <c r="H5508">
        <v>0.29100959972854601</v>
      </c>
      <c r="I5508">
        <v>0.175548833117502</v>
      </c>
      <c r="J5508">
        <v>0</v>
      </c>
      <c r="K5508">
        <v>4.2556185903420897E-2</v>
      </c>
      <c r="L5508">
        <v>2481.4023377029598</v>
      </c>
      <c r="M5508">
        <v>41.682762873024899</v>
      </c>
      <c r="N5508">
        <v>59.6753888367491</v>
      </c>
      <c r="O5508">
        <v>59.394129811807403</v>
      </c>
      <c r="P5508">
        <v>-0.16701631161406499</v>
      </c>
      <c r="Q5508">
        <v>4.8069718695649397E-2</v>
      </c>
      <c r="R5508">
        <v>0.872862053053864</v>
      </c>
      <c r="S5508" t="s">
        <v>11334</v>
      </c>
      <c r="T5508" t="s">
        <v>11650</v>
      </c>
      <c r="U5508" t="s">
        <v>11650</v>
      </c>
      <c r="V5508" t="s">
        <v>11650</v>
      </c>
      <c r="W5508" t="s">
        <v>17098</v>
      </c>
      <c r="X5508">
        <v>1</v>
      </c>
      <c r="Y5508" t="s">
        <v>22756</v>
      </c>
      <c r="Z5508" t="s">
        <v>28570</v>
      </c>
      <c r="AA5508">
        <v>0.6712726090485851</v>
      </c>
      <c r="AB5508" t="str">
        <f>HYPERLINK("Melting_Curves/meltCurve_Q9UJC5_SH3BGRL2.pdf", "Melting_Curves/meltCurve_Q9UJC5_SH3BGRL2.pdf")</f>
        <v>Melting_Curves/meltCurve_Q9UJC5_SH3BGRL2.pdf</v>
      </c>
    </row>
    <row r="5509" spans="1:28" x14ac:dyDescent="0.25">
      <c r="A5509" t="s">
        <v>5513</v>
      </c>
      <c r="B5509">
        <v>0.99996721820229495</v>
      </c>
      <c r="C5509">
        <v>0.75583234167524904</v>
      </c>
      <c r="D5509">
        <v>0.94414617780704402</v>
      </c>
      <c r="E5509">
        <v>0.85191303627613801</v>
      </c>
      <c r="F5509">
        <v>0.79907932593908504</v>
      </c>
      <c r="G5509">
        <v>0.736291747168063</v>
      </c>
      <c r="H5509">
        <v>0.30171722996424899</v>
      </c>
      <c r="I5509">
        <v>0.24151272200438201</v>
      </c>
      <c r="J5509">
        <v>0.12184983763950601</v>
      </c>
      <c r="K5509">
        <v>0.15265436254186601</v>
      </c>
      <c r="L5509">
        <v>782.06590737376303</v>
      </c>
      <c r="M5509">
        <v>13.3003001650029</v>
      </c>
      <c r="N5509">
        <v>58.800620961691102</v>
      </c>
      <c r="O5509">
        <v>57.519055285685198</v>
      </c>
      <c r="P5509">
        <v>-5.7817578026321099E-2</v>
      </c>
      <c r="Q5509">
        <v>0</v>
      </c>
      <c r="R5509">
        <v>0.91665575936644905</v>
      </c>
      <c r="S5509" t="s">
        <v>11335</v>
      </c>
      <c r="T5509" t="s">
        <v>11650</v>
      </c>
      <c r="U5509" t="s">
        <v>11650</v>
      </c>
      <c r="V5509" t="s">
        <v>11650</v>
      </c>
      <c r="W5509" t="s">
        <v>17099</v>
      </c>
      <c r="X5509">
        <v>1</v>
      </c>
      <c r="Y5509" t="s">
        <v>22757</v>
      </c>
      <c r="Z5509" t="s">
        <v>28571</v>
      </c>
      <c r="AA5509">
        <v>0.63700037087956496</v>
      </c>
      <c r="AB5509" t="str">
        <f>HYPERLINK("Melting_Curves/meltCurve_Q9UJG1_2_MOSPD1.pdf", "Melting_Curves/meltCurve_Q9UJG1_2_MOSPD1.pdf")</f>
        <v>Melting_Curves/meltCurve_Q9UJG1_2_MOSPD1.pdf</v>
      </c>
    </row>
    <row r="5510" spans="1:28" x14ac:dyDescent="0.25">
      <c r="A5510" t="s">
        <v>5514</v>
      </c>
      <c r="B5510">
        <v>0.99996721820229495</v>
      </c>
      <c r="C5510">
        <v>0.866049297371836</v>
      </c>
      <c r="D5510">
        <v>0.84560652957968097</v>
      </c>
      <c r="E5510">
        <v>1.5371753760357401</v>
      </c>
      <c r="F5510">
        <v>1.1383257834366201</v>
      </c>
      <c r="G5510">
        <v>0.73469886008587504</v>
      </c>
      <c r="H5510">
        <v>0.72612649690379305</v>
      </c>
      <c r="I5510">
        <v>0.41523518728562198</v>
      </c>
      <c r="J5510">
        <v>0.345067521176388</v>
      </c>
      <c r="K5510">
        <v>0.41868925269489399</v>
      </c>
      <c r="L5510">
        <v>1598.2832467103599</v>
      </c>
      <c r="M5510">
        <v>26.526710568326902</v>
      </c>
      <c r="N5510">
        <v>63.160789941337697</v>
      </c>
      <c r="O5510">
        <v>59.912561237438197</v>
      </c>
      <c r="P5510">
        <v>-7.1656781690035698E-2</v>
      </c>
      <c r="Q5510">
        <v>0.352638156542045</v>
      </c>
      <c r="R5510">
        <v>0.67282708705926797</v>
      </c>
      <c r="S5510" t="s">
        <v>11336</v>
      </c>
      <c r="T5510" t="s">
        <v>11650</v>
      </c>
      <c r="U5510" t="s">
        <v>11650</v>
      </c>
      <c r="V5510" t="s">
        <v>11650</v>
      </c>
      <c r="W5510" t="s">
        <v>17100</v>
      </c>
      <c r="X5510">
        <v>3</v>
      </c>
      <c r="Y5510" t="s">
        <v>22758</v>
      </c>
      <c r="Z5510" t="s">
        <v>28572</v>
      </c>
      <c r="AA5510">
        <v>0.79405945009114443</v>
      </c>
      <c r="AB5510" t="str">
        <f>HYPERLINK("Melting_Curves/meltCurve_Q9UJJ9_GNPTG.pdf", "Melting_Curves/meltCurve_Q9UJJ9_GNPTG.pdf")</f>
        <v>Melting_Curves/meltCurve_Q9UJJ9_GNPTG.pdf</v>
      </c>
    </row>
    <row r="5511" spans="1:28" x14ac:dyDescent="0.25">
      <c r="A5511" t="s">
        <v>5515</v>
      </c>
      <c r="B5511">
        <v>0.99996721820229495</v>
      </c>
      <c r="C5511">
        <v>0.81442095269289105</v>
      </c>
      <c r="D5511">
        <v>0.80363043447847704</v>
      </c>
      <c r="E5511">
        <v>0.87649549096336499</v>
      </c>
      <c r="F5511">
        <v>1.05271920077152</v>
      </c>
      <c r="G5511">
        <v>0.85956434739244503</v>
      </c>
      <c r="H5511">
        <v>0.71977826359861696</v>
      </c>
      <c r="I5511">
        <v>0.672479910927409</v>
      </c>
      <c r="J5511">
        <v>0.79293227657960996</v>
      </c>
      <c r="K5511">
        <v>0.59078960284203996</v>
      </c>
      <c r="L5511">
        <v>236.80137472461399</v>
      </c>
      <c r="M5511">
        <v>2.6933926715409302</v>
      </c>
      <c r="O5511">
        <v>61.569311192736599</v>
      </c>
      <c r="P5511">
        <v>-1.1393980608997101E-2</v>
      </c>
      <c r="Q5511">
        <v>0</v>
      </c>
      <c r="R5511">
        <v>0.46924739808680499</v>
      </c>
      <c r="S5511" t="s">
        <v>11337</v>
      </c>
      <c r="T5511" t="s">
        <v>11650</v>
      </c>
      <c r="U5511" t="s">
        <v>11650</v>
      </c>
      <c r="V5511" t="s">
        <v>11650</v>
      </c>
      <c r="W5511" t="s">
        <v>17101</v>
      </c>
      <c r="X5511">
        <v>7</v>
      </c>
      <c r="Y5511" t="s">
        <v>22759</v>
      </c>
      <c r="Z5511" t="s">
        <v>28573</v>
      </c>
      <c r="AA5511">
        <v>0.82711914394858643</v>
      </c>
      <c r="AB5511" t="str">
        <f>HYPERLINK("Melting_Curves/meltCurve_Q9UJM3_ERRFI1.pdf", "Melting_Curves/meltCurve_Q9UJM3_ERRFI1.pdf")</f>
        <v>Melting_Curves/meltCurve_Q9UJM3_ERRFI1.pdf</v>
      </c>
    </row>
    <row r="5512" spans="1:28" x14ac:dyDescent="0.25">
      <c r="A5512" t="s">
        <v>5516</v>
      </c>
      <c r="B5512">
        <v>0.99996721820229495</v>
      </c>
      <c r="C5512">
        <v>0.92136486884762403</v>
      </c>
      <c r="D5512">
        <v>0.9707785637045</v>
      </c>
      <c r="E5512">
        <v>1.0426225980567301</v>
      </c>
      <c r="F5512">
        <v>1.58041277257065</v>
      </c>
      <c r="G5512">
        <v>1.68210547700185</v>
      </c>
      <c r="H5512">
        <v>2.2463350521651901</v>
      </c>
      <c r="I5512">
        <v>4.5729891023991396</v>
      </c>
      <c r="J5512">
        <v>7.1794768270943097</v>
      </c>
      <c r="K5512">
        <v>4.67473841209386</v>
      </c>
      <c r="L5512">
        <v>12618.647851023001</v>
      </c>
      <c r="M5512">
        <v>250</v>
      </c>
      <c r="O5512">
        <v>50.471361440638901</v>
      </c>
      <c r="P5512">
        <v>0.61916301029832899</v>
      </c>
      <c r="Q5512">
        <v>1.5</v>
      </c>
      <c r="R5512">
        <v>-0.25822243679749901</v>
      </c>
      <c r="S5512" t="s">
        <v>11338</v>
      </c>
      <c r="T5512" t="s">
        <v>11650</v>
      </c>
      <c r="U5512" t="s">
        <v>11650</v>
      </c>
      <c r="V5512" t="s">
        <v>11650</v>
      </c>
      <c r="W5512" t="s">
        <v>17102</v>
      </c>
      <c r="X5512">
        <v>1</v>
      </c>
      <c r="Y5512" t="s">
        <v>22760</v>
      </c>
      <c r="Z5512" t="s">
        <v>28574</v>
      </c>
      <c r="AA5512">
        <v>1.325379185537289</v>
      </c>
      <c r="AB5512" t="str">
        <f>HYPERLINK("Melting_Curves/meltCurve_Q9UJP4_2_KLHL21.pdf", "Melting_Curves/meltCurve_Q9UJP4_2_KLHL21.pdf")</f>
        <v>Melting_Curves/meltCurve_Q9UJP4_2_KLHL21.pdf</v>
      </c>
    </row>
    <row r="5513" spans="1:28" x14ac:dyDescent="0.25">
      <c r="A5513" t="s">
        <v>5517</v>
      </c>
      <c r="B5513">
        <v>0.99996721820229495</v>
      </c>
      <c r="C5513">
        <v>1.1158983652987799</v>
      </c>
      <c r="D5513">
        <v>1.1188001108134</v>
      </c>
      <c r="E5513">
        <v>1.54786090441753</v>
      </c>
      <c r="F5513">
        <v>2.0664214802811198</v>
      </c>
      <c r="G5513">
        <v>2.6050468116971102</v>
      </c>
      <c r="H5513">
        <v>1.60901776783799</v>
      </c>
      <c r="I5513">
        <v>0.85868962672006299</v>
      </c>
      <c r="J5513">
        <v>0.35847483729733398</v>
      </c>
      <c r="K5513">
        <v>0.19517216445767399</v>
      </c>
      <c r="L5513">
        <v>4930.7817250314502</v>
      </c>
      <c r="M5513">
        <v>75.118344622708705</v>
      </c>
      <c r="N5513">
        <v>66.085397573146693</v>
      </c>
      <c r="O5513">
        <v>65.593702605544493</v>
      </c>
      <c r="P5513">
        <v>-0.22945064728219</v>
      </c>
      <c r="Q5513">
        <v>0.19857043272972899</v>
      </c>
      <c r="R5513">
        <v>9.4567388778090303E-2</v>
      </c>
      <c r="S5513" t="s">
        <v>11339</v>
      </c>
      <c r="T5513" t="s">
        <v>11650</v>
      </c>
      <c r="U5513" t="s">
        <v>11650</v>
      </c>
      <c r="V5513" t="s">
        <v>11650</v>
      </c>
      <c r="W5513" t="s">
        <v>17103</v>
      </c>
      <c r="X5513">
        <v>8</v>
      </c>
      <c r="Y5513" t="s">
        <v>22761</v>
      </c>
      <c r="Z5513" t="s">
        <v>28575</v>
      </c>
      <c r="AA5513">
        <v>0.88430242590073804</v>
      </c>
      <c r="AB5513" t="str">
        <f>HYPERLINK("Melting_Curves/meltCurve_Q9UJS0_SLC25A13.pdf", "Melting_Curves/meltCurve_Q9UJS0_SLC25A13.pdf")</f>
        <v>Melting_Curves/meltCurve_Q9UJS0_SLC25A13.pdf</v>
      </c>
    </row>
    <row r="5514" spans="1:28" x14ac:dyDescent="0.25">
      <c r="A5514" t="s">
        <v>5518</v>
      </c>
      <c r="B5514">
        <v>0.99996721820229495</v>
      </c>
      <c r="C5514">
        <v>1.1068361200091801</v>
      </c>
      <c r="D5514">
        <v>1.0312794190965699</v>
      </c>
      <c r="E5514">
        <v>1.0126951515025899</v>
      </c>
      <c r="F5514">
        <v>1.15400960101059</v>
      </c>
      <c r="G5514">
        <v>0.97121494535452801</v>
      </c>
      <c r="H5514">
        <v>0.53154598727590097</v>
      </c>
      <c r="I5514">
        <v>0.35761343562349601</v>
      </c>
      <c r="J5514">
        <v>0.21298855708903</v>
      </c>
      <c r="K5514">
        <v>8.4302611769467697E-2</v>
      </c>
      <c r="L5514">
        <v>1901.28132373014</v>
      </c>
      <c r="M5514">
        <v>31.021137795383499</v>
      </c>
      <c r="N5514">
        <v>61.8314910634477</v>
      </c>
      <c r="O5514">
        <v>61.036842820295497</v>
      </c>
      <c r="P5514">
        <v>-0.111942611089675</v>
      </c>
      <c r="Q5514">
        <v>0.118976757478442</v>
      </c>
      <c r="R5514">
        <v>0.96544888783721905</v>
      </c>
      <c r="S5514" t="s">
        <v>11340</v>
      </c>
      <c r="T5514" t="s">
        <v>11650</v>
      </c>
      <c r="U5514" t="s">
        <v>11650</v>
      </c>
      <c r="V5514" t="s">
        <v>11650</v>
      </c>
      <c r="W5514" t="s">
        <v>17104</v>
      </c>
      <c r="X5514">
        <v>2</v>
      </c>
      <c r="Y5514" t="s">
        <v>22762</v>
      </c>
      <c r="Z5514" t="s">
        <v>28576</v>
      </c>
      <c r="AA5514">
        <v>0.74874031481109038</v>
      </c>
      <c r="AB5514" t="str">
        <f>HYPERLINK("Melting_Curves/meltCurve_Q9UJT0_TUBE1.pdf", "Melting_Curves/meltCurve_Q9UJT0_TUBE1.pdf")</f>
        <v>Melting_Curves/meltCurve_Q9UJT0_TUBE1.pdf</v>
      </c>
    </row>
    <row r="5515" spans="1:28" x14ac:dyDescent="0.25">
      <c r="A5515" t="s">
        <v>5519</v>
      </c>
      <c r="B5515">
        <v>0.99996721820229495</v>
      </c>
      <c r="C5515">
        <v>0.90139646983978305</v>
      </c>
      <c r="D5515">
        <v>0.79244814677035602</v>
      </c>
      <c r="E5515">
        <v>0.66696074171298003</v>
      </c>
      <c r="F5515">
        <v>0.48324875380159299</v>
      </c>
      <c r="G5515">
        <v>0.52270883407234003</v>
      </c>
      <c r="H5515">
        <v>0.32808213049423401</v>
      </c>
      <c r="I5515">
        <v>0.407533338409312</v>
      </c>
      <c r="J5515">
        <v>0.43102471496266898</v>
      </c>
      <c r="K5515">
        <v>0.38232595620910398</v>
      </c>
      <c r="L5515">
        <v>670.69743885494495</v>
      </c>
      <c r="M5515">
        <v>13.785477883326701</v>
      </c>
      <c r="N5515">
        <v>54.223631413188897</v>
      </c>
      <c r="O5515">
        <v>47.662944185500798</v>
      </c>
      <c r="P5515">
        <v>-4.4930387663704302E-2</v>
      </c>
      <c r="Q5515">
        <v>0.37870456830666999</v>
      </c>
      <c r="R5515">
        <v>0.96221521959756695</v>
      </c>
      <c r="S5515" t="s">
        <v>11341</v>
      </c>
      <c r="T5515" t="s">
        <v>11650</v>
      </c>
      <c r="U5515" t="s">
        <v>11650</v>
      </c>
      <c r="V5515" t="s">
        <v>11650</v>
      </c>
      <c r="W5515" t="s">
        <v>17105</v>
      </c>
      <c r="X5515">
        <v>29</v>
      </c>
      <c r="Y5515" t="s">
        <v>22763</v>
      </c>
      <c r="Z5515" t="s">
        <v>28577</v>
      </c>
      <c r="AA5515">
        <v>0.57611395456733094</v>
      </c>
      <c r="AB5515" t="str">
        <f>HYPERLINK("Melting_Curves/meltCurve_Q9UJU6_DBNL.pdf", "Melting_Curves/meltCurve_Q9UJU6_DBNL.pdf")</f>
        <v>Melting_Curves/meltCurve_Q9UJU6_DBNL.pdf</v>
      </c>
    </row>
    <row r="5516" spans="1:28" x14ac:dyDescent="0.25">
      <c r="A5516" t="s">
        <v>5520</v>
      </c>
      <c r="B5516">
        <v>0.99996721820229495</v>
      </c>
      <c r="C5516">
        <v>0.79374420164113202</v>
      </c>
      <c r="D5516">
        <v>0.76576104847898496</v>
      </c>
      <c r="E5516">
        <v>0.54772035654640605</v>
      </c>
      <c r="F5516">
        <v>0.39911100565143198</v>
      </c>
      <c r="G5516">
        <v>0.44820589929791299</v>
      </c>
      <c r="H5516">
        <v>0.29651013820547001</v>
      </c>
      <c r="I5516">
        <v>0.333773207881297</v>
      </c>
      <c r="J5516">
        <v>0.31743828996465501</v>
      </c>
      <c r="K5516">
        <v>0.312645795849821</v>
      </c>
      <c r="L5516">
        <v>616.09210828304799</v>
      </c>
      <c r="M5516">
        <v>12.954019175285699</v>
      </c>
      <c r="N5516">
        <v>51.226081000604303</v>
      </c>
      <c r="O5516">
        <v>46.4693117469239</v>
      </c>
      <c r="P5516">
        <v>-4.8642790810469197E-2</v>
      </c>
      <c r="Q5516">
        <v>0.30214953180114501</v>
      </c>
      <c r="R5516">
        <v>0.96561400632048899</v>
      </c>
      <c r="S5516" t="s">
        <v>11342</v>
      </c>
      <c r="T5516" t="s">
        <v>11650</v>
      </c>
      <c r="U5516" t="s">
        <v>11650</v>
      </c>
      <c r="V5516" t="s">
        <v>11650</v>
      </c>
      <c r="W5516" t="s">
        <v>17106</v>
      </c>
      <c r="X5516">
        <v>28</v>
      </c>
      <c r="Y5516" t="s">
        <v>22763</v>
      </c>
      <c r="Z5516" t="s">
        <v>28578</v>
      </c>
      <c r="AA5516">
        <v>0.50244788349975633</v>
      </c>
      <c r="AB5516" t="str">
        <f>HYPERLINK("Melting_Curves/meltCurve_Q9UJU6_2_DBNL.pdf", "Melting_Curves/meltCurve_Q9UJU6_2_DBNL.pdf")</f>
        <v>Melting_Curves/meltCurve_Q9UJU6_2_DBNL.pdf</v>
      </c>
    </row>
    <row r="5517" spans="1:28" x14ac:dyDescent="0.25">
      <c r="A5517" t="s">
        <v>5521</v>
      </c>
      <c r="B5517">
        <v>0.99996721820229495</v>
      </c>
      <c r="C5517">
        <v>0.84268250983996196</v>
      </c>
      <c r="D5517">
        <v>0.81178801535367995</v>
      </c>
      <c r="E5517">
        <v>1.26092092914597</v>
      </c>
      <c r="F5517">
        <v>1.5502712874081599</v>
      </c>
      <c r="G5517">
        <v>2.3635406726089001</v>
      </c>
      <c r="H5517">
        <v>2.1806680453556</v>
      </c>
      <c r="I5517">
        <v>1.50065633147571</v>
      </c>
      <c r="J5517">
        <v>0.333869304252774</v>
      </c>
      <c r="K5517">
        <v>0.17912015207026799</v>
      </c>
      <c r="L5517">
        <v>15000</v>
      </c>
      <c r="M5517">
        <v>225.33547457998799</v>
      </c>
      <c r="N5517">
        <v>66.698454757945498</v>
      </c>
      <c r="O5517">
        <v>66.562171479828805</v>
      </c>
      <c r="P5517">
        <v>-0.69496547403958298</v>
      </c>
      <c r="Q5517">
        <v>0.17885257904964399</v>
      </c>
      <c r="R5517">
        <v>0.152491732385094</v>
      </c>
      <c r="S5517" t="s">
        <v>11343</v>
      </c>
      <c r="T5517" t="s">
        <v>11650</v>
      </c>
      <c r="U5517" t="s">
        <v>11650</v>
      </c>
      <c r="V5517" t="s">
        <v>11650</v>
      </c>
      <c r="W5517" t="s">
        <v>17107</v>
      </c>
      <c r="X5517">
        <v>6</v>
      </c>
      <c r="Y5517" t="s">
        <v>22764</v>
      </c>
      <c r="Z5517" t="s">
        <v>28579</v>
      </c>
      <c r="AA5517">
        <v>0.90616265929680917</v>
      </c>
      <c r="AB5517" t="str">
        <f>HYPERLINK("Melting_Curves/meltCurve_Q9UJW0_2_DCTN4.pdf", "Melting_Curves/meltCurve_Q9UJW0_2_DCTN4.pdf")</f>
        <v>Melting_Curves/meltCurve_Q9UJW0_2_DCTN4.pdf</v>
      </c>
    </row>
    <row r="5518" spans="1:28" x14ac:dyDescent="0.25">
      <c r="A5518" t="s">
        <v>5522</v>
      </c>
      <c r="B5518">
        <v>0.99996721820229495</v>
      </c>
      <c r="C5518">
        <v>0.79895228979024302</v>
      </c>
      <c r="D5518">
        <v>0.57184995192871202</v>
      </c>
      <c r="E5518">
        <v>0.64070006795967205</v>
      </c>
      <c r="F5518">
        <v>0.67249168259466896</v>
      </c>
      <c r="G5518">
        <v>0.42294296631259898</v>
      </c>
      <c r="H5518">
        <v>0.31548714998992999</v>
      </c>
      <c r="I5518">
        <v>0.21303861025639201</v>
      </c>
      <c r="J5518">
        <v>0.18831967589313101</v>
      </c>
      <c r="K5518">
        <v>0.137077087594908</v>
      </c>
      <c r="L5518">
        <v>352.58530523179002</v>
      </c>
      <c r="M5518">
        <v>6.57172864355696</v>
      </c>
      <c r="N5518">
        <v>53.651835552042698</v>
      </c>
      <c r="O5518">
        <v>49.334979968468303</v>
      </c>
      <c r="P5518">
        <v>-3.3379291901180802E-2</v>
      </c>
      <c r="Q5518">
        <v>0</v>
      </c>
      <c r="R5518">
        <v>0.90560461730258601</v>
      </c>
      <c r="S5518" t="s">
        <v>11344</v>
      </c>
      <c r="T5518" t="s">
        <v>11650</v>
      </c>
      <c r="U5518" t="s">
        <v>11650</v>
      </c>
      <c r="V5518" t="s">
        <v>11650</v>
      </c>
      <c r="W5518" t="s">
        <v>17108</v>
      </c>
      <c r="X5518">
        <v>1</v>
      </c>
      <c r="Y5518" t="s">
        <v>22765</v>
      </c>
      <c r="Z5518" t="s">
        <v>28580</v>
      </c>
      <c r="AA5518">
        <v>0.49467971259876531</v>
      </c>
      <c r="AB5518" t="str">
        <f>HYPERLINK("Melting_Curves/meltCurve_Q9UJX2_CDC23.pdf", "Melting_Curves/meltCurve_Q9UJX2_CDC23.pdf")</f>
        <v>Melting_Curves/meltCurve_Q9UJX2_CDC23.pdf</v>
      </c>
    </row>
    <row r="5519" spans="1:28" x14ac:dyDescent="0.25">
      <c r="A5519" t="s">
        <v>5523</v>
      </c>
      <c r="B5519">
        <v>0.99996721820229495</v>
      </c>
      <c r="C5519">
        <v>1.01052485394976</v>
      </c>
      <c r="D5519">
        <v>1.04249064427797</v>
      </c>
      <c r="E5519">
        <v>1.09500297366527</v>
      </c>
      <c r="F5519">
        <v>0.74427351240509698</v>
      </c>
      <c r="G5519">
        <v>0.52470477851941999</v>
      </c>
      <c r="H5519">
        <v>0.32521622923950899</v>
      </c>
      <c r="I5519">
        <v>0.22596492455624501</v>
      </c>
      <c r="J5519">
        <v>0.168931053538806</v>
      </c>
      <c r="K5519">
        <v>0.132425259495836</v>
      </c>
      <c r="L5519">
        <v>1187.60905916314</v>
      </c>
      <c r="M5519">
        <v>21.0413279363489</v>
      </c>
      <c r="N5519">
        <v>57.376083954521</v>
      </c>
      <c r="O5519">
        <v>55.939333143704701</v>
      </c>
      <c r="P5519">
        <v>-8.0397873518642402E-2</v>
      </c>
      <c r="Q5519">
        <v>0.145056825548636</v>
      </c>
      <c r="R5519">
        <v>0.97626857858564098</v>
      </c>
      <c r="S5519" t="s">
        <v>11345</v>
      </c>
      <c r="T5519" t="s">
        <v>11650</v>
      </c>
      <c r="U5519" t="s">
        <v>11650</v>
      </c>
      <c r="V5519" t="s">
        <v>11650</v>
      </c>
      <c r="W5519" t="s">
        <v>17109</v>
      </c>
      <c r="X5519">
        <v>3</v>
      </c>
      <c r="Y5519" t="s">
        <v>22766</v>
      </c>
      <c r="Z5519" t="s">
        <v>28581</v>
      </c>
      <c r="AA5519">
        <v>0.62370659027169506</v>
      </c>
      <c r="AB5519" t="str">
        <f>HYPERLINK("Melting_Curves/meltCurve_Q9UJX6_2_ANAPC2.pdf", "Melting_Curves/meltCurve_Q9UJX6_2_ANAPC2.pdf")</f>
        <v>Melting_Curves/meltCurve_Q9UJX6_2_ANAPC2.pdf</v>
      </c>
    </row>
    <row r="5520" spans="1:28" x14ac:dyDescent="0.25">
      <c r="A5520" t="s">
        <v>5524</v>
      </c>
      <c r="B5520">
        <v>0.99996721820229495</v>
      </c>
      <c r="C5520">
        <v>0.94371974007501902</v>
      </c>
      <c r="D5520">
        <v>0.83768215949290503</v>
      </c>
      <c r="E5520">
        <v>0.68758667175749799</v>
      </c>
      <c r="F5520">
        <v>0.70397433079795202</v>
      </c>
      <c r="G5520">
        <v>0.58465407409463999</v>
      </c>
      <c r="H5520">
        <v>0.42564572929132699</v>
      </c>
      <c r="I5520">
        <v>0.356381457526881</v>
      </c>
      <c r="J5520">
        <v>0.46317431154560001</v>
      </c>
      <c r="K5520">
        <v>0.37160681089478798</v>
      </c>
      <c r="L5520">
        <v>489.92659416930201</v>
      </c>
      <c r="M5520">
        <v>9.2836521114676298</v>
      </c>
      <c r="N5520">
        <v>59.007827035895701</v>
      </c>
      <c r="O5520">
        <v>50.497826386057497</v>
      </c>
      <c r="P5520">
        <v>-3.1617627999315598E-2</v>
      </c>
      <c r="Q5520">
        <v>0.31251569952450797</v>
      </c>
      <c r="R5520">
        <v>0.95896863605381999</v>
      </c>
      <c r="S5520" t="s">
        <v>11346</v>
      </c>
      <c r="T5520" t="s">
        <v>11650</v>
      </c>
      <c r="U5520" t="s">
        <v>11650</v>
      </c>
      <c r="V5520" t="s">
        <v>11650</v>
      </c>
      <c r="W5520" t="s">
        <v>17110</v>
      </c>
      <c r="X5520">
        <v>9</v>
      </c>
      <c r="Y5520" t="s">
        <v>22767</v>
      </c>
      <c r="Z5520" t="s">
        <v>28582</v>
      </c>
      <c r="AA5520">
        <v>0.63101766288260619</v>
      </c>
      <c r="AB5520" t="str">
        <f>HYPERLINK("Melting_Curves/meltCurve_Q9UJY1_HSPB8.pdf", "Melting_Curves/meltCurve_Q9UJY1_HSPB8.pdf")</f>
        <v>Melting_Curves/meltCurve_Q9UJY1_HSPB8.pdf</v>
      </c>
    </row>
    <row r="5521" spans="1:28" x14ac:dyDescent="0.25">
      <c r="A5521" t="s">
        <v>5525</v>
      </c>
      <c r="B5521">
        <v>0.99996721820229495</v>
      </c>
      <c r="C5521">
        <v>1.00288544395125</v>
      </c>
      <c r="D5521">
        <v>0.70490575487740903</v>
      </c>
      <c r="E5521">
        <v>0.39955229113611501</v>
      </c>
      <c r="F5521">
        <v>0.40236027003968899</v>
      </c>
      <c r="G5521">
        <v>0.382310210406965</v>
      </c>
      <c r="H5521">
        <v>0.19446937735195499</v>
      </c>
      <c r="I5521">
        <v>0.117207170484286</v>
      </c>
      <c r="J5521">
        <v>7.8620499147299502E-2</v>
      </c>
      <c r="K5521">
        <v>5.8683843383945097E-2</v>
      </c>
      <c r="L5521">
        <v>579.97257532752201</v>
      </c>
      <c r="M5521">
        <v>11.6215363988311</v>
      </c>
      <c r="N5521">
        <v>50.540799284474701</v>
      </c>
      <c r="O5521">
        <v>48.496021250301503</v>
      </c>
      <c r="P5521">
        <v>-5.5850616715936198E-2</v>
      </c>
      <c r="Q5521">
        <v>6.8008386077891197E-2</v>
      </c>
      <c r="R5521">
        <v>0.94815563312456996</v>
      </c>
      <c r="S5521" t="s">
        <v>11347</v>
      </c>
      <c r="T5521" t="s">
        <v>11650</v>
      </c>
      <c r="U5521" t="s">
        <v>11650</v>
      </c>
      <c r="V5521" t="s">
        <v>11650</v>
      </c>
      <c r="W5521" t="s">
        <v>17111</v>
      </c>
      <c r="X5521">
        <v>8</v>
      </c>
      <c r="Y5521" t="s">
        <v>22768</v>
      </c>
      <c r="Z5521" t="s">
        <v>28583</v>
      </c>
      <c r="AA5521">
        <v>0.40982229303904499</v>
      </c>
      <c r="AB5521" t="str">
        <f>HYPERLINK("Melting_Curves/meltCurve_Q9UJY4_GGA2.pdf", "Melting_Curves/meltCurve_Q9UJY4_GGA2.pdf")</f>
        <v>Melting_Curves/meltCurve_Q9UJY4_GGA2.pdf</v>
      </c>
    </row>
    <row r="5522" spans="1:28" x14ac:dyDescent="0.25">
      <c r="A5522" t="s">
        <v>5526</v>
      </c>
      <c r="B5522">
        <v>0.99996721820229495</v>
      </c>
      <c r="C5522">
        <v>1.0116975612000301</v>
      </c>
      <c r="D5522">
        <v>0.92948314664948095</v>
      </c>
      <c r="E5522">
        <v>0.96497038184251804</v>
      </c>
      <c r="F5522">
        <v>0.58831237094939604</v>
      </c>
      <c r="G5522">
        <v>0.37741716614443499</v>
      </c>
      <c r="H5522">
        <v>0.23407465395670701</v>
      </c>
      <c r="I5522">
        <v>0.176193365280012</v>
      </c>
      <c r="J5522">
        <v>0.15912058465517701</v>
      </c>
      <c r="K5522">
        <v>0.12767009395884699</v>
      </c>
      <c r="L5522">
        <v>1197.8946061997001</v>
      </c>
      <c r="M5522">
        <v>22.203059349870099</v>
      </c>
      <c r="N5522">
        <v>54.831580959738901</v>
      </c>
      <c r="O5522">
        <v>53.519845039033903</v>
      </c>
      <c r="P5522">
        <v>-8.8174031288683397E-2</v>
      </c>
      <c r="Q5522">
        <v>0.14985426437025101</v>
      </c>
      <c r="R5522">
        <v>0.98634302070755497</v>
      </c>
      <c r="S5522" t="s">
        <v>11348</v>
      </c>
      <c r="T5522" t="s">
        <v>11650</v>
      </c>
      <c r="U5522" t="s">
        <v>11650</v>
      </c>
      <c r="V5522" t="s">
        <v>11650</v>
      </c>
      <c r="W5522" t="s">
        <v>17112</v>
      </c>
      <c r="X5522">
        <v>14</v>
      </c>
      <c r="Y5522" t="s">
        <v>22769</v>
      </c>
      <c r="Z5522" t="s">
        <v>28584</v>
      </c>
      <c r="AA5522">
        <v>0.554933312602502</v>
      </c>
      <c r="AB5522" t="str">
        <f>HYPERLINK("Melting_Curves/meltCurve_Q9UJY5_4_GGA1.pdf", "Melting_Curves/meltCurve_Q9UJY5_4_GGA1.pdf")</f>
        <v>Melting_Curves/meltCurve_Q9UJY5_4_GGA1.pdf</v>
      </c>
    </row>
    <row r="5523" spans="1:28" x14ac:dyDescent="0.25">
      <c r="A5523" t="s">
        <v>5527</v>
      </c>
      <c r="B5523">
        <v>0.99996721820229495</v>
      </c>
      <c r="C5523">
        <v>1.01079924264126</v>
      </c>
      <c r="D5523">
        <v>0.97481371589669696</v>
      </c>
      <c r="E5523">
        <v>1.6080183800696299</v>
      </c>
      <c r="F5523">
        <v>1.76559865423883</v>
      </c>
      <c r="G5523">
        <v>2.0727824935952501</v>
      </c>
      <c r="H5523">
        <v>1.7702091836696501</v>
      </c>
      <c r="I5523">
        <v>0.98532546731044501</v>
      </c>
      <c r="J5523">
        <v>0.24329709405828501</v>
      </c>
      <c r="K5523">
        <v>0.14841970286505801</v>
      </c>
      <c r="L5523">
        <v>8930.6317964506306</v>
      </c>
      <c r="M5523">
        <v>135.36846878149399</v>
      </c>
      <c r="N5523">
        <v>66.144493182291299</v>
      </c>
      <c r="O5523">
        <v>65.958365335331607</v>
      </c>
      <c r="P5523">
        <v>-0.43705660780352101</v>
      </c>
      <c r="Q5523">
        <v>0.14817565051836101</v>
      </c>
      <c r="R5523">
        <v>0.27967641718033898</v>
      </c>
      <c r="S5523" t="s">
        <v>11349</v>
      </c>
      <c r="T5523" t="s">
        <v>11650</v>
      </c>
      <c r="U5523" t="s">
        <v>11650</v>
      </c>
      <c r="V5523" t="s">
        <v>11650</v>
      </c>
      <c r="W5523" t="s">
        <v>17113</v>
      </c>
      <c r="X5523">
        <v>21</v>
      </c>
      <c r="Y5523" t="s">
        <v>22770</v>
      </c>
      <c r="Z5523" t="s">
        <v>28585</v>
      </c>
      <c r="AA5523">
        <v>0.88598002436946532</v>
      </c>
      <c r="AB5523" t="str">
        <f>HYPERLINK("Melting_Curves/meltCurve_Q9UJZ1_STOML2.pdf", "Melting_Curves/meltCurve_Q9UJZ1_STOML2.pdf")</f>
        <v>Melting_Curves/meltCurve_Q9UJZ1_STOML2.pdf</v>
      </c>
    </row>
    <row r="5524" spans="1:28" x14ac:dyDescent="0.25">
      <c r="A5524" t="s">
        <v>5528</v>
      </c>
      <c r="B5524">
        <v>0.99996721820229495</v>
      </c>
      <c r="C5524">
        <v>1.01980933827193</v>
      </c>
      <c r="D5524">
        <v>1.01150501430444</v>
      </c>
      <c r="E5524">
        <v>1.22167240197364</v>
      </c>
      <c r="F5524">
        <v>1.6648298722342001</v>
      </c>
      <c r="G5524">
        <v>1.9761715610269499</v>
      </c>
      <c r="H5524">
        <v>1.3425802431229701</v>
      </c>
      <c r="I5524">
        <v>0.80757632900596199</v>
      </c>
      <c r="J5524">
        <v>0.43731335224793</v>
      </c>
      <c r="K5524">
        <v>0.43316366247475002</v>
      </c>
      <c r="L5524">
        <v>15000</v>
      </c>
      <c r="M5524">
        <v>233.71479059847599</v>
      </c>
      <c r="N5524">
        <v>64.746956933975198</v>
      </c>
      <c r="O5524">
        <v>64.176090866409297</v>
      </c>
      <c r="P5524">
        <v>-0.51419768808358302</v>
      </c>
      <c r="Q5524">
        <v>0.43522277697554301</v>
      </c>
      <c r="R5524">
        <v>0.27460504447522299</v>
      </c>
      <c r="S5524" t="s">
        <v>11350</v>
      </c>
      <c r="T5524" t="s">
        <v>11650</v>
      </c>
      <c r="U5524" t="s">
        <v>11650</v>
      </c>
      <c r="V5524" t="s">
        <v>11650</v>
      </c>
      <c r="W5524" t="s">
        <v>17114</v>
      </c>
      <c r="X5524">
        <v>8</v>
      </c>
      <c r="Y5524" t="s">
        <v>22771</v>
      </c>
      <c r="Z5524" t="s">
        <v>28586</v>
      </c>
      <c r="AA5524">
        <v>0.89052089049414085</v>
      </c>
      <c r="AB5524" t="str">
        <f>HYPERLINK("Melting_Curves/meltCurve_Q9UK23_2_NAGPA.pdf", "Melting_Curves/meltCurve_Q9UK23_2_NAGPA.pdf")</f>
        <v>Melting_Curves/meltCurve_Q9UK23_2_NAGPA.pdf</v>
      </c>
    </row>
    <row r="5525" spans="1:28" x14ac:dyDescent="0.25">
      <c r="A5525" t="s">
        <v>5529</v>
      </c>
      <c r="B5525">
        <v>0.99996721820229495</v>
      </c>
      <c r="C5525">
        <v>0.91495933577514899</v>
      </c>
      <c r="D5525">
        <v>0.44524774671668799</v>
      </c>
      <c r="E5525">
        <v>0.228082662759447</v>
      </c>
      <c r="F5525">
        <v>0.22640668511541101</v>
      </c>
      <c r="G5525">
        <v>0.18626609653679399</v>
      </c>
      <c r="H5525">
        <v>0.12430228453041001</v>
      </c>
      <c r="I5525">
        <v>9.72935899825077E-2</v>
      </c>
      <c r="J5525">
        <v>6.9592599159227303E-2</v>
      </c>
      <c r="K5525">
        <v>6.5164453844806E-2</v>
      </c>
      <c r="L5525">
        <v>1411.37522806315</v>
      </c>
      <c r="M5525">
        <v>31.084543638841001</v>
      </c>
      <c r="N5525">
        <v>45.853721250541703</v>
      </c>
      <c r="O5525">
        <v>45.217734357333399</v>
      </c>
      <c r="P5525">
        <v>-0.14929791587353</v>
      </c>
      <c r="Q5525">
        <v>0.131288546496481</v>
      </c>
      <c r="R5525">
        <v>0.97719098707495999</v>
      </c>
      <c r="S5525" t="s">
        <v>11351</v>
      </c>
      <c r="T5525" t="s">
        <v>11650</v>
      </c>
      <c r="U5525" t="s">
        <v>11650</v>
      </c>
      <c r="V5525" t="s">
        <v>11650</v>
      </c>
      <c r="W5525" t="s">
        <v>17115</v>
      </c>
      <c r="X5525">
        <v>3</v>
      </c>
      <c r="Y5525" t="s">
        <v>22772</v>
      </c>
      <c r="Z5525" t="s">
        <v>28587</v>
      </c>
      <c r="AA5525">
        <v>0.29278791765083351</v>
      </c>
      <c r="AB5525" t="str">
        <f>HYPERLINK("Melting_Curves/meltCurve_Q9UK39_CCRN4L.pdf", "Melting_Curves/meltCurve_Q9UK39_CCRN4L.pdf")</f>
        <v>Melting_Curves/meltCurve_Q9UK39_CCRN4L.pdf</v>
      </c>
    </row>
    <row r="5526" spans="1:28" x14ac:dyDescent="0.25">
      <c r="A5526" t="s">
        <v>5530</v>
      </c>
      <c r="B5526">
        <v>0.99996721820229495</v>
      </c>
      <c r="C5526">
        <v>1.0170573606991</v>
      </c>
      <c r="D5526">
        <v>1.0003018445893099</v>
      </c>
      <c r="E5526">
        <v>0.88640883279748195</v>
      </c>
      <c r="F5526">
        <v>0.50500749959859104</v>
      </c>
      <c r="G5526">
        <v>0.38121611349137102</v>
      </c>
      <c r="H5526">
        <v>0.21799519909227799</v>
      </c>
      <c r="I5526">
        <v>0.14887631948178401</v>
      </c>
      <c r="J5526">
        <v>0.122126836540008</v>
      </c>
      <c r="K5526">
        <v>9.1538757075529706E-2</v>
      </c>
      <c r="L5526">
        <v>1031.65124387574</v>
      </c>
      <c r="M5526">
        <v>19.256846114905201</v>
      </c>
      <c r="N5526">
        <v>54.292521215551098</v>
      </c>
      <c r="O5526">
        <v>53.005508516402898</v>
      </c>
      <c r="P5526">
        <v>-8.0601732262498005E-2</v>
      </c>
      <c r="Q5526">
        <v>0.112590905419204</v>
      </c>
      <c r="R5526">
        <v>0.98558540891073998</v>
      </c>
      <c r="S5526" t="s">
        <v>11352</v>
      </c>
      <c r="T5526" t="s">
        <v>11650</v>
      </c>
      <c r="U5526" t="s">
        <v>11650</v>
      </c>
      <c r="V5526" t="s">
        <v>11650</v>
      </c>
      <c r="W5526" t="s">
        <v>17116</v>
      </c>
      <c r="X5526">
        <v>9</v>
      </c>
      <c r="Y5526" t="s">
        <v>22773</v>
      </c>
      <c r="Z5526" t="s">
        <v>28588</v>
      </c>
      <c r="AA5526">
        <v>0.52699787774186035</v>
      </c>
      <c r="AB5526" t="str">
        <f>HYPERLINK("Melting_Curves/meltCurve_Q9UK41_VPS28.pdf", "Melting_Curves/meltCurve_Q9UK41_VPS28.pdf")</f>
        <v>Melting_Curves/meltCurve_Q9UK41_VPS28.pdf</v>
      </c>
    </row>
    <row r="5527" spans="1:28" x14ac:dyDescent="0.25">
      <c r="A5527" t="s">
        <v>5531</v>
      </c>
      <c r="B5527">
        <v>0.99996721820229495</v>
      </c>
      <c r="C5527">
        <v>0.65688204223921498</v>
      </c>
      <c r="D5527">
        <v>0.70894862440986395</v>
      </c>
      <c r="E5527">
        <v>0.88712339925625405</v>
      </c>
      <c r="F5527">
        <v>1.92747015279562</v>
      </c>
      <c r="G5527">
        <v>1.3473553127167299</v>
      </c>
      <c r="H5527">
        <v>1.49085402800948</v>
      </c>
      <c r="I5527">
        <v>1.38779043609769</v>
      </c>
      <c r="J5527">
        <v>1.0368063533618701</v>
      </c>
      <c r="K5527">
        <v>0.84212021855581298</v>
      </c>
      <c r="L5527">
        <v>12823.258500726801</v>
      </c>
      <c r="M5527">
        <v>250</v>
      </c>
      <c r="O5527">
        <v>51.2897518525767</v>
      </c>
      <c r="P5527">
        <v>0.41271829675134197</v>
      </c>
      <c r="Q5527">
        <v>1.3386915022685899</v>
      </c>
      <c r="R5527">
        <v>0.36107192270800798</v>
      </c>
      <c r="S5527" t="s">
        <v>11353</v>
      </c>
      <c r="T5527" t="s">
        <v>11650</v>
      </c>
      <c r="U5527" t="s">
        <v>11650</v>
      </c>
      <c r="V5527" t="s">
        <v>11650</v>
      </c>
      <c r="W5527" t="s">
        <v>17117</v>
      </c>
      <c r="X5527">
        <v>4</v>
      </c>
      <c r="Y5527" t="s">
        <v>22774</v>
      </c>
      <c r="Z5527" t="s">
        <v>28589</v>
      </c>
      <c r="AA5527">
        <v>1.2111658587217631</v>
      </c>
      <c r="AB5527" t="str">
        <f>HYPERLINK("Melting_Curves/meltCurve_Q9UK45_LSM7.pdf", "Melting_Curves/meltCurve_Q9UK45_LSM7.pdf")</f>
        <v>Melting_Curves/meltCurve_Q9UK45_LSM7.pdf</v>
      </c>
    </row>
    <row r="5528" spans="1:28" x14ac:dyDescent="0.25">
      <c r="A5528" t="s">
        <v>5532</v>
      </c>
      <c r="B5528">
        <v>0.99996721820229495</v>
      </c>
      <c r="C5528">
        <v>1.07927164858425</v>
      </c>
      <c r="D5528">
        <v>0.87885933858988696</v>
      </c>
      <c r="E5528">
        <v>0.79188519344807295</v>
      </c>
      <c r="F5528">
        <v>0.76643958658532396</v>
      </c>
      <c r="G5528">
        <v>0.61335112875976305</v>
      </c>
      <c r="H5528">
        <v>0.278962029800636</v>
      </c>
      <c r="I5528">
        <v>0.17169603216958301</v>
      </c>
      <c r="J5528">
        <v>2.6007472677289999E-2</v>
      </c>
      <c r="K5528">
        <v>7.1019594080531503E-2</v>
      </c>
      <c r="L5528">
        <v>818.97630246214999</v>
      </c>
      <c r="M5528">
        <v>14.296126666291499</v>
      </c>
      <c r="N5528">
        <v>57.2865869181176</v>
      </c>
      <c r="O5528">
        <v>56.200655439993398</v>
      </c>
      <c r="P5528">
        <v>-6.3601882347531793E-2</v>
      </c>
      <c r="Q5528">
        <v>0</v>
      </c>
      <c r="R5528">
        <v>0.97002615357134003</v>
      </c>
      <c r="S5528" t="s">
        <v>11354</v>
      </c>
      <c r="T5528" t="s">
        <v>11650</v>
      </c>
      <c r="U5528" t="s">
        <v>11650</v>
      </c>
      <c r="V5528" t="s">
        <v>11650</v>
      </c>
      <c r="W5528" t="s">
        <v>17118</v>
      </c>
      <c r="X5528">
        <v>3</v>
      </c>
      <c r="Y5528" t="s">
        <v>22775</v>
      </c>
      <c r="Z5528" t="s">
        <v>28590</v>
      </c>
      <c r="AA5528">
        <v>0.59170725928922852</v>
      </c>
      <c r="AB5528" t="str">
        <f>HYPERLINK("Melting_Curves/meltCurve_Q9UK59_DBR1.pdf", "Melting_Curves/meltCurve_Q9UK59_DBR1.pdf")</f>
        <v>Melting_Curves/meltCurve_Q9UK59_DBR1.pdf</v>
      </c>
    </row>
    <row r="5529" spans="1:28" x14ac:dyDescent="0.25">
      <c r="A5529" t="s">
        <v>5533</v>
      </c>
      <c r="B5529">
        <v>0.99996721820229495</v>
      </c>
      <c r="C5529">
        <v>1.03217091478506</v>
      </c>
      <c r="D5529">
        <v>1.00168418754801</v>
      </c>
      <c r="E5529">
        <v>0.95345295275230801</v>
      </c>
      <c r="F5529">
        <v>1.2672119853053001</v>
      </c>
      <c r="G5529">
        <v>1.4801689417461199</v>
      </c>
      <c r="H5529">
        <v>1.08063385673718</v>
      </c>
      <c r="I5529">
        <v>1.0327437089551299</v>
      </c>
      <c r="J5529">
        <v>1.00087275527065</v>
      </c>
      <c r="K5529">
        <v>0.61741154540842902</v>
      </c>
      <c r="S5529" t="s">
        <v>11355</v>
      </c>
      <c r="T5529" t="s">
        <v>11650</v>
      </c>
      <c r="U5529" t="s">
        <v>11651</v>
      </c>
      <c r="V5529" t="s">
        <v>11650</v>
      </c>
      <c r="W5529" t="s">
        <v>17119</v>
      </c>
      <c r="X5529">
        <v>8</v>
      </c>
      <c r="Y5529" t="s">
        <v>18001</v>
      </c>
      <c r="Z5529" t="s">
        <v>28591</v>
      </c>
      <c r="AB5529" t="str">
        <f>HYPERLINK("Melting_Curves/meltCurve_Q9UK76_HN1.pdf", "Melting_Curves/meltCurve_Q9UK76_HN1.pdf")</f>
        <v>Melting_Curves/meltCurve_Q9UK76_HN1.pdf</v>
      </c>
    </row>
    <row r="5530" spans="1:28" x14ac:dyDescent="0.25">
      <c r="A5530" t="s">
        <v>5534</v>
      </c>
      <c r="B5530">
        <v>0.99996721820229495</v>
      </c>
      <c r="C5530">
        <v>1.0688898238187801</v>
      </c>
      <c r="D5530">
        <v>1.1228374666183101</v>
      </c>
      <c r="E5530">
        <v>0.85753178040045397</v>
      </c>
      <c r="F5530">
        <v>0.79255675434760597</v>
      </c>
      <c r="G5530">
        <v>0.629624624443199</v>
      </c>
      <c r="H5530">
        <v>0.519280286255273</v>
      </c>
      <c r="I5530">
        <v>0.28347709531211801</v>
      </c>
      <c r="J5530">
        <v>0.19531177317488399</v>
      </c>
      <c r="K5530">
        <v>8.7782104647714201E-2</v>
      </c>
      <c r="L5530">
        <v>759.01924527820097</v>
      </c>
      <c r="M5530">
        <v>12.706275739811099</v>
      </c>
      <c r="N5530">
        <v>59.735776395190797</v>
      </c>
      <c r="O5530">
        <v>58.314135285175503</v>
      </c>
      <c r="P5530">
        <v>-5.44839136278574E-2</v>
      </c>
      <c r="Q5530">
        <v>0</v>
      </c>
      <c r="R5530">
        <v>0.96614931511343105</v>
      </c>
      <c r="S5530" t="s">
        <v>11356</v>
      </c>
      <c r="T5530" t="s">
        <v>11650</v>
      </c>
      <c r="U5530" t="s">
        <v>11650</v>
      </c>
      <c r="V5530" t="s">
        <v>11650</v>
      </c>
      <c r="W5530" t="s">
        <v>17120</v>
      </c>
      <c r="X5530">
        <v>3</v>
      </c>
      <c r="Y5530" t="s">
        <v>22776</v>
      </c>
      <c r="Z5530" t="s">
        <v>28592</v>
      </c>
      <c r="AA5530">
        <v>0.66311713731733546</v>
      </c>
      <c r="AB5530" t="str">
        <f>HYPERLINK("Melting_Curves/meltCurve_Q9UK97_3_FBXO9.pdf", "Melting_Curves/meltCurve_Q9UK97_3_FBXO9.pdf")</f>
        <v>Melting_Curves/meltCurve_Q9UK97_3_FBXO9.pdf</v>
      </c>
    </row>
    <row r="5531" spans="1:28" x14ac:dyDescent="0.25">
      <c r="A5531" t="s">
        <v>5535</v>
      </c>
      <c r="B5531">
        <v>0.99996721820229495</v>
      </c>
      <c r="C5531">
        <v>1.0711244598780201</v>
      </c>
      <c r="D5531">
        <v>1.0544184560737799</v>
      </c>
      <c r="E5531">
        <v>1.1347436966867599</v>
      </c>
      <c r="F5531">
        <v>1.2925208762873399</v>
      </c>
      <c r="G5531">
        <v>0.944543463035591</v>
      </c>
      <c r="H5531">
        <v>0.38746642857431701</v>
      </c>
      <c r="I5531">
        <v>0.16849488886421701</v>
      </c>
      <c r="J5531">
        <v>8.4997825434602201E-2</v>
      </c>
      <c r="K5531">
        <v>4.9890426770581503E-2</v>
      </c>
      <c r="L5531">
        <v>2858.2486157240201</v>
      </c>
      <c r="M5531">
        <v>47.480218966155697</v>
      </c>
      <c r="N5531">
        <v>60.414187021384997</v>
      </c>
      <c r="O5531">
        <v>60.092229264933898</v>
      </c>
      <c r="P5531">
        <v>-0.18214707897459201</v>
      </c>
      <c r="Q5531">
        <v>7.7880231277971501E-2</v>
      </c>
      <c r="R5531">
        <v>0.94596340536614298</v>
      </c>
      <c r="S5531" t="s">
        <v>11357</v>
      </c>
      <c r="T5531" t="s">
        <v>11650</v>
      </c>
      <c r="U5531" t="s">
        <v>11650</v>
      </c>
      <c r="V5531" t="s">
        <v>11650</v>
      </c>
      <c r="W5531" t="s">
        <v>17121</v>
      </c>
      <c r="X5531">
        <v>4</v>
      </c>
      <c r="Y5531" t="s">
        <v>22777</v>
      </c>
      <c r="Z5531" t="s">
        <v>28593</v>
      </c>
      <c r="AA5531">
        <v>0.70138015945192378</v>
      </c>
      <c r="AB5531" t="str">
        <f>HYPERLINK("Melting_Curves/meltCurve_Q9UK99_FBXO3.pdf", "Melting_Curves/meltCurve_Q9UK99_FBXO3.pdf")</f>
        <v>Melting_Curves/meltCurve_Q9UK99_FBXO3.pdf</v>
      </c>
    </row>
    <row r="5532" spans="1:28" x14ac:dyDescent="0.25">
      <c r="A5532" t="s">
        <v>5536</v>
      </c>
      <c r="B5532">
        <v>0.99996721820229495</v>
      </c>
      <c r="C5532">
        <v>0.69488602126628896</v>
      </c>
      <c r="D5532">
        <v>0.44022115874992201</v>
      </c>
      <c r="E5532">
        <v>0.29223921512769802</v>
      </c>
      <c r="F5532">
        <v>0.22665039117743899</v>
      </c>
      <c r="G5532">
        <v>0.19100149969380101</v>
      </c>
      <c r="H5532">
        <v>0.108321357612973</v>
      </c>
      <c r="I5532">
        <v>9.5542973931794006E-2</v>
      </c>
      <c r="J5532">
        <v>7.0228283496148305E-2</v>
      </c>
      <c r="K5532">
        <v>5.6780294991203899E-2</v>
      </c>
      <c r="L5532">
        <v>699.82059793421604</v>
      </c>
      <c r="M5532">
        <v>15.461612157054301</v>
      </c>
      <c r="N5532">
        <v>45.898124725235199</v>
      </c>
      <c r="O5532">
        <v>44.524951268121299</v>
      </c>
      <c r="P5532">
        <v>-7.8446442152349194E-2</v>
      </c>
      <c r="Q5532">
        <v>9.6469200459501095E-2</v>
      </c>
      <c r="R5532">
        <v>0.97238511016779505</v>
      </c>
      <c r="S5532" t="s">
        <v>11358</v>
      </c>
      <c r="T5532" t="s">
        <v>11650</v>
      </c>
      <c r="U5532" t="s">
        <v>11650</v>
      </c>
      <c r="V5532" t="s">
        <v>11650</v>
      </c>
      <c r="W5532" t="s">
        <v>17122</v>
      </c>
      <c r="X5532">
        <v>1</v>
      </c>
      <c r="Y5532" t="s">
        <v>22778</v>
      </c>
      <c r="Z5532" t="s">
        <v>28594</v>
      </c>
      <c r="AA5532">
        <v>0.28142382214632511</v>
      </c>
      <c r="AB5532" t="str">
        <f>HYPERLINK("Melting_Curves/meltCurve_Q9UKA4_AKAP11.pdf", "Melting_Curves/meltCurve_Q9UKA4_AKAP11.pdf")</f>
        <v>Melting_Curves/meltCurve_Q9UKA4_AKAP11.pdf</v>
      </c>
    </row>
    <row r="5533" spans="1:28" x14ac:dyDescent="0.25">
      <c r="A5533" t="s">
        <v>5537</v>
      </c>
      <c r="B5533">
        <v>0.99996721820229495</v>
      </c>
      <c r="C5533">
        <v>0.800241902210857</v>
      </c>
      <c r="D5533">
        <v>0.71763014968119099</v>
      </c>
      <c r="E5533">
        <v>0.81666024154176198</v>
      </c>
      <c r="F5533">
        <v>0.87538777832738202</v>
      </c>
      <c r="G5533">
        <v>0.85845054635138096</v>
      </c>
      <c r="H5533">
        <v>0.54047106090868102</v>
      </c>
      <c r="I5533">
        <v>0.52717524485229905</v>
      </c>
      <c r="J5533">
        <v>0.45286305951011102</v>
      </c>
      <c r="K5533">
        <v>0.33172604118730897</v>
      </c>
      <c r="L5533">
        <v>336.33893210547399</v>
      </c>
      <c r="M5533">
        <v>5.1566504328505101</v>
      </c>
      <c r="N5533">
        <v>65.224304174436099</v>
      </c>
      <c r="O5533">
        <v>57.328554258776798</v>
      </c>
      <c r="P5533">
        <v>-2.26112055782768E-2</v>
      </c>
      <c r="Q5533">
        <v>0</v>
      </c>
      <c r="R5533">
        <v>0.74996342495069201</v>
      </c>
      <c r="S5533" t="s">
        <v>11359</v>
      </c>
      <c r="T5533" t="s">
        <v>11650</v>
      </c>
      <c r="U5533" t="s">
        <v>11650</v>
      </c>
      <c r="V5533" t="s">
        <v>11650</v>
      </c>
      <c r="W5533" t="s">
        <v>17123</v>
      </c>
      <c r="X5533">
        <v>3</v>
      </c>
      <c r="Y5533" t="s">
        <v>22779</v>
      </c>
      <c r="Z5533" t="s">
        <v>28595</v>
      </c>
      <c r="AA5533">
        <v>0.71124299593981266</v>
      </c>
      <c r="AB5533" t="str">
        <f>HYPERLINK("Melting_Curves/meltCurve_Q9UKB3_DNAJC12.pdf", "Melting_Curves/meltCurve_Q9UKB3_DNAJC12.pdf")</f>
        <v>Melting_Curves/meltCurve_Q9UKB3_DNAJC12.pdf</v>
      </c>
    </row>
    <row r="5534" spans="1:28" x14ac:dyDescent="0.25">
      <c r="A5534" t="s">
        <v>5538</v>
      </c>
      <c r="B5534">
        <v>0.99996721820229495</v>
      </c>
      <c r="C5534">
        <v>0.87552168375151496</v>
      </c>
      <c r="D5534">
        <v>0.89376021556312202</v>
      </c>
      <c r="E5534">
        <v>0.38031166097485603</v>
      </c>
      <c r="F5534">
        <v>0.488299332670526</v>
      </c>
      <c r="G5534">
        <v>0.40279727624107198</v>
      </c>
      <c r="H5534">
        <v>0.18492649513376899</v>
      </c>
      <c r="I5534">
        <v>0.13427760086757701</v>
      </c>
      <c r="J5534">
        <v>8.45887982075373E-2</v>
      </c>
      <c r="K5534">
        <v>2.72068452402589E-2</v>
      </c>
      <c r="L5534">
        <v>509.47628139187702</v>
      </c>
      <c r="M5534">
        <v>9.8270044113174002</v>
      </c>
      <c r="N5534">
        <v>51.844507130497497</v>
      </c>
      <c r="O5534">
        <v>49.8344568650855</v>
      </c>
      <c r="P5534">
        <v>-4.9323872650475199E-2</v>
      </c>
      <c r="Q5534">
        <v>0</v>
      </c>
      <c r="R5534">
        <v>0.93459634042376005</v>
      </c>
      <c r="S5534" t="s">
        <v>11360</v>
      </c>
      <c r="T5534" t="s">
        <v>11650</v>
      </c>
      <c r="U5534" t="s">
        <v>11650</v>
      </c>
      <c r="V5534" t="s">
        <v>11650</v>
      </c>
      <c r="W5534" t="s">
        <v>17124</v>
      </c>
      <c r="X5534">
        <v>3</v>
      </c>
      <c r="Y5534" t="s">
        <v>22780</v>
      </c>
      <c r="Z5534" t="s">
        <v>28596</v>
      </c>
      <c r="AA5534">
        <v>0.43409926418012179</v>
      </c>
      <c r="AB5534" t="str">
        <f>HYPERLINK("Melting_Curves/meltCurve_Q9UKC9_FBXL2.pdf", "Melting_Curves/meltCurve_Q9UKC9_FBXL2.pdf")</f>
        <v>Melting_Curves/meltCurve_Q9UKC9_FBXL2.pdf</v>
      </c>
    </row>
    <row r="5535" spans="1:28" x14ac:dyDescent="0.25">
      <c r="A5535" t="s">
        <v>5539</v>
      </c>
      <c r="B5535">
        <v>0.99996721820229495</v>
      </c>
      <c r="C5535">
        <v>0.968209984193387</v>
      </c>
      <c r="D5535">
        <v>1.0061336672128101</v>
      </c>
      <c r="E5535">
        <v>0.80166636041616102</v>
      </c>
      <c r="F5535">
        <v>0.91314939290003205</v>
      </c>
      <c r="G5535">
        <v>0.83328029313114904</v>
      </c>
      <c r="H5535">
        <v>0.53824308692925205</v>
      </c>
      <c r="I5535">
        <v>0.34607429022234398</v>
      </c>
      <c r="J5535">
        <v>0.15680159166656699</v>
      </c>
      <c r="K5535">
        <v>0.139774131843871</v>
      </c>
      <c r="L5535">
        <v>1002.8877331669501</v>
      </c>
      <c r="M5535">
        <v>16.317055425856299</v>
      </c>
      <c r="N5535">
        <v>61.4625439215909</v>
      </c>
      <c r="O5535">
        <v>60.561611313730999</v>
      </c>
      <c r="P5535">
        <v>-6.7362130977964896E-2</v>
      </c>
      <c r="Q5535">
        <v>0</v>
      </c>
      <c r="R5535">
        <v>0.96524142281452097</v>
      </c>
      <c r="S5535" t="s">
        <v>11361</v>
      </c>
      <c r="T5535" t="s">
        <v>11650</v>
      </c>
      <c r="U5535" t="s">
        <v>11650</v>
      </c>
      <c r="V5535" t="s">
        <v>11650</v>
      </c>
      <c r="W5535" t="s">
        <v>17125</v>
      </c>
      <c r="X5535">
        <v>8</v>
      </c>
      <c r="Y5535" t="s">
        <v>22781</v>
      </c>
      <c r="Z5535" t="s">
        <v>28597</v>
      </c>
      <c r="AA5535">
        <v>0.7174465449621924</v>
      </c>
      <c r="AB5535" t="str">
        <f>HYPERLINK("Melting_Curves/meltCurve_Q9UKE5_5_TNIK.pdf", "Melting_Curves/meltCurve_Q9UKE5_5_TNIK.pdf")</f>
        <v>Melting_Curves/meltCurve_Q9UKE5_5_TNIK.pdf</v>
      </c>
    </row>
    <row r="5536" spans="1:28" x14ac:dyDescent="0.25">
      <c r="A5536" t="s">
        <v>5540</v>
      </c>
      <c r="B5536">
        <v>0.99996721820229495</v>
      </c>
      <c r="C5536">
        <v>1.09585652457948</v>
      </c>
      <c r="D5536">
        <v>1.0739646338223701</v>
      </c>
      <c r="E5536">
        <v>1.24461871574237</v>
      </c>
      <c r="F5536">
        <v>0.77035449550366997</v>
      </c>
      <c r="G5536">
        <v>0.60408986697786904</v>
      </c>
      <c r="H5536">
        <v>0.28257438385341399</v>
      </c>
      <c r="I5536">
        <v>0.121437609932948</v>
      </c>
      <c r="J5536">
        <v>5.4332204811164499E-2</v>
      </c>
      <c r="K5536">
        <v>4.0907197444306001E-2</v>
      </c>
      <c r="L5536">
        <v>1304.5822334985201</v>
      </c>
      <c r="M5536">
        <v>22.518482654359399</v>
      </c>
      <c r="N5536">
        <v>58.044591401119199</v>
      </c>
      <c r="O5536">
        <v>57.4827634668016</v>
      </c>
      <c r="P5536">
        <v>-9.5878669967511307E-2</v>
      </c>
      <c r="Q5536">
        <v>2.10248490245649E-2</v>
      </c>
      <c r="R5536">
        <v>0.94794788789762896</v>
      </c>
      <c r="S5536" t="s">
        <v>11362</v>
      </c>
      <c r="T5536" t="s">
        <v>11650</v>
      </c>
      <c r="U5536" t="s">
        <v>11650</v>
      </c>
      <c r="V5536" t="s">
        <v>11650</v>
      </c>
      <c r="W5536" t="s">
        <v>17126</v>
      </c>
      <c r="X5536">
        <v>7</v>
      </c>
      <c r="Y5536" t="s">
        <v>22782</v>
      </c>
      <c r="Z5536" t="s">
        <v>28598</v>
      </c>
      <c r="AA5536">
        <v>0.61604773342077779</v>
      </c>
      <c r="AB5536" t="str">
        <f>HYPERLINK("Melting_Curves/meltCurve_Q9UKF6_CPSF3.pdf", "Melting_Curves/meltCurve_Q9UKF6_CPSF3.pdf")</f>
        <v>Melting_Curves/meltCurve_Q9UKF6_CPSF3.pdf</v>
      </c>
    </row>
    <row r="5537" spans="1:28" x14ac:dyDescent="0.25">
      <c r="A5537" t="s">
        <v>5541</v>
      </c>
      <c r="B5537">
        <v>0.99996721820229495</v>
      </c>
      <c r="C5537">
        <v>1.0195269472901101</v>
      </c>
      <c r="D5537">
        <v>1.0378688120566799</v>
      </c>
      <c r="E5537">
        <v>0.941982562572247</v>
      </c>
      <c r="F5537">
        <v>0.600629662126269</v>
      </c>
      <c r="G5537">
        <v>0.456894363326732</v>
      </c>
      <c r="H5537">
        <v>0.232736161896621</v>
      </c>
      <c r="I5537">
        <v>0.13476784756999899</v>
      </c>
      <c r="J5537">
        <v>9.6809896295945302E-2</v>
      </c>
      <c r="K5537">
        <v>7.0073668215566806E-2</v>
      </c>
      <c r="L5537">
        <v>952.45410245175401</v>
      </c>
      <c r="M5537">
        <v>17.201022609113998</v>
      </c>
      <c r="N5537">
        <v>55.7558409683447</v>
      </c>
      <c r="O5537">
        <v>54.639802379999303</v>
      </c>
      <c r="P5537">
        <v>-7.4311333979379293E-2</v>
      </c>
      <c r="Q5537">
        <v>5.5842870416202298E-2</v>
      </c>
      <c r="R5537">
        <v>0.98546702489839499</v>
      </c>
      <c r="S5537" t="s">
        <v>11363</v>
      </c>
      <c r="T5537" t="s">
        <v>11650</v>
      </c>
      <c r="U5537" t="s">
        <v>11650</v>
      </c>
      <c r="V5537" t="s">
        <v>11650</v>
      </c>
      <c r="W5537" t="s">
        <v>17127</v>
      </c>
      <c r="X5537">
        <v>22</v>
      </c>
      <c r="Y5537" t="s">
        <v>22783</v>
      </c>
      <c r="Z5537" t="s">
        <v>28599</v>
      </c>
      <c r="AA5537">
        <v>0.5548432810295959</v>
      </c>
      <c r="AB5537" t="str">
        <f>HYPERLINK("Melting_Curves/meltCurve_Q9UKG1_APPL1.pdf", "Melting_Curves/meltCurve_Q9UKG1_APPL1.pdf")</f>
        <v>Melting_Curves/meltCurve_Q9UKG1_APPL1.pdf</v>
      </c>
    </row>
    <row r="5538" spans="1:28" x14ac:dyDescent="0.25">
      <c r="A5538" t="s">
        <v>5542</v>
      </c>
      <c r="B5538">
        <v>0.99996721820229495</v>
      </c>
      <c r="C5538">
        <v>0.89926362826827699</v>
      </c>
      <c r="D5538">
        <v>0.75264894302197605</v>
      </c>
      <c r="E5538">
        <v>0.31627662610829499</v>
      </c>
      <c r="F5538">
        <v>0.24141511858296899</v>
      </c>
      <c r="G5538">
        <v>0.174007089102273</v>
      </c>
      <c r="H5538">
        <v>0.102865979338412</v>
      </c>
      <c r="I5538">
        <v>7.2443318677408594E-2</v>
      </c>
      <c r="J5538">
        <v>5.5850560466343402E-2</v>
      </c>
      <c r="K5538">
        <v>4.0807315800492301E-2</v>
      </c>
      <c r="L5538">
        <v>901.15320975368002</v>
      </c>
      <c r="M5538">
        <v>18.7499525473253</v>
      </c>
      <c r="N5538">
        <v>48.464033204679602</v>
      </c>
      <c r="O5538">
        <v>47.524937282622197</v>
      </c>
      <c r="P5538">
        <v>-9.1525787887504595E-2</v>
      </c>
      <c r="Q5538">
        <v>7.2088397436701701E-2</v>
      </c>
      <c r="R5538">
        <v>0.99124535989534501</v>
      </c>
      <c r="S5538" t="s">
        <v>11364</v>
      </c>
      <c r="T5538" t="s">
        <v>11650</v>
      </c>
      <c r="U5538" t="s">
        <v>11650</v>
      </c>
      <c r="V5538" t="s">
        <v>11650</v>
      </c>
      <c r="W5538" t="s">
        <v>17128</v>
      </c>
      <c r="X5538">
        <v>10</v>
      </c>
      <c r="Y5538" t="s">
        <v>22784</v>
      </c>
      <c r="Z5538" t="s">
        <v>28600</v>
      </c>
      <c r="AA5538">
        <v>0.33652666139505277</v>
      </c>
      <c r="AB5538" t="str">
        <f>HYPERLINK("Melting_Curves/meltCurve_Q9UKG9_CROT.pdf", "Melting_Curves/meltCurve_Q9UKG9_CROT.pdf")</f>
        <v>Melting_Curves/meltCurve_Q9UKG9_CROT.pdf</v>
      </c>
    </row>
    <row r="5539" spans="1:28" x14ac:dyDescent="0.25">
      <c r="A5539" t="s">
        <v>5543</v>
      </c>
      <c r="B5539">
        <v>0.99996721820229495</v>
      </c>
      <c r="C5539">
        <v>0.96207048529614203</v>
      </c>
      <c r="D5539">
        <v>0.81112245159403096</v>
      </c>
      <c r="E5539">
        <v>0.87204494063946403</v>
      </c>
      <c r="F5539">
        <v>1.01930061155476</v>
      </c>
      <c r="G5539">
        <v>1.5419392012982001</v>
      </c>
      <c r="H5539">
        <v>0.98821243030664696</v>
      </c>
      <c r="I5539">
        <v>0.67809950366980898</v>
      </c>
      <c r="J5539">
        <v>0.56340264237556403</v>
      </c>
      <c r="K5539">
        <v>0.533801538006487</v>
      </c>
      <c r="L5539">
        <v>5747.0807570393799</v>
      </c>
      <c r="M5539">
        <v>90.685863183565701</v>
      </c>
      <c r="O5539">
        <v>63.342702784233502</v>
      </c>
      <c r="P5539">
        <v>-0.16227174818592299</v>
      </c>
      <c r="Q5539">
        <v>0.54662259254346401</v>
      </c>
      <c r="R5539">
        <v>0.53805546833864004</v>
      </c>
      <c r="S5539" t="s">
        <v>11365</v>
      </c>
      <c r="T5539" t="s">
        <v>11650</v>
      </c>
      <c r="U5539" t="s">
        <v>11650</v>
      </c>
      <c r="V5539" t="s">
        <v>11650</v>
      </c>
      <c r="W5539" t="s">
        <v>17129</v>
      </c>
      <c r="X5539">
        <v>4</v>
      </c>
      <c r="Y5539" t="s">
        <v>22785</v>
      </c>
      <c r="Z5539" t="s">
        <v>28601</v>
      </c>
      <c r="AA5539">
        <v>0.90023782764775373</v>
      </c>
      <c r="AB5539" t="str">
        <f>HYPERLINK("Melting_Curves/meltCurve_Q9UKJ3_GPATCH8.pdf", "Melting_Curves/meltCurve_Q9UKJ3_GPATCH8.pdf")</f>
        <v>Melting_Curves/meltCurve_Q9UKJ3_GPATCH8.pdf</v>
      </c>
    </row>
    <row r="5540" spans="1:28" x14ac:dyDescent="0.25">
      <c r="A5540" t="s">
        <v>5544</v>
      </c>
      <c r="B5540">
        <v>0.99996721820229495</v>
      </c>
      <c r="C5540">
        <v>0.86488636080730796</v>
      </c>
      <c r="D5540">
        <v>0.68217376134347196</v>
      </c>
      <c r="E5540">
        <v>0.51179969808618497</v>
      </c>
      <c r="F5540">
        <v>0.59628455540456304</v>
      </c>
      <c r="G5540">
        <v>0.591993778551961</v>
      </c>
      <c r="H5540">
        <v>0.401327880123099</v>
      </c>
      <c r="I5540">
        <v>0.305285742052048</v>
      </c>
      <c r="J5540">
        <v>0.24109199731118</v>
      </c>
      <c r="K5540">
        <v>0.14739536533106901</v>
      </c>
      <c r="L5540">
        <v>323.81144797251898</v>
      </c>
      <c r="M5540">
        <v>5.8685719894136401</v>
      </c>
      <c r="N5540">
        <v>55.177213209831201</v>
      </c>
      <c r="O5540">
        <v>49.7855213341237</v>
      </c>
      <c r="P5540">
        <v>-2.9572531673495901E-2</v>
      </c>
      <c r="Q5540">
        <v>0</v>
      </c>
      <c r="R5540">
        <v>0.90438482998483205</v>
      </c>
      <c r="S5540" t="s">
        <v>11366</v>
      </c>
      <c r="T5540" t="s">
        <v>11650</v>
      </c>
      <c r="U5540" t="s">
        <v>11650</v>
      </c>
      <c r="V5540" t="s">
        <v>11650</v>
      </c>
      <c r="W5540" t="s">
        <v>17130</v>
      </c>
      <c r="X5540">
        <v>14</v>
      </c>
      <c r="Y5540" t="s">
        <v>22786</v>
      </c>
      <c r="Z5540" t="s">
        <v>28602</v>
      </c>
      <c r="AA5540">
        <v>0.52985713027376902</v>
      </c>
      <c r="AB5540" t="str">
        <f>HYPERLINK("Melting_Curves/meltCurve_Q9UKK3_PARP4.pdf", "Melting_Curves/meltCurve_Q9UKK3_PARP4.pdf")</f>
        <v>Melting_Curves/meltCurve_Q9UKK3_PARP4.pdf</v>
      </c>
    </row>
    <row r="5541" spans="1:28" x14ac:dyDescent="0.25">
      <c r="A5541" t="s">
        <v>5545</v>
      </c>
      <c r="B5541">
        <v>0.99996721820229495</v>
      </c>
      <c r="C5541">
        <v>0.98443252016037297</v>
      </c>
      <c r="D5541">
        <v>0.97442952450815301</v>
      </c>
      <c r="E5541">
        <v>1.01080701789133</v>
      </c>
      <c r="F5541">
        <v>1.3440961742965101</v>
      </c>
      <c r="G5541">
        <v>1.4761766861024801</v>
      </c>
      <c r="H5541">
        <v>1.2249475406135399</v>
      </c>
      <c r="I5541">
        <v>1.4257931661502701</v>
      </c>
      <c r="J5541">
        <v>1.2923670345573901</v>
      </c>
      <c r="K5541">
        <v>1.0879242413172401</v>
      </c>
      <c r="L5541">
        <v>12665.724597758501</v>
      </c>
      <c r="M5541">
        <v>250</v>
      </c>
      <c r="O5541">
        <v>50.659666304203</v>
      </c>
      <c r="P5541">
        <v>0.38066712901785499</v>
      </c>
      <c r="Q5541">
        <v>1.30855145456759</v>
      </c>
      <c r="R5541">
        <v>0.705812403847495</v>
      </c>
      <c r="S5541" t="s">
        <v>11367</v>
      </c>
      <c r="T5541" t="s">
        <v>11650</v>
      </c>
      <c r="U5541" t="s">
        <v>11650</v>
      </c>
      <c r="V5541" t="s">
        <v>11650</v>
      </c>
      <c r="W5541" t="s">
        <v>17131</v>
      </c>
      <c r="X5541">
        <v>13</v>
      </c>
      <c r="Y5541" t="s">
        <v>22787</v>
      </c>
      <c r="Z5541" t="s">
        <v>28603</v>
      </c>
      <c r="AA5541">
        <v>1.198855593507423</v>
      </c>
      <c r="AB5541" t="str">
        <f>HYPERLINK("Melting_Curves/meltCurve_Q9UKK9_NUDT5.pdf", "Melting_Curves/meltCurve_Q9UKK9_NUDT5.pdf")</f>
        <v>Melting_Curves/meltCurve_Q9UKK9_NUDT5.pdf</v>
      </c>
    </row>
    <row r="5542" spans="1:28" x14ac:dyDescent="0.25">
      <c r="A5542" t="s">
        <v>5546</v>
      </c>
      <c r="B5542">
        <v>0.99996721820229495</v>
      </c>
      <c r="C5542">
        <v>0.98423392910793395</v>
      </c>
      <c r="D5542">
        <v>0.88300902497671496</v>
      </c>
      <c r="E5542">
        <v>0.81594564652169599</v>
      </c>
      <c r="F5542">
        <v>0.691221603737603</v>
      </c>
      <c r="G5542">
        <v>0.41801739270753702</v>
      </c>
      <c r="H5542">
        <v>0.22302224727588699</v>
      </c>
      <c r="I5542">
        <v>0.14600490569078001</v>
      </c>
      <c r="J5542">
        <v>0.110818515101182</v>
      </c>
      <c r="K5542">
        <v>8.5784046026558397E-2</v>
      </c>
      <c r="L5542">
        <v>739.306977839816</v>
      </c>
      <c r="M5542">
        <v>13.3165985547224</v>
      </c>
      <c r="N5542">
        <v>55.629359793142399</v>
      </c>
      <c r="O5542">
        <v>54.310544388876501</v>
      </c>
      <c r="P5542">
        <v>-6.0499625288509599E-2</v>
      </c>
      <c r="Q5542">
        <v>1.3189715399946501E-2</v>
      </c>
      <c r="R5542">
        <v>0.99590361300187502</v>
      </c>
      <c r="S5542" t="s">
        <v>11368</v>
      </c>
      <c r="T5542" t="s">
        <v>11650</v>
      </c>
      <c r="U5542" t="s">
        <v>11650</v>
      </c>
      <c r="V5542" t="s">
        <v>11650</v>
      </c>
      <c r="W5542" t="s">
        <v>17132</v>
      </c>
      <c r="X5542">
        <v>6</v>
      </c>
      <c r="Y5542" t="s">
        <v>22788</v>
      </c>
      <c r="Z5542" t="s">
        <v>28604</v>
      </c>
      <c r="AA5542">
        <v>0.54385357557207403</v>
      </c>
      <c r="AB5542" t="str">
        <f>HYPERLINK("Melting_Curves/meltCurve_Q9UKL6_PCTP.pdf", "Melting_Curves/meltCurve_Q9UKL6_PCTP.pdf")</f>
        <v>Melting_Curves/meltCurve_Q9UKL6_PCTP.pdf</v>
      </c>
    </row>
    <row r="5543" spans="1:28" x14ac:dyDescent="0.25">
      <c r="A5543" t="s">
        <v>5547</v>
      </c>
      <c r="B5543">
        <v>0.99996721820229495</v>
      </c>
      <c r="C5543">
        <v>0.99799813696749096</v>
      </c>
      <c r="D5543">
        <v>0.90820258016414901</v>
      </c>
      <c r="E5543">
        <v>0.68626931206923902</v>
      </c>
      <c r="F5543">
        <v>0.60003182633919305</v>
      </c>
      <c r="G5543">
        <v>0.59696130355175403</v>
      </c>
      <c r="H5543">
        <v>0.332355539084566</v>
      </c>
      <c r="I5543">
        <v>0.18064295268028999</v>
      </c>
      <c r="J5543">
        <v>0.127228241058776</v>
      </c>
      <c r="K5543">
        <v>0.106575462947563</v>
      </c>
      <c r="L5543">
        <v>554.63489051301701</v>
      </c>
      <c r="M5543">
        <v>9.8798355318445701</v>
      </c>
      <c r="N5543">
        <v>56.138053221348898</v>
      </c>
      <c r="O5543">
        <v>53.9833052714161</v>
      </c>
      <c r="P5543">
        <v>-4.5777431624778403E-2</v>
      </c>
      <c r="Q5543">
        <v>0</v>
      </c>
      <c r="R5543">
        <v>0.96954612775874605</v>
      </c>
      <c r="S5543" t="s">
        <v>11369</v>
      </c>
      <c r="T5543" t="s">
        <v>11650</v>
      </c>
      <c r="U5543" t="s">
        <v>11650</v>
      </c>
      <c r="V5543" t="s">
        <v>11650</v>
      </c>
      <c r="W5543" t="s">
        <v>17133</v>
      </c>
      <c r="X5543">
        <v>5</v>
      </c>
      <c r="Y5543" t="s">
        <v>22789</v>
      </c>
      <c r="Z5543" t="s">
        <v>28605</v>
      </c>
      <c r="AA5543">
        <v>0.55831158825011495</v>
      </c>
      <c r="AB5543" t="str">
        <f>HYPERLINK("Melting_Curves/meltCurve_Q9UKS6_PACSIN3.pdf", "Melting_Curves/meltCurve_Q9UKS6_PACSIN3.pdf")</f>
        <v>Melting_Curves/meltCurve_Q9UKS6_PACSIN3.pdf</v>
      </c>
    </row>
    <row r="5544" spans="1:28" x14ac:dyDescent="0.25">
      <c r="A5544" t="s">
        <v>5548</v>
      </c>
      <c r="B5544">
        <v>0.99996721820229495</v>
      </c>
      <c r="C5544">
        <v>1.0933442492418799</v>
      </c>
      <c r="D5544">
        <v>1.2813287961901201</v>
      </c>
      <c r="E5544">
        <v>1.6808690139648099</v>
      </c>
      <c r="F5544">
        <v>1.93668418488336</v>
      </c>
      <c r="G5544">
        <v>3.68175517973935</v>
      </c>
      <c r="H5544">
        <v>1.47758004464951</v>
      </c>
      <c r="I5544">
        <v>0.36225649613814598</v>
      </c>
      <c r="J5544">
        <v>0.208839340372276</v>
      </c>
      <c r="K5544">
        <v>0.163141948950453</v>
      </c>
      <c r="L5544">
        <v>15000</v>
      </c>
      <c r="M5544">
        <v>235.660013803829</v>
      </c>
      <c r="N5544">
        <v>63.7768830329425</v>
      </c>
      <c r="O5544">
        <v>63.646434105609501</v>
      </c>
      <c r="P5544">
        <v>-0.75352834744097996</v>
      </c>
      <c r="Q5544">
        <v>0.18595620694787099</v>
      </c>
      <c r="R5544">
        <v>9.2230314609609801E-2</v>
      </c>
      <c r="S5544" t="s">
        <v>11370</v>
      </c>
      <c r="T5544" t="s">
        <v>11650</v>
      </c>
      <c r="U5544" t="s">
        <v>11650</v>
      </c>
      <c r="V5544" t="s">
        <v>11650</v>
      </c>
      <c r="W5544" t="s">
        <v>17134</v>
      </c>
      <c r="X5544">
        <v>1</v>
      </c>
      <c r="Y5544" t="s">
        <v>22790</v>
      </c>
      <c r="Z5544" t="s">
        <v>28606</v>
      </c>
      <c r="AA5544">
        <v>0.82782405258792913</v>
      </c>
      <c r="AB5544" t="str">
        <f>HYPERLINK("Melting_Curves/meltCurve_Q9UKT4_2_FBXO5.pdf", "Melting_Curves/meltCurve_Q9UKT4_2_FBXO5.pdf")</f>
        <v>Melting_Curves/meltCurve_Q9UKT4_2_FBXO5.pdf</v>
      </c>
    </row>
    <row r="5545" spans="1:28" x14ac:dyDescent="0.25">
      <c r="A5545" t="s">
        <v>5549</v>
      </c>
      <c r="B5545">
        <v>0.99996721820229495</v>
      </c>
      <c r="C5545">
        <v>1.0688131496138999</v>
      </c>
      <c r="D5545">
        <v>1.01743930006827</v>
      </c>
      <c r="E5545">
        <v>0.93094670526980705</v>
      </c>
      <c r="F5545">
        <v>0.53242631956150999</v>
      </c>
      <c r="G5545">
        <v>0.30514048432865898</v>
      </c>
      <c r="H5545">
        <v>0.17463708896150201</v>
      </c>
      <c r="I5545">
        <v>0.11160391041977499</v>
      </c>
      <c r="J5545">
        <v>7.6151809000811102E-2</v>
      </c>
      <c r="K5545">
        <v>6.5267573591124103E-2</v>
      </c>
      <c r="L5545">
        <v>1308.7788494850599</v>
      </c>
      <c r="M5545">
        <v>24.441769484765999</v>
      </c>
      <c r="N5545">
        <v>54.001726447084302</v>
      </c>
      <c r="O5545">
        <v>53.192231572462497</v>
      </c>
      <c r="P5545">
        <v>-0.104188034413114</v>
      </c>
      <c r="Q5545">
        <v>9.3042352670451106E-2</v>
      </c>
      <c r="R5545">
        <v>0.98777634277389004</v>
      </c>
      <c r="S5545" t="s">
        <v>11371</v>
      </c>
      <c r="T5545" t="s">
        <v>11650</v>
      </c>
      <c r="U5545" t="s">
        <v>11650</v>
      </c>
      <c r="V5545" t="s">
        <v>11650</v>
      </c>
      <c r="W5545" t="s">
        <v>17135</v>
      </c>
      <c r="X5545">
        <v>4</v>
      </c>
      <c r="Y5545" t="s">
        <v>22791</v>
      </c>
      <c r="Z5545" t="s">
        <v>28607</v>
      </c>
      <c r="AA5545">
        <v>0.51132211233841096</v>
      </c>
      <c r="AB5545" t="str">
        <f>HYPERLINK("Melting_Curves/meltCurve_Q9UKT5_FBXO4.pdf", "Melting_Curves/meltCurve_Q9UKT5_FBXO4.pdf")</f>
        <v>Melting_Curves/meltCurve_Q9UKT5_FBXO4.pdf</v>
      </c>
    </row>
    <row r="5546" spans="1:28" x14ac:dyDescent="0.25">
      <c r="A5546" t="s">
        <v>5550</v>
      </c>
      <c r="B5546">
        <v>0.99996721820229495</v>
      </c>
      <c r="C5546">
        <v>0.812625502010624</v>
      </c>
      <c r="D5546">
        <v>0.87383680410956399</v>
      </c>
      <c r="E5546">
        <v>1.16662060502403</v>
      </c>
      <c r="F5546">
        <v>1.5710559638402399</v>
      </c>
      <c r="G5546">
        <v>1.32539328648805</v>
      </c>
      <c r="H5546">
        <v>0.90524640169361703</v>
      </c>
      <c r="I5546">
        <v>0.53357600568919406</v>
      </c>
      <c r="J5546">
        <v>0.39037410121934402</v>
      </c>
      <c r="K5546">
        <v>0.46254447995228398</v>
      </c>
      <c r="L5546">
        <v>4345.2930181130396</v>
      </c>
      <c r="M5546">
        <v>69.479661403140099</v>
      </c>
      <c r="N5546">
        <v>64.320816783730905</v>
      </c>
      <c r="O5546">
        <v>62.488754177703598</v>
      </c>
      <c r="P5546">
        <v>-0.15929777602001499</v>
      </c>
      <c r="Q5546">
        <v>0.42692194650710702</v>
      </c>
      <c r="R5546">
        <v>0.60607665334662597</v>
      </c>
      <c r="S5546" t="s">
        <v>11372</v>
      </c>
      <c r="T5546" t="s">
        <v>11650</v>
      </c>
      <c r="U5546" t="s">
        <v>11650</v>
      </c>
      <c r="V5546" t="s">
        <v>11650</v>
      </c>
      <c r="W5546" t="s">
        <v>17136</v>
      </c>
      <c r="X5546">
        <v>4</v>
      </c>
      <c r="Y5546" t="s">
        <v>22792</v>
      </c>
      <c r="Z5546" t="s">
        <v>28608</v>
      </c>
      <c r="AA5546">
        <v>0.8583071768453745</v>
      </c>
      <c r="AB5546" t="str">
        <f>HYPERLINK("Melting_Curves/meltCurve_Q9UKU6_TRHDE.pdf", "Melting_Curves/meltCurve_Q9UKU6_TRHDE.pdf")</f>
        <v>Melting_Curves/meltCurve_Q9UKU6_TRHDE.pdf</v>
      </c>
    </row>
    <row r="5547" spans="1:28" x14ac:dyDescent="0.25">
      <c r="A5547" t="s">
        <v>5551</v>
      </c>
      <c r="B5547">
        <v>0.99996721820229495</v>
      </c>
      <c r="C5547">
        <v>0.97117599465505899</v>
      </c>
      <c r="D5547">
        <v>1.0007495363377701</v>
      </c>
      <c r="E5547">
        <v>1.0663441541266301</v>
      </c>
      <c r="F5547">
        <v>1.28008060003647</v>
      </c>
      <c r="G5547">
        <v>0.77976990377379496</v>
      </c>
      <c r="H5547">
        <v>0.33651577798002702</v>
      </c>
      <c r="I5547">
        <v>0.18624027397337001</v>
      </c>
      <c r="J5547">
        <v>0.106045258940454</v>
      </c>
      <c r="K5547">
        <v>7.6954471048947495E-2</v>
      </c>
      <c r="L5547">
        <v>2193.9030990169899</v>
      </c>
      <c r="M5547">
        <v>37.057875583838403</v>
      </c>
      <c r="N5547">
        <v>59.563729928550998</v>
      </c>
      <c r="O5547">
        <v>59.030483339650999</v>
      </c>
      <c r="P5547">
        <v>-0.14113239605840699</v>
      </c>
      <c r="Q5547">
        <v>0.10074846025315499</v>
      </c>
      <c r="R5547">
        <v>0.94926721837911099</v>
      </c>
      <c r="S5547" t="s">
        <v>11373</v>
      </c>
      <c r="T5547" t="s">
        <v>11650</v>
      </c>
      <c r="U5547" t="s">
        <v>11650</v>
      </c>
      <c r="V5547" t="s">
        <v>11650</v>
      </c>
      <c r="W5547" t="s">
        <v>17137</v>
      </c>
      <c r="X5547">
        <v>9</v>
      </c>
      <c r="Y5547" t="s">
        <v>22793</v>
      </c>
      <c r="Z5547" t="s">
        <v>28609</v>
      </c>
      <c r="AA5547">
        <v>0.68039103436235571</v>
      </c>
      <c r="AB5547" t="str">
        <f>HYPERLINK("Melting_Curves/meltCurve_Q9UKU7_ACAD8.pdf", "Melting_Curves/meltCurve_Q9UKU7_ACAD8.pdf")</f>
        <v>Melting_Curves/meltCurve_Q9UKU7_ACAD8.pdf</v>
      </c>
    </row>
    <row r="5548" spans="1:28" x14ac:dyDescent="0.25">
      <c r="A5548" t="s">
        <v>5552</v>
      </c>
      <c r="B5548">
        <v>0.99996721820229495</v>
      </c>
      <c r="C5548">
        <v>1.0769570735698899</v>
      </c>
      <c r="D5548">
        <v>0.99250908334334198</v>
      </c>
      <c r="E5548">
        <v>0.89431996891357302</v>
      </c>
      <c r="F5548">
        <v>0.96272698650583299</v>
      </c>
      <c r="G5548">
        <v>0.94465164132983803</v>
      </c>
      <c r="H5548">
        <v>0.61038237093705205</v>
      </c>
      <c r="I5548">
        <v>0.28593355623852401</v>
      </c>
      <c r="J5548">
        <v>0.27303925711772598</v>
      </c>
      <c r="K5548">
        <v>0.159116871325167</v>
      </c>
      <c r="L5548">
        <v>2261.88105204058</v>
      </c>
      <c r="M5548">
        <v>37.039965785181103</v>
      </c>
      <c r="N5548">
        <v>61.850277353657098</v>
      </c>
      <c r="O5548">
        <v>60.888772157655801</v>
      </c>
      <c r="P5548">
        <v>-0.12358009026705</v>
      </c>
      <c r="Q5548">
        <v>0.18740532741761101</v>
      </c>
      <c r="R5548">
        <v>0.97928214613962195</v>
      </c>
      <c r="S5548" t="s">
        <v>11374</v>
      </c>
      <c r="T5548" t="s">
        <v>11650</v>
      </c>
      <c r="U5548" t="s">
        <v>11650</v>
      </c>
      <c r="V5548" t="s">
        <v>11650</v>
      </c>
      <c r="W5548" t="s">
        <v>17138</v>
      </c>
      <c r="X5548">
        <v>1</v>
      </c>
      <c r="Y5548" t="s">
        <v>22794</v>
      </c>
      <c r="Z5548" t="s">
        <v>28610</v>
      </c>
      <c r="AA5548">
        <v>0.76146294957022098</v>
      </c>
      <c r="AB5548" t="str">
        <f>HYPERLINK("Melting_Curves/meltCurve_Q9UKU9_ANGPTL2.pdf", "Melting_Curves/meltCurve_Q9UKU9_ANGPTL2.pdf")</f>
        <v>Melting_Curves/meltCurve_Q9UKU9_ANGPTL2.pdf</v>
      </c>
    </row>
    <row r="5549" spans="1:28" x14ac:dyDescent="0.25">
      <c r="A5549" t="s">
        <v>5553</v>
      </c>
      <c r="B5549">
        <v>0.99996721820229495</v>
      </c>
      <c r="C5549">
        <v>0.77417060639228696</v>
      </c>
      <c r="D5549">
        <v>0.86839661687343195</v>
      </c>
      <c r="E5549">
        <v>1.01074711617345</v>
      </c>
      <c r="F5549">
        <v>1.2392705894026701</v>
      </c>
      <c r="G5549">
        <v>1.3551928721608399</v>
      </c>
      <c r="H5549">
        <v>1.3808737018538699</v>
      </c>
      <c r="I5549">
        <v>0.72638536178236901</v>
      </c>
      <c r="J5549">
        <v>0.18977817117310899</v>
      </c>
      <c r="K5549">
        <v>0.15682759666771301</v>
      </c>
      <c r="L5549">
        <v>15000</v>
      </c>
      <c r="M5549">
        <v>233.67110022822399</v>
      </c>
      <c r="N5549">
        <v>64.309873137551094</v>
      </c>
      <c r="O5549">
        <v>64.188087404055395</v>
      </c>
      <c r="P5549">
        <v>-0.752402093999194</v>
      </c>
      <c r="Q5549">
        <v>0.17327813128386199</v>
      </c>
      <c r="R5549">
        <v>0.76208726224225398</v>
      </c>
      <c r="S5549" t="s">
        <v>11375</v>
      </c>
      <c r="T5549" t="s">
        <v>11650</v>
      </c>
      <c r="U5549" t="s">
        <v>11650</v>
      </c>
      <c r="V5549" t="s">
        <v>11650</v>
      </c>
      <c r="W5549" t="s">
        <v>17139</v>
      </c>
      <c r="X5549">
        <v>6</v>
      </c>
      <c r="Y5549" t="s">
        <v>22795</v>
      </c>
      <c r="Z5549" t="s">
        <v>28611</v>
      </c>
      <c r="AA5549">
        <v>0.84007504353224782</v>
      </c>
      <c r="AB5549" t="str">
        <f>HYPERLINK("Melting_Curves/meltCurve_Q9UKV8_AGO2.pdf", "Melting_Curves/meltCurve_Q9UKV8_AGO2.pdf")</f>
        <v>Melting_Curves/meltCurve_Q9UKV8_AGO2.pdf</v>
      </c>
    </row>
    <row r="5550" spans="1:28" x14ac:dyDescent="0.25">
      <c r="A5550" t="s">
        <v>5554</v>
      </c>
      <c r="B5550">
        <v>0.99996721820229495</v>
      </c>
      <c r="C5550">
        <v>0.99464562347422003</v>
      </c>
      <c r="D5550">
        <v>1.0180291496777101</v>
      </c>
      <c r="E5550">
        <v>1.20363269057072</v>
      </c>
      <c r="F5550">
        <v>1.60857028544208</v>
      </c>
      <c r="G5550">
        <v>1.1545428004667599</v>
      </c>
      <c r="H5550">
        <v>0.67721603015930498</v>
      </c>
      <c r="I5550">
        <v>0.57559555427004105</v>
      </c>
      <c r="J5550">
        <v>0.459863192731641</v>
      </c>
      <c r="K5550">
        <v>0.353605484767887</v>
      </c>
      <c r="L5550">
        <v>3082.5587385608001</v>
      </c>
      <c r="M5550">
        <v>50.473844391386002</v>
      </c>
      <c r="N5550">
        <v>63.635848894925999</v>
      </c>
      <c r="O5550">
        <v>60.976758926491001</v>
      </c>
      <c r="P5550">
        <v>-0.11701472963623601</v>
      </c>
      <c r="Q5550">
        <v>0.43454490505680299</v>
      </c>
      <c r="R5550">
        <v>0.65738035410728302</v>
      </c>
      <c r="S5550" t="s">
        <v>11376</v>
      </c>
      <c r="T5550" t="s">
        <v>11650</v>
      </c>
      <c r="U5550" t="s">
        <v>11650</v>
      </c>
      <c r="V5550" t="s">
        <v>11650</v>
      </c>
      <c r="W5550" t="s">
        <v>17140</v>
      </c>
      <c r="X5550">
        <v>10</v>
      </c>
      <c r="Y5550" t="s">
        <v>22796</v>
      </c>
      <c r="Z5550" t="s">
        <v>28612</v>
      </c>
      <c r="AA5550">
        <v>0.83317248454265491</v>
      </c>
      <c r="AB5550" t="str">
        <f>HYPERLINK("Melting_Curves/meltCurve_Q9UKX7_2_NUP50.pdf", "Melting_Curves/meltCurve_Q9UKX7_2_NUP50.pdf")</f>
        <v>Melting_Curves/meltCurve_Q9UKX7_2_NUP50.pdf</v>
      </c>
    </row>
    <row r="5551" spans="1:28" x14ac:dyDescent="0.25">
      <c r="A5551" t="s">
        <v>5555</v>
      </c>
      <c r="B5551">
        <v>0.99996721820229495</v>
      </c>
      <c r="C5551">
        <v>0.98234000315477299</v>
      </c>
      <c r="D5551">
        <v>0.96737918285144897</v>
      </c>
      <c r="E5551">
        <v>0.99239179335997996</v>
      </c>
      <c r="F5551">
        <v>1.25453953751626</v>
      </c>
      <c r="G5551">
        <v>1.3285586661658599</v>
      </c>
      <c r="H5551">
        <v>1.08465256717442</v>
      </c>
      <c r="I5551">
        <v>1.2289704443857901</v>
      </c>
      <c r="J5551">
        <v>1.2079632595348899</v>
      </c>
      <c r="K5551">
        <v>0.84527094625548505</v>
      </c>
      <c r="L5551">
        <v>8634.8465871731096</v>
      </c>
      <c r="M5551">
        <v>168.89260201203601</v>
      </c>
      <c r="O5551">
        <v>51.119090933735201</v>
      </c>
      <c r="P5551">
        <v>0.13076165574521101</v>
      </c>
      <c r="Q5551">
        <v>1.1583116522413399</v>
      </c>
      <c r="R5551">
        <v>0.31929778864429897</v>
      </c>
      <c r="S5551" t="s">
        <v>11377</v>
      </c>
      <c r="T5551" t="s">
        <v>11650</v>
      </c>
      <c r="U5551" t="s">
        <v>11650</v>
      </c>
      <c r="V5551" t="s">
        <v>11650</v>
      </c>
      <c r="W5551" t="s">
        <v>17141</v>
      </c>
      <c r="X5551">
        <v>18</v>
      </c>
      <c r="Y5551" t="s">
        <v>22797</v>
      </c>
      <c r="Z5551" t="s">
        <v>28613</v>
      </c>
      <c r="AA5551">
        <v>1.099566649182089</v>
      </c>
      <c r="AB5551" t="str">
        <f>HYPERLINK("Melting_Curves/meltCurve_Q9UKY7_CDV3.pdf", "Melting_Curves/meltCurve_Q9UKY7_CDV3.pdf")</f>
        <v>Melting_Curves/meltCurve_Q9UKY7_CDV3.pdf</v>
      </c>
    </row>
    <row r="5552" spans="1:28" x14ac:dyDescent="0.25">
      <c r="A5552" t="s">
        <v>5556</v>
      </c>
      <c r="B5552">
        <v>0.99996721820229495</v>
      </c>
      <c r="C5552">
        <v>0.84312931803737501</v>
      </c>
      <c r="D5552">
        <v>0.815613157435361</v>
      </c>
      <c r="E5552">
        <v>0.74693207145574603</v>
      </c>
      <c r="F5552">
        <v>0.27171402341588602</v>
      </c>
      <c r="G5552">
        <v>0.16319614046759301</v>
      </c>
      <c r="H5552">
        <v>0.121904847440029</v>
      </c>
      <c r="I5552">
        <v>0.11136158417573</v>
      </c>
      <c r="J5552">
        <v>9.8091762383259701E-2</v>
      </c>
      <c r="K5552">
        <v>0.102623819304166</v>
      </c>
      <c r="L5552">
        <v>977.98134873511401</v>
      </c>
      <c r="M5552">
        <v>19.253123530198501</v>
      </c>
      <c r="N5552">
        <v>51.275913208432399</v>
      </c>
      <c r="O5552">
        <v>50.257485998049802</v>
      </c>
      <c r="P5552">
        <v>-8.7879249796127296E-2</v>
      </c>
      <c r="Q5552">
        <v>8.2450184962154199E-2</v>
      </c>
      <c r="R5552">
        <v>0.95910855597685396</v>
      </c>
      <c r="S5552" t="s">
        <v>11378</v>
      </c>
      <c r="T5552" t="s">
        <v>11650</v>
      </c>
      <c r="U5552" t="s">
        <v>11650</v>
      </c>
      <c r="V5552" t="s">
        <v>11650</v>
      </c>
      <c r="W5552" t="s">
        <v>17142</v>
      </c>
      <c r="X5552">
        <v>1</v>
      </c>
      <c r="Y5552" t="s">
        <v>22798</v>
      </c>
      <c r="Z5552" t="s">
        <v>28614</v>
      </c>
      <c r="AA5552">
        <v>0.42633241494005503</v>
      </c>
      <c r="AB5552" t="str">
        <f>HYPERLINK("Melting_Curves/meltCurve_Q9UKZ1_CNOT11.pdf", "Melting_Curves/meltCurve_Q9UKZ1_CNOT11.pdf")</f>
        <v>Melting_Curves/meltCurve_Q9UKZ1_CNOT11.pdf</v>
      </c>
    </row>
    <row r="5553" spans="1:28" x14ac:dyDescent="0.25">
      <c r="A5553" t="s">
        <v>5557</v>
      </c>
      <c r="B5553">
        <v>0.99996721820229495</v>
      </c>
      <c r="C5553">
        <v>1.0945163461284799</v>
      </c>
      <c r="D5553">
        <v>1.0077263059278301</v>
      </c>
      <c r="E5553">
        <v>0.70721308117966097</v>
      </c>
      <c r="F5553">
        <v>0.306697933789708</v>
      </c>
      <c r="G5553">
        <v>0.23106570388900999</v>
      </c>
      <c r="H5553">
        <v>0.14167726856730301</v>
      </c>
      <c r="I5553">
        <v>8.21017040958614E-2</v>
      </c>
      <c r="J5553">
        <v>5.4411474000366299E-2</v>
      </c>
      <c r="K5553">
        <v>4.4296240592102798E-2</v>
      </c>
      <c r="L5553">
        <v>1493.37616015555</v>
      </c>
      <c r="M5553">
        <v>29.147374844817701</v>
      </c>
      <c r="N5553">
        <v>51.60227661615</v>
      </c>
      <c r="O5553">
        <v>50.996004112614798</v>
      </c>
      <c r="P5553">
        <v>-0.12951786287470099</v>
      </c>
      <c r="Q5553">
        <v>9.3593141404197694E-2</v>
      </c>
      <c r="R5553">
        <v>0.984366172896325</v>
      </c>
      <c r="S5553" t="s">
        <v>11379</v>
      </c>
      <c r="T5553" t="s">
        <v>11650</v>
      </c>
      <c r="U5553" t="s">
        <v>11650</v>
      </c>
      <c r="V5553" t="s">
        <v>11650</v>
      </c>
      <c r="W5553" t="s">
        <v>17143</v>
      </c>
      <c r="X5553">
        <v>11</v>
      </c>
      <c r="Y5553" t="s">
        <v>22799</v>
      </c>
      <c r="Z5553" t="s">
        <v>28615</v>
      </c>
      <c r="AA5553">
        <v>0.43911319558085421</v>
      </c>
      <c r="AB5553" t="str">
        <f>HYPERLINK("Melting_Curves/meltCurve_Q9UL15_BAG5.pdf", "Melting_Curves/meltCurve_Q9UL15_BAG5.pdf")</f>
        <v>Melting_Curves/meltCurve_Q9UL15_BAG5.pdf</v>
      </c>
    </row>
    <row r="5554" spans="1:28" x14ac:dyDescent="0.25">
      <c r="A5554" t="s">
        <v>5558</v>
      </c>
      <c r="B5554">
        <v>0.99996721820229495</v>
      </c>
      <c r="C5554">
        <v>0.94504859172808597</v>
      </c>
      <c r="D5554">
        <v>1.0263048170026301</v>
      </c>
      <c r="E5554">
        <v>1.03623352665414</v>
      </c>
      <c r="F5554">
        <v>1.2347002174579</v>
      </c>
      <c r="G5554">
        <v>1.27726003698193</v>
      </c>
      <c r="H5554">
        <v>0.89473521074382001</v>
      </c>
      <c r="I5554">
        <v>0.48207509152671901</v>
      </c>
      <c r="J5554">
        <v>0.19081527280028199</v>
      </c>
      <c r="K5554">
        <v>0.112208449982096</v>
      </c>
      <c r="L5554">
        <v>3256.5692426108899</v>
      </c>
      <c r="M5554">
        <v>51.226815463497999</v>
      </c>
      <c r="N5554">
        <v>63.902472461698601</v>
      </c>
      <c r="O5554">
        <v>63.474935654642501</v>
      </c>
      <c r="P5554">
        <v>-0.17825570795795001</v>
      </c>
      <c r="Q5554">
        <v>0.116497285248527</v>
      </c>
      <c r="R5554">
        <v>0.90952300089281002</v>
      </c>
      <c r="S5554" t="s">
        <v>11380</v>
      </c>
      <c r="T5554" t="s">
        <v>11650</v>
      </c>
      <c r="U5554" t="s">
        <v>11650</v>
      </c>
      <c r="V5554" t="s">
        <v>11650</v>
      </c>
      <c r="W5554" t="s">
        <v>17144</v>
      </c>
      <c r="X5554">
        <v>16</v>
      </c>
      <c r="Y5554" t="s">
        <v>22800</v>
      </c>
      <c r="Z5554" t="s">
        <v>28616</v>
      </c>
      <c r="AA5554">
        <v>0.81262397731738967</v>
      </c>
      <c r="AB5554" t="str">
        <f>HYPERLINK("Melting_Curves/meltCurve_Q9UL25_RAB21.pdf", "Melting_Curves/meltCurve_Q9UL25_RAB21.pdf")</f>
        <v>Melting_Curves/meltCurve_Q9UL25_RAB21.pdf</v>
      </c>
    </row>
    <row r="5555" spans="1:28" x14ac:dyDescent="0.25">
      <c r="A5555" t="s">
        <v>5559</v>
      </c>
      <c r="B5555">
        <v>0.99996721820229495</v>
      </c>
      <c r="C5555">
        <v>0.91876320988672799</v>
      </c>
      <c r="D5555">
        <v>0.94024026664376104</v>
      </c>
      <c r="E5555">
        <v>0.95574666211065396</v>
      </c>
      <c r="F5555">
        <v>1.0393360170925301</v>
      </c>
      <c r="G5555">
        <v>0.96547581909215996</v>
      </c>
      <c r="H5555">
        <v>0.71544172719187704</v>
      </c>
      <c r="I5555">
        <v>0.496110677016524</v>
      </c>
      <c r="J5555">
        <v>0.333276452083208</v>
      </c>
      <c r="K5555">
        <v>0.29318003499960898</v>
      </c>
      <c r="L5555">
        <v>1859.0345805622001</v>
      </c>
      <c r="M5555">
        <v>29.9386711635224</v>
      </c>
      <c r="N5555">
        <v>63.729535217981898</v>
      </c>
      <c r="O5555">
        <v>61.819694618710002</v>
      </c>
      <c r="P5555">
        <v>-8.8622595623936706E-2</v>
      </c>
      <c r="Q5555">
        <v>0.26802552296161702</v>
      </c>
      <c r="R5555">
        <v>0.98033261298129304</v>
      </c>
      <c r="S5555" t="s">
        <v>11381</v>
      </c>
      <c r="T5555" t="s">
        <v>11650</v>
      </c>
      <c r="U5555" t="s">
        <v>11650</v>
      </c>
      <c r="V5555" t="s">
        <v>11650</v>
      </c>
      <c r="W5555" t="s">
        <v>17145</v>
      </c>
      <c r="X5555">
        <v>6</v>
      </c>
      <c r="Y5555" t="s">
        <v>22801</v>
      </c>
      <c r="Z5555" t="s">
        <v>28617</v>
      </c>
      <c r="AA5555">
        <v>0.81043231052150888</v>
      </c>
      <c r="AB5555" t="str">
        <f>HYPERLINK("Melting_Curves/meltCurve_Q9UL26_RAB22A.pdf", "Melting_Curves/meltCurve_Q9UL26_RAB22A.pdf")</f>
        <v>Melting_Curves/meltCurve_Q9UL26_RAB22A.pdf</v>
      </c>
    </row>
    <row r="5556" spans="1:28" x14ac:dyDescent="0.25">
      <c r="A5556" t="s">
        <v>5560</v>
      </c>
      <c r="B5556">
        <v>0.99996721820229495</v>
      </c>
      <c r="C5556">
        <v>0.95220224550496801</v>
      </c>
      <c r="D5556">
        <v>1.21500988798332</v>
      </c>
      <c r="E5556">
        <v>1.83930367037202</v>
      </c>
      <c r="F5556">
        <v>1.5628347203258499</v>
      </c>
      <c r="G5556">
        <v>1.0565634884572599</v>
      </c>
      <c r="H5556">
        <v>0.564540765111333</v>
      </c>
      <c r="I5556">
        <v>0.326055254496395</v>
      </c>
      <c r="J5556">
        <v>0.186260264917397</v>
      </c>
      <c r="K5556">
        <v>0.148447166158576</v>
      </c>
      <c r="L5556">
        <v>2933.7425612432999</v>
      </c>
      <c r="M5556">
        <v>48.061573710020802</v>
      </c>
      <c r="N5556">
        <v>61.624891182293801</v>
      </c>
      <c r="O5556">
        <v>60.935934668901602</v>
      </c>
      <c r="P5556">
        <v>-0.16113359195115101</v>
      </c>
      <c r="Q5556">
        <v>0.18281358728226699</v>
      </c>
      <c r="R5556">
        <v>0.63536321684632102</v>
      </c>
      <c r="S5556" t="s">
        <v>11382</v>
      </c>
      <c r="T5556" t="s">
        <v>11650</v>
      </c>
      <c r="U5556" t="s">
        <v>11650</v>
      </c>
      <c r="V5556" t="s">
        <v>11650</v>
      </c>
      <c r="W5556" t="s">
        <v>17146</v>
      </c>
      <c r="X5556">
        <v>12</v>
      </c>
      <c r="Y5556" t="s">
        <v>22802</v>
      </c>
      <c r="Z5556" t="s">
        <v>28618</v>
      </c>
      <c r="AA5556">
        <v>0.75825062512595587</v>
      </c>
      <c r="AB5556" t="str">
        <f>HYPERLINK("Melting_Curves/meltCurve_Q9UL46_PSME2.pdf", "Melting_Curves/meltCurve_Q9UL46_PSME2.pdf")</f>
        <v>Melting_Curves/meltCurve_Q9UL46_PSME2.pdf</v>
      </c>
    </row>
    <row r="5557" spans="1:28" x14ac:dyDescent="0.25">
      <c r="A5557" t="s">
        <v>5561</v>
      </c>
      <c r="B5557">
        <v>0.99996721820229495</v>
      </c>
      <c r="C5557">
        <v>0.94287832047369902</v>
      </c>
      <c r="D5557">
        <v>0.90373785151887698</v>
      </c>
      <c r="E5557">
        <v>0.68408597380366198</v>
      </c>
      <c r="F5557">
        <v>0.56814891002036205</v>
      </c>
      <c r="G5557">
        <v>0.29733466445464801</v>
      </c>
      <c r="H5557">
        <v>0.14106509113238599</v>
      </c>
      <c r="I5557">
        <v>9.2460054233711397E-2</v>
      </c>
      <c r="J5557">
        <v>7.0056679640404296E-2</v>
      </c>
      <c r="K5557">
        <v>5.2562543356487898E-2</v>
      </c>
      <c r="L5557">
        <v>710.908965750672</v>
      </c>
      <c r="M5557">
        <v>13.3016495274337</v>
      </c>
      <c r="N5557">
        <v>53.445175858039804</v>
      </c>
      <c r="O5557">
        <v>52.280554766814198</v>
      </c>
      <c r="P5557">
        <v>-6.3617332412761601E-2</v>
      </c>
      <c r="Q5557">
        <v>0</v>
      </c>
      <c r="R5557">
        <v>0.99718753886536005</v>
      </c>
      <c r="S5557" t="s">
        <v>11383</v>
      </c>
      <c r="T5557" t="s">
        <v>11650</v>
      </c>
      <c r="U5557" t="s">
        <v>11650</v>
      </c>
      <c r="V5557" t="s">
        <v>11650</v>
      </c>
      <c r="W5557" t="s">
        <v>17147</v>
      </c>
      <c r="X5557">
        <v>10</v>
      </c>
      <c r="Y5557" t="s">
        <v>22803</v>
      </c>
      <c r="Z5557" t="s">
        <v>28619</v>
      </c>
      <c r="AA5557">
        <v>0.47268360000591458</v>
      </c>
      <c r="AB5557" t="str">
        <f>HYPERLINK("Melting_Curves/meltCurve_Q9ULC3_RAB23.pdf", "Melting_Curves/meltCurve_Q9ULC3_RAB23.pdf")</f>
        <v>Melting_Curves/meltCurve_Q9ULC3_RAB23.pdf</v>
      </c>
    </row>
    <row r="5558" spans="1:28" x14ac:dyDescent="0.25">
      <c r="A5558" t="s">
        <v>5562</v>
      </c>
      <c r="B5558">
        <v>0.99996721820229495</v>
      </c>
      <c r="C5558">
        <v>1.09990246196407</v>
      </c>
      <c r="D5558">
        <v>1.0339282153959699</v>
      </c>
      <c r="E5558">
        <v>0.97272237622962099</v>
      </c>
      <c r="F5558">
        <v>0.93321752352777898</v>
      </c>
      <c r="G5558">
        <v>0.67288595709411403</v>
      </c>
      <c r="H5558">
        <v>0.21503131643232701</v>
      </c>
      <c r="I5558">
        <v>0.12363583617370399</v>
      </c>
      <c r="J5558">
        <v>6.5962255941107203E-2</v>
      </c>
      <c r="K5558">
        <v>5.6094125254368903E-2</v>
      </c>
      <c r="L5558">
        <v>1770.33910675069</v>
      </c>
      <c r="M5558">
        <v>30.476625706184599</v>
      </c>
      <c r="N5558">
        <v>58.303059824406901</v>
      </c>
      <c r="O5558">
        <v>57.840044973695697</v>
      </c>
      <c r="P5558">
        <v>-0.124738549542859</v>
      </c>
      <c r="Q5558">
        <v>5.3065891982239002E-2</v>
      </c>
      <c r="R5558">
        <v>0.99298133896186802</v>
      </c>
      <c r="S5558" t="s">
        <v>11384</v>
      </c>
      <c r="T5558" t="s">
        <v>11650</v>
      </c>
      <c r="U5558" t="s">
        <v>11650</v>
      </c>
      <c r="V5558" t="s">
        <v>11650</v>
      </c>
      <c r="W5558" t="s">
        <v>17148</v>
      </c>
      <c r="X5558">
        <v>9</v>
      </c>
      <c r="Y5558" t="s">
        <v>22804</v>
      </c>
      <c r="Z5558" t="s">
        <v>28620</v>
      </c>
      <c r="AA5558">
        <v>0.63008032908617584</v>
      </c>
      <c r="AB5558" t="str">
        <f>HYPERLINK("Melting_Curves/meltCurve_Q9ULC4_MCTS1.pdf", "Melting_Curves/meltCurve_Q9ULC4_MCTS1.pdf")</f>
        <v>Melting_Curves/meltCurve_Q9ULC4_MCTS1.pdf</v>
      </c>
    </row>
    <row r="5559" spans="1:28" x14ac:dyDescent="0.25">
      <c r="A5559" t="s">
        <v>5563</v>
      </c>
      <c r="B5559">
        <v>0.99996721820229495</v>
      </c>
      <c r="C5559">
        <v>0.95873197202318905</v>
      </c>
      <c r="D5559">
        <v>0.97826491516969005</v>
      </c>
      <c r="E5559">
        <v>0.97289111257225103</v>
      </c>
      <c r="F5559">
        <v>1.0461855634467701</v>
      </c>
      <c r="G5559">
        <v>0.847836792123566</v>
      </c>
      <c r="H5559">
        <v>0.47404498942034001</v>
      </c>
      <c r="I5559">
        <v>0.33092674159996899</v>
      </c>
      <c r="J5559">
        <v>0.290892983480181</v>
      </c>
      <c r="K5559">
        <v>0.19276573107963499</v>
      </c>
      <c r="L5559">
        <v>1839.5417009124801</v>
      </c>
      <c r="M5559">
        <v>30.8371542385932</v>
      </c>
      <c r="N5559">
        <v>60.857910018836101</v>
      </c>
      <c r="O5559">
        <v>59.4042395605453</v>
      </c>
      <c r="P5559">
        <v>-0.100134684363375</v>
      </c>
      <c r="Q5559">
        <v>0.22841260276542699</v>
      </c>
      <c r="R5559">
        <v>0.99016277412680498</v>
      </c>
      <c r="S5559" t="s">
        <v>11385</v>
      </c>
      <c r="T5559" t="s">
        <v>11650</v>
      </c>
      <c r="U5559" t="s">
        <v>11650</v>
      </c>
      <c r="V5559" t="s">
        <v>11650</v>
      </c>
      <c r="W5559" t="s">
        <v>17149</v>
      </c>
      <c r="X5559">
        <v>5</v>
      </c>
      <c r="Y5559" t="s">
        <v>22805</v>
      </c>
      <c r="Z5559" t="s">
        <v>28621</v>
      </c>
      <c r="AA5559">
        <v>0.73850171863330971</v>
      </c>
      <c r="AB5559" t="str">
        <f>HYPERLINK("Melting_Curves/meltCurve_Q9ULC8_ZDHHC8.pdf", "Melting_Curves/meltCurve_Q9ULC8_ZDHHC8.pdf")</f>
        <v>Melting_Curves/meltCurve_Q9ULC8_ZDHHC8.pdf</v>
      </c>
    </row>
    <row r="5560" spans="1:28" x14ac:dyDescent="0.25">
      <c r="A5560" t="s">
        <v>5564</v>
      </c>
      <c r="B5560">
        <v>0.99996721820229495</v>
      </c>
      <c r="C5560">
        <v>0.83060229091135795</v>
      </c>
      <c r="D5560">
        <v>0.85973963440677803</v>
      </c>
      <c r="E5560">
        <v>1.02813566697929</v>
      </c>
      <c r="F5560">
        <v>1.68821198450516</v>
      </c>
      <c r="G5560">
        <v>1.6067541643429999</v>
      </c>
      <c r="H5560">
        <v>1.2141739661402899</v>
      </c>
      <c r="I5560">
        <v>1.25503759880694</v>
      </c>
      <c r="J5560">
        <v>1.1263018376682401</v>
      </c>
      <c r="K5560">
        <v>1.0059665877208801</v>
      </c>
      <c r="L5560">
        <v>12616.2313451337</v>
      </c>
      <c r="M5560">
        <v>250</v>
      </c>
      <c r="O5560">
        <v>50.461696832480698</v>
      </c>
      <c r="P5560">
        <v>0.39147748523241399</v>
      </c>
      <c r="Q5560">
        <v>1.3160738849909299</v>
      </c>
      <c r="R5560">
        <v>0.44833973115154102</v>
      </c>
      <c r="S5560" t="s">
        <v>11386</v>
      </c>
      <c r="T5560" t="s">
        <v>11650</v>
      </c>
      <c r="U5560" t="s">
        <v>11650</v>
      </c>
      <c r="V5560" t="s">
        <v>11650</v>
      </c>
      <c r="W5560" t="s">
        <v>17150</v>
      </c>
      <c r="X5560">
        <v>3</v>
      </c>
      <c r="Y5560" t="s">
        <v>22806</v>
      </c>
      <c r="Z5560" t="s">
        <v>28622</v>
      </c>
      <c r="AA5560">
        <v>1.205789571151638</v>
      </c>
      <c r="AB5560" t="str">
        <f>HYPERLINK("Melting_Curves/meltCurve_Q9ULF5_SLC39A10.pdf", "Melting_Curves/meltCurve_Q9ULF5_SLC39A10.pdf")</f>
        <v>Melting_Curves/meltCurve_Q9ULF5_SLC39A10.pdf</v>
      </c>
    </row>
    <row r="5561" spans="1:28" x14ac:dyDescent="0.25">
      <c r="A5561" t="s">
        <v>5565</v>
      </c>
      <c r="B5561">
        <v>0.99996721820229495</v>
      </c>
      <c r="C5561">
        <v>1.0014506299163499</v>
      </c>
      <c r="D5561">
        <v>0.80443497529997898</v>
      </c>
      <c r="E5561">
        <v>1.09265799349284</v>
      </c>
      <c r="F5561">
        <v>1.0301934835725699</v>
      </c>
      <c r="G5561">
        <v>0.75064668567519099</v>
      </c>
      <c r="H5561">
        <v>0.60614852582199497</v>
      </c>
      <c r="I5561">
        <v>0.651856372380475</v>
      </c>
      <c r="J5561">
        <v>0.50907981544755798</v>
      </c>
      <c r="K5561">
        <v>0.42815754671053502</v>
      </c>
      <c r="L5561">
        <v>1308.09051885601</v>
      </c>
      <c r="M5561">
        <v>22.387208459044299</v>
      </c>
      <c r="N5561">
        <v>68.508752049847004</v>
      </c>
      <c r="O5561">
        <v>57.970036598421999</v>
      </c>
      <c r="P5561">
        <v>-5.0066469113573799E-2</v>
      </c>
      <c r="Q5561">
        <v>0.48143695887413201</v>
      </c>
      <c r="R5561">
        <v>0.852048417044037</v>
      </c>
      <c r="S5561" t="s">
        <v>11387</v>
      </c>
      <c r="T5561" t="s">
        <v>11650</v>
      </c>
      <c r="U5561" t="s">
        <v>11650</v>
      </c>
      <c r="V5561" t="s">
        <v>11650</v>
      </c>
      <c r="W5561" t="s">
        <v>17151</v>
      </c>
      <c r="X5561">
        <v>3</v>
      </c>
      <c r="Y5561" t="s">
        <v>22807</v>
      </c>
      <c r="Z5561" t="s">
        <v>28623</v>
      </c>
      <c r="AA5561">
        <v>0.80505123733676553</v>
      </c>
      <c r="AB5561" t="str">
        <f>HYPERLINK("Melting_Curves/meltCurve_Q9ULH0_5_KIDINS220.pdf", "Melting_Curves/meltCurve_Q9ULH0_5_KIDINS220.pdf")</f>
        <v>Melting_Curves/meltCurve_Q9ULH0_5_KIDINS220.pdf</v>
      </c>
    </row>
    <row r="5562" spans="1:28" x14ac:dyDescent="0.25">
      <c r="A5562" t="s">
        <v>5566</v>
      </c>
      <c r="B5562">
        <v>0.99996721820229495</v>
      </c>
      <c r="C5562">
        <v>1.01679823824639</v>
      </c>
      <c r="D5562">
        <v>0.950952673950341</v>
      </c>
      <c r="E5562">
        <v>0.70816976175397395</v>
      </c>
      <c r="F5562">
        <v>0.47951092041001803</v>
      </c>
      <c r="G5562">
        <v>0.439164583034377</v>
      </c>
      <c r="H5562">
        <v>0.27977605770425901</v>
      </c>
      <c r="I5562">
        <v>0.208144749112671</v>
      </c>
      <c r="J5562">
        <v>0.18380034396596501</v>
      </c>
      <c r="K5562">
        <v>0.12680998461461099</v>
      </c>
      <c r="L5562">
        <v>726.62082042560803</v>
      </c>
      <c r="M5562">
        <v>13.7679231693088</v>
      </c>
      <c r="N5562">
        <v>54.0472788914037</v>
      </c>
      <c r="O5562">
        <v>51.700318195172997</v>
      </c>
      <c r="P5562">
        <v>-5.7377300831209302E-2</v>
      </c>
      <c r="Q5562">
        <v>0.13828521465673799</v>
      </c>
      <c r="R5562">
        <v>0.98301078606922498</v>
      </c>
      <c r="S5562" t="s">
        <v>11388</v>
      </c>
      <c r="T5562" t="s">
        <v>11650</v>
      </c>
      <c r="U5562" t="s">
        <v>11650</v>
      </c>
      <c r="V5562" t="s">
        <v>11650</v>
      </c>
      <c r="W5562" t="s">
        <v>17152</v>
      </c>
      <c r="X5562">
        <v>17</v>
      </c>
      <c r="Y5562" t="s">
        <v>22808</v>
      </c>
      <c r="Z5562" t="s">
        <v>28624</v>
      </c>
      <c r="AA5562">
        <v>0.52632224640051828</v>
      </c>
      <c r="AB5562" t="str">
        <f>HYPERLINK("Melting_Curves/meltCurve_Q9ULH1_ASAP1.pdf", "Melting_Curves/meltCurve_Q9ULH1_ASAP1.pdf")</f>
        <v>Melting_Curves/meltCurve_Q9ULH1_ASAP1.pdf</v>
      </c>
    </row>
    <row r="5563" spans="1:28" x14ac:dyDescent="0.25">
      <c r="A5563" t="s">
        <v>5567</v>
      </c>
      <c r="B5563">
        <v>0.99996721820229495</v>
      </c>
      <c r="C5563">
        <v>1.0073017590036999</v>
      </c>
      <c r="D5563">
        <v>1.02124311554576</v>
      </c>
      <c r="E5563">
        <v>1.1024736273186799</v>
      </c>
      <c r="F5563">
        <v>1.0231499367436401</v>
      </c>
      <c r="G5563">
        <v>0.942166541161361</v>
      </c>
      <c r="H5563">
        <v>0.53097691973375805</v>
      </c>
      <c r="I5563">
        <v>0.502959084266417</v>
      </c>
      <c r="J5563">
        <v>0.40879586829217801</v>
      </c>
      <c r="K5563">
        <v>0.34064353845002898</v>
      </c>
      <c r="L5563">
        <v>2586.91258005192</v>
      </c>
      <c r="M5563">
        <v>43.429502897959203</v>
      </c>
      <c r="N5563">
        <v>61.843990901973797</v>
      </c>
      <c r="O5563">
        <v>59.439908920765497</v>
      </c>
      <c r="P5563">
        <v>-0.10977298607682701</v>
      </c>
      <c r="Q5563">
        <v>0.39903649783751599</v>
      </c>
      <c r="R5563">
        <v>0.97306678450999695</v>
      </c>
      <c r="S5563" t="s">
        <v>11389</v>
      </c>
      <c r="T5563" t="s">
        <v>11650</v>
      </c>
      <c r="U5563" t="s">
        <v>11650</v>
      </c>
      <c r="V5563" t="s">
        <v>11650</v>
      </c>
      <c r="W5563" t="s">
        <v>17153</v>
      </c>
      <c r="X5563">
        <v>4</v>
      </c>
      <c r="Y5563" t="s">
        <v>22809</v>
      </c>
      <c r="Z5563" t="s">
        <v>28625</v>
      </c>
      <c r="AA5563">
        <v>0.79301546747542428</v>
      </c>
      <c r="AB5563" t="str">
        <f>HYPERLINK("Melting_Curves/meltCurve_Q9ULH7_4_MKL2.pdf", "Melting_Curves/meltCurve_Q9ULH7_4_MKL2.pdf")</f>
        <v>Melting_Curves/meltCurve_Q9ULH7_4_MKL2.pdf</v>
      </c>
    </row>
    <row r="5564" spans="1:28" x14ac:dyDescent="0.25">
      <c r="A5564" t="s">
        <v>5568</v>
      </c>
      <c r="B5564">
        <v>0.99996721820229495</v>
      </c>
      <c r="C5564">
        <v>0.97601523678729196</v>
      </c>
      <c r="D5564">
        <v>1.11174077317269</v>
      </c>
      <c r="E5564">
        <v>1.2675330730802801</v>
      </c>
      <c r="F5564">
        <v>1.5219964939406301</v>
      </c>
      <c r="G5564">
        <v>1.69316971862263</v>
      </c>
      <c r="H5564">
        <v>1.19226751383478</v>
      </c>
      <c r="I5564">
        <v>0.70267384694738899</v>
      </c>
      <c r="J5564">
        <v>0.389268225368822</v>
      </c>
      <c r="K5564">
        <v>0.57119571261941804</v>
      </c>
      <c r="L5564">
        <v>15000</v>
      </c>
      <c r="M5564">
        <v>234.66512528304199</v>
      </c>
      <c r="N5564">
        <v>64.813076409056094</v>
      </c>
      <c r="O5564">
        <v>63.916234179528402</v>
      </c>
      <c r="P5564">
        <v>-0.47707894406039703</v>
      </c>
      <c r="Q5564">
        <v>0.48022803424038202</v>
      </c>
      <c r="R5564">
        <v>0.40659368221466202</v>
      </c>
      <c r="S5564" t="s">
        <v>11390</v>
      </c>
      <c r="T5564" t="s">
        <v>11650</v>
      </c>
      <c r="U5564" t="s">
        <v>11650</v>
      </c>
      <c r="V5564" t="s">
        <v>11650</v>
      </c>
      <c r="W5564" t="s">
        <v>17154</v>
      </c>
      <c r="X5564">
        <v>17</v>
      </c>
      <c r="Y5564" t="s">
        <v>22810</v>
      </c>
      <c r="Z5564" t="s">
        <v>28626</v>
      </c>
      <c r="AA5564">
        <v>0.89474087762565524</v>
      </c>
      <c r="AB5564" t="str">
        <f>HYPERLINK("Melting_Curves/meltCurve_Q9ULI3_HEG1.pdf", "Melting_Curves/meltCurve_Q9ULI3_HEG1.pdf")</f>
        <v>Melting_Curves/meltCurve_Q9ULI3_HEG1.pdf</v>
      </c>
    </row>
    <row r="5565" spans="1:28" x14ac:dyDescent="0.25">
      <c r="A5565" t="s">
        <v>5569</v>
      </c>
      <c r="B5565">
        <v>0.99996721820229495</v>
      </c>
      <c r="C5565">
        <v>1.0243323947096099</v>
      </c>
      <c r="D5565">
        <v>0.94886082101429703</v>
      </c>
      <c r="E5565">
        <v>0.92301260552666797</v>
      </c>
      <c r="F5565">
        <v>0.87860584118240304</v>
      </c>
      <c r="G5565">
        <v>0.55656776702642496</v>
      </c>
      <c r="H5565">
        <v>0.20797122767877299</v>
      </c>
      <c r="I5565">
        <v>0.119853104144805</v>
      </c>
      <c r="J5565">
        <v>7.9095156677358905E-2</v>
      </c>
      <c r="K5565">
        <v>5.5460358319200799E-2</v>
      </c>
      <c r="L5565">
        <v>1312.84017003285</v>
      </c>
      <c r="M5565">
        <v>22.9306727386486</v>
      </c>
      <c r="N5565">
        <v>57.456943074529903</v>
      </c>
      <c r="O5565">
        <v>56.822479633530598</v>
      </c>
      <c r="P5565">
        <v>-9.6938241344757106E-2</v>
      </c>
      <c r="Q5565">
        <v>3.91615865730549E-2</v>
      </c>
      <c r="R5565">
        <v>0.99654412953877003</v>
      </c>
      <c r="S5565" t="s">
        <v>11391</v>
      </c>
      <c r="T5565" t="s">
        <v>11650</v>
      </c>
      <c r="U5565" t="s">
        <v>11650</v>
      </c>
      <c r="V5565" t="s">
        <v>11650</v>
      </c>
      <c r="W5565" t="s">
        <v>17155</v>
      </c>
      <c r="X5565">
        <v>6</v>
      </c>
      <c r="Y5565" t="s">
        <v>22811</v>
      </c>
      <c r="Z5565" t="s">
        <v>28627</v>
      </c>
      <c r="AA5565">
        <v>0.60146445015789951</v>
      </c>
      <c r="AB5565" t="str">
        <f>HYPERLINK("Melting_Curves/meltCurve_Q9ULJ6_ZMIZ1.pdf", "Melting_Curves/meltCurve_Q9ULJ6_ZMIZ1.pdf")</f>
        <v>Melting_Curves/meltCurve_Q9ULJ6_ZMIZ1.pdf</v>
      </c>
    </row>
    <row r="5566" spans="1:28" x14ac:dyDescent="0.25">
      <c r="A5566" t="s">
        <v>5570</v>
      </c>
      <c r="B5566">
        <v>0.99996721820229495</v>
      </c>
      <c r="C5566">
        <v>1.0894093778218801</v>
      </c>
      <c r="D5566">
        <v>1.0259610032213</v>
      </c>
      <c r="E5566">
        <v>0.98188250398771504</v>
      </c>
      <c r="F5566">
        <v>0.57580010240567903</v>
      </c>
      <c r="G5566">
        <v>0.329229923698239</v>
      </c>
      <c r="H5566">
        <v>0.176853443914226</v>
      </c>
      <c r="I5566">
        <v>0.118549937163931</v>
      </c>
      <c r="J5566">
        <v>8.1154926373168901E-2</v>
      </c>
      <c r="K5566">
        <v>6.3823719911508994E-2</v>
      </c>
      <c r="L5566">
        <v>1339.64546308587</v>
      </c>
      <c r="M5566">
        <v>24.791634546539999</v>
      </c>
      <c r="N5566">
        <v>54.488296959301898</v>
      </c>
      <c r="O5566">
        <v>53.688288682193402</v>
      </c>
      <c r="P5566">
        <v>-0.10471202851507</v>
      </c>
      <c r="Q5566">
        <v>9.2963175749973898E-2</v>
      </c>
      <c r="R5566">
        <v>0.98381250568845802</v>
      </c>
      <c r="S5566" t="s">
        <v>11392</v>
      </c>
      <c r="T5566" t="s">
        <v>11650</v>
      </c>
      <c r="U5566" t="s">
        <v>11650</v>
      </c>
      <c r="V5566" t="s">
        <v>11650</v>
      </c>
      <c r="W5566" t="s">
        <v>17156</v>
      </c>
      <c r="X5566">
        <v>8</v>
      </c>
      <c r="Y5566" t="s">
        <v>22812</v>
      </c>
      <c r="Z5566" t="s">
        <v>28628</v>
      </c>
      <c r="AA5566">
        <v>0.52586401330131538</v>
      </c>
      <c r="AB5566" t="str">
        <f>HYPERLINK("Melting_Curves/meltCurve_Q9ULP9_2_TBC1D24.pdf", "Melting_Curves/meltCurve_Q9ULP9_2_TBC1D24.pdf")</f>
        <v>Melting_Curves/meltCurve_Q9ULP9_2_TBC1D24.pdf</v>
      </c>
    </row>
    <row r="5567" spans="1:28" x14ac:dyDescent="0.25">
      <c r="A5567" t="s">
        <v>5571</v>
      </c>
      <c r="B5567">
        <v>0.99996721820229495</v>
      </c>
      <c r="C5567">
        <v>0.931213496638992</v>
      </c>
      <c r="D5567">
        <v>0.87300279255247704</v>
      </c>
      <c r="E5567">
        <v>1.0998854780049701</v>
      </c>
      <c r="F5567">
        <v>1.60295144264112</v>
      </c>
      <c r="G5567">
        <v>1.96129951719143</v>
      </c>
      <c r="H5567">
        <v>1.4216493082653701</v>
      </c>
      <c r="I5567">
        <v>1.3915655937295199</v>
      </c>
      <c r="J5567">
        <v>1.07198815059356</v>
      </c>
      <c r="K5567">
        <v>0.89456603170711202</v>
      </c>
      <c r="L5567">
        <v>12553.4265200504</v>
      </c>
      <c r="M5567">
        <v>250</v>
      </c>
      <c r="O5567">
        <v>50.2104932387251</v>
      </c>
      <c r="P5567">
        <v>0.48629026133957898</v>
      </c>
      <c r="Q5567">
        <v>1.3906699776964899</v>
      </c>
      <c r="R5567">
        <v>0.36219145889961402</v>
      </c>
      <c r="S5567" t="s">
        <v>11393</v>
      </c>
      <c r="T5567" t="s">
        <v>11650</v>
      </c>
      <c r="U5567" t="s">
        <v>11650</v>
      </c>
      <c r="V5567" t="s">
        <v>11650</v>
      </c>
      <c r="W5567" t="s">
        <v>17157</v>
      </c>
      <c r="X5567">
        <v>10</v>
      </c>
      <c r="Y5567" t="s">
        <v>22813</v>
      </c>
      <c r="Z5567" t="s">
        <v>28629</v>
      </c>
      <c r="AA5567">
        <v>1.257629272637155</v>
      </c>
      <c r="AB5567" t="str">
        <f>HYPERLINK("Melting_Curves/meltCurve_Q9ULR0_ISY1.pdf", "Melting_Curves/meltCurve_Q9ULR0_ISY1.pdf")</f>
        <v>Melting_Curves/meltCurve_Q9ULR0_ISY1.pdf</v>
      </c>
    </row>
    <row r="5568" spans="1:28" x14ac:dyDescent="0.25">
      <c r="A5568" t="s">
        <v>5572</v>
      </c>
      <c r="B5568">
        <v>0.99996721820229495</v>
      </c>
      <c r="C5568">
        <v>0.99580632882989495</v>
      </c>
      <c r="D5568">
        <v>1.21447242517959</v>
      </c>
      <c r="E5568">
        <v>1.5986079279952501</v>
      </c>
      <c r="F5568">
        <v>1.0091489699513601</v>
      </c>
      <c r="G5568">
        <v>1.1329739080186201</v>
      </c>
      <c r="H5568">
        <v>0.86226800464176601</v>
      </c>
      <c r="I5568">
        <v>0.48191868466634502</v>
      </c>
      <c r="J5568">
        <v>0.31567639689899801</v>
      </c>
      <c r="K5568">
        <v>0.35386380452420402</v>
      </c>
      <c r="L5568">
        <v>3614.4628730179202</v>
      </c>
      <c r="M5568">
        <v>57.799425353319599</v>
      </c>
      <c r="N5568">
        <v>63.728811223646197</v>
      </c>
      <c r="O5568">
        <v>62.459857208993697</v>
      </c>
      <c r="P5568">
        <v>-0.154832822401717</v>
      </c>
      <c r="Q5568">
        <v>0.33073167087083599</v>
      </c>
      <c r="R5568">
        <v>0.71486456970464995</v>
      </c>
      <c r="S5568" t="s">
        <v>11394</v>
      </c>
      <c r="T5568" t="s">
        <v>11650</v>
      </c>
      <c r="U5568" t="s">
        <v>11650</v>
      </c>
      <c r="V5568" t="s">
        <v>11650</v>
      </c>
      <c r="W5568" t="s">
        <v>17158</v>
      </c>
      <c r="X5568">
        <v>12</v>
      </c>
      <c r="Y5568" t="s">
        <v>22814</v>
      </c>
      <c r="Z5568" t="s">
        <v>28630</v>
      </c>
      <c r="AA5568">
        <v>0.83476778984967981</v>
      </c>
      <c r="AB5568" t="str">
        <f>HYPERLINK("Melting_Curves/meltCurve_Q9ULT8_HECTD1.pdf", "Melting_Curves/meltCurve_Q9ULT8_HECTD1.pdf")</f>
        <v>Melting_Curves/meltCurve_Q9ULT8_HECTD1.pdf</v>
      </c>
    </row>
    <row r="5569" spans="1:28" x14ac:dyDescent="0.25">
      <c r="A5569" t="s">
        <v>5573</v>
      </c>
      <c r="B5569">
        <v>0.99996721820229495</v>
      </c>
      <c r="C5569">
        <v>0.99538623719849995</v>
      </c>
      <c r="D5569">
        <v>1.0546867411416001</v>
      </c>
      <c r="E5569">
        <v>1.6295219298207499</v>
      </c>
      <c r="F5569">
        <v>0.85112902646863897</v>
      </c>
      <c r="G5569">
        <v>0.35648288466372202</v>
      </c>
      <c r="H5569">
        <v>0.16084639237922499</v>
      </c>
      <c r="I5569">
        <v>0.110962342968283</v>
      </c>
      <c r="J5569">
        <v>8.9520431069875298E-2</v>
      </c>
      <c r="K5569">
        <v>7.2359594551469703E-2</v>
      </c>
      <c r="L5569">
        <v>2521.2279592838499</v>
      </c>
      <c r="M5569">
        <v>45.206358019998802</v>
      </c>
      <c r="N5569">
        <v>56.059143309612601</v>
      </c>
      <c r="O5569">
        <v>55.662726843380497</v>
      </c>
      <c r="P5569">
        <v>-0.182023086423583</v>
      </c>
      <c r="Q5569">
        <v>0.103498808367626</v>
      </c>
      <c r="R5569">
        <v>0.84495053789941099</v>
      </c>
      <c r="S5569" t="s">
        <v>11395</v>
      </c>
      <c r="T5569" t="s">
        <v>11650</v>
      </c>
      <c r="U5569" t="s">
        <v>11650</v>
      </c>
      <c r="V5569" t="s">
        <v>11650</v>
      </c>
      <c r="W5569" t="s">
        <v>17159</v>
      </c>
      <c r="X5569">
        <v>25</v>
      </c>
      <c r="Y5569" t="s">
        <v>22815</v>
      </c>
      <c r="Z5569" t="s">
        <v>28631</v>
      </c>
      <c r="AA5569">
        <v>0.5775005974448385</v>
      </c>
      <c r="AB5569" t="str">
        <f>HYPERLINK("Melting_Curves/meltCurve_Q9ULV4_CORO1C.pdf", "Melting_Curves/meltCurve_Q9ULV4_CORO1C.pdf")</f>
        <v>Melting_Curves/meltCurve_Q9ULV4_CORO1C.pdf</v>
      </c>
    </row>
    <row r="5570" spans="1:28" x14ac:dyDescent="0.25">
      <c r="A5570" t="s">
        <v>5574</v>
      </c>
      <c r="B5570">
        <v>0.99996721820229495</v>
      </c>
      <c r="C5570">
        <v>1.1045924729230201</v>
      </c>
      <c r="D5570">
        <v>0.98515815234798898</v>
      </c>
      <c r="E5570">
        <v>0.87691351772723203</v>
      </c>
      <c r="F5570">
        <v>0.80030091368079503</v>
      </c>
      <c r="G5570">
        <v>0.48521372189048301</v>
      </c>
      <c r="H5570">
        <v>0.29253131354640999</v>
      </c>
      <c r="I5570">
        <v>0.23652849830523701</v>
      </c>
      <c r="J5570">
        <v>0.25557219953478399</v>
      </c>
      <c r="K5570">
        <v>0.13144155997410301</v>
      </c>
      <c r="L5570">
        <v>1044.1789089680201</v>
      </c>
      <c r="M5570">
        <v>18.724100230935701</v>
      </c>
      <c r="N5570">
        <v>56.965183623474402</v>
      </c>
      <c r="O5570">
        <v>55.142157041115297</v>
      </c>
      <c r="P5570">
        <v>-7.1071938689810293E-2</v>
      </c>
      <c r="Q5570">
        <v>0.16281275146444099</v>
      </c>
      <c r="R5570">
        <v>0.98416570384916702</v>
      </c>
      <c r="S5570" t="s">
        <v>11396</v>
      </c>
      <c r="T5570" t="s">
        <v>11650</v>
      </c>
      <c r="U5570" t="s">
        <v>11650</v>
      </c>
      <c r="V5570" t="s">
        <v>11650</v>
      </c>
      <c r="W5570" t="s">
        <v>17160</v>
      </c>
      <c r="X5570">
        <v>8</v>
      </c>
      <c r="Y5570" t="s">
        <v>22816</v>
      </c>
      <c r="Z5570" t="s">
        <v>28632</v>
      </c>
      <c r="AA5570">
        <v>0.61468869256813297</v>
      </c>
      <c r="AB5570" t="str">
        <f>HYPERLINK("Melting_Curves/meltCurve_Q9ULZ3_2_PYCARD.pdf", "Melting_Curves/meltCurve_Q9ULZ3_2_PYCARD.pdf")</f>
        <v>Melting_Curves/meltCurve_Q9ULZ3_2_PYCARD.pdf</v>
      </c>
    </row>
    <row r="5571" spans="1:28" x14ac:dyDescent="0.25">
      <c r="A5571" t="s">
        <v>5575</v>
      </c>
      <c r="B5571">
        <v>0.99996721820229495</v>
      </c>
      <c r="C5571">
        <v>0.87175675243400497</v>
      </c>
      <c r="D5571">
        <v>0.949740640982211</v>
      </c>
      <c r="E5571">
        <v>0.71666124685916299</v>
      </c>
      <c r="F5571">
        <v>0.86967833788779902</v>
      </c>
      <c r="G5571">
        <v>0.69685745767872898</v>
      </c>
      <c r="H5571">
        <v>0.47140452708123998</v>
      </c>
      <c r="I5571">
        <v>0.19231909795997701</v>
      </c>
      <c r="J5571">
        <v>8.2335460297465704E-2</v>
      </c>
      <c r="K5571">
        <v>5.0682886792477601E-2</v>
      </c>
      <c r="L5571">
        <v>865.00310323270503</v>
      </c>
      <c r="M5571">
        <v>14.626841687297601</v>
      </c>
      <c r="N5571">
        <v>59.138064501298999</v>
      </c>
      <c r="O5571">
        <v>58.065658074367597</v>
      </c>
      <c r="P5571">
        <v>-6.2982465713999999E-2</v>
      </c>
      <c r="Q5571">
        <v>0</v>
      </c>
      <c r="R5571">
        <v>0.928907311438114</v>
      </c>
      <c r="S5571" t="s">
        <v>11397</v>
      </c>
      <c r="T5571" t="s">
        <v>11650</v>
      </c>
      <c r="U5571" t="s">
        <v>11650</v>
      </c>
      <c r="V5571" t="s">
        <v>11650</v>
      </c>
      <c r="W5571" t="s">
        <v>17161</v>
      </c>
      <c r="X5571">
        <v>1</v>
      </c>
      <c r="Y5571" t="s">
        <v>22817</v>
      </c>
      <c r="Z5571" t="s">
        <v>28633</v>
      </c>
      <c r="AA5571">
        <v>0.64779476757012056</v>
      </c>
      <c r="AB5571" t="str">
        <f>HYPERLINK("Melting_Curves/meltCurve_Q9UM13_ANAPC10.pdf", "Melting_Curves/meltCurve_Q9UM13_ANAPC10.pdf")</f>
        <v>Melting_Curves/meltCurve_Q9UM13_ANAPC10.pdf</v>
      </c>
    </row>
    <row r="5572" spans="1:28" x14ac:dyDescent="0.25">
      <c r="A5572" t="s">
        <v>5576</v>
      </c>
      <c r="B5572">
        <v>0.99996721820229495</v>
      </c>
      <c r="C5572">
        <v>0.80639085359155704</v>
      </c>
      <c r="D5572">
        <v>0.36266940168395001</v>
      </c>
      <c r="E5572">
        <v>0.199173521125668</v>
      </c>
      <c r="F5572">
        <v>0.20289674096539501</v>
      </c>
      <c r="G5572">
        <v>0.155656854212187</v>
      </c>
      <c r="H5572">
        <v>6.7193417170549705E-2</v>
      </c>
      <c r="I5572">
        <v>4.9446197486961802E-2</v>
      </c>
      <c r="J5572">
        <v>2.75364750932174E-2</v>
      </c>
      <c r="K5572">
        <v>2.22182866761962E-2</v>
      </c>
      <c r="L5572">
        <v>1114.6694771330599</v>
      </c>
      <c r="M5572">
        <v>24.8157887137552</v>
      </c>
      <c r="N5572">
        <v>45.259612996294798</v>
      </c>
      <c r="O5572">
        <v>44.6291156337128</v>
      </c>
      <c r="P5572">
        <v>-0.127132920876039</v>
      </c>
      <c r="Q5572">
        <v>8.5461063773865101E-2</v>
      </c>
      <c r="R5572">
        <v>0.97191567245365895</v>
      </c>
      <c r="S5572" t="s">
        <v>11398</v>
      </c>
      <c r="T5572" t="s">
        <v>11650</v>
      </c>
      <c r="U5572" t="s">
        <v>11650</v>
      </c>
      <c r="V5572" t="s">
        <v>11650</v>
      </c>
      <c r="W5572" t="s">
        <v>17162</v>
      </c>
      <c r="X5572">
        <v>3</v>
      </c>
      <c r="Y5572" t="s">
        <v>22818</v>
      </c>
      <c r="Z5572" t="s">
        <v>28634</v>
      </c>
      <c r="AA5572">
        <v>0.2447340561297896</v>
      </c>
      <c r="AB5572" t="str">
        <f>HYPERLINK("Melting_Curves/meltCurve_Q9UM47_NOTCH3.pdf", "Melting_Curves/meltCurve_Q9UM47_NOTCH3.pdf")</f>
        <v>Melting_Curves/meltCurve_Q9UM47_NOTCH3.pdf</v>
      </c>
    </row>
    <row r="5573" spans="1:28" x14ac:dyDescent="0.25">
      <c r="A5573" t="s">
        <v>5577</v>
      </c>
      <c r="B5573">
        <v>0.99996721820229495</v>
      </c>
      <c r="C5573">
        <v>0.58399550094432495</v>
      </c>
      <c r="D5573">
        <v>0.49359283031667001</v>
      </c>
      <c r="E5573">
        <v>1.23018573609096</v>
      </c>
      <c r="F5573">
        <v>0.25977710940506299</v>
      </c>
      <c r="G5573">
        <v>0.13811985114936401</v>
      </c>
      <c r="H5573">
        <v>0.102461705296285</v>
      </c>
      <c r="I5573">
        <v>0.118948943258203</v>
      </c>
      <c r="J5573">
        <v>8.0287645484864098E-2</v>
      </c>
      <c r="K5573">
        <v>0.18779102783059301</v>
      </c>
      <c r="L5573">
        <v>456.14796643544599</v>
      </c>
      <c r="M5573">
        <v>8.8776185898211004</v>
      </c>
      <c r="N5573">
        <v>51.381785170258297</v>
      </c>
      <c r="O5573">
        <v>48.975103479521202</v>
      </c>
      <c r="P5573">
        <v>-4.5351660713404698E-2</v>
      </c>
      <c r="Q5573">
        <v>0</v>
      </c>
      <c r="R5573">
        <v>0.55670061728655096</v>
      </c>
      <c r="S5573" t="s">
        <v>11399</v>
      </c>
      <c r="T5573" t="s">
        <v>11650</v>
      </c>
      <c r="U5573" t="s">
        <v>11650</v>
      </c>
      <c r="V5573" t="s">
        <v>11650</v>
      </c>
      <c r="W5573" t="s">
        <v>17163</v>
      </c>
      <c r="X5573">
        <v>38</v>
      </c>
      <c r="Y5573" t="s">
        <v>17873</v>
      </c>
      <c r="Z5573" t="s">
        <v>28635</v>
      </c>
      <c r="AA5573">
        <v>0.42533187097878811</v>
      </c>
      <c r="AB5573" t="str">
        <f>HYPERLINK("Melting_Curves/meltCurve_Q9UM54_5_MYO6.pdf", "Melting_Curves/meltCurve_Q9UM54_5_MYO6.pdf")</f>
        <v>Melting_Curves/meltCurve_Q9UM54_5_MYO6.pdf</v>
      </c>
    </row>
    <row r="5574" spans="1:28" x14ac:dyDescent="0.25">
      <c r="A5574" t="s">
        <v>5578</v>
      </c>
      <c r="B5574">
        <v>0.99996721820229495</v>
      </c>
      <c r="C5574">
        <v>0.78932499599626704</v>
      </c>
      <c r="D5574">
        <v>0.72432648397486399</v>
      </c>
      <c r="E5574">
        <v>1.1274876752068701</v>
      </c>
      <c r="F5574">
        <v>1.5010426543929001</v>
      </c>
      <c r="G5574">
        <v>1.10654276375677</v>
      </c>
      <c r="H5574">
        <v>1.13751598904574</v>
      </c>
      <c r="I5574">
        <v>1.11346490092825</v>
      </c>
      <c r="J5574">
        <v>0.72754980658181201</v>
      </c>
      <c r="K5574">
        <v>0.90562124951731604</v>
      </c>
      <c r="L5574">
        <v>9938.0275763498194</v>
      </c>
      <c r="M5574">
        <v>151.682195611829</v>
      </c>
      <c r="O5574">
        <v>65.5073606325181</v>
      </c>
      <c r="P5574">
        <v>-0.106196703193284</v>
      </c>
      <c r="Q5574">
        <v>0.81654628259998796</v>
      </c>
      <c r="R5574">
        <v>0.12348105650603899</v>
      </c>
      <c r="S5574" t="s">
        <v>11400</v>
      </c>
      <c r="T5574" t="s">
        <v>11650</v>
      </c>
      <c r="U5574" t="s">
        <v>11650</v>
      </c>
      <c r="V5574" t="s">
        <v>11650</v>
      </c>
      <c r="W5574" t="s">
        <v>17164</v>
      </c>
      <c r="X5574">
        <v>7</v>
      </c>
      <c r="Y5574" t="s">
        <v>22819</v>
      </c>
      <c r="Z5574" t="s">
        <v>28636</v>
      </c>
      <c r="AA5574">
        <v>0.97265372891051771</v>
      </c>
      <c r="AB5574" t="str">
        <f>HYPERLINK("Melting_Curves/meltCurve_Q9UMF0_ICAM5.pdf", "Melting_Curves/meltCurve_Q9UMF0_ICAM5.pdf")</f>
        <v>Melting_Curves/meltCurve_Q9UMF0_ICAM5.pdf</v>
      </c>
    </row>
    <row r="5575" spans="1:28" x14ac:dyDescent="0.25">
      <c r="A5575" t="s">
        <v>5579</v>
      </c>
      <c r="B5575">
        <v>0.99996721820229495</v>
      </c>
      <c r="C5575">
        <v>1.0643368864718801</v>
      </c>
      <c r="D5575">
        <v>1.0258579155227801</v>
      </c>
      <c r="E5575">
        <v>0.88170951887285698</v>
      </c>
      <c r="F5575">
        <v>0.87149186514037402</v>
      </c>
      <c r="G5575">
        <v>0.72325220386042299</v>
      </c>
      <c r="H5575">
        <v>0.36981581188909801</v>
      </c>
      <c r="I5575">
        <v>0.27444553582916398</v>
      </c>
      <c r="J5575">
        <v>0.21273072318595301</v>
      </c>
      <c r="K5575">
        <v>0.116949024876759</v>
      </c>
      <c r="L5575">
        <v>956.83744780381403</v>
      </c>
      <c r="M5575">
        <v>16.168465110522199</v>
      </c>
      <c r="N5575">
        <v>59.639301936560798</v>
      </c>
      <c r="O5575">
        <v>58.296171583091599</v>
      </c>
      <c r="P5575">
        <v>-6.5277247054698007E-2</v>
      </c>
      <c r="Q5575">
        <v>5.8630053052374502E-2</v>
      </c>
      <c r="R5575">
        <v>0.98621466908581101</v>
      </c>
      <c r="S5575" t="s">
        <v>11401</v>
      </c>
      <c r="T5575" t="s">
        <v>11650</v>
      </c>
      <c r="U5575" t="s">
        <v>11650</v>
      </c>
      <c r="V5575" t="s">
        <v>11650</v>
      </c>
      <c r="W5575" t="s">
        <v>17165</v>
      </c>
      <c r="X5575">
        <v>6</v>
      </c>
      <c r="Y5575" t="s">
        <v>22820</v>
      </c>
      <c r="Z5575" t="s">
        <v>28637</v>
      </c>
      <c r="AA5575">
        <v>0.67006753391434992</v>
      </c>
      <c r="AB5575" t="str">
        <f>HYPERLINK("Melting_Curves/meltCurve_Q9UMS0_3_NFU1.pdf", "Melting_Curves/meltCurve_Q9UMS0_3_NFU1.pdf")</f>
        <v>Melting_Curves/meltCurve_Q9UMS0_3_NFU1.pdf</v>
      </c>
    </row>
    <row r="5576" spans="1:28" x14ac:dyDescent="0.25">
      <c r="A5576" t="s">
        <v>5580</v>
      </c>
      <c r="B5576">
        <v>0.99996721820229495</v>
      </c>
      <c r="C5576">
        <v>0.99999074089364803</v>
      </c>
      <c r="D5576">
        <v>1.27127428146718</v>
      </c>
      <c r="E5576">
        <v>2.29833345407366</v>
      </c>
      <c r="F5576">
        <v>3.5676689121929099</v>
      </c>
      <c r="G5576">
        <v>3.2040964867492798</v>
      </c>
      <c r="H5576">
        <v>1.1233401748948399</v>
      </c>
      <c r="I5576">
        <v>0.53671538480874204</v>
      </c>
      <c r="J5576">
        <v>0.20971571604009701</v>
      </c>
      <c r="K5576">
        <v>0.19338203120233999</v>
      </c>
      <c r="L5576">
        <v>15000</v>
      </c>
      <c r="M5576">
        <v>234.69864702012401</v>
      </c>
      <c r="N5576">
        <v>64.052565418899704</v>
      </c>
      <c r="O5576">
        <v>63.907106302951</v>
      </c>
      <c r="P5576">
        <v>-0.733086003349946</v>
      </c>
      <c r="Q5576">
        <v>0.20153943673018099</v>
      </c>
      <c r="R5576">
        <v>-3.5245321091313703E-2</v>
      </c>
      <c r="S5576" t="s">
        <v>11402</v>
      </c>
      <c r="T5576" t="s">
        <v>11650</v>
      </c>
      <c r="U5576" t="s">
        <v>11650</v>
      </c>
      <c r="V5576" t="s">
        <v>11650</v>
      </c>
      <c r="W5576" t="s">
        <v>17166</v>
      </c>
      <c r="X5576">
        <v>8</v>
      </c>
      <c r="Y5576" t="s">
        <v>22821</v>
      </c>
      <c r="Z5576" t="s">
        <v>28638</v>
      </c>
      <c r="AA5576">
        <v>0.83806056034082987</v>
      </c>
      <c r="AB5576" t="str">
        <f>HYPERLINK("Melting_Curves/meltCurve_Q9UMS4_PRPF19.pdf", "Melting_Curves/meltCurve_Q9UMS4_PRPF19.pdf")</f>
        <v>Melting_Curves/meltCurve_Q9UMS4_PRPF19.pdf</v>
      </c>
    </row>
    <row r="5577" spans="1:28" x14ac:dyDescent="0.25">
      <c r="A5577" t="s">
        <v>5581</v>
      </c>
      <c r="B5577">
        <v>0.99996721820229495</v>
      </c>
      <c r="C5577">
        <v>0.96300113994439795</v>
      </c>
      <c r="D5577">
        <v>0.91940157322876503</v>
      </c>
      <c r="E5577">
        <v>0.95887080727600604</v>
      </c>
      <c r="F5577">
        <v>1.33853801644454</v>
      </c>
      <c r="G5577">
        <v>1.1005548710406401</v>
      </c>
      <c r="H5577">
        <v>0.96440081735346705</v>
      </c>
      <c r="I5577">
        <v>1.2229288979369</v>
      </c>
      <c r="J5577">
        <v>1.4546692445501099</v>
      </c>
      <c r="K5577">
        <v>0.96893047937928101</v>
      </c>
      <c r="L5577">
        <v>7908.9558431434398</v>
      </c>
      <c r="M5577">
        <v>154.36978353187999</v>
      </c>
      <c r="O5577">
        <v>51.225236388398798</v>
      </c>
      <c r="P5577">
        <v>0.131730661331496</v>
      </c>
      <c r="Q5577">
        <v>1.1748511670886901</v>
      </c>
      <c r="R5577">
        <v>0.330670309658187</v>
      </c>
      <c r="S5577" t="s">
        <v>11403</v>
      </c>
      <c r="T5577" t="s">
        <v>11650</v>
      </c>
      <c r="U5577" t="s">
        <v>11650</v>
      </c>
      <c r="V5577" t="s">
        <v>11650</v>
      </c>
      <c r="W5577" t="s">
        <v>17167</v>
      </c>
      <c r="X5577">
        <v>17</v>
      </c>
      <c r="Y5577" t="s">
        <v>22822</v>
      </c>
      <c r="Z5577" t="s">
        <v>28639</v>
      </c>
      <c r="AA5577">
        <v>1.1093349530013361</v>
      </c>
      <c r="AB5577" t="str">
        <f>HYPERLINK("Melting_Curves/meltCurve_Q9UMS6_SYNPO2.pdf", "Melting_Curves/meltCurve_Q9UMS6_SYNPO2.pdf")</f>
        <v>Melting_Curves/meltCurve_Q9UMS6_SYNPO2.pdf</v>
      </c>
    </row>
    <row r="5578" spans="1:28" x14ac:dyDescent="0.25">
      <c r="A5578" t="s">
        <v>5582</v>
      </c>
      <c r="B5578">
        <v>0.99996721820229495</v>
      </c>
      <c r="C5578">
        <v>1.1330134772003799</v>
      </c>
      <c r="D5578">
        <v>1.40745883906757</v>
      </c>
      <c r="E5578">
        <v>1.1014808632897</v>
      </c>
      <c r="F5578">
        <v>1.2105994634978301</v>
      </c>
      <c r="G5578">
        <v>0.64284884973687495</v>
      </c>
      <c r="H5578">
        <v>0.25062390641819599</v>
      </c>
      <c r="I5578">
        <v>0.13014136369423701</v>
      </c>
      <c r="J5578">
        <v>0.131968425787056</v>
      </c>
      <c r="K5578">
        <v>6.6441512064869798E-2</v>
      </c>
      <c r="L5578">
        <v>2707.6850136596499</v>
      </c>
      <c r="M5578">
        <v>46.966615514838502</v>
      </c>
      <c r="N5578">
        <v>58.001838952704603</v>
      </c>
      <c r="O5578">
        <v>57.5470426963157</v>
      </c>
      <c r="P5578">
        <v>-0.178823629635119</v>
      </c>
      <c r="Q5578">
        <v>0.123568118757796</v>
      </c>
      <c r="R5578">
        <v>0.89674024158255605</v>
      </c>
      <c r="S5578" t="s">
        <v>11404</v>
      </c>
      <c r="T5578" t="s">
        <v>11650</v>
      </c>
      <c r="U5578" t="s">
        <v>11650</v>
      </c>
      <c r="V5578" t="s">
        <v>11650</v>
      </c>
      <c r="W5578" t="s">
        <v>17168</v>
      </c>
      <c r="X5578">
        <v>12</v>
      </c>
      <c r="Y5578" t="s">
        <v>22823</v>
      </c>
      <c r="Z5578" t="s">
        <v>28640</v>
      </c>
      <c r="AA5578">
        <v>0.64175310337255564</v>
      </c>
      <c r="AB5578" t="str">
        <f>HYPERLINK("Melting_Curves/meltCurve_Q9UMX0_UBQLN1.pdf", "Melting_Curves/meltCurve_Q9UMX0_UBQLN1.pdf")</f>
        <v>Melting_Curves/meltCurve_Q9UMX0_UBQLN1.pdf</v>
      </c>
    </row>
    <row r="5579" spans="1:28" x14ac:dyDescent="0.25">
      <c r="A5579" t="s">
        <v>5583</v>
      </c>
      <c r="B5579">
        <v>0.99996721820229495</v>
      </c>
      <c r="C5579">
        <v>0.965656433700534</v>
      </c>
      <c r="D5579">
        <v>0.84734606145209102</v>
      </c>
      <c r="E5579">
        <v>0.81806830961193699</v>
      </c>
      <c r="F5579">
        <v>0.322372223741824</v>
      </c>
      <c r="G5579">
        <v>0.150133054020824</v>
      </c>
      <c r="H5579">
        <v>6.1662554982100902E-2</v>
      </c>
      <c r="I5579">
        <v>7.9346374265459995E-3</v>
      </c>
      <c r="J5579">
        <v>2.1177293981733899E-2</v>
      </c>
      <c r="K5579">
        <v>0</v>
      </c>
      <c r="L5579">
        <v>1374.7586312178901</v>
      </c>
      <c r="M5579">
        <v>26.460837428020501</v>
      </c>
      <c r="N5579">
        <v>52.033150582009</v>
      </c>
      <c r="O5579">
        <v>51.660451600560101</v>
      </c>
      <c r="P5579">
        <v>-0.12554176221916899</v>
      </c>
      <c r="Q5579">
        <v>1.9611598896223301E-2</v>
      </c>
      <c r="R5579">
        <v>0.983099132425164</v>
      </c>
      <c r="S5579" t="s">
        <v>11405</v>
      </c>
      <c r="T5579" t="s">
        <v>11650</v>
      </c>
      <c r="U5579" t="s">
        <v>11650</v>
      </c>
      <c r="V5579" t="s">
        <v>11650</v>
      </c>
      <c r="W5579" t="s">
        <v>17169</v>
      </c>
      <c r="X5579">
        <v>3</v>
      </c>
      <c r="Y5579" t="s">
        <v>22824</v>
      </c>
      <c r="Z5579" t="s">
        <v>28641</v>
      </c>
      <c r="AA5579">
        <v>0.41829242111450349</v>
      </c>
      <c r="AB5579" t="str">
        <f>HYPERLINK("Melting_Curves/meltCurve_Q9UMX1_SUFU.pdf", "Melting_Curves/meltCurve_Q9UMX1_SUFU.pdf")</f>
        <v>Melting_Curves/meltCurve_Q9UMX1_SUFU.pdf</v>
      </c>
    </row>
    <row r="5580" spans="1:28" x14ac:dyDescent="0.25">
      <c r="A5580" t="s">
        <v>5584</v>
      </c>
      <c r="B5580">
        <v>0.99996721820229495</v>
      </c>
      <c r="C5580">
        <v>1.12536707083651</v>
      </c>
      <c r="D5580">
        <v>1.06169990210556</v>
      </c>
      <c r="E5580">
        <v>0.97002781764998702</v>
      </c>
      <c r="F5580">
        <v>1.1716067884719701</v>
      </c>
      <c r="G5580">
        <v>1.31050557796734</v>
      </c>
      <c r="H5580">
        <v>0.97690441302188402</v>
      </c>
      <c r="I5580">
        <v>0.97418436002531295</v>
      </c>
      <c r="J5580">
        <v>1.04676748784964</v>
      </c>
      <c r="K5580">
        <v>0.62107586680933202</v>
      </c>
      <c r="L5580">
        <v>15000</v>
      </c>
      <c r="M5580">
        <v>213.791561952808</v>
      </c>
      <c r="Q5580">
        <v>0</v>
      </c>
      <c r="R5580">
        <v>0.477742090017307</v>
      </c>
      <c r="S5580" t="s">
        <v>11406</v>
      </c>
      <c r="T5580" t="s">
        <v>11650</v>
      </c>
      <c r="U5580" t="s">
        <v>11650</v>
      </c>
      <c r="V5580" t="s">
        <v>11650</v>
      </c>
      <c r="W5580" t="s">
        <v>17170</v>
      </c>
      <c r="X5580">
        <v>13</v>
      </c>
      <c r="Y5580" t="s">
        <v>22825</v>
      </c>
      <c r="Z5580" t="s">
        <v>28642</v>
      </c>
      <c r="AA5580">
        <v>0.99486742178683818</v>
      </c>
      <c r="AB5580" t="str">
        <f>HYPERLINK("Melting_Curves/meltCurve_Q9UMX5_NENF.pdf", "Melting_Curves/meltCurve_Q9UMX5_NENF.pdf")</f>
        <v>Melting_Curves/meltCurve_Q9UMX5_NENF.pdf</v>
      </c>
    </row>
    <row r="5581" spans="1:28" x14ac:dyDescent="0.25">
      <c r="A5581" t="s">
        <v>5585</v>
      </c>
      <c r="B5581">
        <v>0.99996721820229495</v>
      </c>
      <c r="C5581">
        <v>1.03529170793823</v>
      </c>
      <c r="D5581">
        <v>0.99154320533547102</v>
      </c>
      <c r="E5581">
        <v>0.78244246941901296</v>
      </c>
      <c r="F5581">
        <v>0.53745934236429305</v>
      </c>
      <c r="G5581">
        <v>0.39929782988923601</v>
      </c>
      <c r="H5581">
        <v>0.24771034915715401</v>
      </c>
      <c r="I5581">
        <v>0.16858058896306</v>
      </c>
      <c r="J5581">
        <v>0.14222409131855501</v>
      </c>
      <c r="K5581">
        <v>0.101717243850923</v>
      </c>
      <c r="L5581">
        <v>840.54543229638296</v>
      </c>
      <c r="M5581">
        <v>15.6688013729968</v>
      </c>
      <c r="N5581">
        <v>54.466332154716198</v>
      </c>
      <c r="O5581">
        <v>52.793535563102601</v>
      </c>
      <c r="P5581">
        <v>-6.6392975393464004E-2</v>
      </c>
      <c r="Q5581">
        <v>0.105273862405106</v>
      </c>
      <c r="R5581">
        <v>0.99100885962690699</v>
      </c>
      <c r="S5581" t="s">
        <v>11407</v>
      </c>
      <c r="T5581" t="s">
        <v>11650</v>
      </c>
      <c r="U5581" t="s">
        <v>11650</v>
      </c>
      <c r="V5581" t="s">
        <v>11650</v>
      </c>
      <c r="W5581" t="s">
        <v>17171</v>
      </c>
      <c r="X5581">
        <v>13</v>
      </c>
      <c r="Y5581" t="s">
        <v>22826</v>
      </c>
      <c r="Z5581" t="s">
        <v>28643</v>
      </c>
      <c r="AA5581">
        <v>0.52985785875563074</v>
      </c>
      <c r="AB5581" t="str">
        <f>HYPERLINK("Melting_Curves/meltCurve_Q9UMY4_2_SNX12.pdf", "Melting_Curves/meltCurve_Q9UMY4_2_SNX12.pdf")</f>
        <v>Melting_Curves/meltCurve_Q9UMY4_2_SNX12.pdf</v>
      </c>
    </row>
    <row r="5582" spans="1:28" x14ac:dyDescent="0.25">
      <c r="A5582" t="s">
        <v>5586</v>
      </c>
      <c r="B5582">
        <v>0.99996721820229495</v>
      </c>
      <c r="C5582">
        <v>0.880639586093376</v>
      </c>
      <c r="D5582">
        <v>0.75344276945713395</v>
      </c>
      <c r="E5582">
        <v>0.77345256093820303</v>
      </c>
      <c r="F5582">
        <v>0.84816990497875699</v>
      </c>
      <c r="G5582">
        <v>0.68897035366907899</v>
      </c>
      <c r="H5582">
        <v>0.47133913837411301</v>
      </c>
      <c r="I5582">
        <v>0.39577269323592701</v>
      </c>
      <c r="J5582">
        <v>0.31714871490035901</v>
      </c>
      <c r="K5582">
        <v>0.22787666144622201</v>
      </c>
      <c r="L5582">
        <v>425.02275602048002</v>
      </c>
      <c r="M5582">
        <v>7.0221091646763396</v>
      </c>
      <c r="N5582">
        <v>60.526391361368503</v>
      </c>
      <c r="O5582">
        <v>56.191607091316698</v>
      </c>
      <c r="P5582">
        <v>-3.1299061187437797E-2</v>
      </c>
      <c r="Q5582">
        <v>0</v>
      </c>
      <c r="R5582">
        <v>0.91583279475398105</v>
      </c>
      <c r="S5582" t="s">
        <v>11408</v>
      </c>
      <c r="T5582" t="s">
        <v>11650</v>
      </c>
      <c r="U5582" t="s">
        <v>11650</v>
      </c>
      <c r="V5582" t="s">
        <v>11650</v>
      </c>
      <c r="W5582" t="s">
        <v>17172</v>
      </c>
      <c r="X5582">
        <v>9</v>
      </c>
      <c r="Y5582" t="s">
        <v>22827</v>
      </c>
      <c r="Z5582" t="s">
        <v>28644</v>
      </c>
      <c r="AA5582">
        <v>0.65495900875495017</v>
      </c>
      <c r="AB5582" t="str">
        <f>HYPERLINK("Melting_Curves/meltCurve_Q9UMZ2_6_SYNRG.pdf", "Melting_Curves/meltCurve_Q9UMZ2_6_SYNRG.pdf")</f>
        <v>Melting_Curves/meltCurve_Q9UMZ2_6_SYNRG.pdf</v>
      </c>
    </row>
    <row r="5583" spans="1:28" x14ac:dyDescent="0.25">
      <c r="A5583" t="s">
        <v>5587</v>
      </c>
      <c r="B5583">
        <v>0.99996721820229495</v>
      </c>
      <c r="C5583">
        <v>0.95834653389445201</v>
      </c>
      <c r="D5583">
        <v>0.71947833409449202</v>
      </c>
      <c r="E5583">
        <v>0.26589096017770802</v>
      </c>
      <c r="F5583">
        <v>0.132993252125119</v>
      </c>
      <c r="G5583">
        <v>8.8463748959746999E-2</v>
      </c>
      <c r="H5583">
        <v>4.9393587390617798E-2</v>
      </c>
      <c r="I5583">
        <v>3.6547744293403003E-2</v>
      </c>
      <c r="J5583">
        <v>3.6543768139157398E-2</v>
      </c>
      <c r="K5583">
        <v>1.9214987668844E-2</v>
      </c>
      <c r="L5583">
        <v>1165.5962763376499</v>
      </c>
      <c r="M5583">
        <v>24.4400062106461</v>
      </c>
      <c r="N5583">
        <v>47.864237141376798</v>
      </c>
      <c r="O5583">
        <v>47.3762851909852</v>
      </c>
      <c r="P5583">
        <v>-0.123544800378598</v>
      </c>
      <c r="Q5583">
        <v>4.2061194730192097E-2</v>
      </c>
      <c r="R5583">
        <v>0.99848851996671395</v>
      </c>
      <c r="S5583" t="s">
        <v>11409</v>
      </c>
      <c r="T5583" t="s">
        <v>11650</v>
      </c>
      <c r="U5583" t="s">
        <v>11650</v>
      </c>
      <c r="V5583" t="s">
        <v>11650</v>
      </c>
      <c r="W5583" t="s">
        <v>17173</v>
      </c>
      <c r="X5583">
        <v>13</v>
      </c>
      <c r="Y5583" t="s">
        <v>22828</v>
      </c>
      <c r="Z5583" t="s">
        <v>28645</v>
      </c>
      <c r="AA5583">
        <v>0.29658237201366128</v>
      </c>
      <c r="AB5583" t="str">
        <f>HYPERLINK("Melting_Curves/meltCurve_Q9UN37_VPS4A.pdf", "Melting_Curves/meltCurve_Q9UN37_VPS4A.pdf")</f>
        <v>Melting_Curves/meltCurve_Q9UN37_VPS4A.pdf</v>
      </c>
    </row>
    <row r="5584" spans="1:28" x14ac:dyDescent="0.25">
      <c r="A5584" t="s">
        <v>5588</v>
      </c>
      <c r="B5584">
        <v>0.99996721820229495</v>
      </c>
      <c r="C5584">
        <v>1.09355140612617</v>
      </c>
      <c r="D5584">
        <v>0.74809630827303997</v>
      </c>
      <c r="E5584">
        <v>0.50060791089982604</v>
      </c>
      <c r="F5584">
        <v>0.348812727332728</v>
      </c>
      <c r="G5584">
        <v>0.31738533384301598</v>
      </c>
      <c r="H5584">
        <v>0.21569229078917701</v>
      </c>
      <c r="I5584">
        <v>0.18166700525874399</v>
      </c>
      <c r="J5584">
        <v>0.161803928355432</v>
      </c>
      <c r="K5584">
        <v>0.117660438506816</v>
      </c>
      <c r="L5584">
        <v>882.60454317814504</v>
      </c>
      <c r="M5584">
        <v>17.9711989209585</v>
      </c>
      <c r="N5584">
        <v>50.297002914430799</v>
      </c>
      <c r="O5584">
        <v>48.516166587607103</v>
      </c>
      <c r="P5584">
        <v>-7.6627037753069505E-2</v>
      </c>
      <c r="Q5584">
        <v>0.17257264142985401</v>
      </c>
      <c r="R5584">
        <v>0.96707768517174297</v>
      </c>
      <c r="S5584" t="s">
        <v>11410</v>
      </c>
      <c r="T5584" t="s">
        <v>11650</v>
      </c>
      <c r="U5584" t="s">
        <v>11650</v>
      </c>
      <c r="V5584" t="s">
        <v>11650</v>
      </c>
      <c r="W5584" t="s">
        <v>17174</v>
      </c>
      <c r="X5584">
        <v>16</v>
      </c>
      <c r="Y5584" t="s">
        <v>22829</v>
      </c>
      <c r="Z5584" t="s">
        <v>28646</v>
      </c>
      <c r="AA5584">
        <v>0.43824219558914751</v>
      </c>
      <c r="AB5584" t="str">
        <f>HYPERLINK("Melting_Curves/meltCurve_Q9UNE7_STUB1.pdf", "Melting_Curves/meltCurve_Q9UNE7_STUB1.pdf")</f>
        <v>Melting_Curves/meltCurve_Q9UNE7_STUB1.pdf</v>
      </c>
    </row>
    <row r="5585" spans="1:28" x14ac:dyDescent="0.25">
      <c r="A5585" t="s">
        <v>5589</v>
      </c>
      <c r="B5585">
        <v>0.99996721820229495</v>
      </c>
      <c r="C5585">
        <v>0.62700405095411005</v>
      </c>
      <c r="D5585">
        <v>0.69388017201934105</v>
      </c>
      <c r="E5585">
        <v>0.81591412368342298</v>
      </c>
      <c r="F5585">
        <v>0.65225281747147601</v>
      </c>
      <c r="G5585">
        <v>0.172777057835236</v>
      </c>
      <c r="H5585">
        <v>0.24370873548563099</v>
      </c>
      <c r="I5585">
        <v>9.0695917628501502E-2</v>
      </c>
      <c r="J5585">
        <v>0</v>
      </c>
      <c r="K5585">
        <v>8.8149126030051095E-2</v>
      </c>
      <c r="L5585">
        <v>512.26868845169599</v>
      </c>
      <c r="M5585">
        <v>9.7240750375308505</v>
      </c>
      <c r="N5585">
        <v>52.680451633435297</v>
      </c>
      <c r="O5585">
        <v>50.597334398291103</v>
      </c>
      <c r="P5585">
        <v>-4.8072392113546199E-2</v>
      </c>
      <c r="Q5585">
        <v>0</v>
      </c>
      <c r="R5585">
        <v>0.83197789299665803</v>
      </c>
      <c r="S5585" t="s">
        <v>11411</v>
      </c>
      <c r="T5585" t="s">
        <v>11650</v>
      </c>
      <c r="U5585" t="s">
        <v>11650</v>
      </c>
      <c r="V5585" t="s">
        <v>11650</v>
      </c>
      <c r="W5585" t="s">
        <v>17175</v>
      </c>
      <c r="X5585">
        <v>14</v>
      </c>
      <c r="Y5585" t="s">
        <v>22829</v>
      </c>
      <c r="Z5585" t="s">
        <v>28647</v>
      </c>
      <c r="AA5585">
        <v>0.45906444574369742</v>
      </c>
      <c r="AB5585" t="str">
        <f>HYPERLINK("Melting_Curves/meltCurve_Q9UNE7_2_STUB1.pdf", "Melting_Curves/meltCurve_Q9UNE7_2_STUB1.pdf")</f>
        <v>Melting_Curves/meltCurve_Q9UNE7_2_STUB1.pdf</v>
      </c>
    </row>
    <row r="5586" spans="1:28" x14ac:dyDescent="0.25">
      <c r="A5586" t="s">
        <v>5590</v>
      </c>
      <c r="B5586">
        <v>0.99996721820229495</v>
      </c>
      <c r="C5586">
        <v>0.97158622117195903</v>
      </c>
      <c r="D5586">
        <v>0.96599702515244901</v>
      </c>
      <c r="E5586">
        <v>0.40968116117402997</v>
      </c>
      <c r="F5586">
        <v>0.36097246950122802</v>
      </c>
      <c r="G5586">
        <v>0.33223986345625101</v>
      </c>
      <c r="H5586">
        <v>0.22064308853844999</v>
      </c>
      <c r="I5586">
        <v>0.14566111876910201</v>
      </c>
      <c r="J5586">
        <v>0.117981433679759</v>
      </c>
      <c r="K5586">
        <v>9.9383023611451904E-2</v>
      </c>
      <c r="L5586">
        <v>1251.45133828896</v>
      </c>
      <c r="M5586">
        <v>25.448618125011901</v>
      </c>
      <c r="N5586">
        <v>50.045307321447602</v>
      </c>
      <c r="O5586">
        <v>48.874975085292697</v>
      </c>
      <c r="P5586">
        <v>-0.106910673452264</v>
      </c>
      <c r="Q5586">
        <v>0.178707306914825</v>
      </c>
      <c r="R5586">
        <v>0.95902427046943695</v>
      </c>
      <c r="S5586" t="s">
        <v>11412</v>
      </c>
      <c r="T5586" t="s">
        <v>11650</v>
      </c>
      <c r="U5586" t="s">
        <v>11650</v>
      </c>
      <c r="V5586" t="s">
        <v>11650</v>
      </c>
      <c r="W5586" t="s">
        <v>17176</v>
      </c>
      <c r="X5586">
        <v>22</v>
      </c>
      <c r="Y5586" t="s">
        <v>22830</v>
      </c>
      <c r="Z5586" t="s">
        <v>28648</v>
      </c>
      <c r="AA5586">
        <v>0.43692828826313912</v>
      </c>
      <c r="AB5586" t="str">
        <f>HYPERLINK("Melting_Curves/meltCurve_Q9UNF0_PACSIN2.pdf", "Melting_Curves/meltCurve_Q9UNF0_PACSIN2.pdf")</f>
        <v>Melting_Curves/meltCurve_Q9UNF0_PACSIN2.pdf</v>
      </c>
    </row>
    <row r="5587" spans="1:28" x14ac:dyDescent="0.25">
      <c r="A5587" t="s">
        <v>5591</v>
      </c>
      <c r="B5587">
        <v>0.99996721820229495</v>
      </c>
      <c r="C5587">
        <v>0.70626758899930298</v>
      </c>
      <c r="D5587">
        <v>0.32518797511450198</v>
      </c>
      <c r="E5587">
        <v>0.251875874274131</v>
      </c>
      <c r="F5587">
        <v>0.24308894474873799</v>
      </c>
      <c r="G5587">
        <v>0.217875868093998</v>
      </c>
      <c r="H5587">
        <v>0.15816534872965499</v>
      </c>
      <c r="I5587">
        <v>0.138632519534446</v>
      </c>
      <c r="J5587">
        <v>0.110539669972303</v>
      </c>
      <c r="K5587">
        <v>8.9064278637591907E-2</v>
      </c>
      <c r="L5587">
        <v>1273.8450672903</v>
      </c>
      <c r="M5587">
        <v>29.029554596151701</v>
      </c>
      <c r="N5587">
        <v>44.501004837578002</v>
      </c>
      <c r="O5587">
        <v>43.674320202554298</v>
      </c>
      <c r="P5587">
        <v>-0.13853164202439899</v>
      </c>
      <c r="Q5587">
        <v>0.166335061672822</v>
      </c>
      <c r="R5587">
        <v>0.96962274852844299</v>
      </c>
      <c r="S5587" t="s">
        <v>11413</v>
      </c>
      <c r="T5587" t="s">
        <v>11650</v>
      </c>
      <c r="U5587" t="s">
        <v>11650</v>
      </c>
      <c r="V5587" t="s">
        <v>11650</v>
      </c>
      <c r="W5587" t="s">
        <v>17177</v>
      </c>
      <c r="X5587">
        <v>15</v>
      </c>
      <c r="Y5587" t="s">
        <v>22831</v>
      </c>
      <c r="Z5587" t="s">
        <v>28649</v>
      </c>
      <c r="AA5587">
        <v>0.28093120829665152</v>
      </c>
      <c r="AB5587" t="str">
        <f>HYPERLINK("Melting_Curves/meltCurve_Q9UNF1_MAGED2.pdf", "Melting_Curves/meltCurve_Q9UNF1_MAGED2.pdf")</f>
        <v>Melting_Curves/meltCurve_Q9UNF1_MAGED2.pdf</v>
      </c>
    </row>
    <row r="5588" spans="1:28" x14ac:dyDescent="0.25">
      <c r="A5588" t="s">
        <v>5592</v>
      </c>
      <c r="B5588">
        <v>0.99996721820229495</v>
      </c>
      <c r="C5588">
        <v>1.0185101704973201</v>
      </c>
      <c r="D5588">
        <v>0.65543410013856696</v>
      </c>
      <c r="E5588">
        <v>0.29253429312972801</v>
      </c>
      <c r="F5588">
        <v>0.34009996263090497</v>
      </c>
      <c r="G5588">
        <v>0.26604461062156298</v>
      </c>
      <c r="H5588">
        <v>0.19352316143291801</v>
      </c>
      <c r="I5588">
        <v>0.13720739159006801</v>
      </c>
      <c r="J5588">
        <v>0.10289857265131</v>
      </c>
      <c r="K5588">
        <v>6.9732744967243201E-2</v>
      </c>
      <c r="L5588">
        <v>1044.83586992296</v>
      </c>
      <c r="M5588">
        <v>22.134086741250499</v>
      </c>
      <c r="N5588">
        <v>48.0346405177932</v>
      </c>
      <c r="O5588">
        <v>46.824586500181503</v>
      </c>
      <c r="P5588">
        <v>-9.9402165467860001E-2</v>
      </c>
      <c r="Q5588">
        <v>0.15887853491681</v>
      </c>
      <c r="R5588">
        <v>0.95770166449749405</v>
      </c>
      <c r="S5588" t="s">
        <v>11414</v>
      </c>
      <c r="T5588" t="s">
        <v>11650</v>
      </c>
      <c r="U5588" t="s">
        <v>11650</v>
      </c>
      <c r="V5588" t="s">
        <v>11650</v>
      </c>
      <c r="W5588" t="s">
        <v>17178</v>
      </c>
      <c r="X5588">
        <v>5</v>
      </c>
      <c r="Y5588" t="s">
        <v>22832</v>
      </c>
      <c r="Z5588" t="s">
        <v>28650</v>
      </c>
      <c r="AA5588">
        <v>0.37066035931298702</v>
      </c>
      <c r="AB5588" t="str">
        <f>HYPERLINK("Melting_Curves/meltCurve_Q9UNH6_SNX7.pdf", "Melting_Curves/meltCurve_Q9UNH6_SNX7.pdf")</f>
        <v>Melting_Curves/meltCurve_Q9UNH6_SNX7.pdf</v>
      </c>
    </row>
    <row r="5589" spans="1:28" x14ac:dyDescent="0.25">
      <c r="A5589" t="s">
        <v>5593</v>
      </c>
      <c r="B5589">
        <v>0.99996721820229495</v>
      </c>
      <c r="C5589">
        <v>1.0885652174836999</v>
      </c>
      <c r="D5589">
        <v>1.0473013990323901</v>
      </c>
      <c r="E5589">
        <v>0.83329691389944804</v>
      </c>
      <c r="F5589">
        <v>0.25581354390236299</v>
      </c>
      <c r="G5589">
        <v>0.19749612237379399</v>
      </c>
      <c r="H5589">
        <v>0.112367504360703</v>
      </c>
      <c r="I5589">
        <v>7.8788648074825496E-2</v>
      </c>
      <c r="J5589">
        <v>6.7522681080331506E-2</v>
      </c>
      <c r="K5589">
        <v>4.3134734851221303E-2</v>
      </c>
      <c r="L5589">
        <v>2601.86603399551</v>
      </c>
      <c r="M5589">
        <v>50.574264612201603</v>
      </c>
      <c r="N5589">
        <v>51.667086675409003</v>
      </c>
      <c r="O5589">
        <v>51.3662035424219</v>
      </c>
      <c r="P5589">
        <v>-0.22223945878521301</v>
      </c>
      <c r="Q5589">
        <v>9.712288820619E-2</v>
      </c>
      <c r="R5589">
        <v>0.98743230505856705</v>
      </c>
      <c r="S5589" t="s">
        <v>11415</v>
      </c>
      <c r="T5589" t="s">
        <v>11650</v>
      </c>
      <c r="U5589" t="s">
        <v>11650</v>
      </c>
      <c r="V5589" t="s">
        <v>11650</v>
      </c>
      <c r="W5589" t="s">
        <v>17179</v>
      </c>
      <c r="X5589">
        <v>31</v>
      </c>
      <c r="Y5589" t="s">
        <v>22833</v>
      </c>
      <c r="Z5589" t="s">
        <v>28651</v>
      </c>
      <c r="AA5589">
        <v>0.44361626185484659</v>
      </c>
      <c r="AB5589" t="str">
        <f>HYPERLINK("Melting_Curves/meltCurve_Q9UNH7_SNX6.pdf", "Melting_Curves/meltCurve_Q9UNH7_SNX6.pdf")</f>
        <v>Melting_Curves/meltCurve_Q9UNH7_SNX6.pdf</v>
      </c>
    </row>
    <row r="5590" spans="1:28" x14ac:dyDescent="0.25">
      <c r="A5590" t="s">
        <v>5594</v>
      </c>
      <c r="B5590">
        <v>0.99996721820229495</v>
      </c>
      <c r="C5590">
        <v>1.0215927036671799</v>
      </c>
      <c r="D5590">
        <v>0.93147473275998605</v>
      </c>
      <c r="E5590">
        <v>0.69346947961267902</v>
      </c>
      <c r="F5590">
        <v>0.39811940002374202</v>
      </c>
      <c r="G5590">
        <v>0.34567856725100599</v>
      </c>
      <c r="H5590">
        <v>0.204557209888444</v>
      </c>
      <c r="I5590">
        <v>0.150317733865</v>
      </c>
      <c r="J5590">
        <v>0.119596673188752</v>
      </c>
      <c r="K5590">
        <v>8.4575511459529198E-2</v>
      </c>
      <c r="L5590">
        <v>869.52280743471499</v>
      </c>
      <c r="M5590">
        <v>16.7902316029483</v>
      </c>
      <c r="N5590">
        <v>52.591372463203001</v>
      </c>
      <c r="O5590">
        <v>51.069535549356402</v>
      </c>
      <c r="P5590">
        <v>-7.2894628210181694E-2</v>
      </c>
      <c r="Q5590">
        <v>0.113185968576087</v>
      </c>
      <c r="R5590">
        <v>0.98714548317407902</v>
      </c>
      <c r="S5590" t="s">
        <v>11416</v>
      </c>
      <c r="T5590" t="s">
        <v>11650</v>
      </c>
      <c r="U5590" t="s">
        <v>11650</v>
      </c>
      <c r="V5590" t="s">
        <v>11650</v>
      </c>
      <c r="W5590" t="s">
        <v>17180</v>
      </c>
      <c r="X5590">
        <v>8</v>
      </c>
      <c r="Y5590" t="s">
        <v>22834</v>
      </c>
      <c r="Z5590" t="s">
        <v>28652</v>
      </c>
      <c r="AA5590">
        <v>0.47828136722947973</v>
      </c>
      <c r="AB5590" t="str">
        <f>HYPERLINK("Melting_Curves/meltCurve_Q9UNI6_DUSP12.pdf", "Melting_Curves/meltCurve_Q9UNI6_DUSP12.pdf")</f>
        <v>Melting_Curves/meltCurve_Q9UNI6_DUSP12.pdf</v>
      </c>
    </row>
    <row r="5591" spans="1:28" x14ac:dyDescent="0.25">
      <c r="A5591" t="s">
        <v>5595</v>
      </c>
      <c r="B5591">
        <v>0.99996721820229495</v>
      </c>
      <c r="C5591">
        <v>0.78721243699758303</v>
      </c>
      <c r="D5591">
        <v>0.800925435373534</v>
      </c>
      <c r="E5591">
        <v>0.78875969188562201</v>
      </c>
      <c r="F5591">
        <v>1.0740261235123201</v>
      </c>
      <c r="G5591">
        <v>0.99877834343530603</v>
      </c>
      <c r="H5591">
        <v>0.80059700527045496</v>
      </c>
      <c r="I5591">
        <v>0.57192396126137302</v>
      </c>
      <c r="J5591">
        <v>0.40547532644541401</v>
      </c>
      <c r="K5591">
        <v>0.42113558837767501</v>
      </c>
      <c r="L5591">
        <v>2379.7932398626499</v>
      </c>
      <c r="M5591">
        <v>38.216074756024</v>
      </c>
      <c r="N5591">
        <v>64.932494657223401</v>
      </c>
      <c r="O5591">
        <v>62.102268814783102</v>
      </c>
      <c r="P5591">
        <v>-9.2992294583422203E-2</v>
      </c>
      <c r="Q5591">
        <v>0.39554041968109099</v>
      </c>
      <c r="R5591">
        <v>0.72277771560260595</v>
      </c>
      <c r="S5591" t="s">
        <v>11417</v>
      </c>
      <c r="T5591" t="s">
        <v>11650</v>
      </c>
      <c r="U5591" t="s">
        <v>11650</v>
      </c>
      <c r="V5591" t="s">
        <v>11650</v>
      </c>
      <c r="W5591" t="s">
        <v>17181</v>
      </c>
      <c r="X5591">
        <v>9</v>
      </c>
      <c r="Y5591" t="s">
        <v>22835</v>
      </c>
      <c r="Z5591" t="s">
        <v>28653</v>
      </c>
      <c r="AA5591">
        <v>0.84650054572475142</v>
      </c>
      <c r="AB5591" t="str">
        <f>HYPERLINK("Melting_Curves/meltCurve_Q9UNK0_STX8.pdf", "Melting_Curves/meltCurve_Q9UNK0_STX8.pdf")</f>
        <v>Melting_Curves/meltCurve_Q9UNK0_STX8.pdf</v>
      </c>
    </row>
    <row r="5592" spans="1:28" x14ac:dyDescent="0.25">
      <c r="A5592" t="s">
        <v>5596</v>
      </c>
      <c r="B5592">
        <v>0.99996721820229495</v>
      </c>
      <c r="C5592">
        <v>0.917919692370322</v>
      </c>
      <c r="D5592">
        <v>0.91853252445156597</v>
      </c>
      <c r="E5592">
        <v>1.1782652065573</v>
      </c>
      <c r="F5592">
        <v>0.76096691750694401</v>
      </c>
      <c r="G5592">
        <v>0.54726340937612805</v>
      </c>
      <c r="H5592">
        <v>0.19208515692331099</v>
      </c>
      <c r="I5592">
        <v>0.13759232386621001</v>
      </c>
      <c r="J5592">
        <v>7.6896389077308794E-2</v>
      </c>
      <c r="K5592">
        <v>6.5923464209501306E-2</v>
      </c>
      <c r="L5592">
        <v>1390.21193129729</v>
      </c>
      <c r="M5592">
        <v>24.450317997075999</v>
      </c>
      <c r="N5592">
        <v>57.161039573114799</v>
      </c>
      <c r="O5592">
        <v>56.482391852831903</v>
      </c>
      <c r="P5592">
        <v>-0.10165711841349601</v>
      </c>
      <c r="Q5592">
        <v>6.0666144816736503E-2</v>
      </c>
      <c r="R5592">
        <v>0.95819977444354898</v>
      </c>
      <c r="S5592" t="s">
        <v>11418</v>
      </c>
      <c r="T5592" t="s">
        <v>11650</v>
      </c>
      <c r="U5592" t="s">
        <v>11650</v>
      </c>
      <c r="V5592" t="s">
        <v>11650</v>
      </c>
      <c r="W5592" t="s">
        <v>17182</v>
      </c>
      <c r="X5592">
        <v>8</v>
      </c>
      <c r="Y5592" t="s">
        <v>22836</v>
      </c>
      <c r="Z5592" t="s">
        <v>28654</v>
      </c>
      <c r="AA5592">
        <v>0.59731840098936007</v>
      </c>
      <c r="AB5592" t="str">
        <f>HYPERLINK("Melting_Curves/meltCurve_Q9UNM6_PSMD13.pdf", "Melting_Curves/meltCurve_Q9UNM6_PSMD13.pdf")</f>
        <v>Melting_Curves/meltCurve_Q9UNM6_PSMD13.pdf</v>
      </c>
    </row>
    <row r="5593" spans="1:28" x14ac:dyDescent="0.25">
      <c r="A5593" t="s">
        <v>5597</v>
      </c>
      <c r="B5593">
        <v>0.99996721820229495</v>
      </c>
      <c r="C5593">
        <v>1.0528235094977201</v>
      </c>
      <c r="D5593">
        <v>1.01699116618941</v>
      </c>
      <c r="E5593">
        <v>1.0046369323836799</v>
      </c>
      <c r="F5593">
        <v>1.10341889470405</v>
      </c>
      <c r="G5593">
        <v>0.80000061128608502</v>
      </c>
      <c r="H5593">
        <v>0.260719024346596</v>
      </c>
      <c r="I5593">
        <v>0.122920778228507</v>
      </c>
      <c r="J5593">
        <v>8.8091109476076498E-2</v>
      </c>
      <c r="K5593">
        <v>6.8451664052432207E-2</v>
      </c>
      <c r="L5593">
        <v>2446.07789695983</v>
      </c>
      <c r="M5593">
        <v>41.545764900594499</v>
      </c>
      <c r="N5593">
        <v>59.127427435004698</v>
      </c>
      <c r="O5593">
        <v>58.740796638755199</v>
      </c>
      <c r="P5593">
        <v>-0.162538473761696</v>
      </c>
      <c r="Q5593">
        <v>8.0761035487757801E-2</v>
      </c>
      <c r="R5593">
        <v>0.99124268905548796</v>
      </c>
      <c r="S5593" t="s">
        <v>11419</v>
      </c>
      <c r="T5593" t="s">
        <v>11650</v>
      </c>
      <c r="U5593" t="s">
        <v>11650</v>
      </c>
      <c r="V5593" t="s">
        <v>11650</v>
      </c>
      <c r="W5593" t="s">
        <v>17183</v>
      </c>
      <c r="X5593">
        <v>29</v>
      </c>
      <c r="Y5593" t="s">
        <v>22837</v>
      </c>
      <c r="Z5593" t="s">
        <v>28655</v>
      </c>
      <c r="AA5593">
        <v>0.66254597331371845</v>
      </c>
      <c r="AB5593" t="str">
        <f>HYPERLINK("Melting_Curves/meltCurve_Q9UNN5_FAF1.pdf", "Melting_Curves/meltCurve_Q9UNN5_FAF1.pdf")</f>
        <v>Melting_Curves/meltCurve_Q9UNN5_FAF1.pdf</v>
      </c>
    </row>
    <row r="5594" spans="1:28" x14ac:dyDescent="0.25">
      <c r="A5594" t="s">
        <v>5598</v>
      </c>
      <c r="B5594">
        <v>0.99996721820229495</v>
      </c>
      <c r="C5594">
        <v>0.85444731300410204</v>
      </c>
      <c r="D5594">
        <v>1.1184574716306299</v>
      </c>
      <c r="E5594">
        <v>1.1433807304055501</v>
      </c>
      <c r="F5594">
        <v>1.43621229620325</v>
      </c>
      <c r="G5594">
        <v>1.73701801300908</v>
      </c>
      <c r="H5594">
        <v>1.29443461778463</v>
      </c>
      <c r="I5594">
        <v>0.68449963085191001</v>
      </c>
      <c r="J5594">
        <v>0.25917737450078698</v>
      </c>
      <c r="K5594">
        <v>0.33490203841663702</v>
      </c>
      <c r="L5594">
        <v>15000</v>
      </c>
      <c r="M5594">
        <v>234.169493703298</v>
      </c>
      <c r="N5594">
        <v>64.303741447530399</v>
      </c>
      <c r="O5594">
        <v>64.0514941195745</v>
      </c>
      <c r="P5594">
        <v>-0.64250827445889003</v>
      </c>
      <c r="Q5594">
        <v>0.29702858834532297</v>
      </c>
      <c r="R5594">
        <v>0.55271221142418203</v>
      </c>
      <c r="S5594" t="s">
        <v>11420</v>
      </c>
      <c r="T5594" t="s">
        <v>11650</v>
      </c>
      <c r="U5594" t="s">
        <v>11650</v>
      </c>
      <c r="V5594" t="s">
        <v>11650</v>
      </c>
      <c r="W5594" t="s">
        <v>17184</v>
      </c>
      <c r="X5594">
        <v>5</v>
      </c>
      <c r="Y5594" t="s">
        <v>22838</v>
      </c>
      <c r="Z5594" t="s">
        <v>28656</v>
      </c>
      <c r="AA5594">
        <v>0.86081189973817307</v>
      </c>
      <c r="AB5594" t="str">
        <f>HYPERLINK("Melting_Curves/meltCurve_Q9UNN8_PROCR.pdf", "Melting_Curves/meltCurve_Q9UNN8_PROCR.pdf")</f>
        <v>Melting_Curves/meltCurve_Q9UNN8_PROCR.pdf</v>
      </c>
    </row>
    <row r="5595" spans="1:28" x14ac:dyDescent="0.25">
      <c r="A5595" t="s">
        <v>5599</v>
      </c>
      <c r="B5595">
        <v>0.99996721820229495</v>
      </c>
      <c r="C5595">
        <v>0.93783445962299095</v>
      </c>
      <c r="D5595">
        <v>0.88035818447353797</v>
      </c>
      <c r="E5595">
        <v>0.63692230470278299</v>
      </c>
      <c r="F5595">
        <v>0.57398766462183004</v>
      </c>
      <c r="G5595">
        <v>0.668327627944728</v>
      </c>
      <c r="H5595">
        <v>0.409685317634156</v>
      </c>
      <c r="I5595">
        <v>0.31353208767677498</v>
      </c>
      <c r="J5595">
        <v>0.217212240016912</v>
      </c>
      <c r="K5595">
        <v>0.17502683899173599</v>
      </c>
      <c r="L5595">
        <v>415.68362545872401</v>
      </c>
      <c r="M5595">
        <v>7.2583959852108704</v>
      </c>
      <c r="N5595">
        <v>57.269345110905597</v>
      </c>
      <c r="O5595">
        <v>53.402002379907898</v>
      </c>
      <c r="P5595">
        <v>-3.4035119220694098E-2</v>
      </c>
      <c r="Q5595">
        <v>0</v>
      </c>
      <c r="R5595">
        <v>0.94106686511794502</v>
      </c>
      <c r="S5595" t="s">
        <v>11421</v>
      </c>
      <c r="T5595" t="s">
        <v>11650</v>
      </c>
      <c r="U5595" t="s">
        <v>11650</v>
      </c>
      <c r="V5595" t="s">
        <v>11650</v>
      </c>
      <c r="W5595" t="s">
        <v>17185</v>
      </c>
      <c r="X5595">
        <v>8</v>
      </c>
      <c r="Y5595" t="s">
        <v>22839</v>
      </c>
      <c r="Z5595" t="s">
        <v>28657</v>
      </c>
      <c r="AA5595">
        <v>0.58260106613790619</v>
      </c>
      <c r="AB5595" t="str">
        <f>HYPERLINK("Melting_Curves/meltCurve_Q9UNP9_PPIE.pdf", "Melting_Curves/meltCurve_Q9UNP9_PPIE.pdf")</f>
        <v>Melting_Curves/meltCurve_Q9UNP9_PPIE.pdf</v>
      </c>
    </row>
    <row r="5596" spans="1:28" x14ac:dyDescent="0.25">
      <c r="A5596" t="s">
        <v>5600</v>
      </c>
      <c r="B5596">
        <v>0.99996721820229495</v>
      </c>
      <c r="C5596">
        <v>0.98048656319772598</v>
      </c>
      <c r="D5596">
        <v>1.12677545774473</v>
      </c>
      <c r="E5596">
        <v>1.6503301016490199</v>
      </c>
      <c r="F5596">
        <v>3.0017259179486699</v>
      </c>
      <c r="G5596">
        <v>2.7908381080353601</v>
      </c>
      <c r="H5596">
        <v>6.0049704322044102</v>
      </c>
      <c r="I5596">
        <v>3.3185365977847598</v>
      </c>
      <c r="J5596">
        <v>0.605264188530662</v>
      </c>
      <c r="K5596">
        <v>0.26384729335539803</v>
      </c>
      <c r="L5596">
        <v>11549.6701699327</v>
      </c>
      <c r="M5596">
        <v>250</v>
      </c>
      <c r="O5596">
        <v>46.195725544685601</v>
      </c>
      <c r="P5596">
        <v>0.67646953326703696</v>
      </c>
      <c r="Q5596">
        <v>1.5</v>
      </c>
      <c r="R5596">
        <v>-9.6896876207132901E-2</v>
      </c>
      <c r="S5596" t="s">
        <v>11422</v>
      </c>
      <c r="T5596" t="s">
        <v>11650</v>
      </c>
      <c r="U5596" t="s">
        <v>11650</v>
      </c>
      <c r="V5596" t="s">
        <v>11650</v>
      </c>
      <c r="W5596" t="s">
        <v>17186</v>
      </c>
      <c r="X5596">
        <v>15</v>
      </c>
      <c r="Y5596" t="s">
        <v>22840</v>
      </c>
      <c r="Z5596" t="s">
        <v>28658</v>
      </c>
      <c r="AA5596">
        <v>1.3966481163550291</v>
      </c>
      <c r="AB5596" t="str">
        <f>HYPERLINK("Melting_Curves/meltCurve_Q9UNS2_COPS3.pdf", "Melting_Curves/meltCurve_Q9UNS2_COPS3.pdf")</f>
        <v>Melting_Curves/meltCurve_Q9UNS2_COPS3.pdf</v>
      </c>
    </row>
    <row r="5597" spans="1:28" x14ac:dyDescent="0.25">
      <c r="A5597" t="s">
        <v>5601</v>
      </c>
      <c r="B5597">
        <v>0.99996721820229495</v>
      </c>
      <c r="C5597">
        <v>1.0456227315050599</v>
      </c>
      <c r="D5597">
        <v>1.0346469829029801</v>
      </c>
      <c r="E5597">
        <v>1.0549905577228</v>
      </c>
      <c r="F5597">
        <v>1.1587783685326301</v>
      </c>
      <c r="G5597">
        <v>1.05517674434136</v>
      </c>
      <c r="H5597">
        <v>0.59220393759110601</v>
      </c>
      <c r="I5597">
        <v>0.39775901878544001</v>
      </c>
      <c r="J5597">
        <v>0.197459986193328</v>
      </c>
      <c r="K5597">
        <v>0.13948612844737501</v>
      </c>
      <c r="L5597">
        <v>2177.2861340237</v>
      </c>
      <c r="M5597">
        <v>35.310875780494399</v>
      </c>
      <c r="N5597">
        <v>62.3041676090319</v>
      </c>
      <c r="O5597">
        <v>61.463714533473599</v>
      </c>
      <c r="P5597">
        <v>-0.121674719277211</v>
      </c>
      <c r="Q5597">
        <v>0.1528323997195</v>
      </c>
      <c r="R5597">
        <v>0.96375817512485695</v>
      </c>
      <c r="S5597" t="s">
        <v>11423</v>
      </c>
      <c r="T5597" t="s">
        <v>11650</v>
      </c>
      <c r="U5597" t="s">
        <v>11650</v>
      </c>
      <c r="V5597" t="s">
        <v>11650</v>
      </c>
      <c r="W5597" t="s">
        <v>17187</v>
      </c>
      <c r="X5597">
        <v>11</v>
      </c>
      <c r="Y5597" t="s">
        <v>22841</v>
      </c>
      <c r="Z5597" t="s">
        <v>28659</v>
      </c>
      <c r="AA5597">
        <v>0.76814097588378538</v>
      </c>
      <c r="AB5597" t="str">
        <f>HYPERLINK("Melting_Curves/meltCurve_Q9UNW1_MINPP1.pdf", "Melting_Curves/meltCurve_Q9UNW1_MINPP1.pdf")</f>
        <v>Melting_Curves/meltCurve_Q9UNW1_MINPP1.pdf</v>
      </c>
    </row>
    <row r="5598" spans="1:28" x14ac:dyDescent="0.25">
      <c r="A5598" t="s">
        <v>5602</v>
      </c>
      <c r="B5598">
        <v>0.99996721820229495</v>
      </c>
      <c r="C5598">
        <v>0.87580680125296895</v>
      </c>
      <c r="D5598">
        <v>0.78113012533290205</v>
      </c>
      <c r="E5598">
        <v>0.71482730426680197</v>
      </c>
      <c r="F5598">
        <v>0.76599673241422195</v>
      </c>
      <c r="G5598">
        <v>0.662524086045294</v>
      </c>
      <c r="H5598">
        <v>1.84311605215255</v>
      </c>
      <c r="I5598">
        <v>0.34242149235696001</v>
      </c>
      <c r="J5598">
        <v>0.34190609064507899</v>
      </c>
      <c r="K5598">
        <v>0.14137076626967801</v>
      </c>
      <c r="L5598">
        <v>15000</v>
      </c>
      <c r="M5598">
        <v>236.24348405866999</v>
      </c>
      <c r="N5598">
        <v>63.671576150326899</v>
      </c>
      <c r="O5598">
        <v>63.489261992606401</v>
      </c>
      <c r="P5598">
        <v>-0.70563118115067303</v>
      </c>
      <c r="Q5598">
        <v>0.241460480855165</v>
      </c>
      <c r="R5598">
        <v>0.47423835064119002</v>
      </c>
      <c r="S5598" t="s">
        <v>11424</v>
      </c>
      <c r="T5598" t="s">
        <v>11650</v>
      </c>
      <c r="U5598" t="s">
        <v>11650</v>
      </c>
      <c r="V5598" t="s">
        <v>11650</v>
      </c>
      <c r="W5598" t="s">
        <v>17188</v>
      </c>
      <c r="X5598">
        <v>26</v>
      </c>
      <c r="Y5598" t="s">
        <v>22842</v>
      </c>
      <c r="Z5598" t="s">
        <v>28660</v>
      </c>
      <c r="AA5598">
        <v>0.83558803504393064</v>
      </c>
      <c r="AB5598" t="str">
        <f>HYPERLINK("Melting_Curves/meltCurve_Q9UNZ2_NSFL1C.pdf", "Melting_Curves/meltCurve_Q9UNZ2_NSFL1C.pdf")</f>
        <v>Melting_Curves/meltCurve_Q9UNZ2_NSFL1C.pdf</v>
      </c>
    </row>
    <row r="5599" spans="1:28" x14ac:dyDescent="0.25">
      <c r="A5599" t="s">
        <v>5603</v>
      </c>
      <c r="B5599">
        <v>0.99996721820229495</v>
      </c>
      <c r="C5599">
        <v>0.99754627699486598</v>
      </c>
      <c r="D5599">
        <v>1.0826070874993201</v>
      </c>
      <c r="E5599">
        <v>0.94912588164350298</v>
      </c>
      <c r="F5599">
        <v>1.39068166051736</v>
      </c>
      <c r="G5599">
        <v>1.3555399586604899</v>
      </c>
      <c r="H5599">
        <v>0.95832442029300502</v>
      </c>
      <c r="I5599">
        <v>1.23795251665788</v>
      </c>
      <c r="J5599">
        <v>1.00064533446181</v>
      </c>
      <c r="K5599">
        <v>0.29547298409177403</v>
      </c>
      <c r="L5599">
        <v>15000</v>
      </c>
      <c r="M5599">
        <v>215.15466050672001</v>
      </c>
      <c r="N5599">
        <v>69.717290693875995</v>
      </c>
      <c r="O5599">
        <v>69.711255169245007</v>
      </c>
      <c r="P5599">
        <v>-0.77159213010482197</v>
      </c>
      <c r="Q5599">
        <v>0</v>
      </c>
      <c r="R5599">
        <v>0.58514652843672799</v>
      </c>
      <c r="S5599" t="s">
        <v>11425</v>
      </c>
      <c r="T5599" t="s">
        <v>11650</v>
      </c>
      <c r="U5599" t="s">
        <v>11650</v>
      </c>
      <c r="V5599" t="s">
        <v>11650</v>
      </c>
      <c r="W5599" t="s">
        <v>17189</v>
      </c>
      <c r="X5599">
        <v>26</v>
      </c>
      <c r="Y5599" t="s">
        <v>22842</v>
      </c>
      <c r="Z5599" t="s">
        <v>28661</v>
      </c>
      <c r="AA5599">
        <v>0.98688853951695776</v>
      </c>
      <c r="AB5599" t="str">
        <f>HYPERLINK("Melting_Curves/meltCurve_Q9UNZ2_5_NSFL1C.pdf", "Melting_Curves/meltCurve_Q9UNZ2_5_NSFL1C.pdf")</f>
        <v>Melting_Curves/meltCurve_Q9UNZ2_5_NSFL1C.pdf</v>
      </c>
    </row>
    <row r="5600" spans="1:28" x14ac:dyDescent="0.25">
      <c r="A5600" t="s">
        <v>5604</v>
      </c>
      <c r="B5600">
        <v>0.99996721820229495</v>
      </c>
      <c r="C5600">
        <v>0.82104570134793498</v>
      </c>
      <c r="D5600">
        <v>0.81925348762792605</v>
      </c>
      <c r="E5600">
        <v>1.02666765418635</v>
      </c>
      <c r="F5600">
        <v>1.1264907699745099</v>
      </c>
      <c r="G5600">
        <v>0.93560555136857704</v>
      </c>
      <c r="H5600">
        <v>0.76967906333288805</v>
      </c>
      <c r="I5600">
        <v>0.42746206450879498</v>
      </c>
      <c r="J5600">
        <v>0.21983012821835901</v>
      </c>
      <c r="K5600">
        <v>0.217557111249432</v>
      </c>
      <c r="L5600">
        <v>2334.1782629975</v>
      </c>
      <c r="M5600">
        <v>37.364671692308299</v>
      </c>
      <c r="N5600">
        <v>63.249653307667799</v>
      </c>
      <c r="O5600">
        <v>62.292060837435699</v>
      </c>
      <c r="P5600">
        <v>-0.12229001154241401</v>
      </c>
      <c r="Q5600">
        <v>0.18450495724309299</v>
      </c>
      <c r="R5600">
        <v>0.91482712264050203</v>
      </c>
      <c r="S5600" t="s">
        <v>11426</v>
      </c>
      <c r="T5600" t="s">
        <v>11650</v>
      </c>
      <c r="U5600" t="s">
        <v>11650</v>
      </c>
      <c r="V5600" t="s">
        <v>11650</v>
      </c>
      <c r="W5600" t="s">
        <v>17190</v>
      </c>
      <c r="X5600">
        <v>4</v>
      </c>
      <c r="Y5600" t="s">
        <v>22843</v>
      </c>
      <c r="Z5600" t="s">
        <v>28662</v>
      </c>
      <c r="AA5600">
        <v>0.79827444472735287</v>
      </c>
      <c r="AB5600" t="str">
        <f>HYPERLINK("Melting_Curves/meltCurve_Q9UP38_FZD1.pdf", "Melting_Curves/meltCurve_Q9UP38_FZD1.pdf")</f>
        <v>Melting_Curves/meltCurve_Q9UP38_FZD1.pdf</v>
      </c>
    </row>
    <row r="5601" spans="1:28" x14ac:dyDescent="0.25">
      <c r="A5601" t="s">
        <v>5605</v>
      </c>
      <c r="B5601">
        <v>0.99996721820229495</v>
      </c>
      <c r="C5601">
        <v>0.98633863567643398</v>
      </c>
      <c r="D5601">
        <v>1.0854708747805599</v>
      </c>
      <c r="E5601">
        <v>1.0096366366003</v>
      </c>
      <c r="F5601">
        <v>0.81649738654025295</v>
      </c>
      <c r="G5601">
        <v>0.73741884426269499</v>
      </c>
      <c r="H5601">
        <v>0.48233580053737601</v>
      </c>
      <c r="I5601">
        <v>0.40193415562438101</v>
      </c>
      <c r="J5601">
        <v>0.36980126932742602</v>
      </c>
      <c r="K5601">
        <v>0.22743077021813299</v>
      </c>
      <c r="L5601">
        <v>895.98976941980197</v>
      </c>
      <c r="M5601">
        <v>15.143696911783399</v>
      </c>
      <c r="N5601">
        <v>61.231723388937397</v>
      </c>
      <c r="O5601">
        <v>58.162913574824799</v>
      </c>
      <c r="P5601">
        <v>-5.2076571517244499E-2</v>
      </c>
      <c r="Q5601">
        <v>0.200028796015222</v>
      </c>
      <c r="R5601">
        <v>0.97432162960882496</v>
      </c>
      <c r="S5601" t="s">
        <v>11427</v>
      </c>
      <c r="T5601" t="s">
        <v>11650</v>
      </c>
      <c r="U5601" t="s">
        <v>11650</v>
      </c>
      <c r="V5601" t="s">
        <v>11650</v>
      </c>
      <c r="W5601" t="s">
        <v>17191</v>
      </c>
      <c r="X5601">
        <v>2</v>
      </c>
      <c r="Y5601" t="s">
        <v>22844</v>
      </c>
      <c r="Z5601" t="s">
        <v>28663</v>
      </c>
      <c r="AA5601">
        <v>0.71909143668360564</v>
      </c>
      <c r="AB5601" t="str">
        <f>HYPERLINK("Melting_Curves/meltCurve_Q9UP79_ADAMTS8.pdf", "Melting_Curves/meltCurve_Q9UP79_ADAMTS8.pdf")</f>
        <v>Melting_Curves/meltCurve_Q9UP79_ADAMTS8.pdf</v>
      </c>
    </row>
    <row r="5602" spans="1:28" x14ac:dyDescent="0.25">
      <c r="A5602" t="s">
        <v>5606</v>
      </c>
      <c r="B5602">
        <v>0.99996721820229495</v>
      </c>
      <c r="C5602">
        <v>0.95092193425187999</v>
      </c>
      <c r="D5602">
        <v>0.77147646501886202</v>
      </c>
      <c r="E5602">
        <v>0.315266003448961</v>
      </c>
      <c r="F5602">
        <v>0.30886957808057403</v>
      </c>
      <c r="G5602">
        <v>0.23396511685652699</v>
      </c>
      <c r="H5602">
        <v>0.155323599241382</v>
      </c>
      <c r="I5602">
        <v>9.8765178477807802E-2</v>
      </c>
      <c r="J5602">
        <v>6.4009739046520298E-2</v>
      </c>
      <c r="K5602">
        <v>5.2972743029781E-2</v>
      </c>
      <c r="L5602">
        <v>909.72266145272897</v>
      </c>
      <c r="M5602">
        <v>18.861062773508301</v>
      </c>
      <c r="N5602">
        <v>48.843999888211897</v>
      </c>
      <c r="O5602">
        <v>47.700452605319498</v>
      </c>
      <c r="P5602">
        <v>-8.8465166232507705E-2</v>
      </c>
      <c r="Q5602">
        <v>0.105107625883265</v>
      </c>
      <c r="R5602">
        <v>0.97715793553460994</v>
      </c>
      <c r="S5602" t="s">
        <v>11428</v>
      </c>
      <c r="T5602" t="s">
        <v>11650</v>
      </c>
      <c r="U5602" t="s">
        <v>11650</v>
      </c>
      <c r="V5602" t="s">
        <v>11650</v>
      </c>
      <c r="W5602" t="s">
        <v>17192</v>
      </c>
      <c r="X5602">
        <v>10</v>
      </c>
      <c r="Y5602" t="s">
        <v>22845</v>
      </c>
      <c r="Z5602" t="s">
        <v>28664</v>
      </c>
      <c r="AA5602">
        <v>0.36500529664175929</v>
      </c>
      <c r="AB5602" t="str">
        <f>HYPERLINK("Melting_Curves/meltCurve_Q9UP83_COG5.pdf", "Melting_Curves/meltCurve_Q9UP83_COG5.pdf")</f>
        <v>Melting_Curves/meltCurve_Q9UP83_COG5.pdf</v>
      </c>
    </row>
    <row r="5603" spans="1:28" x14ac:dyDescent="0.25">
      <c r="A5603" t="s">
        <v>5607</v>
      </c>
      <c r="B5603">
        <v>0.99996721820229495</v>
      </c>
      <c r="C5603">
        <v>0.79147556383317497</v>
      </c>
      <c r="D5603">
        <v>1.0771322187843799</v>
      </c>
      <c r="E5603">
        <v>1.25745827659056</v>
      </c>
      <c r="F5603">
        <v>1.4820939993340501</v>
      </c>
      <c r="G5603">
        <v>1.3243571255108799</v>
      </c>
      <c r="H5603">
        <v>1.09934318673954</v>
      </c>
      <c r="I5603">
        <v>0.88730461249662795</v>
      </c>
      <c r="J5603">
        <v>0.68351652809110997</v>
      </c>
      <c r="K5603">
        <v>0.55088655003726394</v>
      </c>
      <c r="L5603">
        <v>3418.07599893715</v>
      </c>
      <c r="M5603">
        <v>51.9139938106483</v>
      </c>
      <c r="O5603">
        <v>65.743650016346507</v>
      </c>
      <c r="P5603">
        <v>-9.1469679749330499E-2</v>
      </c>
      <c r="Q5603">
        <v>0.53665316537583097</v>
      </c>
      <c r="R5603">
        <v>0.39929198094142598</v>
      </c>
      <c r="S5603" t="s">
        <v>11429</v>
      </c>
      <c r="T5603" t="s">
        <v>11650</v>
      </c>
      <c r="U5603" t="s">
        <v>11650</v>
      </c>
      <c r="V5603" t="s">
        <v>11650</v>
      </c>
      <c r="W5603" t="s">
        <v>17193</v>
      </c>
      <c r="X5603">
        <v>4</v>
      </c>
      <c r="Y5603" t="s">
        <v>22846</v>
      </c>
      <c r="Z5603" t="s">
        <v>28665</v>
      </c>
      <c r="AA5603">
        <v>0.93597998086830836</v>
      </c>
      <c r="AB5603" t="str">
        <f>HYPERLINK("Melting_Curves/meltCurve_Q9UP95_5_SLC12A4.pdf", "Melting_Curves/meltCurve_Q9UP95_5_SLC12A4.pdf")</f>
        <v>Melting_Curves/meltCurve_Q9UP95_5_SLC12A4.pdf</v>
      </c>
    </row>
    <row r="5604" spans="1:28" x14ac:dyDescent="0.25">
      <c r="A5604" t="s">
        <v>5608</v>
      </c>
      <c r="B5604">
        <v>0.99996721820229495</v>
      </c>
      <c r="C5604">
        <v>0.78636722038862605</v>
      </c>
      <c r="D5604">
        <v>0.58269181433703499</v>
      </c>
      <c r="E5604">
        <v>0.71588311176696195</v>
      </c>
      <c r="F5604">
        <v>0.558924727771129</v>
      </c>
      <c r="G5604">
        <v>0.48154120993224298</v>
      </c>
      <c r="H5604">
        <v>0.41984962556866701</v>
      </c>
      <c r="I5604">
        <v>0.52270119454891895</v>
      </c>
      <c r="J5604">
        <v>0.44855779187619199</v>
      </c>
      <c r="K5604">
        <v>0.52689736657899999</v>
      </c>
      <c r="L5604">
        <v>621.90927494882601</v>
      </c>
      <c r="M5604">
        <v>13.934910327126399</v>
      </c>
      <c r="N5604">
        <v>59.521346371938002</v>
      </c>
      <c r="O5604">
        <v>43.740597614864001</v>
      </c>
      <c r="P5604">
        <v>-4.1047104628246497E-2</v>
      </c>
      <c r="Q5604">
        <v>0.48469459659535902</v>
      </c>
      <c r="R5604">
        <v>0.82971785907014195</v>
      </c>
      <c r="S5604" t="s">
        <v>11430</v>
      </c>
      <c r="T5604" t="s">
        <v>11650</v>
      </c>
      <c r="U5604" t="s">
        <v>11650</v>
      </c>
      <c r="V5604" t="s">
        <v>11650</v>
      </c>
      <c r="W5604" t="s">
        <v>17194</v>
      </c>
      <c r="X5604">
        <v>2</v>
      </c>
      <c r="Y5604" t="s">
        <v>22847</v>
      </c>
      <c r="Z5604" t="s">
        <v>28666</v>
      </c>
      <c r="AA5604">
        <v>0.58428079525459997</v>
      </c>
      <c r="AB5604" t="str">
        <f>HYPERLINK("Melting_Curves/meltCurve_Q9UPN6_SCAF8.pdf", "Melting_Curves/meltCurve_Q9UPN6_SCAF8.pdf")</f>
        <v>Melting_Curves/meltCurve_Q9UPN6_SCAF8.pdf</v>
      </c>
    </row>
    <row r="5605" spans="1:28" x14ac:dyDescent="0.25">
      <c r="A5605" t="s">
        <v>5609</v>
      </c>
      <c r="B5605">
        <v>0.99996721820229495</v>
      </c>
      <c r="C5605">
        <v>1.0843760942843499</v>
      </c>
      <c r="D5605">
        <v>1.3068983766401201</v>
      </c>
      <c r="E5605">
        <v>1.6308817279715799</v>
      </c>
      <c r="F5605">
        <v>2.1756348235587599</v>
      </c>
      <c r="G5605">
        <v>1.56519823423874</v>
      </c>
      <c r="H5605">
        <v>0.61621672623199597</v>
      </c>
      <c r="I5605">
        <v>0.29237220509777301</v>
      </c>
      <c r="J5605">
        <v>0.23244840860459401</v>
      </c>
      <c r="K5605">
        <v>0.14369637730569801</v>
      </c>
      <c r="L5605">
        <v>6447.3714205830101</v>
      </c>
      <c r="M5605">
        <v>105.646974102409</v>
      </c>
      <c r="N5605">
        <v>61.364979325031399</v>
      </c>
      <c r="O5605">
        <v>61.005648669843801</v>
      </c>
      <c r="P5605">
        <v>-0.33755021714336197</v>
      </c>
      <c r="Q5605">
        <v>0.220329054115738</v>
      </c>
      <c r="R5605">
        <v>0.46972520339560297</v>
      </c>
      <c r="S5605" t="s">
        <v>11431</v>
      </c>
      <c r="T5605" t="s">
        <v>11650</v>
      </c>
      <c r="U5605" t="s">
        <v>11650</v>
      </c>
      <c r="V5605" t="s">
        <v>11650</v>
      </c>
      <c r="W5605" t="s">
        <v>17195</v>
      </c>
      <c r="X5605">
        <v>5</v>
      </c>
      <c r="Y5605" t="s">
        <v>22848</v>
      </c>
      <c r="Z5605" t="s">
        <v>28667</v>
      </c>
      <c r="AA5605">
        <v>0.76728164108433528</v>
      </c>
      <c r="AB5605" t="str">
        <f>HYPERLINK("Melting_Curves/meltCurve_Q9UPN7_PPP6R1.pdf", "Melting_Curves/meltCurve_Q9UPN7_PPP6R1.pdf")</f>
        <v>Melting_Curves/meltCurve_Q9UPN7_PPP6R1.pdf</v>
      </c>
    </row>
    <row r="5606" spans="1:28" x14ac:dyDescent="0.25">
      <c r="A5606" t="s">
        <v>5610</v>
      </c>
      <c r="B5606">
        <v>0.99996721820229495</v>
      </c>
      <c r="C5606">
        <v>0.89361202661789996</v>
      </c>
      <c r="D5606">
        <v>0.64925847355452504</v>
      </c>
      <c r="E5606">
        <v>0.39712739953485099</v>
      </c>
      <c r="F5606">
        <v>0.47339353471366702</v>
      </c>
      <c r="G5606">
        <v>0.43196251826222998</v>
      </c>
      <c r="H5606">
        <v>0.35334475479649302</v>
      </c>
      <c r="I5606">
        <v>0.22339201002418901</v>
      </c>
      <c r="J5606">
        <v>0.10777296079861599</v>
      </c>
      <c r="K5606">
        <v>0.177243660991737</v>
      </c>
      <c r="L5606">
        <v>477.11275132256497</v>
      </c>
      <c r="M5606">
        <v>9.7366341355110606</v>
      </c>
      <c r="N5606">
        <v>50.911791881458697</v>
      </c>
      <c r="O5606">
        <v>47.068820752237798</v>
      </c>
      <c r="P5606">
        <v>-4.38262665034133E-2</v>
      </c>
      <c r="Q5606">
        <v>0.152996640829896</v>
      </c>
      <c r="R5606">
        <v>0.91575224408943001</v>
      </c>
      <c r="S5606" t="s">
        <v>11432</v>
      </c>
      <c r="T5606" t="s">
        <v>11650</v>
      </c>
      <c r="U5606" t="s">
        <v>11650</v>
      </c>
      <c r="V5606" t="s">
        <v>11650</v>
      </c>
      <c r="W5606" t="s">
        <v>17196</v>
      </c>
      <c r="X5606">
        <v>3</v>
      </c>
      <c r="Y5606" t="s">
        <v>22849</v>
      </c>
      <c r="Z5606" t="s">
        <v>28668</v>
      </c>
      <c r="AA5606">
        <v>0.4502419842681325</v>
      </c>
      <c r="AB5606" t="str">
        <f>HYPERLINK("Melting_Curves/meltCurve_Q9UPN9_2_TRIM33.pdf", "Melting_Curves/meltCurve_Q9UPN9_2_TRIM33.pdf")</f>
        <v>Melting_Curves/meltCurve_Q9UPN9_2_TRIM33.pdf</v>
      </c>
    </row>
    <row r="5607" spans="1:28" x14ac:dyDescent="0.25">
      <c r="A5607" t="s">
        <v>5611</v>
      </c>
      <c r="B5607">
        <v>0.99996721820229495</v>
      </c>
      <c r="C5607">
        <v>1.06419900735562</v>
      </c>
      <c r="D5607">
        <v>1.0415524267524801</v>
      </c>
      <c r="E5607">
        <v>0.92833513441485904</v>
      </c>
      <c r="F5607">
        <v>1.0563802771938899</v>
      </c>
      <c r="G5607">
        <v>0.95413017656870602</v>
      </c>
      <c r="H5607">
        <v>0.65976716955176795</v>
      </c>
      <c r="I5607">
        <v>0.46109728048883403</v>
      </c>
      <c r="J5607">
        <v>0.40769447055388702</v>
      </c>
      <c r="K5607">
        <v>0.30066127854733699</v>
      </c>
      <c r="L5607">
        <v>1932.26615684136</v>
      </c>
      <c r="M5607">
        <v>31.601552340079898</v>
      </c>
      <c r="N5607">
        <v>63.252531341731498</v>
      </c>
      <c r="O5607">
        <v>60.901380479090697</v>
      </c>
      <c r="P5607">
        <v>-8.7489708528424498E-2</v>
      </c>
      <c r="Q5607">
        <v>0.32557549871221603</v>
      </c>
      <c r="R5607">
        <v>0.97736778097946597</v>
      </c>
      <c r="S5607" t="s">
        <v>11433</v>
      </c>
      <c r="T5607" t="s">
        <v>11650</v>
      </c>
      <c r="U5607" t="s">
        <v>11650</v>
      </c>
      <c r="V5607" t="s">
        <v>11650</v>
      </c>
      <c r="W5607" t="s">
        <v>17197</v>
      </c>
      <c r="X5607">
        <v>3</v>
      </c>
      <c r="Y5607" t="s">
        <v>22850</v>
      </c>
      <c r="Z5607" t="s">
        <v>28669</v>
      </c>
      <c r="AA5607">
        <v>0.80439553170626721</v>
      </c>
      <c r="AB5607" t="str">
        <f>HYPERLINK("Melting_Curves/meltCurve_Q9UPP5_2_KIAA1107.pdf", "Melting_Curves/meltCurve_Q9UPP5_2_KIAA1107.pdf")</f>
        <v>Melting_Curves/meltCurve_Q9UPP5_2_KIAA1107.pdf</v>
      </c>
    </row>
    <row r="5608" spans="1:28" x14ac:dyDescent="0.25">
      <c r="A5608" t="s">
        <v>5612</v>
      </c>
      <c r="B5608">
        <v>0.99996721820229495</v>
      </c>
      <c r="C5608">
        <v>0.92481908325399298</v>
      </c>
      <c r="D5608">
        <v>0.89896799277397699</v>
      </c>
      <c r="E5608">
        <v>0.62866064348242801</v>
      </c>
      <c r="F5608">
        <v>0.39464636589737201</v>
      </c>
      <c r="G5608">
        <v>0.27379578329613902</v>
      </c>
      <c r="H5608">
        <v>0.14559977226541701</v>
      </c>
      <c r="I5608">
        <v>9.21760545747599E-2</v>
      </c>
      <c r="J5608">
        <v>5.97076596992034E-2</v>
      </c>
      <c r="K5608">
        <v>5.8925000822574999E-2</v>
      </c>
      <c r="L5608">
        <v>750.68085281435697</v>
      </c>
      <c r="M5608">
        <v>14.539423539480101</v>
      </c>
      <c r="N5608">
        <v>51.940881881600703</v>
      </c>
      <c r="O5608">
        <v>50.683483888238896</v>
      </c>
      <c r="P5608">
        <v>-6.8742621265459797E-2</v>
      </c>
      <c r="Q5608">
        <v>4.1579976614121203E-2</v>
      </c>
      <c r="R5608">
        <v>0.99578620917653504</v>
      </c>
      <c r="S5608" t="s">
        <v>11434</v>
      </c>
      <c r="T5608" t="s">
        <v>11650</v>
      </c>
      <c r="U5608" t="s">
        <v>11650</v>
      </c>
      <c r="V5608" t="s">
        <v>11650</v>
      </c>
      <c r="W5608" t="s">
        <v>17198</v>
      </c>
      <c r="X5608">
        <v>9</v>
      </c>
      <c r="Y5608" t="s">
        <v>22851</v>
      </c>
      <c r="Z5608" t="s">
        <v>28670</v>
      </c>
      <c r="AA5608">
        <v>0.43592982875918779</v>
      </c>
      <c r="AB5608" t="str">
        <f>HYPERLINK("Melting_Curves/meltCurve_Q9UPQ0_10_LIMCH1.pdf", "Melting_Curves/meltCurve_Q9UPQ0_10_LIMCH1.pdf")</f>
        <v>Melting_Curves/meltCurve_Q9UPQ0_10_LIMCH1.pdf</v>
      </c>
    </row>
    <row r="5609" spans="1:28" x14ac:dyDescent="0.25">
      <c r="A5609" t="s">
        <v>5613</v>
      </c>
      <c r="B5609">
        <v>0.99996721820229495</v>
      </c>
      <c r="C5609">
        <v>1.0842051007818501</v>
      </c>
      <c r="D5609">
        <v>1.1031190979094601</v>
      </c>
      <c r="E5609">
        <v>1.01189984553044</v>
      </c>
      <c r="F5609">
        <v>0.38722738636788401</v>
      </c>
      <c r="G5609">
        <v>0.39954079270302101</v>
      </c>
      <c r="H5609">
        <v>0.211692740465349</v>
      </c>
      <c r="I5609">
        <v>9.4720562398864894E-2</v>
      </c>
      <c r="J5609">
        <v>7.0908087535568196E-2</v>
      </c>
      <c r="K5609">
        <v>0.105184957827871</v>
      </c>
      <c r="L5609">
        <v>13193.449084207499</v>
      </c>
      <c r="M5609">
        <v>250</v>
      </c>
      <c r="N5609">
        <v>52.865811775660397</v>
      </c>
      <c r="O5609">
        <v>52.770419161567503</v>
      </c>
      <c r="P5609">
        <v>-0.97544064025716504</v>
      </c>
      <c r="Q5609">
        <v>0.1764094176713</v>
      </c>
      <c r="R5609">
        <v>0.949163502597279</v>
      </c>
      <c r="S5609" t="s">
        <v>11435</v>
      </c>
      <c r="T5609" t="s">
        <v>11650</v>
      </c>
      <c r="U5609" t="s">
        <v>11650</v>
      </c>
      <c r="V5609" t="s">
        <v>11650</v>
      </c>
      <c r="W5609" t="s">
        <v>17199</v>
      </c>
      <c r="X5609">
        <v>8</v>
      </c>
      <c r="Y5609" t="s">
        <v>22851</v>
      </c>
      <c r="Z5609" t="s">
        <v>28671</v>
      </c>
      <c r="AA5609">
        <v>0.52716497510435922</v>
      </c>
      <c r="AB5609" t="str">
        <f>HYPERLINK("Melting_Curves/meltCurve_Q9UPQ0_6_LIMCH1.pdf", "Melting_Curves/meltCurve_Q9UPQ0_6_LIMCH1.pdf")</f>
        <v>Melting_Curves/meltCurve_Q9UPQ0_6_LIMCH1.pdf</v>
      </c>
    </row>
    <row r="5610" spans="1:28" x14ac:dyDescent="0.25">
      <c r="A5610" t="s">
        <v>5614</v>
      </c>
      <c r="B5610">
        <v>0.99996721820229495</v>
      </c>
      <c r="C5610">
        <v>0.97019766924206297</v>
      </c>
      <c r="D5610">
        <v>0.92471965480117302</v>
      </c>
      <c r="E5610">
        <v>0.91446509430886702</v>
      </c>
      <c r="F5610">
        <v>1.0194298288246699</v>
      </c>
      <c r="G5610">
        <v>1.0541531691024899</v>
      </c>
      <c r="H5610">
        <v>0.77753252606638101</v>
      </c>
      <c r="I5610">
        <v>0.62071650180254601</v>
      </c>
      <c r="J5610">
        <v>0.52801484166786194</v>
      </c>
      <c r="K5610">
        <v>0.60249552518873595</v>
      </c>
      <c r="L5610">
        <v>4069.31009195559</v>
      </c>
      <c r="M5610">
        <v>66.755244541379895</v>
      </c>
      <c r="O5610">
        <v>60.904020565468997</v>
      </c>
      <c r="P5610">
        <v>-0.11603467321916799</v>
      </c>
      <c r="Q5610">
        <v>0.57654404877343401</v>
      </c>
      <c r="R5610">
        <v>0.93647726002899101</v>
      </c>
      <c r="S5610" t="s">
        <v>11436</v>
      </c>
      <c r="T5610" t="s">
        <v>11650</v>
      </c>
      <c r="U5610" t="s">
        <v>11650</v>
      </c>
      <c r="V5610" t="s">
        <v>11650</v>
      </c>
      <c r="W5610" t="s">
        <v>17200</v>
      </c>
      <c r="X5610">
        <v>5</v>
      </c>
      <c r="Y5610" t="s">
        <v>22852</v>
      </c>
      <c r="Z5610" t="s">
        <v>28672</v>
      </c>
      <c r="AA5610">
        <v>0.87301369890624969</v>
      </c>
      <c r="AB5610" t="str">
        <f>HYPERLINK("Melting_Curves/meltCurve_Q9UPQ9_1_TNRC6B.pdf", "Melting_Curves/meltCurve_Q9UPQ9_1_TNRC6B.pdf")</f>
        <v>Melting_Curves/meltCurve_Q9UPQ9_1_TNRC6B.pdf</v>
      </c>
    </row>
    <row r="5611" spans="1:28" x14ac:dyDescent="0.25">
      <c r="A5611" t="s">
        <v>5615</v>
      </c>
      <c r="B5611">
        <v>0.99996721820229495</v>
      </c>
      <c r="C5611">
        <v>1.0035547165971199</v>
      </c>
      <c r="D5611">
        <v>1.10789827634002</v>
      </c>
      <c r="E5611">
        <v>0.90448940858190097</v>
      </c>
      <c r="F5611">
        <v>0.40255408124043102</v>
      </c>
      <c r="G5611">
        <v>0.340225070400417</v>
      </c>
      <c r="H5611">
        <v>0.21148628984025999</v>
      </c>
      <c r="I5611">
        <v>0.143635211603617</v>
      </c>
      <c r="J5611">
        <v>0.118416236366715</v>
      </c>
      <c r="K5611">
        <v>9.4888911843283699E-2</v>
      </c>
      <c r="L5611">
        <v>2257.2622124811301</v>
      </c>
      <c r="M5611">
        <v>43.368733858003701</v>
      </c>
      <c r="N5611">
        <v>52.564702029002298</v>
      </c>
      <c r="O5611">
        <v>51.937846423167898</v>
      </c>
      <c r="P5611">
        <v>-0.17253409784996401</v>
      </c>
      <c r="Q5611">
        <v>0.17350263854956499</v>
      </c>
      <c r="R5611">
        <v>0.97015660649755597</v>
      </c>
      <c r="S5611" t="s">
        <v>11437</v>
      </c>
      <c r="T5611" t="s">
        <v>11650</v>
      </c>
      <c r="U5611" t="s">
        <v>11650</v>
      </c>
      <c r="V5611" t="s">
        <v>11650</v>
      </c>
      <c r="W5611" t="s">
        <v>17201</v>
      </c>
      <c r="X5611">
        <v>18</v>
      </c>
      <c r="Y5611" t="s">
        <v>22853</v>
      </c>
      <c r="Z5611" t="s">
        <v>28673</v>
      </c>
      <c r="AA5611">
        <v>0.50795398362812261</v>
      </c>
      <c r="AB5611" t="str">
        <f>HYPERLINK("Melting_Curves/meltCurve_Q9UPT5_2_EXOC7.pdf", "Melting_Curves/meltCurve_Q9UPT5_2_EXOC7.pdf")</f>
        <v>Melting_Curves/meltCurve_Q9UPT5_2_EXOC7.pdf</v>
      </c>
    </row>
    <row r="5612" spans="1:28" x14ac:dyDescent="0.25">
      <c r="A5612" t="s">
        <v>5616</v>
      </c>
      <c r="B5612">
        <v>0.99996721820229495</v>
      </c>
      <c r="C5612">
        <v>0.973040671710376</v>
      </c>
      <c r="D5612">
        <v>1.2516268921617799</v>
      </c>
      <c r="E5612">
        <v>1.31594171530688</v>
      </c>
      <c r="F5612">
        <v>0.45414606258222201</v>
      </c>
      <c r="G5612">
        <v>0.39334719067859297</v>
      </c>
      <c r="H5612">
        <v>0.277381176628547</v>
      </c>
      <c r="I5612">
        <v>0.22180060148813599</v>
      </c>
      <c r="J5612">
        <v>0.24573823785690199</v>
      </c>
      <c r="K5612">
        <v>0.113101022326853</v>
      </c>
      <c r="L5612">
        <v>13197.803146865501</v>
      </c>
      <c r="M5612">
        <v>250</v>
      </c>
      <c r="N5612">
        <v>52.938207518599697</v>
      </c>
      <c r="O5612">
        <v>52.787836594901002</v>
      </c>
      <c r="P5612">
        <v>-0.88766489612241795</v>
      </c>
      <c r="Q5612">
        <v>0.25027348164966401</v>
      </c>
      <c r="R5612">
        <v>0.89247801187141695</v>
      </c>
      <c r="S5612" t="s">
        <v>11438</v>
      </c>
      <c r="T5612" t="s">
        <v>11650</v>
      </c>
      <c r="U5612" t="s">
        <v>11650</v>
      </c>
      <c r="V5612" t="s">
        <v>11650</v>
      </c>
      <c r="W5612" t="s">
        <v>17202</v>
      </c>
      <c r="X5612">
        <v>2</v>
      </c>
      <c r="Y5612" t="s">
        <v>22854</v>
      </c>
      <c r="Z5612" t="s">
        <v>28674</v>
      </c>
      <c r="AA5612">
        <v>0.57000665141879059</v>
      </c>
      <c r="AB5612" t="str">
        <f>HYPERLINK("Melting_Curves/meltCurve_Q9UPU5_USP24.pdf", "Melting_Curves/meltCurve_Q9UPU5_USP24.pdf")</f>
        <v>Melting_Curves/meltCurve_Q9UPU5_USP24.pdf</v>
      </c>
    </row>
    <row r="5613" spans="1:28" x14ac:dyDescent="0.25">
      <c r="A5613" t="s">
        <v>5617</v>
      </c>
      <c r="B5613">
        <v>0.99996721820229495</v>
      </c>
      <c r="C5613">
        <v>0.90393213495510105</v>
      </c>
      <c r="D5613">
        <v>0.73361969597408305</v>
      </c>
      <c r="E5613">
        <v>0.67251643752486401</v>
      </c>
      <c r="F5613">
        <v>0.73407421991500599</v>
      </c>
      <c r="G5613">
        <v>0.61573340128606502</v>
      </c>
      <c r="H5613">
        <v>0.42456789639782699</v>
      </c>
      <c r="I5613">
        <v>0.30154150246515399</v>
      </c>
      <c r="J5613">
        <v>0.25788807523048901</v>
      </c>
      <c r="K5613">
        <v>0.195623290337849</v>
      </c>
      <c r="L5613">
        <v>386.29800448727099</v>
      </c>
      <c r="M5613">
        <v>6.691463769836</v>
      </c>
      <c r="N5613">
        <v>57.729959597268</v>
      </c>
      <c r="O5613">
        <v>53.229176501192399</v>
      </c>
      <c r="P5613">
        <v>-3.1496310894728201E-2</v>
      </c>
      <c r="Q5613">
        <v>0</v>
      </c>
      <c r="R5613">
        <v>0.94164820467793797</v>
      </c>
      <c r="S5613" t="s">
        <v>11439</v>
      </c>
      <c r="T5613" t="s">
        <v>11650</v>
      </c>
      <c r="U5613" t="s">
        <v>11650</v>
      </c>
      <c r="V5613" t="s">
        <v>11650</v>
      </c>
      <c r="W5613" t="s">
        <v>17203</v>
      </c>
      <c r="X5613">
        <v>4</v>
      </c>
      <c r="Y5613" t="s">
        <v>22855</v>
      </c>
      <c r="Z5613" t="s">
        <v>28675</v>
      </c>
      <c r="AA5613">
        <v>0.59038253448409994</v>
      </c>
      <c r="AB5613" t="str">
        <f>HYPERLINK("Melting_Curves/meltCurve_Q9UPU7_2_TBC1D2B.pdf", "Melting_Curves/meltCurve_Q9UPU7_2_TBC1D2B.pdf")</f>
        <v>Melting_Curves/meltCurve_Q9UPU7_2_TBC1D2B.pdf</v>
      </c>
    </row>
    <row r="5614" spans="1:28" x14ac:dyDescent="0.25">
      <c r="A5614" t="s">
        <v>5618</v>
      </c>
      <c r="B5614">
        <v>0.99996721820229495</v>
      </c>
      <c r="C5614">
        <v>0.90967286497270505</v>
      </c>
      <c r="D5614">
        <v>0.89539188424396199</v>
      </c>
      <c r="E5614">
        <v>0.76989567506273404</v>
      </c>
      <c r="F5614">
        <v>0.32286426080437902</v>
      </c>
      <c r="G5614">
        <v>0.23717793206076901</v>
      </c>
      <c r="H5614">
        <v>0.14056993815844901</v>
      </c>
      <c r="I5614">
        <v>9.4549068985602405E-2</v>
      </c>
      <c r="J5614">
        <v>7.9897959202109001E-2</v>
      </c>
      <c r="K5614">
        <v>8.5899892062413996E-2</v>
      </c>
      <c r="L5614">
        <v>1186.8615713940401</v>
      </c>
      <c r="M5614">
        <v>23.054179887018002</v>
      </c>
      <c r="N5614">
        <v>51.953443434815902</v>
      </c>
      <c r="O5614">
        <v>51.098766001041497</v>
      </c>
      <c r="P5614">
        <v>-0.10213630099444</v>
      </c>
      <c r="Q5614">
        <v>9.4491232125335306E-2</v>
      </c>
      <c r="R5614">
        <v>0.98167990123827198</v>
      </c>
      <c r="S5614" t="s">
        <v>11440</v>
      </c>
      <c r="T5614" t="s">
        <v>11650</v>
      </c>
      <c r="U5614" t="s">
        <v>11650</v>
      </c>
      <c r="V5614" t="s">
        <v>11650</v>
      </c>
      <c r="W5614" t="s">
        <v>17204</v>
      </c>
      <c r="X5614">
        <v>16</v>
      </c>
      <c r="Y5614" t="s">
        <v>22856</v>
      </c>
      <c r="Z5614" t="s">
        <v>28676</v>
      </c>
      <c r="AA5614">
        <v>0.45065739485134931</v>
      </c>
      <c r="AB5614" t="str">
        <f>HYPERLINK("Melting_Curves/meltCurve_Q9UPY8_MAPRE3.pdf", "Melting_Curves/meltCurve_Q9UPY8_MAPRE3.pdf")</f>
        <v>Melting_Curves/meltCurve_Q9UPY8_MAPRE3.pdf</v>
      </c>
    </row>
    <row r="5615" spans="1:28" x14ac:dyDescent="0.25">
      <c r="A5615" t="s">
        <v>5619</v>
      </c>
      <c r="B5615">
        <v>0.99996721820229495</v>
      </c>
      <c r="C5615">
        <v>0.70772173081713197</v>
      </c>
      <c r="D5615">
        <v>0.56904986936603397</v>
      </c>
      <c r="E5615">
        <v>0.31726763496444499</v>
      </c>
      <c r="F5615">
        <v>0.300077587422378</v>
      </c>
      <c r="G5615">
        <v>0.28674867600061599</v>
      </c>
      <c r="H5615">
        <v>0.21777642009013401</v>
      </c>
      <c r="I5615">
        <v>0.124727148667879</v>
      </c>
      <c r="J5615">
        <v>0.11287298368981601</v>
      </c>
      <c r="K5615">
        <v>7.7344192270026396E-2</v>
      </c>
      <c r="L5615">
        <v>588.75391930507305</v>
      </c>
      <c r="M5615">
        <v>12.743428515755101</v>
      </c>
      <c r="N5615">
        <v>47.287350552063799</v>
      </c>
      <c r="O5615">
        <v>45.107200679986398</v>
      </c>
      <c r="P5615">
        <v>-6.1674626728860697E-2</v>
      </c>
      <c r="Q5615">
        <v>0.12694134907249799</v>
      </c>
      <c r="R5615">
        <v>0.95797338814576805</v>
      </c>
      <c r="S5615" t="s">
        <v>11441</v>
      </c>
      <c r="T5615" t="s">
        <v>11650</v>
      </c>
      <c r="U5615" t="s">
        <v>11650</v>
      </c>
      <c r="V5615" t="s">
        <v>11650</v>
      </c>
      <c r="W5615" t="s">
        <v>17205</v>
      </c>
      <c r="X5615">
        <v>3</v>
      </c>
      <c r="Y5615" t="s">
        <v>22857</v>
      </c>
      <c r="Z5615" t="s">
        <v>28677</v>
      </c>
      <c r="AA5615">
        <v>0.34224266898820371</v>
      </c>
      <c r="AB5615" t="str">
        <f>HYPERLINK("Melting_Curves/meltCurve_Q9UPZ3_2_HPS5.pdf", "Melting_Curves/meltCurve_Q9UPZ3_2_HPS5.pdf")</f>
        <v>Melting_Curves/meltCurve_Q9UPZ3_2_HPS5.pdf</v>
      </c>
    </row>
    <row r="5616" spans="1:28" x14ac:dyDescent="0.25">
      <c r="A5616" t="s">
        <v>5620</v>
      </c>
      <c r="B5616">
        <v>0.99996721820229495</v>
      </c>
      <c r="C5616">
        <v>1.0708145588053599</v>
      </c>
      <c r="D5616">
        <v>0.92897305077702397</v>
      </c>
      <c r="E5616">
        <v>0.93541720818298502</v>
      </c>
      <c r="F5616">
        <v>0.69112746003193903</v>
      </c>
      <c r="G5616">
        <v>0.41604751143223301</v>
      </c>
      <c r="H5616">
        <v>0.23115937922656599</v>
      </c>
      <c r="I5616">
        <v>0.13370968645564699</v>
      </c>
      <c r="J5616">
        <v>0.10241822369801699</v>
      </c>
      <c r="K5616">
        <v>9.7066944759845203E-2</v>
      </c>
      <c r="L5616">
        <v>1043.18910868842</v>
      </c>
      <c r="M5616">
        <v>18.855515655455001</v>
      </c>
      <c r="N5616">
        <v>55.8180954540004</v>
      </c>
      <c r="O5616">
        <v>54.714373201643099</v>
      </c>
      <c r="P5616">
        <v>-7.9553030556420504E-2</v>
      </c>
      <c r="Q5616">
        <v>7.6659380855223197E-2</v>
      </c>
      <c r="R5616">
        <v>0.99225490812512696</v>
      </c>
      <c r="S5616" t="s">
        <v>11442</v>
      </c>
      <c r="T5616" t="s">
        <v>11650</v>
      </c>
      <c r="U5616" t="s">
        <v>11650</v>
      </c>
      <c r="V5616" t="s">
        <v>11650</v>
      </c>
      <c r="W5616" t="s">
        <v>17206</v>
      </c>
      <c r="X5616">
        <v>4</v>
      </c>
      <c r="Y5616" t="s">
        <v>22858</v>
      </c>
      <c r="Z5616" t="s">
        <v>28678</v>
      </c>
      <c r="AA5616">
        <v>0.56158454138411418</v>
      </c>
      <c r="AB5616" t="str">
        <f>HYPERLINK("Melting_Curves/meltCurve_Q9UQ13_2_SHOC2.pdf", "Melting_Curves/meltCurve_Q9UQ13_2_SHOC2.pdf")</f>
        <v>Melting_Curves/meltCurve_Q9UQ13_2_SHOC2.pdf</v>
      </c>
    </row>
    <row r="5617" spans="1:28" x14ac:dyDescent="0.25">
      <c r="A5617" t="s">
        <v>5621</v>
      </c>
      <c r="B5617">
        <v>0.99996721820229495</v>
      </c>
      <c r="C5617">
        <v>0.94070276523848195</v>
      </c>
      <c r="D5617">
        <v>0.85344353879620505</v>
      </c>
      <c r="E5617">
        <v>0.72454046361276503</v>
      </c>
      <c r="F5617">
        <v>0.76338750589253601</v>
      </c>
      <c r="G5617">
        <v>0.67424126106151805</v>
      </c>
      <c r="H5617">
        <v>0.50216033521265502</v>
      </c>
      <c r="I5617">
        <v>0.470075424792327</v>
      </c>
      <c r="J5617">
        <v>0.39361256882072698</v>
      </c>
      <c r="K5617">
        <v>0.30458161971672998</v>
      </c>
      <c r="L5617">
        <v>361.70014291776198</v>
      </c>
      <c r="M5617">
        <v>5.8455222488993996</v>
      </c>
      <c r="N5617">
        <v>61.876446328307502</v>
      </c>
      <c r="O5617">
        <v>55.789804935484199</v>
      </c>
      <c r="P5617">
        <v>-2.6287477617023099E-2</v>
      </c>
      <c r="Q5617">
        <v>0</v>
      </c>
      <c r="R5617">
        <v>0.97228578426967105</v>
      </c>
      <c r="S5617" t="s">
        <v>11443</v>
      </c>
      <c r="T5617" t="s">
        <v>11650</v>
      </c>
      <c r="U5617" t="s">
        <v>11650</v>
      </c>
      <c r="V5617" t="s">
        <v>11650</v>
      </c>
      <c r="W5617" t="s">
        <v>17207</v>
      </c>
      <c r="X5617">
        <v>18</v>
      </c>
      <c r="Y5617" t="s">
        <v>22859</v>
      </c>
      <c r="Z5617" t="s">
        <v>28679</v>
      </c>
      <c r="AA5617">
        <v>0.6671167642923983</v>
      </c>
      <c r="AB5617" t="str">
        <f>HYPERLINK("Melting_Curves/meltCurve_Q9UQ35_SRRM2.pdf", "Melting_Curves/meltCurve_Q9UQ35_SRRM2.pdf")</f>
        <v>Melting_Curves/meltCurve_Q9UQ35_SRRM2.pdf</v>
      </c>
    </row>
    <row r="5618" spans="1:28" x14ac:dyDescent="0.25">
      <c r="A5618" t="s">
        <v>5622</v>
      </c>
      <c r="B5618">
        <v>0.99996721820229495</v>
      </c>
      <c r="C5618">
        <v>1.0124433352042601</v>
      </c>
      <c r="D5618">
        <v>0.77480561078572696</v>
      </c>
      <c r="E5618">
        <v>0.51944459240182395</v>
      </c>
      <c r="F5618">
        <v>0.240783120245082</v>
      </c>
      <c r="G5618">
        <v>0.19206364605964299</v>
      </c>
      <c r="H5618">
        <v>0.108965142533185</v>
      </c>
      <c r="I5618">
        <v>9.0497234424580894E-2</v>
      </c>
      <c r="J5618">
        <v>5.2720139822943803E-2</v>
      </c>
      <c r="K5618">
        <v>4.47863554770686E-2</v>
      </c>
      <c r="L5618">
        <v>901.12055571724397</v>
      </c>
      <c r="M5618">
        <v>18.1892293547454</v>
      </c>
      <c r="N5618">
        <v>49.923700489530198</v>
      </c>
      <c r="O5618">
        <v>48.954269961864398</v>
      </c>
      <c r="P5618">
        <v>-8.6854731843305194E-2</v>
      </c>
      <c r="Q5618">
        <v>6.5005213996156302E-2</v>
      </c>
      <c r="R5618">
        <v>0.99122484196151195</v>
      </c>
      <c r="S5618" t="s">
        <v>11444</v>
      </c>
      <c r="T5618" t="s">
        <v>11650</v>
      </c>
      <c r="U5618" t="s">
        <v>11650</v>
      </c>
      <c r="V5618" t="s">
        <v>11650</v>
      </c>
      <c r="W5618" t="s">
        <v>17208</v>
      </c>
      <c r="X5618">
        <v>24</v>
      </c>
      <c r="Y5618" t="s">
        <v>22860</v>
      </c>
      <c r="Z5618" t="s">
        <v>28680</v>
      </c>
      <c r="AA5618">
        <v>0.3781029522347919</v>
      </c>
      <c r="AB5618" t="str">
        <f>HYPERLINK("Melting_Curves/meltCurve_Q9UQ80_PA2G4.pdf", "Melting_Curves/meltCurve_Q9UQ80_PA2G4.pdf")</f>
        <v>Melting_Curves/meltCurve_Q9UQ80_PA2G4.pdf</v>
      </c>
    </row>
    <row r="5619" spans="1:28" x14ac:dyDescent="0.25">
      <c r="A5619" t="s">
        <v>5623</v>
      </c>
      <c r="B5619">
        <v>0.99996721820229495</v>
      </c>
      <c r="C5619">
        <v>0.92389001893704203</v>
      </c>
      <c r="D5619">
        <v>0.88537375818189501</v>
      </c>
      <c r="E5619">
        <v>1.3012634104133201</v>
      </c>
      <c r="F5619">
        <v>0.68196216277270305</v>
      </c>
      <c r="G5619">
        <v>0.58702873508206699</v>
      </c>
      <c r="H5619">
        <v>0.31255328717463299</v>
      </c>
      <c r="I5619">
        <v>0.20101654770889901</v>
      </c>
      <c r="J5619">
        <v>0.10690534080492201</v>
      </c>
      <c r="K5619">
        <v>0.130376704533332</v>
      </c>
      <c r="L5619">
        <v>1212.2196341936201</v>
      </c>
      <c r="M5619">
        <v>21.215700266328</v>
      </c>
      <c r="N5619">
        <v>57.780905532283697</v>
      </c>
      <c r="O5619">
        <v>56.637479465377602</v>
      </c>
      <c r="P5619">
        <v>-8.3801751601724303E-2</v>
      </c>
      <c r="Q5619">
        <v>0.105153726525043</v>
      </c>
      <c r="R5619">
        <v>0.89151971275786202</v>
      </c>
      <c r="S5619" t="s">
        <v>11445</v>
      </c>
      <c r="T5619" t="s">
        <v>11650</v>
      </c>
      <c r="U5619" t="s">
        <v>11650</v>
      </c>
      <c r="V5619" t="s">
        <v>11650</v>
      </c>
      <c r="W5619" t="s">
        <v>17209</v>
      </c>
      <c r="X5619">
        <v>5</v>
      </c>
      <c r="Y5619" t="s">
        <v>22861</v>
      </c>
      <c r="Z5619" t="s">
        <v>28681</v>
      </c>
      <c r="AA5619">
        <v>0.62645310013545441</v>
      </c>
      <c r="AB5619" t="str">
        <f>HYPERLINK("Melting_Curves/meltCurve_Q9UQ90_SPG7.pdf", "Melting_Curves/meltCurve_Q9UQ90_SPG7.pdf")</f>
        <v>Melting_Curves/meltCurve_Q9UQ90_SPG7.pdf</v>
      </c>
    </row>
    <row r="5620" spans="1:28" x14ac:dyDescent="0.25">
      <c r="A5620" t="s">
        <v>5624</v>
      </c>
      <c r="B5620">
        <v>0.99996721820229495</v>
      </c>
      <c r="C5620">
        <v>1.0697144525334099</v>
      </c>
      <c r="D5620">
        <v>0.80844079005352298</v>
      </c>
      <c r="E5620">
        <v>0.69695564435760904</v>
      </c>
      <c r="F5620">
        <v>0.591372065319547</v>
      </c>
      <c r="G5620">
        <v>0.57142191975119605</v>
      </c>
      <c r="H5620">
        <v>0.35976363234061298</v>
      </c>
      <c r="I5620">
        <v>0.27607223911113998</v>
      </c>
      <c r="J5620">
        <v>0.29938658590055001</v>
      </c>
      <c r="K5620">
        <v>0.22220695549959801</v>
      </c>
      <c r="L5620">
        <v>518.86008941104899</v>
      </c>
      <c r="M5620">
        <v>9.5581154816771807</v>
      </c>
      <c r="N5620">
        <v>56.410699035793499</v>
      </c>
      <c r="O5620">
        <v>52.068025913398898</v>
      </c>
      <c r="P5620">
        <v>-3.8974332373935501E-2</v>
      </c>
      <c r="Q5620">
        <v>0.15123668360370099</v>
      </c>
      <c r="R5620">
        <v>0.95666115231538695</v>
      </c>
      <c r="S5620" t="s">
        <v>11446</v>
      </c>
      <c r="T5620" t="s">
        <v>11650</v>
      </c>
      <c r="U5620" t="s">
        <v>11650</v>
      </c>
      <c r="V5620" t="s">
        <v>11650</v>
      </c>
      <c r="W5620" t="s">
        <v>17210</v>
      </c>
      <c r="X5620">
        <v>3</v>
      </c>
      <c r="Y5620" t="s">
        <v>22862</v>
      </c>
      <c r="Z5620" t="s">
        <v>28682</v>
      </c>
      <c r="AA5620">
        <v>0.58065569223540847</v>
      </c>
      <c r="AB5620" t="str">
        <f>HYPERLINK("Melting_Curves/meltCurve_Q9UQC2_2_GAB2.pdf", "Melting_Curves/meltCurve_Q9UQC2_2_GAB2.pdf")</f>
        <v>Melting_Curves/meltCurve_Q9UQC2_2_GAB2.pdf</v>
      </c>
    </row>
    <row r="5621" spans="1:28" x14ac:dyDescent="0.25">
      <c r="A5621" t="s">
        <v>5625</v>
      </c>
      <c r="B5621">
        <v>0.99996721820229495</v>
      </c>
      <c r="C5621">
        <v>0.72087693199803005</v>
      </c>
      <c r="D5621">
        <v>0.52657657104219302</v>
      </c>
      <c r="E5621">
        <v>0.55401018991970397</v>
      </c>
      <c r="F5621">
        <v>0.55145410754610102</v>
      </c>
      <c r="G5621">
        <v>0.347701331140368</v>
      </c>
      <c r="H5621">
        <v>0.25629892494735002</v>
      </c>
      <c r="I5621">
        <v>0.27758404859246999</v>
      </c>
      <c r="J5621">
        <v>0.15798964703601401</v>
      </c>
      <c r="K5621">
        <v>0.16973594248360599</v>
      </c>
      <c r="L5621">
        <v>321.80004309359299</v>
      </c>
      <c r="M5621">
        <v>6.3146011102714397</v>
      </c>
      <c r="N5621">
        <v>51.3477045366186</v>
      </c>
      <c r="O5621">
        <v>46.567085696046099</v>
      </c>
      <c r="P5621">
        <v>-3.3203132422801103E-2</v>
      </c>
      <c r="Q5621">
        <v>2.3206130379052101E-2</v>
      </c>
      <c r="R5621">
        <v>0.907876628925949</v>
      </c>
      <c r="S5621" t="s">
        <v>11447</v>
      </c>
      <c r="T5621" t="s">
        <v>11650</v>
      </c>
      <c r="U5621" t="s">
        <v>11650</v>
      </c>
      <c r="V5621" t="s">
        <v>11650</v>
      </c>
      <c r="W5621" t="s">
        <v>17211</v>
      </c>
      <c r="X5621">
        <v>3</v>
      </c>
      <c r="Y5621" t="s">
        <v>22863</v>
      </c>
      <c r="Z5621" t="s">
        <v>28683</v>
      </c>
      <c r="AA5621">
        <v>0.4448558466872809</v>
      </c>
      <c r="AB5621" t="str">
        <f>HYPERLINK("Melting_Curves/meltCurve_Q9UQE7_SMC3.pdf", "Melting_Curves/meltCurve_Q9UQE7_SMC3.pdf")</f>
        <v>Melting_Curves/meltCurve_Q9UQE7_SMC3.pdf</v>
      </c>
    </row>
    <row r="5622" spans="1:28" x14ac:dyDescent="0.25">
      <c r="A5622" t="s">
        <v>5626</v>
      </c>
      <c r="B5622">
        <v>0.99996721820229495</v>
      </c>
      <c r="C5622">
        <v>0.82374458670412198</v>
      </c>
      <c r="D5622">
        <v>0.76162250926839103</v>
      </c>
      <c r="E5622">
        <v>0.99423798668748298</v>
      </c>
      <c r="F5622">
        <v>0.98598486189082701</v>
      </c>
      <c r="G5622">
        <v>0.72048202315633203</v>
      </c>
      <c r="H5622">
        <v>0.52145709376389404</v>
      </c>
      <c r="I5622">
        <v>0.46345379036497403</v>
      </c>
      <c r="J5622">
        <v>0.37379522742661497</v>
      </c>
      <c r="K5622">
        <v>0.28662407854240401</v>
      </c>
      <c r="L5622">
        <v>954.54492392646398</v>
      </c>
      <c r="M5622">
        <v>16.044353078756199</v>
      </c>
      <c r="N5622">
        <v>62.146794344739597</v>
      </c>
      <c r="O5622">
        <v>58.592921499210199</v>
      </c>
      <c r="P5622">
        <v>-5.1489503781045803E-2</v>
      </c>
      <c r="Q5622">
        <v>0.24791322774982399</v>
      </c>
      <c r="R5622">
        <v>0.85242920464584004</v>
      </c>
      <c r="S5622" t="s">
        <v>11448</v>
      </c>
      <c r="T5622" t="s">
        <v>11650</v>
      </c>
      <c r="U5622" t="s">
        <v>11650</v>
      </c>
      <c r="V5622" t="s">
        <v>11650</v>
      </c>
      <c r="W5622" t="s">
        <v>17212</v>
      </c>
      <c r="X5622">
        <v>12</v>
      </c>
      <c r="Y5622" t="s">
        <v>22864</v>
      </c>
      <c r="Z5622" t="s">
        <v>28684</v>
      </c>
      <c r="AA5622">
        <v>0.74357960123460176</v>
      </c>
      <c r="AB5622" t="str">
        <f>HYPERLINK("Melting_Curves/meltCurve_Q9UQN3_CHMP2B.pdf", "Melting_Curves/meltCurve_Q9UQN3_CHMP2B.pdf")</f>
        <v>Melting_Curves/meltCurve_Q9UQN3_CHMP2B.pdf</v>
      </c>
    </row>
    <row r="5623" spans="1:28" x14ac:dyDescent="0.25">
      <c r="A5623" t="s">
        <v>5627</v>
      </c>
      <c r="B5623">
        <v>0.99996721820229495</v>
      </c>
      <c r="C5623">
        <v>1.0377109430074101</v>
      </c>
      <c r="D5623">
        <v>1.00817130680752</v>
      </c>
      <c r="E5623">
        <v>0.861370599488397</v>
      </c>
      <c r="F5623">
        <v>0.61475706476166303</v>
      </c>
      <c r="G5623">
        <v>0.49271563576902899</v>
      </c>
      <c r="H5623">
        <v>0.30871614851310603</v>
      </c>
      <c r="I5623">
        <v>0.202745953223952</v>
      </c>
      <c r="J5623">
        <v>0.15794450374254901</v>
      </c>
      <c r="K5623">
        <v>0.111905710502717</v>
      </c>
      <c r="L5623">
        <v>775.60407648744297</v>
      </c>
      <c r="M5623">
        <v>13.9502786301346</v>
      </c>
      <c r="N5623">
        <v>56.289928402934599</v>
      </c>
      <c r="O5623">
        <v>54.492661819396403</v>
      </c>
      <c r="P5623">
        <v>-5.8964241633727203E-2</v>
      </c>
      <c r="Q5623">
        <v>7.88177150725244E-2</v>
      </c>
      <c r="R5623">
        <v>0.98906223885712796</v>
      </c>
      <c r="S5623" t="s">
        <v>11449</v>
      </c>
      <c r="T5623" t="s">
        <v>11650</v>
      </c>
      <c r="U5623" t="s">
        <v>11650</v>
      </c>
      <c r="V5623" t="s">
        <v>11650</v>
      </c>
      <c r="W5623" t="s">
        <v>17213</v>
      </c>
      <c r="X5623">
        <v>17</v>
      </c>
      <c r="Y5623" t="s">
        <v>22865</v>
      </c>
      <c r="Z5623" t="s">
        <v>28685</v>
      </c>
      <c r="AA5623">
        <v>0.57582574110254037</v>
      </c>
      <c r="AB5623" t="str">
        <f>HYPERLINK("Melting_Curves/meltCurve_Q9Y217_MTMR6.pdf", "Melting_Curves/meltCurve_Q9Y217_MTMR6.pdf")</f>
        <v>Melting_Curves/meltCurve_Q9Y217_MTMR6.pdf</v>
      </c>
    </row>
    <row r="5624" spans="1:28" x14ac:dyDescent="0.25">
      <c r="A5624" t="s">
        <v>5628</v>
      </c>
      <c r="B5624">
        <v>0.99996721820229495</v>
      </c>
      <c r="C5624">
        <v>1.00990246609805</v>
      </c>
      <c r="D5624">
        <v>1.3015725393347399</v>
      </c>
      <c r="E5624">
        <v>1.9706512060069401</v>
      </c>
      <c r="F5624">
        <v>1.54752306070205</v>
      </c>
      <c r="G5624">
        <v>0.66208726024988596</v>
      </c>
      <c r="H5624">
        <v>0.36361695226986102</v>
      </c>
      <c r="I5624">
        <v>0.211161453584297</v>
      </c>
      <c r="J5624">
        <v>0.10691414966448901</v>
      </c>
      <c r="K5624">
        <v>9.1767600293368098E-2</v>
      </c>
      <c r="L5624">
        <v>2319.4067735907001</v>
      </c>
      <c r="M5624">
        <v>39.640689055372498</v>
      </c>
      <c r="N5624">
        <v>59.002155242242402</v>
      </c>
      <c r="O5624">
        <v>58.362450151403401</v>
      </c>
      <c r="P5624">
        <v>-0.145931468391131</v>
      </c>
      <c r="Q5624">
        <v>0.14059019487356</v>
      </c>
      <c r="R5624">
        <v>0.63754624385734804</v>
      </c>
      <c r="S5624" t="s">
        <v>11450</v>
      </c>
      <c r="T5624" t="s">
        <v>11650</v>
      </c>
      <c r="U5624" t="s">
        <v>11650</v>
      </c>
      <c r="V5624" t="s">
        <v>11650</v>
      </c>
      <c r="W5624" t="s">
        <v>17214</v>
      </c>
      <c r="X5624">
        <v>6</v>
      </c>
      <c r="Y5624" t="s">
        <v>22866</v>
      </c>
      <c r="Z5624" t="s">
        <v>28686</v>
      </c>
      <c r="AA5624">
        <v>0.67431211322264806</v>
      </c>
      <c r="AB5624" t="str">
        <f>HYPERLINK("Melting_Curves/meltCurve_Q9Y223_3_GNE.pdf", "Melting_Curves/meltCurve_Q9Y223_3_GNE.pdf")</f>
        <v>Melting_Curves/meltCurve_Q9Y223_3_GNE.pdf</v>
      </c>
    </row>
    <row r="5625" spans="1:28" x14ac:dyDescent="0.25">
      <c r="A5625" t="s">
        <v>5629</v>
      </c>
      <c r="B5625">
        <v>0.99996721820229495</v>
      </c>
      <c r="C5625">
        <v>0.99950771206966904</v>
      </c>
      <c r="D5625">
        <v>0.956079451587731</v>
      </c>
      <c r="E5625">
        <v>1.10684281108466</v>
      </c>
      <c r="F5625">
        <v>1.30250755706977</v>
      </c>
      <c r="G5625">
        <v>1.1514190831081299</v>
      </c>
      <c r="H5625">
        <v>0.89888312896993205</v>
      </c>
      <c r="I5625">
        <v>0.59712859916209404</v>
      </c>
      <c r="J5625">
        <v>0.211336518566686</v>
      </c>
      <c r="K5625">
        <v>0.15909066959689599</v>
      </c>
      <c r="L5625">
        <v>3072.1211894971798</v>
      </c>
      <c r="M5625">
        <v>47.924321216883698</v>
      </c>
      <c r="N5625">
        <v>64.517721524775894</v>
      </c>
      <c r="O5625">
        <v>63.992274316769503</v>
      </c>
      <c r="P5625">
        <v>-0.162437923372625</v>
      </c>
      <c r="Q5625">
        <v>0.1324019808627</v>
      </c>
      <c r="R5625">
        <v>0.90486693921623196</v>
      </c>
      <c r="S5625" t="s">
        <v>11451</v>
      </c>
      <c r="T5625" t="s">
        <v>11650</v>
      </c>
      <c r="U5625" t="s">
        <v>11650</v>
      </c>
      <c r="V5625" t="s">
        <v>11650</v>
      </c>
      <c r="W5625" t="s">
        <v>17215</v>
      </c>
      <c r="X5625">
        <v>7</v>
      </c>
      <c r="Y5625" t="s">
        <v>22867</v>
      </c>
      <c r="Z5625" t="s">
        <v>28687</v>
      </c>
      <c r="AA5625">
        <v>0.83130110975713689</v>
      </c>
      <c r="AB5625" t="str">
        <f>HYPERLINK("Melting_Curves/meltCurve_Q9Y224_C14orf166.pdf", "Melting_Curves/meltCurve_Q9Y224_C14orf166.pdf")</f>
        <v>Melting_Curves/meltCurve_Q9Y224_C14orf166.pdf</v>
      </c>
    </row>
    <row r="5626" spans="1:28" x14ac:dyDescent="0.25">
      <c r="A5626" t="s">
        <v>5630</v>
      </c>
      <c r="B5626">
        <v>0.99996721820229495</v>
      </c>
      <c r="C5626">
        <v>0.93936837134912698</v>
      </c>
      <c r="D5626">
        <v>0.88264175218588203</v>
      </c>
      <c r="E5626">
        <v>1.2040411926111101</v>
      </c>
      <c r="F5626">
        <v>1.93666722304713</v>
      </c>
      <c r="G5626">
        <v>3.4486241392674102</v>
      </c>
      <c r="H5626">
        <v>2.4197724148044499</v>
      </c>
      <c r="I5626">
        <v>0.94414770906321299</v>
      </c>
      <c r="J5626">
        <v>0.20216257749630201</v>
      </c>
      <c r="K5626">
        <v>0.172218831000471</v>
      </c>
      <c r="L5626">
        <v>8982.9569781654991</v>
      </c>
      <c r="M5626">
        <v>137.66984473106999</v>
      </c>
      <c r="N5626">
        <v>65.456337073481393</v>
      </c>
      <c r="O5626">
        <v>65.236241878350995</v>
      </c>
      <c r="P5626">
        <v>-0.43470769005451898</v>
      </c>
      <c r="Q5626">
        <v>0.176037687478203</v>
      </c>
      <c r="R5626">
        <v>3.58456268994383E-2</v>
      </c>
      <c r="S5626" t="s">
        <v>11452</v>
      </c>
      <c r="T5626" t="s">
        <v>11650</v>
      </c>
      <c r="U5626" t="s">
        <v>11650</v>
      </c>
      <c r="V5626" t="s">
        <v>11650</v>
      </c>
      <c r="W5626" t="s">
        <v>17216</v>
      </c>
      <c r="X5626">
        <v>18</v>
      </c>
      <c r="Y5626" t="s">
        <v>22868</v>
      </c>
      <c r="Z5626" t="s">
        <v>28688</v>
      </c>
      <c r="AA5626">
        <v>0.86984919201742616</v>
      </c>
      <c r="AB5626" t="str">
        <f>HYPERLINK("Melting_Curves/meltCurve_Q9Y230_RUVBL2.pdf", "Melting_Curves/meltCurve_Q9Y230_RUVBL2.pdf")</f>
        <v>Melting_Curves/meltCurve_Q9Y230_RUVBL2.pdf</v>
      </c>
    </row>
    <row r="5627" spans="1:28" x14ac:dyDescent="0.25">
      <c r="A5627" t="s">
        <v>5631</v>
      </c>
      <c r="B5627">
        <v>0.99996721820229495</v>
      </c>
      <c r="C5627">
        <v>1.07637560750737</v>
      </c>
      <c r="D5627">
        <v>1.0002999879969099</v>
      </c>
      <c r="E5627">
        <v>0.94854245812831395</v>
      </c>
      <c r="F5627">
        <v>0.96068998163200003</v>
      </c>
      <c r="G5627">
        <v>0.90585350334648695</v>
      </c>
      <c r="H5627">
        <v>0.52502453941840799</v>
      </c>
      <c r="I5627">
        <v>0.40060334473269799</v>
      </c>
      <c r="J5627">
        <v>0.310575156601539</v>
      </c>
      <c r="K5627">
        <v>0.21530733341122199</v>
      </c>
      <c r="L5627">
        <v>1594.2174039229101</v>
      </c>
      <c r="M5627">
        <v>26.388974327726999</v>
      </c>
      <c r="N5627">
        <v>61.844859090229299</v>
      </c>
      <c r="O5627">
        <v>60.068536252726901</v>
      </c>
      <c r="P5627">
        <v>-8.4714577342216504E-2</v>
      </c>
      <c r="Q5627">
        <v>0.22867407685754301</v>
      </c>
      <c r="R5627">
        <v>0.98542871559229595</v>
      </c>
      <c r="S5627" t="s">
        <v>11453</v>
      </c>
      <c r="T5627" t="s">
        <v>11650</v>
      </c>
      <c r="U5627" t="s">
        <v>11650</v>
      </c>
      <c r="V5627" t="s">
        <v>11650</v>
      </c>
      <c r="W5627" t="s">
        <v>17217</v>
      </c>
      <c r="X5627">
        <v>5</v>
      </c>
      <c r="Y5627" t="s">
        <v>22869</v>
      </c>
      <c r="Z5627" t="s">
        <v>28689</v>
      </c>
      <c r="AA5627">
        <v>0.75866550055517534</v>
      </c>
      <c r="AB5627" t="str">
        <f>HYPERLINK("Melting_Curves/meltCurve_Q9Y237_PIN4.pdf", "Melting_Curves/meltCurve_Q9Y237_PIN4.pdf")</f>
        <v>Melting_Curves/meltCurve_Q9Y237_PIN4.pdf</v>
      </c>
    </row>
    <row r="5628" spans="1:28" x14ac:dyDescent="0.25">
      <c r="A5628" t="s">
        <v>5632</v>
      </c>
      <c r="B5628">
        <v>0.99996721820229495</v>
      </c>
      <c r="C5628">
        <v>0.99013278263837901</v>
      </c>
      <c r="D5628">
        <v>0.98948393907997301</v>
      </c>
      <c r="E5628">
        <v>1.2216988545037699</v>
      </c>
      <c r="F5628">
        <v>2.39731901560295</v>
      </c>
      <c r="G5628">
        <v>2.9033810142977501</v>
      </c>
      <c r="H5628">
        <v>2.2024661347188199</v>
      </c>
      <c r="I5628">
        <v>1.54933678516026</v>
      </c>
      <c r="J5628">
        <v>1.0697805971437699</v>
      </c>
      <c r="K5628">
        <v>0.78706346446731601</v>
      </c>
      <c r="L5628">
        <v>12511.3679601761</v>
      </c>
      <c r="M5628">
        <v>250</v>
      </c>
      <c r="O5628">
        <v>50.042258932283403</v>
      </c>
      <c r="P5628">
        <v>0.62447208083005301</v>
      </c>
      <c r="Q5628">
        <v>1.5</v>
      </c>
      <c r="R5628">
        <v>0.175989011809044</v>
      </c>
      <c r="S5628" t="s">
        <v>11454</v>
      </c>
      <c r="T5628" t="s">
        <v>11650</v>
      </c>
      <c r="U5628" t="s">
        <v>11650</v>
      </c>
      <c r="V5628" t="s">
        <v>11650</v>
      </c>
      <c r="W5628" t="s">
        <v>17218</v>
      </c>
      <c r="X5628">
        <v>1</v>
      </c>
      <c r="Y5628" t="s">
        <v>22870</v>
      </c>
      <c r="Z5628" t="s">
        <v>28690</v>
      </c>
      <c r="AA5628">
        <v>1.3325315548094929</v>
      </c>
      <c r="AB5628" t="str">
        <f>HYPERLINK("Melting_Curves/meltCurve_Q9Y241_HIGD1A.pdf", "Melting_Curves/meltCurve_Q9Y241_HIGD1A.pdf")</f>
        <v>Melting_Curves/meltCurve_Q9Y241_HIGD1A.pdf</v>
      </c>
    </row>
    <row r="5629" spans="1:28" x14ac:dyDescent="0.25">
      <c r="A5629" t="s">
        <v>5633</v>
      </c>
      <c r="B5629">
        <v>0.99996721820229495</v>
      </c>
      <c r="C5629">
        <v>0.98672826269576497</v>
      </c>
      <c r="D5629">
        <v>0.95755748903117199</v>
      </c>
      <c r="E5629">
        <v>0.88140695090583998</v>
      </c>
      <c r="F5629">
        <v>0.77372841062416797</v>
      </c>
      <c r="G5629">
        <v>0.46037685892725899</v>
      </c>
      <c r="H5629">
        <v>0.20689937382572199</v>
      </c>
      <c r="I5629">
        <v>0.27317335437343299</v>
      </c>
      <c r="J5629">
        <v>0.136495771130831</v>
      </c>
      <c r="K5629">
        <v>7.7806924758438797E-2</v>
      </c>
      <c r="L5629">
        <v>956.60092126123004</v>
      </c>
      <c r="M5629">
        <v>17.102367163369198</v>
      </c>
      <c r="N5629">
        <v>56.560054602633699</v>
      </c>
      <c r="O5629">
        <v>55.185885525185</v>
      </c>
      <c r="P5629">
        <v>-7.0797783990484503E-2</v>
      </c>
      <c r="Q5629">
        <v>8.6254458908217299E-2</v>
      </c>
      <c r="R5629">
        <v>0.98877196770808196</v>
      </c>
      <c r="S5629" t="s">
        <v>11455</v>
      </c>
      <c r="T5629" t="s">
        <v>11650</v>
      </c>
      <c r="U5629" t="s">
        <v>11650</v>
      </c>
      <c r="V5629" t="s">
        <v>11650</v>
      </c>
      <c r="W5629" t="s">
        <v>17219</v>
      </c>
      <c r="X5629">
        <v>7</v>
      </c>
      <c r="Y5629" t="s">
        <v>22871</v>
      </c>
      <c r="Z5629" t="s">
        <v>28691</v>
      </c>
      <c r="AA5629">
        <v>0.58590304391026626</v>
      </c>
      <c r="AB5629" t="str">
        <f>HYPERLINK("Melting_Curves/meltCurve_Q9Y243_2_AKT3.pdf", "Melting_Curves/meltCurve_Q9Y243_2_AKT3.pdf")</f>
        <v>Melting_Curves/meltCurve_Q9Y243_2_AKT3.pdf</v>
      </c>
    </row>
    <row r="5630" spans="1:28" x14ac:dyDescent="0.25">
      <c r="A5630" t="s">
        <v>5634</v>
      </c>
      <c r="B5630">
        <v>0.99996721820229495</v>
      </c>
      <c r="C5630">
        <v>0.85844777016913498</v>
      </c>
      <c r="D5630">
        <v>0.827012024193165</v>
      </c>
      <c r="E5630">
        <v>1.01484505202756</v>
      </c>
      <c r="F5630">
        <v>1.2296586407769601</v>
      </c>
      <c r="G5630">
        <v>0.84983356048035097</v>
      </c>
      <c r="H5630">
        <v>0.36997845296378601</v>
      </c>
      <c r="I5630">
        <v>0.20453194704302899</v>
      </c>
      <c r="J5630">
        <v>9.6260178438983393E-2</v>
      </c>
      <c r="K5630">
        <v>0.120839796431553</v>
      </c>
      <c r="L5630">
        <v>2340.6353675770602</v>
      </c>
      <c r="M5630">
        <v>39.268812031777998</v>
      </c>
      <c r="N5630">
        <v>60.0076464634611</v>
      </c>
      <c r="O5630">
        <v>59.451483891017702</v>
      </c>
      <c r="P5630">
        <v>-0.146023864284655</v>
      </c>
      <c r="Q5630">
        <v>0.115703416992109</v>
      </c>
      <c r="R5630">
        <v>0.93077503493564495</v>
      </c>
      <c r="S5630" t="s">
        <v>11456</v>
      </c>
      <c r="T5630" t="s">
        <v>11650</v>
      </c>
      <c r="U5630" t="s">
        <v>11650</v>
      </c>
      <c r="V5630" t="s">
        <v>11650</v>
      </c>
      <c r="W5630" t="s">
        <v>17220</v>
      </c>
      <c r="X5630">
        <v>10</v>
      </c>
      <c r="Y5630" t="s">
        <v>22872</v>
      </c>
      <c r="Z5630" t="s">
        <v>28692</v>
      </c>
      <c r="AA5630">
        <v>0.69719454856457619</v>
      </c>
      <c r="AB5630" t="str">
        <f>HYPERLINK("Melting_Curves/meltCurve_Q9Y259_CHKB.pdf", "Melting_Curves/meltCurve_Q9Y259_CHKB.pdf")</f>
        <v>Melting_Curves/meltCurve_Q9Y259_CHKB.pdf</v>
      </c>
    </row>
    <row r="5631" spans="1:28" x14ac:dyDescent="0.25">
      <c r="A5631" t="s">
        <v>5635</v>
      </c>
      <c r="B5631">
        <v>0.99996721820229495</v>
      </c>
      <c r="C5631">
        <v>1.03822500411624</v>
      </c>
      <c r="D5631">
        <v>0.96945332750374402</v>
      </c>
      <c r="E5631">
        <v>0.66283817022775904</v>
      </c>
      <c r="F5631">
        <v>0.34972651099123198</v>
      </c>
      <c r="G5631">
        <v>0.25980383199809598</v>
      </c>
      <c r="H5631">
        <v>0.146993544832797</v>
      </c>
      <c r="I5631">
        <v>9.7451158140965596E-2</v>
      </c>
      <c r="J5631">
        <v>7.5588388046852903E-2</v>
      </c>
      <c r="K5631">
        <v>6.1623953516365897E-2</v>
      </c>
      <c r="L5631">
        <v>1116.3457177554501</v>
      </c>
      <c r="M5631">
        <v>21.776039310978899</v>
      </c>
      <c r="N5631">
        <v>51.758252738716997</v>
      </c>
      <c r="O5631">
        <v>50.838409440493201</v>
      </c>
      <c r="P5631">
        <v>-9.7050194461794595E-2</v>
      </c>
      <c r="Q5631">
        <v>9.3726278571223703E-2</v>
      </c>
      <c r="R5631">
        <v>0.99073238015431198</v>
      </c>
      <c r="S5631" t="s">
        <v>11457</v>
      </c>
      <c r="T5631" t="s">
        <v>11650</v>
      </c>
      <c r="U5631" t="s">
        <v>11650</v>
      </c>
      <c r="V5631" t="s">
        <v>11650</v>
      </c>
      <c r="W5631" t="s">
        <v>17221</v>
      </c>
      <c r="X5631">
        <v>30</v>
      </c>
      <c r="Y5631" t="s">
        <v>22873</v>
      </c>
      <c r="Z5631" t="s">
        <v>28693</v>
      </c>
      <c r="AA5631">
        <v>0.44474555553067419</v>
      </c>
      <c r="AB5631" t="str">
        <f>HYPERLINK("Melting_Curves/meltCurve_Q9Y263_PLAA.pdf", "Melting_Curves/meltCurve_Q9Y263_PLAA.pdf")</f>
        <v>Melting_Curves/meltCurve_Q9Y263_PLAA.pdf</v>
      </c>
    </row>
    <row r="5632" spans="1:28" x14ac:dyDescent="0.25">
      <c r="A5632" t="s">
        <v>5636</v>
      </c>
      <c r="B5632">
        <v>0.99996721820229495</v>
      </c>
      <c r="C5632">
        <v>0.99482786002438095</v>
      </c>
      <c r="D5632">
        <v>1.04223001648006</v>
      </c>
      <c r="E5632">
        <v>1.41876637794133</v>
      </c>
      <c r="F5632">
        <v>2.23585341285925</v>
      </c>
      <c r="G5632">
        <v>4.3109681850255601</v>
      </c>
      <c r="H5632">
        <v>3.0368445839742302</v>
      </c>
      <c r="I5632">
        <v>1.1104130137795201</v>
      </c>
      <c r="J5632">
        <v>0.34015493677521902</v>
      </c>
      <c r="K5632">
        <v>0.224272841694271</v>
      </c>
      <c r="L5632">
        <v>15000</v>
      </c>
      <c r="M5632">
        <v>225.617712893196</v>
      </c>
      <c r="N5632">
        <v>66.659880076072696</v>
      </c>
      <c r="O5632">
        <v>66.478918177582102</v>
      </c>
      <c r="P5632">
        <v>-0.65826194103713997</v>
      </c>
      <c r="Q5632">
        <v>0.22416478752316599</v>
      </c>
      <c r="R5632">
        <v>-0.152618771882048</v>
      </c>
      <c r="S5632" t="s">
        <v>11458</v>
      </c>
      <c r="T5632" t="s">
        <v>11650</v>
      </c>
      <c r="U5632" t="s">
        <v>11650</v>
      </c>
      <c r="V5632" t="s">
        <v>11650</v>
      </c>
      <c r="W5632" t="s">
        <v>17222</v>
      </c>
      <c r="X5632">
        <v>15</v>
      </c>
      <c r="Y5632" t="s">
        <v>22874</v>
      </c>
      <c r="Z5632" t="s">
        <v>28694</v>
      </c>
      <c r="AA5632">
        <v>0.90918682788015626</v>
      </c>
      <c r="AB5632" t="str">
        <f>HYPERLINK("Melting_Curves/meltCurve_Q9Y265_RUVBL1.pdf", "Melting_Curves/meltCurve_Q9Y265_RUVBL1.pdf")</f>
        <v>Melting_Curves/meltCurve_Q9Y265_RUVBL1.pdf</v>
      </c>
    </row>
    <row r="5633" spans="1:28" x14ac:dyDescent="0.25">
      <c r="A5633" t="s">
        <v>5637</v>
      </c>
      <c r="B5633">
        <v>0.99996721820229495</v>
      </c>
      <c r="C5633">
        <v>1.0940776532221701</v>
      </c>
      <c r="D5633">
        <v>1.0199338673526399</v>
      </c>
      <c r="E5633">
        <v>1.0041490147277099</v>
      </c>
      <c r="F5633">
        <v>0.64191731975336197</v>
      </c>
      <c r="G5633">
        <v>0.29546102712391398</v>
      </c>
      <c r="H5633">
        <v>0.170879329740911</v>
      </c>
      <c r="I5633">
        <v>0.125686736986832</v>
      </c>
      <c r="J5633">
        <v>8.8653089801269694E-2</v>
      </c>
      <c r="K5633">
        <v>6.67556365751453E-2</v>
      </c>
      <c r="L5633">
        <v>1563.7255576263501</v>
      </c>
      <c r="M5633">
        <v>28.868960834679601</v>
      </c>
      <c r="N5633">
        <v>54.598210934959702</v>
      </c>
      <c r="O5633">
        <v>53.908414895193999</v>
      </c>
      <c r="P5633">
        <v>-0.120213949929581</v>
      </c>
      <c r="Q5633">
        <v>0.102081392086655</v>
      </c>
      <c r="R5633">
        <v>0.98790876846180598</v>
      </c>
      <c r="S5633" t="s">
        <v>11459</v>
      </c>
      <c r="T5633" t="s">
        <v>11650</v>
      </c>
      <c r="U5633" t="s">
        <v>11650</v>
      </c>
      <c r="V5633" t="s">
        <v>11650</v>
      </c>
      <c r="W5633" t="s">
        <v>17223</v>
      </c>
      <c r="X5633">
        <v>33</v>
      </c>
      <c r="Y5633" t="s">
        <v>22875</v>
      </c>
      <c r="Z5633" t="s">
        <v>28695</v>
      </c>
      <c r="AA5633">
        <v>0.53244848200989958</v>
      </c>
      <c r="AB5633" t="str">
        <f>HYPERLINK("Melting_Curves/meltCurve_Q9Y266_NUDC.pdf", "Melting_Curves/meltCurve_Q9Y266_NUDC.pdf")</f>
        <v>Melting_Curves/meltCurve_Q9Y266_NUDC.pdf</v>
      </c>
    </row>
    <row r="5634" spans="1:28" x14ac:dyDescent="0.25">
      <c r="A5634" t="s">
        <v>5638</v>
      </c>
      <c r="B5634">
        <v>0.99996721820229495</v>
      </c>
      <c r="C5634">
        <v>1.05500938253829</v>
      </c>
      <c r="D5634">
        <v>1.10794829047532</v>
      </c>
      <c r="E5634">
        <v>1.3519117801030101</v>
      </c>
      <c r="F5634">
        <v>1.4189172483266299</v>
      </c>
      <c r="G5634">
        <v>1.0687798559514501</v>
      </c>
      <c r="H5634">
        <v>0.35541302836816402</v>
      </c>
      <c r="I5634">
        <v>0.25786071025699497</v>
      </c>
      <c r="J5634">
        <v>0.164979433034633</v>
      </c>
      <c r="K5634">
        <v>0.124939212280348</v>
      </c>
      <c r="L5634">
        <v>7709.4022146961597</v>
      </c>
      <c r="M5634">
        <v>127.694093262789</v>
      </c>
      <c r="N5634">
        <v>60.589101483124502</v>
      </c>
      <c r="O5634">
        <v>60.3591903376226</v>
      </c>
      <c r="P5634">
        <v>-0.43250231386402199</v>
      </c>
      <c r="Q5634">
        <v>0.18224916192889801</v>
      </c>
      <c r="R5634">
        <v>0.85796590920860405</v>
      </c>
      <c r="S5634" t="s">
        <v>11460</v>
      </c>
      <c r="T5634" t="s">
        <v>11650</v>
      </c>
      <c r="U5634" t="s">
        <v>11650</v>
      </c>
      <c r="V5634" t="s">
        <v>11650</v>
      </c>
      <c r="W5634" t="s">
        <v>17224</v>
      </c>
      <c r="X5634">
        <v>4</v>
      </c>
      <c r="Y5634" t="s">
        <v>22876</v>
      </c>
      <c r="Z5634" t="s">
        <v>28696</v>
      </c>
      <c r="AA5634">
        <v>0.73794312545910989</v>
      </c>
      <c r="AB5634" t="str">
        <f>HYPERLINK("Melting_Curves/meltCurve_Q9Y276_BCS1L.pdf", "Melting_Curves/meltCurve_Q9Y276_BCS1L.pdf")</f>
        <v>Melting_Curves/meltCurve_Q9Y276_BCS1L.pdf</v>
      </c>
    </row>
    <row r="5635" spans="1:28" x14ac:dyDescent="0.25">
      <c r="A5635" t="s">
        <v>5639</v>
      </c>
      <c r="B5635">
        <v>0.99996721820229495</v>
      </c>
      <c r="C5635">
        <v>0.94731645998175296</v>
      </c>
      <c r="D5635">
        <v>1.05369931162713</v>
      </c>
      <c r="E5635">
        <v>1.24563448158998</v>
      </c>
      <c r="F5635">
        <v>1.84399681346911</v>
      </c>
      <c r="G5635">
        <v>1.4653803037056701</v>
      </c>
      <c r="H5635">
        <v>0.32340151879477003</v>
      </c>
      <c r="I5635">
        <v>0.177327915204959</v>
      </c>
      <c r="J5635">
        <v>0.114449078174721</v>
      </c>
      <c r="K5635">
        <v>9.1556696844241905E-2</v>
      </c>
      <c r="L5635">
        <v>13417.3638835783</v>
      </c>
      <c r="M5635">
        <v>221.197619809961</v>
      </c>
      <c r="N5635">
        <v>60.738864364926101</v>
      </c>
      <c r="O5635">
        <v>60.652844322581899</v>
      </c>
      <c r="P5635">
        <v>-0.79524016164688305</v>
      </c>
      <c r="Q5635">
        <v>0.12777386892781001</v>
      </c>
      <c r="R5635">
        <v>0.709395059701317</v>
      </c>
      <c r="S5635" t="s">
        <v>11461</v>
      </c>
      <c r="T5635" t="s">
        <v>11650</v>
      </c>
      <c r="U5635" t="s">
        <v>11650</v>
      </c>
      <c r="V5635" t="s">
        <v>11650</v>
      </c>
      <c r="W5635" t="s">
        <v>17225</v>
      </c>
      <c r="X5635">
        <v>19</v>
      </c>
      <c r="Y5635" t="s">
        <v>22877</v>
      </c>
      <c r="Z5635" t="s">
        <v>28697</v>
      </c>
      <c r="AA5635">
        <v>0.72850196291596336</v>
      </c>
      <c r="AB5635" t="str">
        <f>HYPERLINK("Melting_Curves/meltCurve_Q9Y281_CFL2.pdf", "Melting_Curves/meltCurve_Q9Y281_CFL2.pdf")</f>
        <v>Melting_Curves/meltCurve_Q9Y281_CFL2.pdf</v>
      </c>
    </row>
    <row r="5636" spans="1:28" x14ac:dyDescent="0.25">
      <c r="A5636" t="s">
        <v>5640</v>
      </c>
      <c r="B5636">
        <v>0.99996721820229495</v>
      </c>
      <c r="C5636">
        <v>1.3758329940853</v>
      </c>
      <c r="D5636">
        <v>1.5630422225638101</v>
      </c>
      <c r="E5636">
        <v>2.3254068401271399</v>
      </c>
      <c r="F5636">
        <v>1.4168629817417799</v>
      </c>
      <c r="G5636">
        <v>1.65915361664369</v>
      </c>
      <c r="H5636">
        <v>0.72411275299954203</v>
      </c>
      <c r="I5636">
        <v>0.98101009234661996</v>
      </c>
      <c r="J5636">
        <v>0.111876414341783</v>
      </c>
      <c r="K5636">
        <v>0.114185744411156</v>
      </c>
      <c r="L5636">
        <v>15000</v>
      </c>
      <c r="M5636">
        <v>230.55774422603901</v>
      </c>
      <c r="N5636">
        <v>65.131608332149099</v>
      </c>
      <c r="O5636">
        <v>65.054727434489095</v>
      </c>
      <c r="P5636">
        <v>-0.78636000836881004</v>
      </c>
      <c r="Q5636">
        <v>0.112475067589467</v>
      </c>
      <c r="R5636">
        <v>0.327527505433654</v>
      </c>
      <c r="S5636" t="s">
        <v>11462</v>
      </c>
      <c r="T5636" t="s">
        <v>11650</v>
      </c>
      <c r="U5636" t="s">
        <v>11650</v>
      </c>
      <c r="V5636" t="s">
        <v>11650</v>
      </c>
      <c r="W5636" t="s">
        <v>17226</v>
      </c>
      <c r="X5636">
        <v>1</v>
      </c>
      <c r="Y5636" t="s">
        <v>22878</v>
      </c>
      <c r="Z5636" t="s">
        <v>28698</v>
      </c>
      <c r="AA5636">
        <v>0.85396223653039938</v>
      </c>
      <c r="AB5636" t="str">
        <f>HYPERLINK("Melting_Curves/meltCurve_Q9Y294_ASF1A.pdf", "Melting_Curves/meltCurve_Q9Y294_ASF1A.pdf")</f>
        <v>Melting_Curves/meltCurve_Q9Y294_ASF1A.pdf</v>
      </c>
    </row>
    <row r="5637" spans="1:28" x14ac:dyDescent="0.25">
      <c r="A5637" t="s">
        <v>5641</v>
      </c>
      <c r="B5637">
        <v>0.99996721820229495</v>
      </c>
      <c r="C5637">
        <v>1.0501501480153499</v>
      </c>
      <c r="D5637">
        <v>0.95127071086286796</v>
      </c>
      <c r="E5637">
        <v>0.85317034965118399</v>
      </c>
      <c r="F5637">
        <v>0.63632816921440105</v>
      </c>
      <c r="G5637">
        <v>0.28648123495838101</v>
      </c>
      <c r="H5637">
        <v>0.15869609360214601</v>
      </c>
      <c r="I5637">
        <v>0.107142987244118</v>
      </c>
      <c r="J5637">
        <v>7.3005816577119007E-2</v>
      </c>
      <c r="K5637">
        <v>6.8284475425578001E-2</v>
      </c>
      <c r="L5637">
        <v>1127.1713082367201</v>
      </c>
      <c r="M5637">
        <v>20.855231430277399</v>
      </c>
      <c r="N5637">
        <v>54.408573142102099</v>
      </c>
      <c r="O5637">
        <v>53.557838343075296</v>
      </c>
      <c r="P5637">
        <v>-9.1059018273428494E-2</v>
      </c>
      <c r="Q5637">
        <v>6.4639446008759996E-2</v>
      </c>
      <c r="R5637">
        <v>0.99732257308497696</v>
      </c>
      <c r="S5637" t="s">
        <v>11463</v>
      </c>
      <c r="T5637" t="s">
        <v>11650</v>
      </c>
      <c r="U5637" t="s">
        <v>11650</v>
      </c>
      <c r="V5637" t="s">
        <v>11650</v>
      </c>
      <c r="W5637" t="s">
        <v>17227</v>
      </c>
      <c r="X5637">
        <v>14</v>
      </c>
      <c r="Y5637" t="s">
        <v>22879</v>
      </c>
      <c r="Z5637" t="s">
        <v>28699</v>
      </c>
      <c r="AA5637">
        <v>0.51448514466481399</v>
      </c>
      <c r="AB5637" t="str">
        <f>HYPERLINK("Melting_Curves/meltCurve_Q9Y295_DRG1.pdf", "Melting_Curves/meltCurve_Q9Y295_DRG1.pdf")</f>
        <v>Melting_Curves/meltCurve_Q9Y295_DRG1.pdf</v>
      </c>
    </row>
    <row r="5638" spans="1:28" x14ac:dyDescent="0.25">
      <c r="A5638" t="s">
        <v>5642</v>
      </c>
      <c r="B5638">
        <v>0.99996721820229495</v>
      </c>
      <c r="C5638">
        <v>1.0607435605639</v>
      </c>
      <c r="D5638">
        <v>0.88317688222139301</v>
      </c>
      <c r="E5638">
        <v>0.83729612235492601</v>
      </c>
      <c r="F5638">
        <v>1.0557889056642</v>
      </c>
      <c r="G5638">
        <v>0.76127726099646698</v>
      </c>
      <c r="H5638">
        <v>0.31021671311820098</v>
      </c>
      <c r="I5638">
        <v>0.191131208191191</v>
      </c>
      <c r="J5638">
        <v>0.14668773352449199</v>
      </c>
      <c r="K5638">
        <v>0.106542412721445</v>
      </c>
      <c r="L5638">
        <v>2034.64355718407</v>
      </c>
      <c r="M5638">
        <v>34.659302278951202</v>
      </c>
      <c r="N5638">
        <v>59.200478641138098</v>
      </c>
      <c r="O5638">
        <v>58.509717126062199</v>
      </c>
      <c r="P5638">
        <v>-0.129419181288387</v>
      </c>
      <c r="Q5638">
        <v>0.12609299587034301</v>
      </c>
      <c r="R5638">
        <v>0.96506643119952196</v>
      </c>
      <c r="S5638" t="s">
        <v>11464</v>
      </c>
      <c r="T5638" t="s">
        <v>11650</v>
      </c>
      <c r="U5638" t="s">
        <v>11650</v>
      </c>
      <c r="V5638" t="s">
        <v>11650</v>
      </c>
      <c r="W5638" t="s">
        <v>17228</v>
      </c>
      <c r="X5638">
        <v>4</v>
      </c>
      <c r="Y5638" t="s">
        <v>22880</v>
      </c>
      <c r="Z5638" t="s">
        <v>28700</v>
      </c>
      <c r="AA5638">
        <v>0.67540588563301329</v>
      </c>
      <c r="AB5638" t="str">
        <f>HYPERLINK("Melting_Curves/meltCurve_Q9Y296_TRAPPC4.pdf", "Melting_Curves/meltCurve_Q9Y296_TRAPPC4.pdf")</f>
        <v>Melting_Curves/meltCurve_Q9Y296_TRAPPC4.pdf</v>
      </c>
    </row>
    <row r="5639" spans="1:28" x14ac:dyDescent="0.25">
      <c r="A5639" t="s">
        <v>5643</v>
      </c>
      <c r="B5639">
        <v>0.99996721820229495</v>
      </c>
      <c r="C5639">
        <v>0.87891501020928098</v>
      </c>
      <c r="D5639">
        <v>0.76035085273261005</v>
      </c>
      <c r="E5639">
        <v>0.79001710461778196</v>
      </c>
      <c r="F5639">
        <v>0.53962139511581797</v>
      </c>
      <c r="G5639">
        <v>0.38203758448013198</v>
      </c>
      <c r="H5639">
        <v>0.25062957701705402</v>
      </c>
      <c r="I5639">
        <v>0.15825859512222101</v>
      </c>
      <c r="J5639">
        <v>0.11791837772838799</v>
      </c>
      <c r="K5639">
        <v>8.7150347911804996E-2</v>
      </c>
      <c r="L5639">
        <v>531.31871861651905</v>
      </c>
      <c r="M5639">
        <v>9.8186012885835208</v>
      </c>
      <c r="N5639">
        <v>54.113483298001697</v>
      </c>
      <c r="O5639">
        <v>52.012090209758298</v>
      </c>
      <c r="P5639">
        <v>-4.7218458039254299E-2</v>
      </c>
      <c r="Q5639">
        <v>0</v>
      </c>
      <c r="R5639">
        <v>0.97920850338243304</v>
      </c>
      <c r="S5639" t="s">
        <v>11465</v>
      </c>
      <c r="T5639" t="s">
        <v>11650</v>
      </c>
      <c r="U5639" t="s">
        <v>11650</v>
      </c>
      <c r="V5639" t="s">
        <v>11650</v>
      </c>
      <c r="W5639" t="s">
        <v>17229</v>
      </c>
      <c r="X5639">
        <v>6</v>
      </c>
      <c r="Y5639" t="s">
        <v>22881</v>
      </c>
      <c r="Z5639" t="s">
        <v>28701</v>
      </c>
      <c r="AA5639">
        <v>0.50053556883970096</v>
      </c>
      <c r="AB5639" t="str">
        <f>HYPERLINK("Melting_Curves/meltCurve_Q9Y2A7_NCKAP1.pdf", "Melting_Curves/meltCurve_Q9Y2A7_NCKAP1.pdf")</f>
        <v>Melting_Curves/meltCurve_Q9Y2A7_NCKAP1.pdf</v>
      </c>
    </row>
    <row r="5640" spans="1:28" x14ac:dyDescent="0.25">
      <c r="A5640" t="s">
        <v>5644</v>
      </c>
      <c r="B5640">
        <v>0.99996721820229495</v>
      </c>
      <c r="C5640">
        <v>0.91265953865481597</v>
      </c>
      <c r="D5640">
        <v>0.850046791811508</v>
      </c>
      <c r="E5640">
        <v>0.88803719330227704</v>
      </c>
      <c r="F5640">
        <v>1.0293455667709701</v>
      </c>
      <c r="G5640">
        <v>0.99598563091344305</v>
      </c>
      <c r="H5640">
        <v>0.64594013293256802</v>
      </c>
      <c r="I5640">
        <v>0.49451771439511599</v>
      </c>
      <c r="J5640">
        <v>0.460570903223119</v>
      </c>
      <c r="K5640">
        <v>0.26004668606744202</v>
      </c>
      <c r="L5640">
        <v>1665.4315592349101</v>
      </c>
      <c r="M5640">
        <v>27.032259665172099</v>
      </c>
      <c r="N5640">
        <v>63.804120739367299</v>
      </c>
      <c r="O5640">
        <v>61.274855756607998</v>
      </c>
      <c r="P5640">
        <v>-7.6904076382870598E-2</v>
      </c>
      <c r="Q5640">
        <v>0.30272365216272901</v>
      </c>
      <c r="R5640">
        <v>0.90368870037694904</v>
      </c>
      <c r="S5640" t="s">
        <v>11466</v>
      </c>
      <c r="T5640" t="s">
        <v>11650</v>
      </c>
      <c r="U5640" t="s">
        <v>11650</v>
      </c>
      <c r="V5640" t="s">
        <v>11650</v>
      </c>
      <c r="W5640" t="s">
        <v>17230</v>
      </c>
      <c r="X5640">
        <v>15</v>
      </c>
      <c r="Y5640" t="s">
        <v>22882</v>
      </c>
      <c r="Z5640" t="s">
        <v>28702</v>
      </c>
      <c r="AA5640">
        <v>0.80866374463019541</v>
      </c>
      <c r="AB5640" t="str">
        <f>HYPERLINK("Melting_Curves/meltCurve_Q9Y2B0_CNPY2.pdf", "Melting_Curves/meltCurve_Q9Y2B0_CNPY2.pdf")</f>
        <v>Melting_Curves/meltCurve_Q9Y2B0_CNPY2.pdf</v>
      </c>
    </row>
    <row r="5641" spans="1:28" x14ac:dyDescent="0.25">
      <c r="A5641" t="s">
        <v>5645</v>
      </c>
      <c r="B5641">
        <v>0.99996721820229495</v>
      </c>
      <c r="C5641">
        <v>1.0094440215845299</v>
      </c>
      <c r="D5641">
        <v>1.0722808850549499</v>
      </c>
      <c r="E5641">
        <v>1.1887141380320201</v>
      </c>
      <c r="F5641">
        <v>1.6037946950006901</v>
      </c>
      <c r="G5641">
        <v>1.7102164221926801</v>
      </c>
      <c r="H5641">
        <v>1.1284406545771799</v>
      </c>
      <c r="I5641">
        <v>0.69942539115347302</v>
      </c>
      <c r="J5641">
        <v>0.39081177092109898</v>
      </c>
      <c r="K5641">
        <v>0.40185896405212901</v>
      </c>
      <c r="L5641">
        <v>15000</v>
      </c>
      <c r="M5641">
        <v>234.36660782590599</v>
      </c>
      <c r="N5641">
        <v>64.434872049330394</v>
      </c>
      <c r="O5641">
        <v>63.997631440920003</v>
      </c>
      <c r="P5641">
        <v>-0.55268021906852205</v>
      </c>
      <c r="Q5641">
        <v>0.39632654625263403</v>
      </c>
      <c r="R5641">
        <v>0.46798684524557799</v>
      </c>
      <c r="S5641" t="s">
        <v>11467</v>
      </c>
      <c r="T5641" t="s">
        <v>11650</v>
      </c>
      <c r="U5641" t="s">
        <v>11650</v>
      </c>
      <c r="V5641" t="s">
        <v>11650</v>
      </c>
      <c r="W5641" t="s">
        <v>17231</v>
      </c>
      <c r="X5641">
        <v>5</v>
      </c>
      <c r="Y5641" t="s">
        <v>22883</v>
      </c>
      <c r="Z5641" t="s">
        <v>28703</v>
      </c>
      <c r="AA5641">
        <v>0.87938858048163893</v>
      </c>
      <c r="AB5641" t="str">
        <f>HYPERLINK("Melting_Curves/meltCurve_Q9Y2C2_UST.pdf", "Melting_Curves/meltCurve_Q9Y2C2_UST.pdf")</f>
        <v>Melting_Curves/meltCurve_Q9Y2C2_UST.pdf</v>
      </c>
    </row>
    <row r="5642" spans="1:28" x14ac:dyDescent="0.25">
      <c r="A5642" t="s">
        <v>5646</v>
      </c>
      <c r="B5642">
        <v>0.99996721820229495</v>
      </c>
      <c r="C5642">
        <v>0.90995694113772096</v>
      </c>
      <c r="D5642">
        <v>1.33996276985175</v>
      </c>
      <c r="E5642">
        <v>1.47889012974759</v>
      </c>
      <c r="F5642">
        <v>2.91471884569878</v>
      </c>
      <c r="G5642">
        <v>2.8054935235490102</v>
      </c>
      <c r="H5642">
        <v>1.8732966923390899</v>
      </c>
      <c r="I5642">
        <v>0.87583466661309906</v>
      </c>
      <c r="J5642">
        <v>0.38041143343420603</v>
      </c>
      <c r="K5642">
        <v>0.26885825094462701</v>
      </c>
      <c r="L5642">
        <v>5693.0042476655799</v>
      </c>
      <c r="M5642">
        <v>87.049661612882105</v>
      </c>
      <c r="N5642">
        <v>66.0267001261508</v>
      </c>
      <c r="O5642">
        <v>65.365002650996502</v>
      </c>
      <c r="P5642">
        <v>-0.23928053959314499</v>
      </c>
      <c r="Q5642">
        <v>0.28130345930371897</v>
      </c>
      <c r="R5642">
        <v>-7.3416203976579594E-2</v>
      </c>
      <c r="S5642" t="s">
        <v>11468</v>
      </c>
      <c r="T5642" t="s">
        <v>11650</v>
      </c>
      <c r="U5642" t="s">
        <v>11650</v>
      </c>
      <c r="V5642" t="s">
        <v>11650</v>
      </c>
      <c r="W5642" t="s">
        <v>17232</v>
      </c>
      <c r="X5642">
        <v>4</v>
      </c>
      <c r="Y5642" t="s">
        <v>22884</v>
      </c>
      <c r="Z5642" t="s">
        <v>28704</v>
      </c>
      <c r="AA5642">
        <v>0.89040014377318621</v>
      </c>
      <c r="AB5642" t="str">
        <f>HYPERLINK("Melting_Curves/meltCurve_Q9Y2C4_EXOG.pdf", "Melting_Curves/meltCurve_Q9Y2C4_EXOG.pdf")</f>
        <v>Melting_Curves/meltCurve_Q9Y2C4_EXOG.pdf</v>
      </c>
    </row>
    <row r="5643" spans="1:28" x14ac:dyDescent="0.25">
      <c r="A5643" t="s">
        <v>5647</v>
      </c>
      <c r="B5643">
        <v>0.99996721820229495</v>
      </c>
      <c r="C5643">
        <v>1.02209623303202</v>
      </c>
      <c r="D5643">
        <v>0.89735591628656197</v>
      </c>
      <c r="E5643">
        <v>0.81969143924383403</v>
      </c>
      <c r="F5643">
        <v>1.0373639662065699</v>
      </c>
      <c r="G5643">
        <v>0.63707883356564499</v>
      </c>
      <c r="H5643">
        <v>0.24500818229773599</v>
      </c>
      <c r="I5643">
        <v>0.14178489106403699</v>
      </c>
      <c r="J5643">
        <v>8.9352901727796794E-2</v>
      </c>
      <c r="K5643">
        <v>8.3591037247112199E-2</v>
      </c>
      <c r="L5643">
        <v>1870.39033005788</v>
      </c>
      <c r="M5643">
        <v>32.311990825381301</v>
      </c>
      <c r="N5643">
        <v>58.234339669271201</v>
      </c>
      <c r="O5643">
        <v>57.664972259497901</v>
      </c>
      <c r="P5643">
        <v>-0.127754343250983</v>
      </c>
      <c r="Q5643">
        <v>8.8027157446257998E-2</v>
      </c>
      <c r="R5643">
        <v>0.96800458808267698</v>
      </c>
      <c r="S5643" t="s">
        <v>11469</v>
      </c>
      <c r="T5643" t="s">
        <v>11650</v>
      </c>
      <c r="U5643" t="s">
        <v>11650</v>
      </c>
      <c r="V5643" t="s">
        <v>11650</v>
      </c>
      <c r="W5643" t="s">
        <v>17233</v>
      </c>
      <c r="X5643">
        <v>6</v>
      </c>
      <c r="Y5643" t="s">
        <v>22885</v>
      </c>
      <c r="Z5643" t="s">
        <v>28705</v>
      </c>
      <c r="AA5643">
        <v>0.63702409571493612</v>
      </c>
      <c r="AB5643" t="str">
        <f>HYPERLINK("Melting_Curves/meltCurve_Q9Y2D0_CA5B.pdf", "Melting_Curves/meltCurve_Q9Y2D0_CA5B.pdf")</f>
        <v>Melting_Curves/meltCurve_Q9Y2D0_CA5B.pdf</v>
      </c>
    </row>
    <row r="5644" spans="1:28" x14ac:dyDescent="0.25">
      <c r="A5644" t="s">
        <v>5648</v>
      </c>
      <c r="B5644">
        <v>0.99996721820229495</v>
      </c>
      <c r="C5644">
        <v>1.01798468323461</v>
      </c>
      <c r="D5644">
        <v>1.13207343766538</v>
      </c>
      <c r="E5644">
        <v>0.99721004899127696</v>
      </c>
      <c r="F5644">
        <v>0.65996691325103396</v>
      </c>
      <c r="G5644">
        <v>0.59012987246374005</v>
      </c>
      <c r="H5644">
        <v>0.35466151489641901</v>
      </c>
      <c r="I5644">
        <v>0.24546885645271099</v>
      </c>
      <c r="J5644">
        <v>0.15047747975071399</v>
      </c>
      <c r="K5644">
        <v>0.114638663008384</v>
      </c>
      <c r="L5644">
        <v>873.38914842681697</v>
      </c>
      <c r="M5644">
        <v>15.2266324788392</v>
      </c>
      <c r="N5644">
        <v>57.938488345609798</v>
      </c>
      <c r="O5644">
        <v>56.397263441184499</v>
      </c>
      <c r="P5644">
        <v>-6.2738118811491203E-2</v>
      </c>
      <c r="Q5644">
        <v>7.0596549797239797E-2</v>
      </c>
      <c r="R5644">
        <v>0.96327883063681297</v>
      </c>
      <c r="S5644" t="s">
        <v>11470</v>
      </c>
      <c r="T5644" t="s">
        <v>11650</v>
      </c>
      <c r="U5644" t="s">
        <v>11650</v>
      </c>
      <c r="V5644" t="s">
        <v>11650</v>
      </c>
      <c r="W5644" t="s">
        <v>17234</v>
      </c>
      <c r="X5644">
        <v>9</v>
      </c>
      <c r="Y5644" t="s">
        <v>22886</v>
      </c>
      <c r="Z5644" t="s">
        <v>28706</v>
      </c>
      <c r="AA5644">
        <v>0.62225231126070502</v>
      </c>
      <c r="AB5644" t="str">
        <f>HYPERLINK("Melting_Curves/meltCurve_Q9Y2D4_EXOC6B.pdf", "Melting_Curves/meltCurve_Q9Y2D4_EXOC6B.pdf")</f>
        <v>Melting_Curves/meltCurve_Q9Y2D4_EXOC6B.pdf</v>
      </c>
    </row>
    <row r="5645" spans="1:28" x14ac:dyDescent="0.25">
      <c r="A5645" t="s">
        <v>5649</v>
      </c>
      <c r="B5645">
        <v>0.99996721820229495</v>
      </c>
      <c r="C5645">
        <v>1.0618423758673301</v>
      </c>
      <c r="D5645">
        <v>1.0484067218614801</v>
      </c>
      <c r="E5645">
        <v>1.05871666794101</v>
      </c>
      <c r="F5645">
        <v>1.2539808789487801</v>
      </c>
      <c r="G5645">
        <v>1.4231142062692701</v>
      </c>
      <c r="H5645">
        <v>1.3631093032264601</v>
      </c>
      <c r="I5645">
        <v>1.24138782067388</v>
      </c>
      <c r="J5645">
        <v>1.2320068669664299</v>
      </c>
      <c r="K5645">
        <v>0.93039799986823402</v>
      </c>
      <c r="L5645">
        <v>12556.550140585799</v>
      </c>
      <c r="M5645">
        <v>250</v>
      </c>
      <c r="O5645">
        <v>50.2229869420905</v>
      </c>
      <c r="P5645">
        <v>0.299497139858387</v>
      </c>
      <c r="Q5645">
        <v>1.2406662523188201</v>
      </c>
      <c r="R5645">
        <v>0.37560668148437698</v>
      </c>
      <c r="S5645" t="s">
        <v>11471</v>
      </c>
      <c r="T5645" t="s">
        <v>11650</v>
      </c>
      <c r="U5645" t="s">
        <v>11650</v>
      </c>
      <c r="V5645" t="s">
        <v>11650</v>
      </c>
      <c r="W5645" t="s">
        <v>17235</v>
      </c>
      <c r="X5645">
        <v>71</v>
      </c>
      <c r="Y5645" t="s">
        <v>22887</v>
      </c>
      <c r="Z5645" t="s">
        <v>28707</v>
      </c>
      <c r="AA5645">
        <v>1.158608326343147</v>
      </c>
      <c r="AB5645" t="str">
        <f>HYPERLINK("Melting_Curves/meltCurve_Q9Y2D5_6_AKAP2.pdf", "Melting_Curves/meltCurve_Q9Y2D5_6_AKAP2.pdf")</f>
        <v>Melting_Curves/meltCurve_Q9Y2D5_6_AKAP2.pdf</v>
      </c>
    </row>
    <row r="5646" spans="1:28" x14ac:dyDescent="0.25">
      <c r="A5646" t="s">
        <v>5650</v>
      </c>
      <c r="B5646">
        <v>0.99996721820229495</v>
      </c>
      <c r="C5646">
        <v>0.97695536889272605</v>
      </c>
      <c r="D5646">
        <v>1.0791948323064899</v>
      </c>
      <c r="E5646">
        <v>1.2151998771927299</v>
      </c>
      <c r="F5646">
        <v>1.13025375805142</v>
      </c>
      <c r="G5646">
        <v>0.69049900641091899</v>
      </c>
      <c r="H5646">
        <v>0.33948949995782401</v>
      </c>
      <c r="I5646">
        <v>0.249095958936635</v>
      </c>
      <c r="J5646">
        <v>0.17175176853443799</v>
      </c>
      <c r="K5646">
        <v>0.128293289430914</v>
      </c>
      <c r="L5646">
        <v>2079.4484078115102</v>
      </c>
      <c r="M5646">
        <v>35.7112738614912</v>
      </c>
      <c r="N5646">
        <v>58.933226576250803</v>
      </c>
      <c r="O5646">
        <v>58.047778425522097</v>
      </c>
      <c r="P5646">
        <v>-0.12710264169800001</v>
      </c>
      <c r="Q5646">
        <v>0.17359411241128</v>
      </c>
      <c r="R5646">
        <v>0.94986536966145196</v>
      </c>
      <c r="S5646" t="s">
        <v>11472</v>
      </c>
      <c r="T5646" t="s">
        <v>11650</v>
      </c>
      <c r="U5646" t="s">
        <v>11650</v>
      </c>
      <c r="V5646" t="s">
        <v>11650</v>
      </c>
      <c r="W5646" t="s">
        <v>17236</v>
      </c>
      <c r="X5646">
        <v>7</v>
      </c>
      <c r="Y5646" t="s">
        <v>22888</v>
      </c>
      <c r="Z5646" t="s">
        <v>28708</v>
      </c>
      <c r="AA5646">
        <v>0.67977066546011489</v>
      </c>
      <c r="AB5646" t="str">
        <f>HYPERLINK("Melting_Curves/meltCurve_Q9Y2E4_DIP2C.pdf", "Melting_Curves/meltCurve_Q9Y2E4_DIP2C.pdf")</f>
        <v>Melting_Curves/meltCurve_Q9Y2E4_DIP2C.pdf</v>
      </c>
    </row>
    <row r="5647" spans="1:28" x14ac:dyDescent="0.25">
      <c r="A5647" t="s">
        <v>5651</v>
      </c>
      <c r="B5647">
        <v>0.99996721820229495</v>
      </c>
      <c r="C5647">
        <v>1.0410015762731999</v>
      </c>
      <c r="D5647">
        <v>1.1063056942290499</v>
      </c>
      <c r="E5647">
        <v>1.17776661616336</v>
      </c>
      <c r="F5647">
        <v>1.4131150404733801</v>
      </c>
      <c r="G5647">
        <v>1.7203468780270199</v>
      </c>
      <c r="H5647">
        <v>0.78144743825248797</v>
      </c>
      <c r="I5647">
        <v>0.31303002708155597</v>
      </c>
      <c r="J5647">
        <v>0.22584697471026</v>
      </c>
      <c r="K5647">
        <v>0.17145370961497</v>
      </c>
      <c r="L5647">
        <v>4294.3225370375003</v>
      </c>
      <c r="M5647">
        <v>69.284540579690599</v>
      </c>
      <c r="N5647">
        <v>62.460559020978202</v>
      </c>
      <c r="O5647">
        <v>61.929377267460602</v>
      </c>
      <c r="P5647">
        <v>-0.22199584528894201</v>
      </c>
      <c r="Q5647">
        <v>0.20628391742596999</v>
      </c>
      <c r="R5647">
        <v>0.69560834185687603</v>
      </c>
      <c r="S5647" t="s">
        <v>11473</v>
      </c>
      <c r="T5647" t="s">
        <v>11650</v>
      </c>
      <c r="U5647" t="s">
        <v>11650</v>
      </c>
      <c r="V5647" t="s">
        <v>11650</v>
      </c>
      <c r="W5647" t="s">
        <v>17237</v>
      </c>
      <c r="X5647">
        <v>6</v>
      </c>
      <c r="Y5647" t="s">
        <v>22889</v>
      </c>
      <c r="Z5647" t="s">
        <v>28709</v>
      </c>
      <c r="AA5647">
        <v>0.78895466118749169</v>
      </c>
      <c r="AB5647" t="str">
        <f>HYPERLINK("Melting_Curves/meltCurve_Q9Y2E5_MAN2B2.pdf", "Melting_Curves/meltCurve_Q9Y2E5_MAN2B2.pdf")</f>
        <v>Melting_Curves/meltCurve_Q9Y2E5_MAN2B2.pdf</v>
      </c>
    </row>
    <row r="5648" spans="1:28" x14ac:dyDescent="0.25">
      <c r="A5648" t="s">
        <v>5652</v>
      </c>
      <c r="B5648">
        <v>0.99996721820229495</v>
      </c>
      <c r="C5648">
        <v>0.86510553010841496</v>
      </c>
      <c r="D5648">
        <v>0.82316899415086997</v>
      </c>
      <c r="E5648">
        <v>0.84689616851292704</v>
      </c>
      <c r="F5648">
        <v>0.87745266806789801</v>
      </c>
      <c r="G5648">
        <v>0.73981395935331695</v>
      </c>
      <c r="H5648">
        <v>0.40592280930696201</v>
      </c>
      <c r="I5648">
        <v>0.20794463324957399</v>
      </c>
      <c r="J5648">
        <v>0.16470624919212201</v>
      </c>
      <c r="K5648">
        <v>0.162496157452235</v>
      </c>
      <c r="L5648">
        <v>814.83767888692205</v>
      </c>
      <c r="M5648">
        <v>13.675459777281</v>
      </c>
      <c r="N5648">
        <v>59.583933146778101</v>
      </c>
      <c r="O5648">
        <v>58.353177396821799</v>
      </c>
      <c r="P5648">
        <v>-5.85976804021364E-2</v>
      </c>
      <c r="Q5648">
        <v>0</v>
      </c>
      <c r="R5648">
        <v>0.93400212962503903</v>
      </c>
      <c r="S5648" t="s">
        <v>11474</v>
      </c>
      <c r="T5648" t="s">
        <v>11650</v>
      </c>
      <c r="U5648" t="s">
        <v>11650</v>
      </c>
      <c r="V5648" t="s">
        <v>11650</v>
      </c>
      <c r="W5648" t="s">
        <v>17238</v>
      </c>
      <c r="X5648">
        <v>2</v>
      </c>
      <c r="Y5648" t="s">
        <v>22890</v>
      </c>
      <c r="Z5648" t="s">
        <v>28710</v>
      </c>
      <c r="AA5648">
        <v>0.66012933409581875</v>
      </c>
      <c r="AB5648" t="str">
        <f>HYPERLINK("Melting_Curves/meltCurve_Q9Y2G2_CARD8.pdf", "Melting_Curves/meltCurve_Q9Y2G2_CARD8.pdf")</f>
        <v>Melting_Curves/meltCurve_Q9Y2G2_CARD8.pdf</v>
      </c>
    </row>
    <row r="5649" spans="1:28" x14ac:dyDescent="0.25">
      <c r="A5649" t="s">
        <v>5653</v>
      </c>
      <c r="B5649">
        <v>0.99996721820229495</v>
      </c>
      <c r="C5649">
        <v>0.87275610867218401</v>
      </c>
      <c r="D5649">
        <v>1.0436302885683799</v>
      </c>
      <c r="E5649">
        <v>1.4535492466973601</v>
      </c>
      <c r="F5649">
        <v>2.0286325648927699</v>
      </c>
      <c r="G5649">
        <v>1.8777327549298299</v>
      </c>
      <c r="H5649">
        <v>0.73260666972233202</v>
      </c>
      <c r="I5649">
        <v>0.32429919798151202</v>
      </c>
      <c r="J5649">
        <v>0.236765478494255</v>
      </c>
      <c r="K5649">
        <v>0.216062921515801</v>
      </c>
      <c r="L5649">
        <v>5274.3464064649597</v>
      </c>
      <c r="M5649">
        <v>85.803639300004804</v>
      </c>
      <c r="N5649">
        <v>61.968123698843002</v>
      </c>
      <c r="O5649">
        <v>61.436585796450103</v>
      </c>
      <c r="P5649">
        <v>-0.26216129575182101</v>
      </c>
      <c r="Q5649">
        <v>0.249155595273264</v>
      </c>
      <c r="R5649">
        <v>0.45456658478256201</v>
      </c>
      <c r="S5649" t="s">
        <v>11475</v>
      </c>
      <c r="T5649" t="s">
        <v>11650</v>
      </c>
      <c r="U5649" t="s">
        <v>11650</v>
      </c>
      <c r="V5649" t="s">
        <v>11650</v>
      </c>
      <c r="W5649" t="s">
        <v>17239</v>
      </c>
      <c r="X5649">
        <v>6</v>
      </c>
      <c r="Y5649" t="s">
        <v>22891</v>
      </c>
      <c r="Z5649" t="s">
        <v>28711</v>
      </c>
      <c r="AA5649">
        <v>0.78719703055995294</v>
      </c>
      <c r="AB5649" t="str">
        <f>HYPERLINK("Melting_Curves/meltCurve_Q9Y2G3_ATP11B.pdf", "Melting_Curves/meltCurve_Q9Y2G3_ATP11B.pdf")</f>
        <v>Melting_Curves/meltCurve_Q9Y2G3_ATP11B.pdf</v>
      </c>
    </row>
    <row r="5650" spans="1:28" x14ac:dyDescent="0.25">
      <c r="A5650" t="s">
        <v>5654</v>
      </c>
      <c r="B5650">
        <v>0.99996721820229495</v>
      </c>
      <c r="C5650">
        <v>1.01374127565441</v>
      </c>
      <c r="D5650">
        <v>0.93816368685676299</v>
      </c>
      <c r="E5650">
        <v>0.67084441762040403</v>
      </c>
      <c r="F5650">
        <v>0.35103926084366499</v>
      </c>
      <c r="G5650">
        <v>0.30594941100480499</v>
      </c>
      <c r="H5650">
        <v>0.19283437588643301</v>
      </c>
      <c r="I5650">
        <v>0.124843236906324</v>
      </c>
      <c r="J5650">
        <v>8.1708496171419107E-2</v>
      </c>
      <c r="K5650">
        <v>8.1280638647112796E-2</v>
      </c>
      <c r="L5650">
        <v>970.85831241513597</v>
      </c>
      <c r="M5650">
        <v>18.9284409051259</v>
      </c>
      <c r="N5650">
        <v>51.961279350237199</v>
      </c>
      <c r="O5650">
        <v>50.728786454066402</v>
      </c>
      <c r="P5650">
        <v>-8.3180956512832402E-2</v>
      </c>
      <c r="Q5650">
        <v>0.108326289373967</v>
      </c>
      <c r="R5650">
        <v>0.98681491369392704</v>
      </c>
      <c r="S5650" t="s">
        <v>11476</v>
      </c>
      <c r="T5650" t="s">
        <v>11650</v>
      </c>
      <c r="U5650" t="s">
        <v>11650</v>
      </c>
      <c r="V5650" t="s">
        <v>11650</v>
      </c>
      <c r="W5650" t="s">
        <v>17240</v>
      </c>
      <c r="X5650">
        <v>27</v>
      </c>
      <c r="Y5650" t="s">
        <v>22892</v>
      </c>
      <c r="Z5650" t="s">
        <v>28712</v>
      </c>
      <c r="AA5650">
        <v>0.45760277525693649</v>
      </c>
      <c r="AB5650" t="str">
        <f>HYPERLINK("Melting_Curves/meltCurve_Q9Y2G5_POFUT2.pdf", "Melting_Curves/meltCurve_Q9Y2G5_POFUT2.pdf")</f>
        <v>Melting_Curves/meltCurve_Q9Y2G5_POFUT2.pdf</v>
      </c>
    </row>
    <row r="5651" spans="1:28" x14ac:dyDescent="0.25">
      <c r="A5651" t="s">
        <v>5655</v>
      </c>
      <c r="B5651">
        <v>0.99996721820229495</v>
      </c>
      <c r="C5651">
        <v>0.94791318194945096</v>
      </c>
      <c r="D5651">
        <v>0.78476213249468296</v>
      </c>
      <c r="E5651">
        <v>0.47470843168020999</v>
      </c>
      <c r="F5651">
        <v>0.35833392889635801</v>
      </c>
      <c r="G5651">
        <v>0.288775363780578</v>
      </c>
      <c r="H5651">
        <v>0.18360360391716701</v>
      </c>
      <c r="I5651">
        <v>0.16107526920736101</v>
      </c>
      <c r="J5651">
        <v>0.14221725337025601</v>
      </c>
      <c r="K5651">
        <v>0.105716304841597</v>
      </c>
      <c r="L5651">
        <v>750.23691727007895</v>
      </c>
      <c r="M5651">
        <v>15.232263334662401</v>
      </c>
      <c r="N5651">
        <v>50.280720420122101</v>
      </c>
      <c r="O5651">
        <v>48.427651597045703</v>
      </c>
      <c r="P5651">
        <v>-6.8123139030643404E-2</v>
      </c>
      <c r="Q5651">
        <v>0.13375185881177901</v>
      </c>
      <c r="R5651">
        <v>0.99223659971568001</v>
      </c>
      <c r="S5651" t="s">
        <v>11477</v>
      </c>
      <c r="T5651" t="s">
        <v>11650</v>
      </c>
      <c r="U5651" t="s">
        <v>11650</v>
      </c>
      <c r="V5651" t="s">
        <v>11650</v>
      </c>
      <c r="W5651" t="s">
        <v>17241</v>
      </c>
      <c r="X5651">
        <v>8</v>
      </c>
      <c r="Y5651" t="s">
        <v>22893</v>
      </c>
      <c r="Z5651" t="s">
        <v>28713</v>
      </c>
      <c r="AA5651">
        <v>0.42152246340305782</v>
      </c>
      <c r="AB5651" t="str">
        <f>HYPERLINK("Melting_Curves/meltCurve_Q9Y2H1_STK38L.pdf", "Melting_Curves/meltCurve_Q9Y2H1_STK38L.pdf")</f>
        <v>Melting_Curves/meltCurve_Q9Y2H1_STK38L.pdf</v>
      </c>
    </row>
    <row r="5652" spans="1:28" x14ac:dyDescent="0.25">
      <c r="A5652" t="s">
        <v>5656</v>
      </c>
      <c r="B5652">
        <v>0.99996721820229495</v>
      </c>
      <c r="C5652">
        <v>0.59786282271181401</v>
      </c>
      <c r="D5652">
        <v>0.52377936857270402</v>
      </c>
      <c r="E5652">
        <v>0.56837059650718602</v>
      </c>
      <c r="F5652">
        <v>0.316647219804775</v>
      </c>
      <c r="G5652">
        <v>0.23907041052782499</v>
      </c>
      <c r="H5652">
        <v>0.15808627517472301</v>
      </c>
      <c r="I5652">
        <v>0.14015327514127501</v>
      </c>
      <c r="J5652">
        <v>0.129067399817862</v>
      </c>
      <c r="K5652">
        <v>0.13815044192067699</v>
      </c>
      <c r="L5652">
        <v>410.38772611720901</v>
      </c>
      <c r="M5652">
        <v>8.6373217483078601</v>
      </c>
      <c r="N5652">
        <v>48.268624087121999</v>
      </c>
      <c r="O5652">
        <v>45.172297512180997</v>
      </c>
      <c r="P5652">
        <v>-4.4818458715135803E-2</v>
      </c>
      <c r="Q5652">
        <v>6.3210614117230904E-2</v>
      </c>
      <c r="R5652">
        <v>0.90790293392821397</v>
      </c>
      <c r="S5652" t="s">
        <v>11478</v>
      </c>
      <c r="T5652" t="s">
        <v>11650</v>
      </c>
      <c r="U5652" t="s">
        <v>11650</v>
      </c>
      <c r="V5652" t="s">
        <v>11650</v>
      </c>
      <c r="W5652" t="s">
        <v>17242</v>
      </c>
      <c r="X5652">
        <v>2</v>
      </c>
      <c r="Y5652" t="s">
        <v>22894</v>
      </c>
      <c r="Z5652" t="s">
        <v>28714</v>
      </c>
      <c r="AA5652">
        <v>0.36200815777515871</v>
      </c>
      <c r="AB5652" t="str">
        <f>HYPERLINK("Melting_Curves/meltCurve_Q9Y2H2_INPP5F.pdf", "Melting_Curves/meltCurve_Q9Y2H2_INPP5F.pdf")</f>
        <v>Melting_Curves/meltCurve_Q9Y2H2_INPP5F.pdf</v>
      </c>
    </row>
    <row r="5653" spans="1:28" x14ac:dyDescent="0.25">
      <c r="A5653" t="s">
        <v>5657</v>
      </c>
      <c r="B5653">
        <v>0.99996721820229495</v>
      </c>
      <c r="C5653">
        <v>0.69275804844975197</v>
      </c>
      <c r="D5653">
        <v>0.32036700549691699</v>
      </c>
      <c r="E5653">
        <v>0.17304886244911799</v>
      </c>
      <c r="F5653">
        <v>0.20618247180912599</v>
      </c>
      <c r="G5653">
        <v>0.181525460228427</v>
      </c>
      <c r="H5653">
        <v>0.126921861139692</v>
      </c>
      <c r="I5653">
        <v>8.1906084468620896E-2</v>
      </c>
      <c r="J5653">
        <v>6.4802812020574099E-2</v>
      </c>
      <c r="K5653">
        <v>5.3525825476633898E-2</v>
      </c>
      <c r="L5653">
        <v>1210.0125223150999</v>
      </c>
      <c r="M5653">
        <v>27.496366169443199</v>
      </c>
      <c r="N5653">
        <v>44.448963288882197</v>
      </c>
      <c r="O5653">
        <v>43.775480828273203</v>
      </c>
      <c r="P5653">
        <v>-0.13822261128759</v>
      </c>
      <c r="Q5653">
        <v>0.119781069690559</v>
      </c>
      <c r="R5653">
        <v>0.97466592635453497</v>
      </c>
      <c r="S5653" t="s">
        <v>11479</v>
      </c>
      <c r="T5653" t="s">
        <v>11650</v>
      </c>
      <c r="U5653" t="s">
        <v>11650</v>
      </c>
      <c r="V5653" t="s">
        <v>11650</v>
      </c>
      <c r="W5653" t="s">
        <v>17243</v>
      </c>
      <c r="X5653">
        <v>9</v>
      </c>
      <c r="Y5653" t="s">
        <v>22895</v>
      </c>
      <c r="Z5653" t="s">
        <v>28715</v>
      </c>
      <c r="AA5653">
        <v>0.245296660701803</v>
      </c>
      <c r="AB5653" t="str">
        <f>HYPERLINK("Melting_Curves/meltCurve_Q9Y2H6_2_FNDC3A.pdf", "Melting_Curves/meltCurve_Q9Y2H6_2_FNDC3A.pdf")</f>
        <v>Melting_Curves/meltCurve_Q9Y2H6_2_FNDC3A.pdf</v>
      </c>
    </row>
    <row r="5654" spans="1:28" x14ac:dyDescent="0.25">
      <c r="A5654" t="s">
        <v>5658</v>
      </c>
      <c r="B5654">
        <v>0.99996721820229495</v>
      </c>
      <c r="C5654">
        <v>0.95688234924048898</v>
      </c>
      <c r="D5654">
        <v>0.87449237054358397</v>
      </c>
      <c r="E5654">
        <v>0.63545274178848599</v>
      </c>
      <c r="F5654">
        <v>0.37380642546427501</v>
      </c>
      <c r="G5654">
        <v>0.25273212028949299</v>
      </c>
      <c r="H5654">
        <v>0.17091243951422799</v>
      </c>
      <c r="I5654">
        <v>0.12676841304605299</v>
      </c>
      <c r="J5654">
        <v>8.7667626466788995E-2</v>
      </c>
      <c r="K5654">
        <v>5.6187440496218002E-2</v>
      </c>
      <c r="L5654">
        <v>802.56463054046299</v>
      </c>
      <c r="M5654">
        <v>15.681049703700699</v>
      </c>
      <c r="N5654">
        <v>51.710312082303098</v>
      </c>
      <c r="O5654">
        <v>50.369875528382899</v>
      </c>
      <c r="P5654">
        <v>-7.2060265054351702E-2</v>
      </c>
      <c r="Q5654">
        <v>7.4205241066756605E-2</v>
      </c>
      <c r="R5654">
        <v>0.99632277602408803</v>
      </c>
      <c r="S5654" t="s">
        <v>11480</v>
      </c>
      <c r="T5654" t="s">
        <v>11650</v>
      </c>
      <c r="U5654" t="s">
        <v>11650</v>
      </c>
      <c r="V5654" t="s">
        <v>11650</v>
      </c>
      <c r="W5654" t="s">
        <v>17244</v>
      </c>
      <c r="X5654">
        <v>5</v>
      </c>
      <c r="Y5654" t="s">
        <v>22896</v>
      </c>
      <c r="Z5654" t="s">
        <v>28716</v>
      </c>
      <c r="AA5654">
        <v>0.43899854727924931</v>
      </c>
      <c r="AB5654" t="str">
        <f>HYPERLINK("Melting_Curves/meltCurve_Q9Y2I1_NISCH.pdf", "Melting_Curves/meltCurve_Q9Y2I1_NISCH.pdf")</f>
        <v>Melting_Curves/meltCurve_Q9Y2I1_NISCH.pdf</v>
      </c>
    </row>
    <row r="5655" spans="1:28" x14ac:dyDescent="0.25">
      <c r="A5655" t="s">
        <v>5659</v>
      </c>
      <c r="B5655">
        <v>0.99996721820229495</v>
      </c>
      <c r="C5655">
        <v>1.08167948140236</v>
      </c>
      <c r="D5655">
        <v>1.15331572162256</v>
      </c>
      <c r="E5655">
        <v>1.26323471766976</v>
      </c>
      <c r="F5655">
        <v>1.2579925542469701</v>
      </c>
      <c r="G5655">
        <v>0.86679573391339604</v>
      </c>
      <c r="H5655">
        <v>0.42821410165299401</v>
      </c>
      <c r="I5655">
        <v>0.261792579971101</v>
      </c>
      <c r="J5655">
        <v>0.23453458710792499</v>
      </c>
      <c r="K5655">
        <v>0.15499858306869199</v>
      </c>
      <c r="L5655">
        <v>2411.9955571301598</v>
      </c>
      <c r="M5655">
        <v>40.445286473975997</v>
      </c>
      <c r="N5655">
        <v>60.380948054987201</v>
      </c>
      <c r="O5655">
        <v>59.490768385553402</v>
      </c>
      <c r="P5655">
        <v>-0.13657973344158</v>
      </c>
      <c r="Q5655">
        <v>0.19642369854512301</v>
      </c>
      <c r="R5655">
        <v>0.90560857012880003</v>
      </c>
      <c r="S5655" t="s">
        <v>11481</v>
      </c>
      <c r="T5655" t="s">
        <v>11650</v>
      </c>
      <c r="U5655" t="s">
        <v>11650</v>
      </c>
      <c r="V5655" t="s">
        <v>11650</v>
      </c>
      <c r="W5655" t="s">
        <v>17245</v>
      </c>
      <c r="X5655">
        <v>29</v>
      </c>
      <c r="Y5655" t="s">
        <v>22897</v>
      </c>
      <c r="Z5655" t="s">
        <v>28717</v>
      </c>
      <c r="AA5655">
        <v>0.72548673689355969</v>
      </c>
      <c r="AB5655" t="str">
        <f>HYPERLINK("Melting_Curves/meltCurve_Q9Y2J2_2_EPB41L3.pdf", "Melting_Curves/meltCurve_Q9Y2J2_2_EPB41L3.pdf")</f>
        <v>Melting_Curves/meltCurve_Q9Y2J2_2_EPB41L3.pdf</v>
      </c>
    </row>
    <row r="5656" spans="1:28" x14ac:dyDescent="0.25">
      <c r="A5656" t="s">
        <v>5660</v>
      </c>
      <c r="B5656">
        <v>0.99996721820229495</v>
      </c>
      <c r="C5656">
        <v>0.936186610980423</v>
      </c>
      <c r="D5656">
        <v>0.96249991756487596</v>
      </c>
      <c r="E5656">
        <v>0.96944771179078404</v>
      </c>
      <c r="F5656">
        <v>0.99235411194301404</v>
      </c>
      <c r="G5656">
        <v>0.882595823082028</v>
      </c>
      <c r="H5656">
        <v>0.562385899832748</v>
      </c>
      <c r="I5656">
        <v>0.50392204716775202</v>
      </c>
      <c r="J5656">
        <v>0.46452681584404898</v>
      </c>
      <c r="K5656">
        <v>0.35504767187157499</v>
      </c>
      <c r="L5656">
        <v>1710.0385298897399</v>
      </c>
      <c r="M5656">
        <v>28.7551566385626</v>
      </c>
      <c r="N5656">
        <v>62.993426679162901</v>
      </c>
      <c r="O5656">
        <v>59.183548939306398</v>
      </c>
      <c r="P5656">
        <v>-7.2887243253404496E-2</v>
      </c>
      <c r="Q5656">
        <v>0.39994174059195498</v>
      </c>
      <c r="R5656">
        <v>0.97744672399185895</v>
      </c>
      <c r="S5656" t="s">
        <v>11482</v>
      </c>
      <c r="T5656" t="s">
        <v>11650</v>
      </c>
      <c r="U5656" t="s">
        <v>11650</v>
      </c>
      <c r="V5656" t="s">
        <v>11650</v>
      </c>
      <c r="W5656" t="s">
        <v>17246</v>
      </c>
      <c r="X5656">
        <v>7</v>
      </c>
      <c r="Y5656" t="s">
        <v>22898</v>
      </c>
      <c r="Z5656" t="s">
        <v>28718</v>
      </c>
      <c r="AA5656">
        <v>0.79334951848078328</v>
      </c>
      <c r="AB5656" t="str">
        <f>HYPERLINK("Melting_Curves/meltCurve_Q9Y2J4_AMOTL2.pdf", "Melting_Curves/meltCurve_Q9Y2J4_AMOTL2.pdf")</f>
        <v>Melting_Curves/meltCurve_Q9Y2J4_AMOTL2.pdf</v>
      </c>
    </row>
    <row r="5657" spans="1:28" x14ac:dyDescent="0.25">
      <c r="A5657" t="s">
        <v>5661</v>
      </c>
      <c r="B5657">
        <v>0.99996721820229495</v>
      </c>
      <c r="C5657">
        <v>1.0684823495261699</v>
      </c>
      <c r="D5657">
        <v>0.91248703949712595</v>
      </c>
      <c r="E5657">
        <v>0.75153259607793799</v>
      </c>
      <c r="F5657">
        <v>0.92776754689431895</v>
      </c>
      <c r="G5657">
        <v>0.81346236110570402</v>
      </c>
      <c r="H5657">
        <v>0.62352241691841404</v>
      </c>
      <c r="I5657">
        <v>0.63270074795968301</v>
      </c>
      <c r="J5657">
        <v>0.87478820660064605</v>
      </c>
      <c r="K5657">
        <v>0.539822764907254</v>
      </c>
      <c r="L5657">
        <v>495.162795747877</v>
      </c>
      <c r="M5657">
        <v>9.0614613516167406</v>
      </c>
      <c r="O5657">
        <v>52.180613011335097</v>
      </c>
      <c r="P5657">
        <v>-1.7154360444776501E-2</v>
      </c>
      <c r="Q5657">
        <v>0.60514433015268698</v>
      </c>
      <c r="R5657">
        <v>0.61124206199411601</v>
      </c>
      <c r="S5657" t="s">
        <v>11483</v>
      </c>
      <c r="T5657" t="s">
        <v>11650</v>
      </c>
      <c r="U5657" t="s">
        <v>11650</v>
      </c>
      <c r="V5657" t="s">
        <v>11650</v>
      </c>
      <c r="W5657" t="s">
        <v>17247</v>
      </c>
      <c r="X5657">
        <v>1</v>
      </c>
      <c r="Y5657" t="s">
        <v>22899</v>
      </c>
      <c r="Z5657" t="s">
        <v>28719</v>
      </c>
      <c r="AA5657">
        <v>0.80921122056575157</v>
      </c>
      <c r="AB5657" t="str">
        <f>HYPERLINK("Melting_Curves/meltCurve_Q9Y2K6_USP20.pdf", "Melting_Curves/meltCurve_Q9Y2K6_USP20.pdf")</f>
        <v>Melting_Curves/meltCurve_Q9Y2K6_USP20.pdf</v>
      </c>
    </row>
    <row r="5658" spans="1:28" x14ac:dyDescent="0.25">
      <c r="A5658" t="s">
        <v>5662</v>
      </c>
      <c r="B5658">
        <v>0.99996721820229495</v>
      </c>
      <c r="C5658">
        <v>0.98894311298095705</v>
      </c>
      <c r="D5658">
        <v>0.76385242098422002</v>
      </c>
      <c r="E5658">
        <v>0.46756337217181598</v>
      </c>
      <c r="F5658">
        <v>0.43031365098978502</v>
      </c>
      <c r="G5658">
        <v>0.194947694683584</v>
      </c>
      <c r="H5658">
        <v>0.14656234218264799</v>
      </c>
      <c r="I5658">
        <v>9.5109864840297598E-2</v>
      </c>
      <c r="J5658">
        <v>5.4312044375441897E-2</v>
      </c>
      <c r="K5658">
        <v>5.5424306550396901E-2</v>
      </c>
      <c r="L5658">
        <v>682.48824986132604</v>
      </c>
      <c r="M5658">
        <v>13.580399271974001</v>
      </c>
      <c r="N5658">
        <v>50.600096087400303</v>
      </c>
      <c r="O5658">
        <v>49.203249689173802</v>
      </c>
      <c r="P5658">
        <v>-6.5962740679617896E-2</v>
      </c>
      <c r="Q5658">
        <v>4.4182138595544797E-2</v>
      </c>
      <c r="R5658">
        <v>0.98602820255083801</v>
      </c>
      <c r="S5658" t="s">
        <v>11484</v>
      </c>
      <c r="T5658" t="s">
        <v>11650</v>
      </c>
      <c r="U5658" t="s">
        <v>11650</v>
      </c>
      <c r="V5658" t="s">
        <v>11650</v>
      </c>
      <c r="W5658" t="s">
        <v>17248</v>
      </c>
      <c r="X5658">
        <v>3</v>
      </c>
      <c r="Y5658" t="s">
        <v>22900</v>
      </c>
      <c r="Z5658" t="s">
        <v>28720</v>
      </c>
      <c r="AA5658">
        <v>0.39769046608459768</v>
      </c>
      <c r="AB5658" t="str">
        <f>HYPERLINK("Melting_Curves/meltCurve_Q9Y2L1_DIS3.pdf", "Melting_Curves/meltCurve_Q9Y2L1_DIS3.pdf")</f>
        <v>Melting_Curves/meltCurve_Q9Y2L1_DIS3.pdf</v>
      </c>
    </row>
    <row r="5659" spans="1:28" x14ac:dyDescent="0.25">
      <c r="A5659" t="s">
        <v>5663</v>
      </c>
      <c r="B5659">
        <v>0.99996721820229495</v>
      </c>
      <c r="C5659">
        <v>1.0448939376094999</v>
      </c>
      <c r="D5659">
        <v>0.92390933876128201</v>
      </c>
      <c r="E5659">
        <v>0.62056728266911698</v>
      </c>
      <c r="F5659">
        <v>0.254569486169266</v>
      </c>
      <c r="G5659">
        <v>0.21379571537943201</v>
      </c>
      <c r="H5659">
        <v>0.12709183025021401</v>
      </c>
      <c r="I5659">
        <v>8.5478219616675399E-2</v>
      </c>
      <c r="J5659">
        <v>6.5373562429516405E-2</v>
      </c>
      <c r="K5659">
        <v>5.06977428771202E-2</v>
      </c>
      <c r="L5659">
        <v>1297.69775400098</v>
      </c>
      <c r="M5659">
        <v>25.690302030916399</v>
      </c>
      <c r="N5659">
        <v>50.9035666457467</v>
      </c>
      <c r="O5659">
        <v>50.210050216261401</v>
      </c>
      <c r="P5659">
        <v>-0.11647715190897701</v>
      </c>
      <c r="Q5659">
        <v>8.9422453277328895E-2</v>
      </c>
      <c r="R5659">
        <v>0.99072053436144403</v>
      </c>
      <c r="S5659" t="s">
        <v>11485</v>
      </c>
      <c r="T5659" t="s">
        <v>11650</v>
      </c>
      <c r="U5659" t="s">
        <v>11650</v>
      </c>
      <c r="V5659" t="s">
        <v>11650</v>
      </c>
      <c r="W5659" t="s">
        <v>17249</v>
      </c>
      <c r="X5659">
        <v>16</v>
      </c>
      <c r="Y5659" t="s">
        <v>22901</v>
      </c>
      <c r="Z5659" t="s">
        <v>28721</v>
      </c>
      <c r="AA5659">
        <v>0.4162739983595799</v>
      </c>
      <c r="AB5659" t="str">
        <f>HYPERLINK("Melting_Curves/meltCurve_Q9Y2Q3_GSTK1.pdf", "Melting_Curves/meltCurve_Q9Y2Q3_GSTK1.pdf")</f>
        <v>Melting_Curves/meltCurve_Q9Y2Q3_GSTK1.pdf</v>
      </c>
    </row>
    <row r="5660" spans="1:28" x14ac:dyDescent="0.25">
      <c r="A5660" t="s">
        <v>5664</v>
      </c>
      <c r="B5660">
        <v>0.99996721820229495</v>
      </c>
      <c r="C5660">
        <v>0.86948687113919698</v>
      </c>
      <c r="D5660">
        <v>1.03492873727339</v>
      </c>
      <c r="E5660">
        <v>1.1112050485832801</v>
      </c>
      <c r="F5660">
        <v>1.5847527010831199</v>
      </c>
      <c r="G5660">
        <v>1.6223809744556901</v>
      </c>
      <c r="H5660">
        <v>1.2465030927713401</v>
      </c>
      <c r="I5660">
        <v>1.1678537652868599</v>
      </c>
      <c r="J5660">
        <v>0.62919669564971403</v>
      </c>
      <c r="K5660">
        <v>0.209660720636452</v>
      </c>
      <c r="L5660">
        <v>15000</v>
      </c>
      <c r="M5660">
        <v>223.75688190926701</v>
      </c>
      <c r="N5660">
        <v>67.200222615237294</v>
      </c>
      <c r="O5660">
        <v>67.031683612288106</v>
      </c>
      <c r="P5660">
        <v>-0.659607016915434</v>
      </c>
      <c r="Q5660">
        <v>0.20959619928159201</v>
      </c>
      <c r="R5660">
        <v>0.46556579675016302</v>
      </c>
      <c r="S5660" t="s">
        <v>11486</v>
      </c>
      <c r="T5660" t="s">
        <v>11650</v>
      </c>
      <c r="U5660" t="s">
        <v>11650</v>
      </c>
      <c r="V5660" t="s">
        <v>11650</v>
      </c>
      <c r="W5660" t="s">
        <v>17250</v>
      </c>
      <c r="X5660">
        <v>6</v>
      </c>
      <c r="Y5660" t="s">
        <v>22902</v>
      </c>
      <c r="Z5660" t="s">
        <v>28722</v>
      </c>
      <c r="AA5660">
        <v>0.92205103678094813</v>
      </c>
      <c r="AB5660" t="str">
        <f>HYPERLINK("Melting_Curves/meltCurve_Q9Y2Q5_LAMTOR2.pdf", "Melting_Curves/meltCurve_Q9Y2Q5_LAMTOR2.pdf")</f>
        <v>Melting_Curves/meltCurve_Q9Y2Q5_LAMTOR2.pdf</v>
      </c>
    </row>
    <row r="5661" spans="1:28" x14ac:dyDescent="0.25">
      <c r="A5661" t="s">
        <v>5665</v>
      </c>
      <c r="B5661">
        <v>0.99996721820229495</v>
      </c>
      <c r="C5661">
        <v>0.98859730711885196</v>
      </c>
      <c r="D5661">
        <v>1.10094676895239</v>
      </c>
      <c r="E5661">
        <v>1.3472020855073199</v>
      </c>
      <c r="F5661">
        <v>0.76118232146214304</v>
      </c>
      <c r="G5661">
        <v>0.53488146331989495</v>
      </c>
      <c r="H5661">
        <v>0.35874312004477499</v>
      </c>
      <c r="I5661">
        <v>0.31167257878543603</v>
      </c>
      <c r="J5661">
        <v>0.23339687450605701</v>
      </c>
      <c r="K5661">
        <v>0.196931561138636</v>
      </c>
      <c r="L5661">
        <v>1644.9098349154499</v>
      </c>
      <c r="M5661">
        <v>29.383027308516802</v>
      </c>
      <c r="N5661">
        <v>57.341719780143102</v>
      </c>
      <c r="O5661">
        <v>55.7242534200603</v>
      </c>
      <c r="P5661">
        <v>-9.8743855488431106E-2</v>
      </c>
      <c r="Q5661">
        <v>0.25094327660906901</v>
      </c>
      <c r="R5661">
        <v>0.88920011954648104</v>
      </c>
      <c r="S5661" t="s">
        <v>11487</v>
      </c>
      <c r="T5661" t="s">
        <v>11650</v>
      </c>
      <c r="U5661" t="s">
        <v>11650</v>
      </c>
      <c r="V5661" t="s">
        <v>11650</v>
      </c>
      <c r="W5661" t="s">
        <v>17251</v>
      </c>
      <c r="X5661">
        <v>3</v>
      </c>
      <c r="Y5661" t="s">
        <v>22903</v>
      </c>
      <c r="Z5661" t="s">
        <v>28723</v>
      </c>
      <c r="AA5661">
        <v>0.65516957132582221</v>
      </c>
      <c r="AB5661" t="str">
        <f>HYPERLINK("Melting_Curves/meltCurve_Q9Y2Q9_MRPS28.pdf", "Melting_Curves/meltCurve_Q9Y2Q9_MRPS28.pdf")</f>
        <v>Melting_Curves/meltCurve_Q9Y2Q9_MRPS28.pdf</v>
      </c>
    </row>
    <row r="5662" spans="1:28" x14ac:dyDescent="0.25">
      <c r="A5662" t="s">
        <v>5666</v>
      </c>
      <c r="B5662">
        <v>0.99996721820229495</v>
      </c>
      <c r="C5662">
        <v>0.79583502192966604</v>
      </c>
      <c r="D5662">
        <v>0.78932573856960797</v>
      </c>
      <c r="E5662">
        <v>0.81170070348378298</v>
      </c>
      <c r="F5662">
        <v>1.01942221702834</v>
      </c>
      <c r="G5662">
        <v>0.86666550545686205</v>
      </c>
      <c r="H5662">
        <v>0.57649208903136895</v>
      </c>
      <c r="I5662">
        <v>0.40334232606909698</v>
      </c>
      <c r="J5662">
        <v>0.29940597878297898</v>
      </c>
      <c r="K5662">
        <v>0.22394988309233099</v>
      </c>
      <c r="L5662">
        <v>1243.5535803560499</v>
      </c>
      <c r="M5662">
        <v>20.351563279518501</v>
      </c>
      <c r="N5662">
        <v>62.376441751251797</v>
      </c>
      <c r="O5662">
        <v>60.522809332258198</v>
      </c>
      <c r="P5662">
        <v>-6.9782794149272603E-2</v>
      </c>
      <c r="Q5662">
        <v>0.16992669687953599</v>
      </c>
      <c r="R5662">
        <v>0.83456089108720899</v>
      </c>
      <c r="S5662" t="s">
        <v>11488</v>
      </c>
      <c r="T5662" t="s">
        <v>11650</v>
      </c>
      <c r="U5662" t="s">
        <v>11650</v>
      </c>
      <c r="V5662" t="s">
        <v>11650</v>
      </c>
      <c r="W5662" t="s">
        <v>17252</v>
      </c>
      <c r="X5662">
        <v>7</v>
      </c>
      <c r="Y5662" t="s">
        <v>22904</v>
      </c>
      <c r="Z5662" t="s">
        <v>28724</v>
      </c>
      <c r="AA5662">
        <v>0.7587359520582605</v>
      </c>
      <c r="AB5662" t="str">
        <f>HYPERLINK("Melting_Curves/meltCurve_Q9Y2R0_COA3.pdf", "Melting_Curves/meltCurve_Q9Y2R0_COA3.pdf")</f>
        <v>Melting_Curves/meltCurve_Q9Y2R0_COA3.pdf</v>
      </c>
    </row>
    <row r="5663" spans="1:28" x14ac:dyDescent="0.25">
      <c r="A5663" t="s">
        <v>5667</v>
      </c>
      <c r="B5663">
        <v>0.99996721820229495</v>
      </c>
      <c r="C5663">
        <v>0.99837007683014001</v>
      </c>
      <c r="D5663">
        <v>0.97809480318045305</v>
      </c>
      <c r="E5663">
        <v>0.912795543543091</v>
      </c>
      <c r="F5663">
        <v>0.61268327216069396</v>
      </c>
      <c r="G5663">
        <v>0.287383664608654</v>
      </c>
      <c r="H5663">
        <v>0.16024980189014701</v>
      </c>
      <c r="I5663">
        <v>0.11004125106945099</v>
      </c>
      <c r="J5663">
        <v>7.41459238528306E-2</v>
      </c>
      <c r="K5663">
        <v>5.8813937019354903E-2</v>
      </c>
      <c r="L5663">
        <v>1262.4043465336899</v>
      </c>
      <c r="M5663">
        <v>23.375947465840699</v>
      </c>
      <c r="N5663">
        <v>54.384294035355097</v>
      </c>
      <c r="O5663">
        <v>53.613842274680103</v>
      </c>
      <c r="P5663">
        <v>-0.100792270875441</v>
      </c>
      <c r="Q5663">
        <v>7.5328741741188296E-2</v>
      </c>
      <c r="R5663">
        <v>0.99789722528761704</v>
      </c>
      <c r="S5663" t="s">
        <v>11489</v>
      </c>
      <c r="T5663" t="s">
        <v>11650</v>
      </c>
      <c r="U5663" t="s">
        <v>11650</v>
      </c>
      <c r="V5663" t="s">
        <v>11650</v>
      </c>
      <c r="W5663" t="s">
        <v>17253</v>
      </c>
      <c r="X5663">
        <v>14</v>
      </c>
      <c r="Y5663" t="s">
        <v>22905</v>
      </c>
      <c r="Z5663" t="s">
        <v>28725</v>
      </c>
      <c r="AA5663">
        <v>0.51663074186505109</v>
      </c>
      <c r="AB5663" t="str">
        <f>HYPERLINK("Melting_Curves/meltCurve_Q9Y2S2_2_CRYL1.pdf", "Melting_Curves/meltCurve_Q9Y2S2_2_CRYL1.pdf")</f>
        <v>Melting_Curves/meltCurve_Q9Y2S2_2_CRYL1.pdf</v>
      </c>
    </row>
    <row r="5664" spans="1:28" x14ac:dyDescent="0.25">
      <c r="A5664" t="s">
        <v>5668</v>
      </c>
      <c r="B5664">
        <v>0.99996721820229495</v>
      </c>
      <c r="C5664">
        <v>1.07741962148453</v>
      </c>
      <c r="D5664">
        <v>0.96510355106369505</v>
      </c>
      <c r="E5664">
        <v>0.89613339170927997</v>
      </c>
      <c r="F5664">
        <v>1.2772852508146999</v>
      </c>
      <c r="G5664">
        <v>1.81674581992497</v>
      </c>
      <c r="H5664">
        <v>1.35205404398908</v>
      </c>
      <c r="I5664">
        <v>1.3496987392395501</v>
      </c>
      <c r="J5664">
        <v>1.4271657044652</v>
      </c>
      <c r="K5664">
        <v>0.89200800652672396</v>
      </c>
      <c r="L5664">
        <v>13190.509478309201</v>
      </c>
      <c r="M5664">
        <v>250</v>
      </c>
      <c r="O5664">
        <v>52.758661484202399</v>
      </c>
      <c r="P5664">
        <v>0.43539596025203903</v>
      </c>
      <c r="Q5664">
        <v>1.36753452888533</v>
      </c>
      <c r="R5664">
        <v>0.42348595721280002</v>
      </c>
      <c r="S5664" t="s">
        <v>11490</v>
      </c>
      <c r="T5664" t="s">
        <v>11650</v>
      </c>
      <c r="U5664" t="s">
        <v>11650</v>
      </c>
      <c r="V5664" t="s">
        <v>11650</v>
      </c>
      <c r="W5664" t="s">
        <v>17254</v>
      </c>
      <c r="X5664">
        <v>8</v>
      </c>
      <c r="Y5664" t="s">
        <v>22906</v>
      </c>
      <c r="Z5664" t="s">
        <v>28726</v>
      </c>
      <c r="AA5664">
        <v>1.2111508433853639</v>
      </c>
      <c r="AB5664" t="str">
        <f>HYPERLINK("Melting_Curves/meltCurve_Q9Y2S6_TMA7.pdf", "Melting_Curves/meltCurve_Q9Y2S6_TMA7.pdf")</f>
        <v>Melting_Curves/meltCurve_Q9Y2S6_TMA7.pdf</v>
      </c>
    </row>
    <row r="5665" spans="1:28" x14ac:dyDescent="0.25">
      <c r="A5665" t="s">
        <v>5669</v>
      </c>
      <c r="B5665">
        <v>0.99996721820229495</v>
      </c>
      <c r="C5665">
        <v>0.99128856388639297</v>
      </c>
      <c r="D5665">
        <v>0.89877474618710795</v>
      </c>
      <c r="E5665">
        <v>0.75377772806462995</v>
      </c>
      <c r="F5665">
        <v>0.51802455889264898</v>
      </c>
      <c r="G5665">
        <v>0.302329795233578</v>
      </c>
      <c r="H5665">
        <v>0.185376748866074</v>
      </c>
      <c r="I5665">
        <v>0.140620513195824</v>
      </c>
      <c r="J5665">
        <v>9.7215472890001001E-2</v>
      </c>
      <c r="K5665">
        <v>6.3246546353775704E-2</v>
      </c>
      <c r="L5665">
        <v>795.44595360620099</v>
      </c>
      <c r="M5665">
        <v>14.977721259879401</v>
      </c>
      <c r="N5665">
        <v>53.536443272169002</v>
      </c>
      <c r="O5665">
        <v>52.188873079404999</v>
      </c>
      <c r="P5665">
        <v>-6.7707726085355899E-2</v>
      </c>
      <c r="Q5665">
        <v>5.6403893297364803E-2</v>
      </c>
      <c r="R5665">
        <v>0.99848259215033697</v>
      </c>
      <c r="S5665" t="s">
        <v>11491</v>
      </c>
      <c r="T5665" t="s">
        <v>11650</v>
      </c>
      <c r="U5665" t="s">
        <v>11650</v>
      </c>
      <c r="V5665" t="s">
        <v>11650</v>
      </c>
      <c r="W5665" t="s">
        <v>17255</v>
      </c>
      <c r="X5665">
        <v>13</v>
      </c>
      <c r="Y5665" t="s">
        <v>22907</v>
      </c>
      <c r="Z5665" t="s">
        <v>28727</v>
      </c>
      <c r="AA5665">
        <v>0.48896405942081239</v>
      </c>
      <c r="AB5665" t="str">
        <f>HYPERLINK("Melting_Curves/meltCurve_Q9Y2S7_POLDIP2.pdf", "Melting_Curves/meltCurve_Q9Y2S7_POLDIP2.pdf")</f>
        <v>Melting_Curves/meltCurve_Q9Y2S7_POLDIP2.pdf</v>
      </c>
    </row>
    <row r="5666" spans="1:28" x14ac:dyDescent="0.25">
      <c r="A5666" t="s">
        <v>5670</v>
      </c>
      <c r="B5666">
        <v>0.99996721820229495</v>
      </c>
      <c r="C5666">
        <v>1.0486965937259201</v>
      </c>
      <c r="D5666">
        <v>1.03600564070942</v>
      </c>
      <c r="E5666">
        <v>1.0791108724407501</v>
      </c>
      <c r="F5666">
        <v>0.564163683324028</v>
      </c>
      <c r="G5666">
        <v>0.40637705934736701</v>
      </c>
      <c r="H5666">
        <v>0.268873941764598</v>
      </c>
      <c r="I5666">
        <v>0.194448136718821</v>
      </c>
      <c r="J5666">
        <v>0.167905315071849</v>
      </c>
      <c r="K5666">
        <v>0.16113298532256101</v>
      </c>
      <c r="L5666">
        <v>1663.4882398418999</v>
      </c>
      <c r="M5666">
        <v>31.040874765346299</v>
      </c>
      <c r="N5666">
        <v>54.515807914949598</v>
      </c>
      <c r="O5666">
        <v>53.3693071354921</v>
      </c>
      <c r="P5666">
        <v>-0.11562528047118099</v>
      </c>
      <c r="Q5666">
        <v>0.20481549890728301</v>
      </c>
      <c r="R5666">
        <v>0.96299632249752198</v>
      </c>
      <c r="S5666" t="s">
        <v>11492</v>
      </c>
      <c r="T5666" t="s">
        <v>11650</v>
      </c>
      <c r="U5666" t="s">
        <v>11650</v>
      </c>
      <c r="V5666" t="s">
        <v>11650</v>
      </c>
      <c r="W5666" t="s">
        <v>17256</v>
      </c>
      <c r="X5666">
        <v>7</v>
      </c>
      <c r="Y5666" t="s">
        <v>22908</v>
      </c>
      <c r="Z5666" t="s">
        <v>28728</v>
      </c>
      <c r="AA5666">
        <v>0.56990410507056133</v>
      </c>
      <c r="AB5666" t="str">
        <f>HYPERLINK("Melting_Curves/meltCurve_Q9Y2T2_AP3M1.pdf", "Melting_Curves/meltCurve_Q9Y2T2_AP3M1.pdf")</f>
        <v>Melting_Curves/meltCurve_Q9Y2T2_AP3M1.pdf</v>
      </c>
    </row>
    <row r="5667" spans="1:28" x14ac:dyDescent="0.25">
      <c r="A5667" t="s">
        <v>5671</v>
      </c>
      <c r="B5667">
        <v>0.99996721820229495</v>
      </c>
      <c r="C5667">
        <v>1.03157653496798</v>
      </c>
      <c r="D5667">
        <v>1.0211087452731999</v>
      </c>
      <c r="E5667">
        <v>1.08651044417553</v>
      </c>
      <c r="F5667">
        <v>0.62451189530732598</v>
      </c>
      <c r="G5667">
        <v>0.367820055087695</v>
      </c>
      <c r="H5667">
        <v>0.19182439004957699</v>
      </c>
      <c r="I5667">
        <v>0.12422868836230699</v>
      </c>
      <c r="J5667">
        <v>0.14280831836816399</v>
      </c>
      <c r="K5667">
        <v>9.9571107040000204E-2</v>
      </c>
      <c r="L5667">
        <v>1542.9147671456601</v>
      </c>
      <c r="M5667">
        <v>28.378779479022899</v>
      </c>
      <c r="N5667">
        <v>54.958012723765798</v>
      </c>
      <c r="O5667">
        <v>54.100766231625897</v>
      </c>
      <c r="P5667">
        <v>-0.113934123518276</v>
      </c>
      <c r="Q5667">
        <v>0.13119931580833799</v>
      </c>
      <c r="R5667">
        <v>0.97659506454073297</v>
      </c>
      <c r="S5667" t="s">
        <v>11493</v>
      </c>
      <c r="T5667" t="s">
        <v>11650</v>
      </c>
      <c r="U5667" t="s">
        <v>11650</v>
      </c>
      <c r="V5667" t="s">
        <v>11650</v>
      </c>
      <c r="W5667" t="s">
        <v>17257</v>
      </c>
      <c r="X5667">
        <v>4</v>
      </c>
      <c r="Y5667" t="s">
        <v>22909</v>
      </c>
      <c r="Z5667" t="s">
        <v>28729</v>
      </c>
      <c r="AA5667">
        <v>0.5536826490462109</v>
      </c>
      <c r="AB5667" t="str">
        <f>HYPERLINK("Melting_Curves/meltCurve_Q9Y2U5_MAP3K2.pdf", "Melting_Curves/meltCurve_Q9Y2U5_MAP3K2.pdf")</f>
        <v>Melting_Curves/meltCurve_Q9Y2U5_MAP3K2.pdf</v>
      </c>
    </row>
    <row r="5668" spans="1:28" x14ac:dyDescent="0.25">
      <c r="A5668" t="s">
        <v>5672</v>
      </c>
      <c r="B5668">
        <v>0.99996721820229495</v>
      </c>
      <c r="C5668">
        <v>0.91088125938905196</v>
      </c>
      <c r="D5668">
        <v>0.79112758118348803</v>
      </c>
      <c r="E5668">
        <v>0.55478393990649399</v>
      </c>
      <c r="F5668">
        <v>0.55940853065413298</v>
      </c>
      <c r="G5668">
        <v>0.53456057093659903</v>
      </c>
      <c r="H5668">
        <v>0.34284683065648502</v>
      </c>
      <c r="I5668">
        <v>0.28288141097075797</v>
      </c>
      <c r="J5668">
        <v>0.21270557963967501</v>
      </c>
      <c r="K5668">
        <v>0.15064463958876301</v>
      </c>
      <c r="L5668">
        <v>383.65316703623898</v>
      </c>
      <c r="M5668">
        <v>6.9720706611199903</v>
      </c>
      <c r="N5668">
        <v>55.027148394625897</v>
      </c>
      <c r="O5668">
        <v>51.036094040586299</v>
      </c>
      <c r="P5668">
        <v>-3.4216910901868902E-2</v>
      </c>
      <c r="Q5668">
        <v>0</v>
      </c>
      <c r="R5668">
        <v>0.96263583319924095</v>
      </c>
      <c r="S5668" t="s">
        <v>11494</v>
      </c>
      <c r="T5668" t="s">
        <v>11650</v>
      </c>
      <c r="U5668" t="s">
        <v>11650</v>
      </c>
      <c r="V5668" t="s">
        <v>11650</v>
      </c>
      <c r="W5668" t="s">
        <v>17258</v>
      </c>
      <c r="X5668">
        <v>7</v>
      </c>
      <c r="Y5668" t="s">
        <v>22910</v>
      </c>
      <c r="Z5668" t="s">
        <v>28730</v>
      </c>
      <c r="AA5668">
        <v>0.52767780312247692</v>
      </c>
      <c r="AB5668" t="str">
        <f>HYPERLINK("Melting_Curves/meltCurve_Q9Y2U8_LEMD3.pdf", "Melting_Curves/meltCurve_Q9Y2U8_LEMD3.pdf")</f>
        <v>Melting_Curves/meltCurve_Q9Y2U8_LEMD3.pdf</v>
      </c>
    </row>
    <row r="5669" spans="1:28" x14ac:dyDescent="0.25">
      <c r="A5669" t="s">
        <v>5673</v>
      </c>
      <c r="B5669">
        <v>0.99996721820229495</v>
      </c>
      <c r="C5669">
        <v>0.98206305603996003</v>
      </c>
      <c r="D5669">
        <v>0.89067624760660602</v>
      </c>
      <c r="E5669">
        <v>0.416158140471029</v>
      </c>
      <c r="F5669">
        <v>0.32324448060537297</v>
      </c>
      <c r="G5669">
        <v>0.30235737862664303</v>
      </c>
      <c r="H5669">
        <v>0.192340096436974</v>
      </c>
      <c r="I5669">
        <v>0.104118025625291</v>
      </c>
      <c r="J5669">
        <v>8.8308415208357902E-2</v>
      </c>
      <c r="K5669">
        <v>6.2349109080467903E-2</v>
      </c>
      <c r="L5669">
        <v>959.06292854404398</v>
      </c>
      <c r="M5669">
        <v>19.438500468522601</v>
      </c>
      <c r="N5669">
        <v>50.072019795410398</v>
      </c>
      <c r="O5669">
        <v>48.825049287278901</v>
      </c>
      <c r="P5669">
        <v>-8.7199763088467594E-2</v>
      </c>
      <c r="Q5669">
        <v>0.123928747028608</v>
      </c>
      <c r="R5669">
        <v>0.97185722718030698</v>
      </c>
      <c r="S5669" t="s">
        <v>11495</v>
      </c>
      <c r="T5669" t="s">
        <v>11650</v>
      </c>
      <c r="U5669" t="s">
        <v>11650</v>
      </c>
      <c r="V5669" t="s">
        <v>11650</v>
      </c>
      <c r="W5669" t="s">
        <v>17259</v>
      </c>
      <c r="X5669">
        <v>6</v>
      </c>
      <c r="Y5669" t="s">
        <v>22911</v>
      </c>
      <c r="Z5669" t="s">
        <v>28731</v>
      </c>
      <c r="AA5669">
        <v>0.40958520696396028</v>
      </c>
      <c r="AB5669" t="str">
        <f>HYPERLINK("Melting_Curves/meltCurve_Q9Y2V7_COG6.pdf", "Melting_Curves/meltCurve_Q9Y2V7_COG6.pdf")</f>
        <v>Melting_Curves/meltCurve_Q9Y2V7_COG6.pdf</v>
      </c>
    </row>
    <row r="5670" spans="1:28" x14ac:dyDescent="0.25">
      <c r="A5670" t="s">
        <v>5674</v>
      </c>
      <c r="B5670">
        <v>0.99996721820229495</v>
      </c>
      <c r="C5670">
        <v>1.04263096503671</v>
      </c>
      <c r="D5670">
        <v>1.0095692819879201</v>
      </c>
      <c r="E5670">
        <v>1.11544295632011</v>
      </c>
      <c r="F5670">
        <v>1.22581391648213</v>
      </c>
      <c r="G5670">
        <v>1.3481772744506599</v>
      </c>
      <c r="H5670">
        <v>0.91658233090500896</v>
      </c>
      <c r="I5670">
        <v>0.91645904153757995</v>
      </c>
      <c r="J5670">
        <v>0.60146527915777104</v>
      </c>
      <c r="K5670">
        <v>0.458925078018522</v>
      </c>
      <c r="L5670">
        <v>3386.2781576418301</v>
      </c>
      <c r="M5670">
        <v>51.3323656749725</v>
      </c>
      <c r="N5670">
        <v>68.563167509036901</v>
      </c>
      <c r="O5670">
        <v>65.867803710943804</v>
      </c>
      <c r="P5670">
        <v>-0.11136995273088</v>
      </c>
      <c r="Q5670">
        <v>0.42837704331007997</v>
      </c>
      <c r="R5670">
        <v>0.69763599231838003</v>
      </c>
      <c r="S5670" t="s">
        <v>11496</v>
      </c>
      <c r="T5670" t="s">
        <v>11650</v>
      </c>
      <c r="U5670" t="s">
        <v>11650</v>
      </c>
      <c r="V5670" t="s">
        <v>11650</v>
      </c>
      <c r="W5670" t="s">
        <v>17260</v>
      </c>
      <c r="X5670">
        <v>15</v>
      </c>
      <c r="Y5670" t="s">
        <v>22912</v>
      </c>
      <c r="Z5670" t="s">
        <v>28732</v>
      </c>
      <c r="AA5670">
        <v>0.92328628491276954</v>
      </c>
      <c r="AB5670" t="str">
        <f>HYPERLINK("Melting_Curves/meltCurve_Q9Y2W1_THRAP3.pdf", "Melting_Curves/meltCurve_Q9Y2W1_THRAP3.pdf")</f>
        <v>Melting_Curves/meltCurve_Q9Y2W1_THRAP3.pdf</v>
      </c>
    </row>
    <row r="5671" spans="1:28" x14ac:dyDescent="0.25">
      <c r="A5671" t="s">
        <v>5675</v>
      </c>
      <c r="B5671">
        <v>0.99996721820229495</v>
      </c>
      <c r="C5671">
        <v>1.16279984265102</v>
      </c>
      <c r="D5671">
        <v>0.98334590540508804</v>
      </c>
      <c r="E5671">
        <v>0.98524359212722001</v>
      </c>
      <c r="F5671">
        <v>0.51241887613958403</v>
      </c>
      <c r="G5671">
        <v>0.40098240689748599</v>
      </c>
      <c r="H5671">
        <v>0.26394291385678798</v>
      </c>
      <c r="I5671">
        <v>0.19160505847044601</v>
      </c>
      <c r="J5671">
        <v>0.16459670966364301</v>
      </c>
      <c r="K5671">
        <v>0.106315700594247</v>
      </c>
      <c r="L5671">
        <v>1264.9506451504701</v>
      </c>
      <c r="M5671">
        <v>23.634343781170699</v>
      </c>
      <c r="N5671">
        <v>54.476125544243203</v>
      </c>
      <c r="O5671">
        <v>53.142960601171303</v>
      </c>
      <c r="P5671">
        <v>-9.2336455210690602E-2</v>
      </c>
      <c r="Q5671">
        <v>0.16952208693993401</v>
      </c>
      <c r="R5671">
        <v>0.95545264069261004</v>
      </c>
      <c r="S5671" t="s">
        <v>11497</v>
      </c>
      <c r="T5671" t="s">
        <v>11650</v>
      </c>
      <c r="U5671" t="s">
        <v>11650</v>
      </c>
      <c r="V5671" t="s">
        <v>11650</v>
      </c>
      <c r="W5671" t="s">
        <v>17261</v>
      </c>
      <c r="X5671">
        <v>18</v>
      </c>
      <c r="Y5671" t="s">
        <v>22913</v>
      </c>
      <c r="Z5671" t="s">
        <v>28733</v>
      </c>
      <c r="AA5671">
        <v>0.55233930838500378</v>
      </c>
      <c r="AB5671" t="str">
        <f>HYPERLINK("Melting_Curves/meltCurve_Q9Y2Z0_SUGT1.pdf", "Melting_Curves/meltCurve_Q9Y2Z0_SUGT1.pdf")</f>
        <v>Melting_Curves/meltCurve_Q9Y2Z0_SUGT1.pdf</v>
      </c>
    </row>
    <row r="5672" spans="1:28" x14ac:dyDescent="0.25">
      <c r="A5672" t="s">
        <v>5676</v>
      </c>
      <c r="B5672">
        <v>0.99996721820229495</v>
      </c>
      <c r="C5672">
        <v>1.1448270637040401</v>
      </c>
      <c r="D5672">
        <v>1.13148713135761</v>
      </c>
      <c r="E5672">
        <v>1.0015917419504801</v>
      </c>
      <c r="F5672">
        <v>1.2446125332583799</v>
      </c>
      <c r="G5672">
        <v>0.95383497678793505</v>
      </c>
      <c r="H5672">
        <v>0.51898242126407201</v>
      </c>
      <c r="I5672">
        <v>0.30602976826050499</v>
      </c>
      <c r="J5672">
        <v>0.18248101670698499</v>
      </c>
      <c r="K5672">
        <v>0.13898904505271201</v>
      </c>
      <c r="L5672">
        <v>2361.47079235614</v>
      </c>
      <c r="M5672">
        <v>38.884201842859298</v>
      </c>
      <c r="N5672">
        <v>61.343652343360603</v>
      </c>
      <c r="O5672">
        <v>60.570905618801802</v>
      </c>
      <c r="P5672">
        <v>-0.134661080228172</v>
      </c>
      <c r="Q5672">
        <v>0.16094221939313599</v>
      </c>
      <c r="R5672">
        <v>0.93784668906471202</v>
      </c>
      <c r="S5672" t="s">
        <v>11498</v>
      </c>
      <c r="T5672" t="s">
        <v>11650</v>
      </c>
      <c r="U5672" t="s">
        <v>11650</v>
      </c>
      <c r="V5672" t="s">
        <v>11650</v>
      </c>
      <c r="W5672" t="s">
        <v>17262</v>
      </c>
      <c r="X5672">
        <v>17</v>
      </c>
      <c r="Y5672" t="s">
        <v>22913</v>
      </c>
      <c r="Z5672" t="s">
        <v>28734</v>
      </c>
      <c r="AA5672">
        <v>0.74412743901445766</v>
      </c>
      <c r="AB5672" t="str">
        <f>HYPERLINK("Melting_Curves/meltCurve_Q9Y2Z0_2_SUGT1.pdf", "Melting_Curves/meltCurve_Q9Y2Z0_2_SUGT1.pdf")</f>
        <v>Melting_Curves/meltCurve_Q9Y2Z0_2_SUGT1.pdf</v>
      </c>
    </row>
    <row r="5673" spans="1:28" x14ac:dyDescent="0.25">
      <c r="A5673" t="s">
        <v>5677</v>
      </c>
      <c r="B5673">
        <v>0.99996721820229495</v>
      </c>
      <c r="C5673">
        <v>0.87341736628282396</v>
      </c>
      <c r="D5673">
        <v>0.59631466600979999</v>
      </c>
      <c r="E5673">
        <v>0.47515221947384501</v>
      </c>
      <c r="F5673">
        <v>0.51706019132011904</v>
      </c>
      <c r="G5673">
        <v>0.53307757717730697</v>
      </c>
      <c r="H5673">
        <v>0.30874071480132997</v>
      </c>
      <c r="I5673">
        <v>0.23911323385185301</v>
      </c>
      <c r="J5673">
        <v>0.19504845143531299</v>
      </c>
      <c r="K5673">
        <v>0.18347306708618399</v>
      </c>
      <c r="L5673">
        <v>360.33518506289897</v>
      </c>
      <c r="M5673">
        <v>7.01250166644805</v>
      </c>
      <c r="N5673">
        <v>52.6089921728002</v>
      </c>
      <c r="O5673">
        <v>47.6957047043622</v>
      </c>
      <c r="P5673">
        <v>-3.4051778857028502E-2</v>
      </c>
      <c r="Q5673">
        <v>7.5287116271464394E-2</v>
      </c>
      <c r="R5673">
        <v>0.90464503619020098</v>
      </c>
      <c r="S5673" t="s">
        <v>11499</v>
      </c>
      <c r="T5673" t="s">
        <v>11650</v>
      </c>
      <c r="U5673" t="s">
        <v>11650</v>
      </c>
      <c r="V5673" t="s">
        <v>11650</v>
      </c>
      <c r="W5673" t="s">
        <v>17263</v>
      </c>
      <c r="X5673">
        <v>5</v>
      </c>
      <c r="Y5673" t="s">
        <v>22914</v>
      </c>
      <c r="Z5673" t="s">
        <v>28735</v>
      </c>
      <c r="AA5673">
        <v>0.47920492069055087</v>
      </c>
      <c r="AB5673" t="str">
        <f>HYPERLINK("Melting_Curves/meltCurve_Q9Y2Z4_YARS2.pdf", "Melting_Curves/meltCurve_Q9Y2Z4_YARS2.pdf")</f>
        <v>Melting_Curves/meltCurve_Q9Y2Z4_YARS2.pdf</v>
      </c>
    </row>
    <row r="5674" spans="1:28" x14ac:dyDescent="0.25">
      <c r="A5674" t="s">
        <v>5678</v>
      </c>
      <c r="B5674">
        <v>0.99996721820229495</v>
      </c>
      <c r="C5674">
        <v>0.93615133177962195</v>
      </c>
      <c r="D5674">
        <v>0.90857747102105502</v>
      </c>
      <c r="E5674">
        <v>0.86192644585538203</v>
      </c>
      <c r="F5674">
        <v>1.0106404279479</v>
      </c>
      <c r="G5674">
        <v>0.70728861874715099</v>
      </c>
      <c r="H5674">
        <v>0.336261276851679</v>
      </c>
      <c r="I5674">
        <v>0.22997582803730299</v>
      </c>
      <c r="J5674">
        <v>0.113519417044307</v>
      </c>
      <c r="K5674">
        <v>9.8500441442002901E-2</v>
      </c>
      <c r="L5674">
        <v>1452.5583456239001</v>
      </c>
      <c r="M5674">
        <v>24.692867930399402</v>
      </c>
      <c r="N5674">
        <v>59.276059773928999</v>
      </c>
      <c r="O5674">
        <v>58.443259962841097</v>
      </c>
      <c r="P5674">
        <v>-9.6582031356717002E-2</v>
      </c>
      <c r="Q5674">
        <v>8.5648390468699195E-2</v>
      </c>
      <c r="R5674">
        <v>0.97350660841510195</v>
      </c>
      <c r="S5674" t="s">
        <v>11500</v>
      </c>
      <c r="T5674" t="s">
        <v>11650</v>
      </c>
      <c r="U5674" t="s">
        <v>11650</v>
      </c>
      <c r="V5674" t="s">
        <v>11650</v>
      </c>
      <c r="W5674" t="s">
        <v>17264</v>
      </c>
      <c r="X5674">
        <v>6</v>
      </c>
      <c r="Y5674" t="s">
        <v>22915</v>
      </c>
      <c r="Z5674" t="s">
        <v>28736</v>
      </c>
      <c r="AA5674">
        <v>0.66710735361231388</v>
      </c>
      <c r="AB5674" t="str">
        <f>HYPERLINK("Melting_Curves/meltCurve_Q9Y2Z9_3_COQ6.pdf", "Melting_Curves/meltCurve_Q9Y2Z9_3_COQ6.pdf")</f>
        <v>Melting_Curves/meltCurve_Q9Y2Z9_3_COQ6.pdf</v>
      </c>
    </row>
    <row r="5675" spans="1:28" x14ac:dyDescent="0.25">
      <c r="A5675" t="s">
        <v>5679</v>
      </c>
      <c r="B5675">
        <v>0.99996721820229495</v>
      </c>
      <c r="C5675">
        <v>1.0207925080329101</v>
      </c>
      <c r="D5675">
        <v>1.1126593938441101</v>
      </c>
      <c r="E5675">
        <v>1.30721011670311</v>
      </c>
      <c r="F5675">
        <v>1.47898142282974</v>
      </c>
      <c r="G5675">
        <v>1.00939384294003</v>
      </c>
      <c r="H5675">
        <v>0.30055591111308</v>
      </c>
      <c r="I5675">
        <v>0.13874445697503901</v>
      </c>
      <c r="J5675">
        <v>9.4194384026746597E-2</v>
      </c>
      <c r="K5675">
        <v>5.7223216635559203E-2</v>
      </c>
      <c r="L5675">
        <v>5260.0235060587702</v>
      </c>
      <c r="M5675">
        <v>87.440605633685095</v>
      </c>
      <c r="N5675">
        <v>60.300017224058799</v>
      </c>
      <c r="O5675">
        <v>60.123945795590402</v>
      </c>
      <c r="P5675">
        <v>-0.32919091482791801</v>
      </c>
      <c r="Q5675">
        <v>9.45966499412631E-2</v>
      </c>
      <c r="R5675">
        <v>0.87222258252072404</v>
      </c>
      <c r="S5675" t="s">
        <v>11501</v>
      </c>
      <c r="T5675" t="s">
        <v>11650</v>
      </c>
      <c r="U5675" t="s">
        <v>11650</v>
      </c>
      <c r="V5675" t="s">
        <v>11650</v>
      </c>
      <c r="W5675" t="s">
        <v>17265</v>
      </c>
      <c r="X5675">
        <v>8</v>
      </c>
      <c r="Y5675" t="s">
        <v>22916</v>
      </c>
      <c r="Z5675" t="s">
        <v>28737</v>
      </c>
      <c r="AA5675">
        <v>0.70367095153503345</v>
      </c>
      <c r="AB5675" t="str">
        <f>HYPERLINK("Melting_Curves/meltCurve_Q9Y303_AMDHD2.pdf", "Melting_Curves/meltCurve_Q9Y303_AMDHD2.pdf")</f>
        <v>Melting_Curves/meltCurve_Q9Y303_AMDHD2.pdf</v>
      </c>
    </row>
    <row r="5676" spans="1:28" x14ac:dyDescent="0.25">
      <c r="A5676" t="s">
        <v>5680</v>
      </c>
      <c r="B5676">
        <v>0.99996721820229495</v>
      </c>
      <c r="C5676">
        <v>0.98935503396532298</v>
      </c>
      <c r="D5676">
        <v>1.1251989494003301</v>
      </c>
      <c r="E5676">
        <v>1.38100370899284</v>
      </c>
      <c r="F5676">
        <v>1.7108259682271001</v>
      </c>
      <c r="G5676">
        <v>0.48184236542659098</v>
      </c>
      <c r="H5676">
        <v>0.24630152980095699</v>
      </c>
      <c r="I5676">
        <v>0.149416310415006</v>
      </c>
      <c r="J5676">
        <v>0.124063872588596</v>
      </c>
      <c r="K5676">
        <v>8.1348450803959693E-2</v>
      </c>
      <c r="L5676">
        <v>14224.551209232501</v>
      </c>
      <c r="M5676">
        <v>250</v>
      </c>
      <c r="N5676">
        <v>56.979681734814797</v>
      </c>
      <c r="O5676">
        <v>56.894563592983197</v>
      </c>
      <c r="P5676">
        <v>-0.93343438653974198</v>
      </c>
      <c r="Q5676">
        <v>0.15028252592343699</v>
      </c>
      <c r="R5676">
        <v>0.78054896338823698</v>
      </c>
      <c r="S5676" t="s">
        <v>11502</v>
      </c>
      <c r="T5676" t="s">
        <v>11650</v>
      </c>
      <c r="U5676" t="s">
        <v>11650</v>
      </c>
      <c r="V5676" t="s">
        <v>11650</v>
      </c>
      <c r="W5676" t="s">
        <v>17266</v>
      </c>
      <c r="X5676">
        <v>16</v>
      </c>
      <c r="Y5676" t="s">
        <v>22917</v>
      </c>
      <c r="Z5676" t="s">
        <v>28738</v>
      </c>
      <c r="AA5676">
        <v>0.62899070587152728</v>
      </c>
      <c r="AB5676" t="str">
        <f>HYPERLINK("Melting_Curves/meltCurve_Q9Y305_ACOT9.pdf", "Melting_Curves/meltCurve_Q9Y305_ACOT9.pdf")</f>
        <v>Melting_Curves/meltCurve_Q9Y305_ACOT9.pdf</v>
      </c>
    </row>
    <row r="5677" spans="1:28" x14ac:dyDescent="0.25">
      <c r="A5677" t="s">
        <v>5681</v>
      </c>
      <c r="B5677">
        <v>0.99996721820229495</v>
      </c>
      <c r="C5677">
        <v>1.01772840266828</v>
      </c>
      <c r="D5677">
        <v>0.72049573737248196</v>
      </c>
      <c r="E5677">
        <v>0.49674778287934301</v>
      </c>
      <c r="F5677">
        <v>0.56024026438108898</v>
      </c>
      <c r="G5677">
        <v>0.44333999389439099</v>
      </c>
      <c r="H5677">
        <v>0.30272947810723499</v>
      </c>
      <c r="I5677">
        <v>0.22202679196383801</v>
      </c>
      <c r="J5677">
        <v>0.141319863577614</v>
      </c>
      <c r="K5677">
        <v>0.14616608648964199</v>
      </c>
      <c r="L5677">
        <v>464.33065874645501</v>
      </c>
      <c r="M5677">
        <v>8.8505109961753501</v>
      </c>
      <c r="N5677">
        <v>53.285582070042501</v>
      </c>
      <c r="O5677">
        <v>49.992410446042904</v>
      </c>
      <c r="P5677">
        <v>-4.1467512336229598E-2</v>
      </c>
      <c r="Q5677">
        <v>6.3801572860146094E-2</v>
      </c>
      <c r="R5677">
        <v>0.94294124897571097</v>
      </c>
      <c r="S5677" t="s">
        <v>11503</v>
      </c>
      <c r="T5677" t="s">
        <v>11650</v>
      </c>
      <c r="U5677" t="s">
        <v>11650</v>
      </c>
      <c r="V5677" t="s">
        <v>11650</v>
      </c>
      <c r="W5677" t="s">
        <v>17267</v>
      </c>
      <c r="X5677">
        <v>4</v>
      </c>
      <c r="Y5677" t="s">
        <v>22918</v>
      </c>
      <c r="Z5677" t="s">
        <v>28739</v>
      </c>
      <c r="AA5677">
        <v>0.49080120173664449</v>
      </c>
      <c r="AB5677" t="str">
        <f>HYPERLINK("Melting_Curves/meltCurve_Q9Y314_NOSIP.pdf", "Melting_Curves/meltCurve_Q9Y314_NOSIP.pdf")</f>
        <v>Melting_Curves/meltCurve_Q9Y314_NOSIP.pdf</v>
      </c>
    </row>
    <row r="5678" spans="1:28" x14ac:dyDescent="0.25">
      <c r="A5678" t="s">
        <v>5682</v>
      </c>
      <c r="B5678">
        <v>0.99996721820229495</v>
      </c>
      <c r="C5678">
        <v>0.90907497676319904</v>
      </c>
      <c r="D5678">
        <v>0.90009151568891699</v>
      </c>
      <c r="E5678">
        <v>0.99027566731842098</v>
      </c>
      <c r="F5678">
        <v>0.86047997956837996</v>
      </c>
      <c r="G5678">
        <v>0.46721829765295098</v>
      </c>
      <c r="H5678">
        <v>0.20723289800355099</v>
      </c>
      <c r="I5678">
        <v>0.12633328129011101</v>
      </c>
      <c r="J5678">
        <v>0.100623183600679</v>
      </c>
      <c r="K5678">
        <v>9.5304850664784599E-2</v>
      </c>
      <c r="L5678">
        <v>1504.0268334729001</v>
      </c>
      <c r="M5678">
        <v>26.701502830277501</v>
      </c>
      <c r="N5678">
        <v>56.7591560241274</v>
      </c>
      <c r="O5678">
        <v>56.0143500756066</v>
      </c>
      <c r="P5678">
        <v>-0.108221793281205</v>
      </c>
      <c r="Q5678">
        <v>9.1900021211069993E-2</v>
      </c>
      <c r="R5678">
        <v>0.98735179973351905</v>
      </c>
      <c r="S5678" t="s">
        <v>11504</v>
      </c>
      <c r="T5678" t="s">
        <v>11650</v>
      </c>
      <c r="U5678" t="s">
        <v>11650</v>
      </c>
      <c r="V5678" t="s">
        <v>11650</v>
      </c>
      <c r="W5678" t="s">
        <v>17268</v>
      </c>
      <c r="X5678">
        <v>8</v>
      </c>
      <c r="Y5678" t="s">
        <v>22919</v>
      </c>
      <c r="Z5678" t="s">
        <v>28740</v>
      </c>
      <c r="AA5678">
        <v>0.5935662233439738</v>
      </c>
      <c r="AB5678" t="str">
        <f>HYPERLINK("Melting_Curves/meltCurve_Q9Y316_MEMO1.pdf", "Melting_Curves/meltCurve_Q9Y316_MEMO1.pdf")</f>
        <v>Melting_Curves/meltCurve_Q9Y316_MEMO1.pdf</v>
      </c>
    </row>
    <row r="5679" spans="1:28" x14ac:dyDescent="0.25">
      <c r="A5679" t="s">
        <v>5683</v>
      </c>
      <c r="B5679">
        <v>0.99996721820229495</v>
      </c>
      <c r="C5679">
        <v>0.62901302353724298</v>
      </c>
      <c r="D5679">
        <v>0.86610289868918</v>
      </c>
      <c r="E5679">
        <v>0.97931353485528205</v>
      </c>
      <c r="F5679">
        <v>1.0899586075377099</v>
      </c>
      <c r="G5679">
        <v>0.61480093456004103</v>
      </c>
      <c r="H5679">
        <v>0.21397018188394301</v>
      </c>
      <c r="I5679">
        <v>0.15788341456993499</v>
      </c>
      <c r="J5679">
        <v>9.1163682637797797E-2</v>
      </c>
      <c r="K5679">
        <v>8.4821517636512495E-2</v>
      </c>
      <c r="L5679">
        <v>2581.6795594380601</v>
      </c>
      <c r="M5679">
        <v>44.941088087709403</v>
      </c>
      <c r="N5679">
        <v>57.789092520930701</v>
      </c>
      <c r="O5679">
        <v>57.332465543494003</v>
      </c>
      <c r="P5679">
        <v>-0.173012975307103</v>
      </c>
      <c r="Q5679">
        <v>0.11713330108325801</v>
      </c>
      <c r="R5679">
        <v>0.88313534807698602</v>
      </c>
      <c r="S5679" t="s">
        <v>11505</v>
      </c>
      <c r="T5679" t="s">
        <v>11650</v>
      </c>
      <c r="U5679" t="s">
        <v>11650</v>
      </c>
      <c r="V5679" t="s">
        <v>11650</v>
      </c>
      <c r="W5679" t="s">
        <v>17269</v>
      </c>
      <c r="X5679">
        <v>8</v>
      </c>
      <c r="Y5679" t="s">
        <v>22920</v>
      </c>
      <c r="Z5679" t="s">
        <v>28741</v>
      </c>
      <c r="AA5679">
        <v>0.63329986071570543</v>
      </c>
      <c r="AB5679" t="str">
        <f>HYPERLINK("Melting_Curves/meltCurve_Q9Y320_2_TMX2.pdf", "Melting_Curves/meltCurve_Q9Y320_2_TMX2.pdf")</f>
        <v>Melting_Curves/meltCurve_Q9Y320_2_TMX2.pdf</v>
      </c>
    </row>
    <row r="5680" spans="1:28" x14ac:dyDescent="0.25">
      <c r="A5680" t="s">
        <v>5684</v>
      </c>
      <c r="B5680">
        <v>0.99996721820229495</v>
      </c>
      <c r="C5680">
        <v>1.0264754657105299</v>
      </c>
      <c r="D5680">
        <v>1.0867842455652199</v>
      </c>
      <c r="E5680">
        <v>1.1829539324585601</v>
      </c>
      <c r="F5680">
        <v>1.8827654836918299</v>
      </c>
      <c r="G5680">
        <v>2.2283772405717701</v>
      </c>
      <c r="H5680">
        <v>1.5892218830071201</v>
      </c>
      <c r="I5680">
        <v>1.15324411756017</v>
      </c>
      <c r="J5680">
        <v>0.74525999655240904</v>
      </c>
      <c r="K5680">
        <v>0.59210357928533297</v>
      </c>
      <c r="L5680">
        <v>15000</v>
      </c>
      <c r="M5680">
        <v>224.38888060860199</v>
      </c>
      <c r="O5680">
        <v>66.842922291496905</v>
      </c>
      <c r="P5680">
        <v>-0.34234664813982402</v>
      </c>
      <c r="Q5680">
        <v>0.59207514586447696</v>
      </c>
      <c r="R5680">
        <v>-0.16743947275780599</v>
      </c>
      <c r="S5680" t="s">
        <v>11506</v>
      </c>
      <c r="T5680" t="s">
        <v>11650</v>
      </c>
      <c r="U5680" t="s">
        <v>11650</v>
      </c>
      <c r="V5680" t="s">
        <v>11650</v>
      </c>
      <c r="W5680" t="s">
        <v>17270</v>
      </c>
      <c r="X5680">
        <v>4</v>
      </c>
      <c r="Y5680" t="s">
        <v>22921</v>
      </c>
      <c r="Z5680" t="s">
        <v>28742</v>
      </c>
      <c r="AA5680">
        <v>0.9572030772752097</v>
      </c>
      <c r="AB5680" t="str">
        <f>HYPERLINK("Melting_Curves/meltCurve_Q9Y333_LSM2.pdf", "Melting_Curves/meltCurve_Q9Y333_LSM2.pdf")</f>
        <v>Melting_Curves/meltCurve_Q9Y333_LSM2.pdf</v>
      </c>
    </row>
    <row r="5681" spans="1:28" x14ac:dyDescent="0.25">
      <c r="A5681" t="s">
        <v>5685</v>
      </c>
      <c r="B5681">
        <v>0.99996721820229495</v>
      </c>
      <c r="C5681">
        <v>0.89808145831249497</v>
      </c>
      <c r="D5681">
        <v>0.48715316172418599</v>
      </c>
      <c r="E5681">
        <v>0.29843918084647297</v>
      </c>
      <c r="F5681">
        <v>0.18730420953322</v>
      </c>
      <c r="G5681">
        <v>0.14220748360587501</v>
      </c>
      <c r="H5681">
        <v>9.6586566212764305E-2</v>
      </c>
      <c r="I5681">
        <v>6.4075810933951205E-2</v>
      </c>
      <c r="J5681">
        <v>4.7581523051512101E-2</v>
      </c>
      <c r="K5681">
        <v>3.6404635868647298E-2</v>
      </c>
      <c r="L5681">
        <v>872.33644457841899</v>
      </c>
      <c r="M5681">
        <v>18.8156919282318</v>
      </c>
      <c r="N5681">
        <v>46.763429854564201</v>
      </c>
      <c r="O5681">
        <v>45.848014093194003</v>
      </c>
      <c r="P5681">
        <v>-9.4953994600060307E-2</v>
      </c>
      <c r="Q5681">
        <v>7.4544499575358594E-2</v>
      </c>
      <c r="R5681">
        <v>0.982421838391631</v>
      </c>
      <c r="S5681" t="s">
        <v>11507</v>
      </c>
      <c r="T5681" t="s">
        <v>11650</v>
      </c>
      <c r="U5681" t="s">
        <v>11650</v>
      </c>
      <c r="V5681" t="s">
        <v>11650</v>
      </c>
      <c r="W5681" t="s">
        <v>17271</v>
      </c>
      <c r="X5681">
        <v>14</v>
      </c>
      <c r="Y5681" t="s">
        <v>22922</v>
      </c>
      <c r="Z5681" t="s">
        <v>28743</v>
      </c>
      <c r="AA5681">
        <v>0.28684708971394979</v>
      </c>
      <c r="AB5681" t="str">
        <f>HYPERLINK("Melting_Curves/meltCurve_Q9Y371_SH3GLB1.pdf", "Melting_Curves/meltCurve_Q9Y371_SH3GLB1.pdf")</f>
        <v>Melting_Curves/meltCurve_Q9Y371_SH3GLB1.pdf</v>
      </c>
    </row>
    <row r="5682" spans="1:28" x14ac:dyDescent="0.25">
      <c r="A5682" t="s">
        <v>5686</v>
      </c>
      <c r="B5682">
        <v>0.99996721820229495</v>
      </c>
      <c r="C5682">
        <v>0.88569593039351802</v>
      </c>
      <c r="D5682">
        <v>0.64083823598267997</v>
      </c>
      <c r="E5682">
        <v>0.72718120328719604</v>
      </c>
      <c r="F5682">
        <v>1.09270703137198</v>
      </c>
      <c r="G5682">
        <v>1.0829063470468201</v>
      </c>
      <c r="H5682">
        <v>0.49045086992174602</v>
      </c>
      <c r="I5682">
        <v>0.23679881110347401</v>
      </c>
      <c r="J5682">
        <v>0.24307500152346001</v>
      </c>
      <c r="K5682">
        <v>0.100187869823522</v>
      </c>
      <c r="L5682">
        <v>5667.3784946728601</v>
      </c>
      <c r="M5682">
        <v>93.4269719630461</v>
      </c>
      <c r="N5682">
        <v>60.974671125764701</v>
      </c>
      <c r="O5682">
        <v>60.633276354829199</v>
      </c>
      <c r="P5682">
        <v>-0.311724927731788</v>
      </c>
      <c r="Q5682">
        <v>0.19077321334376199</v>
      </c>
      <c r="R5682">
        <v>0.80120669349509099</v>
      </c>
      <c r="S5682" t="s">
        <v>11508</v>
      </c>
      <c r="T5682" t="s">
        <v>11650</v>
      </c>
      <c r="U5682" t="s">
        <v>11650</v>
      </c>
      <c r="V5682" t="s">
        <v>11650</v>
      </c>
      <c r="W5682" t="s">
        <v>17272</v>
      </c>
      <c r="X5682">
        <v>1</v>
      </c>
      <c r="Y5682" t="s">
        <v>22923</v>
      </c>
      <c r="Z5682" t="s">
        <v>28744</v>
      </c>
      <c r="AA5682">
        <v>0.74870674433850593</v>
      </c>
      <c r="AB5682" t="str">
        <f>HYPERLINK("Melting_Curves/meltCurve_Q9Y375_NDUFAF1.pdf", "Melting_Curves/meltCurve_Q9Y375_NDUFAF1.pdf")</f>
        <v>Melting_Curves/meltCurve_Q9Y375_NDUFAF1.pdf</v>
      </c>
    </row>
    <row r="5683" spans="1:28" x14ac:dyDescent="0.25">
      <c r="A5683" t="s">
        <v>5687</v>
      </c>
      <c r="B5683">
        <v>0.99996721820229495</v>
      </c>
      <c r="C5683">
        <v>1.2352509959942</v>
      </c>
      <c r="D5683">
        <v>1.1994221438127901</v>
      </c>
      <c r="E5683">
        <v>1.2041030545017899</v>
      </c>
      <c r="F5683">
        <v>1.3991981352707801</v>
      </c>
      <c r="G5683">
        <v>1.4576026059073099</v>
      </c>
      <c r="H5683">
        <v>0.39657649119161698</v>
      </c>
      <c r="I5683">
        <v>0.189596582213271</v>
      </c>
      <c r="J5683">
        <v>0.12903960853153401</v>
      </c>
      <c r="K5683">
        <v>9.2163066323785903E-2</v>
      </c>
      <c r="L5683">
        <v>11136.882393972801</v>
      </c>
      <c r="M5683">
        <v>183.414835316617</v>
      </c>
      <c r="N5683">
        <v>60.8257363216686</v>
      </c>
      <c r="O5683">
        <v>60.712419683186098</v>
      </c>
      <c r="P5683">
        <v>-0.65186532795237395</v>
      </c>
      <c r="Q5683">
        <v>0.13690032553378301</v>
      </c>
      <c r="R5683">
        <v>0.81909154386915695</v>
      </c>
      <c r="S5683" t="s">
        <v>11509</v>
      </c>
      <c r="T5683" t="s">
        <v>11650</v>
      </c>
      <c r="U5683" t="s">
        <v>11650</v>
      </c>
      <c r="V5683" t="s">
        <v>11650</v>
      </c>
      <c r="W5683" t="s">
        <v>17273</v>
      </c>
      <c r="X5683">
        <v>20</v>
      </c>
      <c r="Y5683" t="s">
        <v>22924</v>
      </c>
      <c r="Z5683" t="s">
        <v>28745</v>
      </c>
      <c r="AA5683">
        <v>0.73317499020749144</v>
      </c>
      <c r="AB5683" t="str">
        <f>HYPERLINK("Melting_Curves/meltCurve_Q9Y376_CAB39.pdf", "Melting_Curves/meltCurve_Q9Y376_CAB39.pdf")</f>
        <v>Melting_Curves/meltCurve_Q9Y376_CAB39.pdf</v>
      </c>
    </row>
    <row r="5684" spans="1:28" x14ac:dyDescent="0.25">
      <c r="A5684" t="s">
        <v>5688</v>
      </c>
      <c r="B5684">
        <v>0.99996721820229495</v>
      </c>
      <c r="C5684">
        <v>0.94572644773396397</v>
      </c>
      <c r="D5684">
        <v>0.75506994332921495</v>
      </c>
      <c r="E5684">
        <v>0.39966979116761298</v>
      </c>
      <c r="F5684">
        <v>0.22188341346606999</v>
      </c>
      <c r="G5684">
        <v>0.15870601925150399</v>
      </c>
      <c r="H5684">
        <v>9.5697711661590898E-2</v>
      </c>
      <c r="I5684">
        <v>0.12749980234973099</v>
      </c>
      <c r="J5684">
        <v>0.112875493010727</v>
      </c>
      <c r="K5684">
        <v>8.5370010867468898E-2</v>
      </c>
      <c r="L5684">
        <v>994.789064199211</v>
      </c>
      <c r="M5684">
        <v>20.611836938321598</v>
      </c>
      <c r="N5684">
        <v>48.812674910247999</v>
      </c>
      <c r="O5684">
        <v>47.815599958104798</v>
      </c>
      <c r="P5684">
        <v>-9.6608704382292798E-2</v>
      </c>
      <c r="Q5684">
        <v>0.10356952094621399</v>
      </c>
      <c r="R5684">
        <v>0.99852166892434802</v>
      </c>
      <c r="S5684" t="s">
        <v>11510</v>
      </c>
      <c r="T5684" t="s">
        <v>11650</v>
      </c>
      <c r="U5684" t="s">
        <v>11650</v>
      </c>
      <c r="V5684" t="s">
        <v>11650</v>
      </c>
      <c r="W5684" t="s">
        <v>17274</v>
      </c>
      <c r="X5684">
        <v>11</v>
      </c>
      <c r="Y5684" t="s">
        <v>22925</v>
      </c>
      <c r="Z5684" t="s">
        <v>28746</v>
      </c>
      <c r="AA5684">
        <v>0.36237570317518392</v>
      </c>
      <c r="AB5684" t="str">
        <f>HYPERLINK("Melting_Curves/meltCurve_Q9Y383_LUC7L2.pdf", "Melting_Curves/meltCurve_Q9Y383_LUC7L2.pdf")</f>
        <v>Melting_Curves/meltCurve_Q9Y383_LUC7L2.pdf</v>
      </c>
    </row>
    <row r="5685" spans="1:28" x14ac:dyDescent="0.25">
      <c r="A5685" t="s">
        <v>5689</v>
      </c>
      <c r="B5685">
        <v>0.99996721820229495</v>
      </c>
      <c r="C5685">
        <v>1.01623730908848</v>
      </c>
      <c r="D5685">
        <v>1.0246293527916099</v>
      </c>
      <c r="E5685">
        <v>0.82535991006287701</v>
      </c>
      <c r="F5685">
        <v>0.510608287379405</v>
      </c>
      <c r="G5685">
        <v>0.48733744317893002</v>
      </c>
      <c r="H5685">
        <v>0.280818072637047</v>
      </c>
      <c r="I5685">
        <v>0.20382032629834601</v>
      </c>
      <c r="J5685">
        <v>0.131652995364995</v>
      </c>
      <c r="K5685">
        <v>0.13310491348659001</v>
      </c>
      <c r="L5685">
        <v>782.90897384746995</v>
      </c>
      <c r="M5685">
        <v>14.412505561262099</v>
      </c>
      <c r="N5685">
        <v>55.248639562443799</v>
      </c>
      <c r="O5685">
        <v>53.3078312460947</v>
      </c>
      <c r="P5685">
        <v>-6.0337558424633897E-2</v>
      </c>
      <c r="Q5685">
        <v>0.107418363441596</v>
      </c>
      <c r="R5685">
        <v>0.97473871009869795</v>
      </c>
      <c r="S5685" t="s">
        <v>11511</v>
      </c>
      <c r="T5685" t="s">
        <v>11650</v>
      </c>
      <c r="U5685" t="s">
        <v>11650</v>
      </c>
      <c r="V5685" t="s">
        <v>11650</v>
      </c>
      <c r="W5685" t="s">
        <v>17275</v>
      </c>
      <c r="X5685">
        <v>4</v>
      </c>
      <c r="Y5685" t="s">
        <v>22926</v>
      </c>
      <c r="Z5685" t="s">
        <v>28747</v>
      </c>
      <c r="AA5685">
        <v>0.55235754292090278</v>
      </c>
      <c r="AB5685" t="str">
        <f>HYPERLINK("Melting_Curves/meltCurve_Q9Y385_UBE2J1.pdf", "Melting_Curves/meltCurve_Q9Y385_UBE2J1.pdf")</f>
        <v>Melting_Curves/meltCurve_Q9Y385_UBE2J1.pdf</v>
      </c>
    </row>
    <row r="5686" spans="1:28" x14ac:dyDescent="0.25">
      <c r="A5686" t="s">
        <v>5690</v>
      </c>
      <c r="B5686">
        <v>0.99996721820229495</v>
      </c>
      <c r="C5686">
        <v>0.96735304098513697</v>
      </c>
      <c r="D5686">
        <v>1.04172839016062</v>
      </c>
      <c r="E5686">
        <v>1.0741488977305</v>
      </c>
      <c r="F5686">
        <v>1.27547326987694</v>
      </c>
      <c r="G5686">
        <v>1.1863559325219399</v>
      </c>
      <c r="H5686">
        <v>0.47831040629118798</v>
      </c>
      <c r="I5686">
        <v>0.15757995600386501</v>
      </c>
      <c r="J5686">
        <v>9.4318896077732806E-2</v>
      </c>
      <c r="K5686">
        <v>7.10335503576104E-2</v>
      </c>
      <c r="L5686">
        <v>6422.2869164436797</v>
      </c>
      <c r="M5686">
        <v>105.612465533235</v>
      </c>
      <c r="N5686">
        <v>60.947051703689098</v>
      </c>
      <c r="O5686">
        <v>60.788129182158102</v>
      </c>
      <c r="P5686">
        <v>-0.388416414382247</v>
      </c>
      <c r="Q5686">
        <v>0.10574534651654</v>
      </c>
      <c r="R5686">
        <v>0.94096605399280198</v>
      </c>
      <c r="S5686" t="s">
        <v>11512</v>
      </c>
      <c r="T5686" t="s">
        <v>11650</v>
      </c>
      <c r="U5686" t="s">
        <v>11650</v>
      </c>
      <c r="V5686" t="s">
        <v>11650</v>
      </c>
      <c r="W5686" t="s">
        <v>17276</v>
      </c>
      <c r="X5686">
        <v>14</v>
      </c>
      <c r="Y5686" t="s">
        <v>22927</v>
      </c>
      <c r="Z5686" t="s">
        <v>28748</v>
      </c>
      <c r="AA5686">
        <v>0.72659326712481231</v>
      </c>
      <c r="AB5686" t="str">
        <f>HYPERLINK("Melting_Curves/meltCurve_Q9Y394_2_DHRS7.pdf", "Melting_Curves/meltCurve_Q9Y394_2_DHRS7.pdf")</f>
        <v>Melting_Curves/meltCurve_Q9Y394_2_DHRS7.pdf</v>
      </c>
    </row>
    <row r="5687" spans="1:28" x14ac:dyDescent="0.25">
      <c r="A5687" t="s">
        <v>5691</v>
      </c>
      <c r="B5687">
        <v>0.99996721820229495</v>
      </c>
      <c r="C5687">
        <v>0.93643160604347497</v>
      </c>
      <c r="D5687">
        <v>0.99436738744255304</v>
      </c>
      <c r="E5687">
        <v>1.2647403339807699</v>
      </c>
      <c r="F5687">
        <v>1.3278011743456399</v>
      </c>
      <c r="G5687">
        <v>0.90473707133499803</v>
      </c>
      <c r="H5687">
        <v>0.457931118905055</v>
      </c>
      <c r="I5687">
        <v>0.379985894479417</v>
      </c>
      <c r="J5687">
        <v>0.26332288665428899</v>
      </c>
      <c r="K5687">
        <v>0.19172869308982299</v>
      </c>
      <c r="L5687">
        <v>2456.1076396870599</v>
      </c>
      <c r="M5687">
        <v>41.059527154706501</v>
      </c>
      <c r="N5687">
        <v>60.853119665590498</v>
      </c>
      <c r="O5687">
        <v>59.6768477723163</v>
      </c>
      <c r="P5687">
        <v>-0.128785814413136</v>
      </c>
      <c r="Q5687">
        <v>0.25128051636404097</v>
      </c>
      <c r="R5687">
        <v>0.87363582143552898</v>
      </c>
      <c r="S5687" t="s">
        <v>11513</v>
      </c>
      <c r="T5687" t="s">
        <v>11650</v>
      </c>
      <c r="U5687" t="s">
        <v>11650</v>
      </c>
      <c r="V5687" t="s">
        <v>11650</v>
      </c>
      <c r="W5687" t="s">
        <v>17277</v>
      </c>
      <c r="X5687">
        <v>4</v>
      </c>
      <c r="Y5687" t="s">
        <v>22928</v>
      </c>
      <c r="Z5687" t="s">
        <v>28749</v>
      </c>
      <c r="AA5687">
        <v>0.74869294062909431</v>
      </c>
      <c r="AB5687" t="str">
        <f>HYPERLINK("Melting_Curves/meltCurve_Q9Y3A3_3_MOB4.pdf", "Melting_Curves/meltCurve_Q9Y3A3_3_MOB4.pdf")</f>
        <v>Melting_Curves/meltCurve_Q9Y3A3_3_MOB4.pdf</v>
      </c>
    </row>
    <row r="5688" spans="1:28" x14ac:dyDescent="0.25">
      <c r="A5688" t="s">
        <v>5692</v>
      </c>
      <c r="B5688">
        <v>0.99996721820229495</v>
      </c>
      <c r="C5688">
        <v>0.99354402793654595</v>
      </c>
      <c r="D5688">
        <v>0.86251390944833095</v>
      </c>
      <c r="E5688">
        <v>0.67837522325093202</v>
      </c>
      <c r="F5688">
        <v>0.32013295414471898</v>
      </c>
      <c r="G5688">
        <v>0.23266435342890901</v>
      </c>
      <c r="H5688">
        <v>0.13731184318652201</v>
      </c>
      <c r="I5688">
        <v>8.7317076072358196E-2</v>
      </c>
      <c r="J5688">
        <v>6.4684002467692805E-2</v>
      </c>
      <c r="K5688">
        <v>5.7376291238881098E-2</v>
      </c>
      <c r="L5688">
        <v>933.20760234928503</v>
      </c>
      <c r="M5688">
        <v>18.2525152475122</v>
      </c>
      <c r="N5688">
        <v>51.532283824982898</v>
      </c>
      <c r="O5688">
        <v>50.5257528386594</v>
      </c>
      <c r="P5688">
        <v>-8.4286751359867504E-2</v>
      </c>
      <c r="Q5688">
        <v>6.6768939690498103E-2</v>
      </c>
      <c r="R5688">
        <v>0.99199636558982396</v>
      </c>
      <c r="S5688" t="s">
        <v>11514</v>
      </c>
      <c r="T5688" t="s">
        <v>11650</v>
      </c>
      <c r="U5688" t="s">
        <v>11650</v>
      </c>
      <c r="V5688" t="s">
        <v>11650</v>
      </c>
      <c r="W5688" t="s">
        <v>17278</v>
      </c>
      <c r="X5688">
        <v>20</v>
      </c>
      <c r="Y5688" t="s">
        <v>22929</v>
      </c>
      <c r="Z5688" t="s">
        <v>28750</v>
      </c>
      <c r="AA5688">
        <v>0.42823634771090707</v>
      </c>
      <c r="AB5688" t="str">
        <f>HYPERLINK("Melting_Curves/meltCurve_Q9Y3A5_SBDS.pdf", "Melting_Curves/meltCurve_Q9Y3A5_SBDS.pdf")</f>
        <v>Melting_Curves/meltCurve_Q9Y3A5_SBDS.pdf</v>
      </c>
    </row>
    <row r="5689" spans="1:28" x14ac:dyDescent="0.25">
      <c r="A5689" t="s">
        <v>5693</v>
      </c>
      <c r="B5689">
        <v>0.99996721820229495</v>
      </c>
      <c r="C5689">
        <v>0.72180158069110201</v>
      </c>
      <c r="D5689">
        <v>1.0216365609997</v>
      </c>
      <c r="E5689">
        <v>1.12883353591876</v>
      </c>
      <c r="F5689">
        <v>1.28991930415901</v>
      </c>
      <c r="G5689">
        <v>1.0207046764211101</v>
      </c>
      <c r="H5689">
        <v>0.41267243361785799</v>
      </c>
      <c r="I5689">
        <v>0.171085934197269</v>
      </c>
      <c r="J5689">
        <v>8.55660711604872E-2</v>
      </c>
      <c r="K5689">
        <v>6.1196665419287699E-2</v>
      </c>
      <c r="L5689">
        <v>3818.3332583254801</v>
      </c>
      <c r="M5689">
        <v>63.159952515876697</v>
      </c>
      <c r="N5689">
        <v>60.655245853020801</v>
      </c>
      <c r="O5689">
        <v>60.394480372550397</v>
      </c>
      <c r="P5689">
        <v>-0.23684114585900401</v>
      </c>
      <c r="Q5689">
        <v>9.4116651972127499E-2</v>
      </c>
      <c r="R5689">
        <v>0.90686145332040402</v>
      </c>
      <c r="S5689" t="s">
        <v>11515</v>
      </c>
      <c r="T5689" t="s">
        <v>11650</v>
      </c>
      <c r="U5689" t="s">
        <v>11650</v>
      </c>
      <c r="V5689" t="s">
        <v>11650</v>
      </c>
      <c r="W5689" t="s">
        <v>17279</v>
      </c>
      <c r="X5689">
        <v>10</v>
      </c>
      <c r="Y5689" t="s">
        <v>22930</v>
      </c>
      <c r="Z5689" t="s">
        <v>28751</v>
      </c>
      <c r="AA5689">
        <v>0.71328074243271367</v>
      </c>
      <c r="AB5689" t="str">
        <f>HYPERLINK("Melting_Curves/meltCurve_Q9Y3B3_TMED7.pdf", "Melting_Curves/meltCurve_Q9Y3B3_TMED7.pdf")</f>
        <v>Melting_Curves/meltCurve_Q9Y3B3_TMED7.pdf</v>
      </c>
    </row>
    <row r="5690" spans="1:28" x14ac:dyDescent="0.25">
      <c r="A5690" t="s">
        <v>5694</v>
      </c>
      <c r="B5690">
        <v>0.99996721820229495</v>
      </c>
      <c r="C5690">
        <v>0.91302768848878402</v>
      </c>
      <c r="D5690">
        <v>0.95064521773652499</v>
      </c>
      <c r="E5690">
        <v>1.57227398734312</v>
      </c>
      <c r="F5690">
        <v>2.9758800541380999</v>
      </c>
      <c r="G5690">
        <v>2.7291127604928298</v>
      </c>
      <c r="H5690">
        <v>2.4200913231148</v>
      </c>
      <c r="I5690">
        <v>2.7927710154763701</v>
      </c>
      <c r="J5690">
        <v>2.5969282200792501</v>
      </c>
      <c r="K5690">
        <v>2.4290849481807699</v>
      </c>
      <c r="L5690">
        <v>11972.360955936399</v>
      </c>
      <c r="M5690">
        <v>250</v>
      </c>
      <c r="O5690">
        <v>47.886379159921297</v>
      </c>
      <c r="P5690">
        <v>0.65258640447688199</v>
      </c>
      <c r="Q5690">
        <v>1.5</v>
      </c>
      <c r="R5690">
        <v>-0.31969109125837097</v>
      </c>
      <c r="S5690" t="s">
        <v>11516</v>
      </c>
      <c r="T5690" t="s">
        <v>11650</v>
      </c>
      <c r="U5690" t="s">
        <v>11650</v>
      </c>
      <c r="V5690" t="s">
        <v>11650</v>
      </c>
      <c r="W5690" t="s">
        <v>17280</v>
      </c>
      <c r="X5690">
        <v>11</v>
      </c>
      <c r="Y5690" t="s">
        <v>22931</v>
      </c>
      <c r="Z5690" t="s">
        <v>28752</v>
      </c>
      <c r="AA5690">
        <v>1.368467246989945</v>
      </c>
      <c r="AB5690" t="str">
        <f>HYPERLINK("Melting_Curves/meltCurve_Q9Y3B9_RRP15.pdf", "Melting_Curves/meltCurve_Q9Y3B9_RRP15.pdf")</f>
        <v>Melting_Curves/meltCurve_Q9Y3B9_RRP15.pdf</v>
      </c>
    </row>
    <row r="5691" spans="1:28" x14ac:dyDescent="0.25">
      <c r="A5691" t="s">
        <v>5695</v>
      </c>
      <c r="B5691">
        <v>0.99996721820229495</v>
      </c>
      <c r="C5691">
        <v>1.09047355682075</v>
      </c>
      <c r="D5691">
        <v>1.0694520406178301</v>
      </c>
      <c r="E5691">
        <v>1.1471442018560201</v>
      </c>
      <c r="F5691">
        <v>1.2861320784949699</v>
      </c>
      <c r="G5691">
        <v>1.6765936757789599</v>
      </c>
      <c r="H5691">
        <v>1.1830956269359201</v>
      </c>
      <c r="I5691">
        <v>1.08730381036428</v>
      </c>
      <c r="J5691">
        <v>0.73404695360697203</v>
      </c>
      <c r="K5691">
        <v>0.74689279423254396</v>
      </c>
      <c r="L5691">
        <v>15000</v>
      </c>
      <c r="M5691">
        <v>227.95852431946801</v>
      </c>
      <c r="O5691">
        <v>65.796390213519501</v>
      </c>
      <c r="P5691">
        <v>-0.22653859711442001</v>
      </c>
      <c r="Q5691">
        <v>0.73845383535012399</v>
      </c>
      <c r="R5691">
        <v>4.6915284489530099E-2</v>
      </c>
      <c r="S5691" t="s">
        <v>11517</v>
      </c>
      <c r="T5691" t="s">
        <v>11650</v>
      </c>
      <c r="U5691" t="s">
        <v>11650</v>
      </c>
      <c r="V5691" t="s">
        <v>11650</v>
      </c>
      <c r="W5691" t="s">
        <v>17281</v>
      </c>
      <c r="X5691">
        <v>2</v>
      </c>
      <c r="Y5691" t="s">
        <v>22932</v>
      </c>
      <c r="Z5691" t="s">
        <v>28753</v>
      </c>
      <c r="AA5691">
        <v>0.96343244823866092</v>
      </c>
      <c r="AB5691" t="str">
        <f>HYPERLINK("Melting_Curves/meltCurve_Q9Y3C1_NOP16.pdf", "Melting_Curves/meltCurve_Q9Y3C1_NOP16.pdf")</f>
        <v>Melting_Curves/meltCurve_Q9Y3C1_NOP16.pdf</v>
      </c>
    </row>
    <row r="5692" spans="1:28" x14ac:dyDescent="0.25">
      <c r="A5692" t="s">
        <v>5696</v>
      </c>
      <c r="B5692">
        <v>0.99996721820229495</v>
      </c>
      <c r="C5692">
        <v>1.0282561323407899</v>
      </c>
      <c r="D5692">
        <v>0.98970770698579102</v>
      </c>
      <c r="E5692">
        <v>0.93927059053427997</v>
      </c>
      <c r="F5692">
        <v>0.984184464343687</v>
      </c>
      <c r="G5692">
        <v>0.64195204268977202</v>
      </c>
      <c r="H5692">
        <v>0.27032247900950102</v>
      </c>
      <c r="I5692">
        <v>0.14631083060949701</v>
      </c>
      <c r="J5692">
        <v>8.3800146879934798E-2</v>
      </c>
      <c r="K5692">
        <v>5.7614469210872099E-2</v>
      </c>
      <c r="L5692">
        <v>1588.9947569881599</v>
      </c>
      <c r="M5692">
        <v>27.317911386932</v>
      </c>
      <c r="N5692">
        <v>58.440666382867498</v>
      </c>
      <c r="O5692">
        <v>57.857756271833701</v>
      </c>
      <c r="P5692">
        <v>-0.110947575136347</v>
      </c>
      <c r="Q5692">
        <v>6.0086702894439903E-2</v>
      </c>
      <c r="R5692">
        <v>0.99627749850373004</v>
      </c>
      <c r="S5692" t="s">
        <v>11518</v>
      </c>
      <c r="T5692" t="s">
        <v>11650</v>
      </c>
      <c r="U5692" t="s">
        <v>11650</v>
      </c>
      <c r="V5692" t="s">
        <v>11650</v>
      </c>
      <c r="W5692" t="s">
        <v>17282</v>
      </c>
      <c r="X5692">
        <v>3</v>
      </c>
      <c r="Y5692" t="s">
        <v>22933</v>
      </c>
      <c r="Z5692" t="s">
        <v>28754</v>
      </c>
      <c r="AA5692">
        <v>0.63640263171550626</v>
      </c>
      <c r="AB5692" t="str">
        <f>HYPERLINK("Melting_Curves/meltCurve_Q9Y3C4_2_TPRKB.pdf", "Melting_Curves/meltCurve_Q9Y3C4_2_TPRKB.pdf")</f>
        <v>Melting_Curves/meltCurve_Q9Y3C4_2_TPRKB.pdf</v>
      </c>
    </row>
    <row r="5693" spans="1:28" x14ac:dyDescent="0.25">
      <c r="A5693" t="s">
        <v>5697</v>
      </c>
      <c r="B5693">
        <v>0.99996721820229495</v>
      </c>
      <c r="C5693">
        <v>0.73891990347856795</v>
      </c>
      <c r="D5693">
        <v>0.78987942150285895</v>
      </c>
      <c r="E5693">
        <v>0.94915762918782698</v>
      </c>
      <c r="F5693">
        <v>1.35518720351599</v>
      </c>
      <c r="G5693">
        <v>1.3122137682716699</v>
      </c>
      <c r="H5693">
        <v>0.92459706506006301</v>
      </c>
      <c r="I5693">
        <v>0.65576951509055603</v>
      </c>
      <c r="J5693">
        <v>0.36972532605272201</v>
      </c>
      <c r="K5693">
        <v>0.25442551356072302</v>
      </c>
      <c r="L5693">
        <v>2906.0738060458398</v>
      </c>
      <c r="M5693">
        <v>45.202080215903997</v>
      </c>
      <c r="N5693">
        <v>65.281033414849603</v>
      </c>
      <c r="O5693">
        <v>64.165256549778704</v>
      </c>
      <c r="P5693">
        <v>-0.13241536382324301</v>
      </c>
      <c r="Q5693">
        <v>0.24813591975751501</v>
      </c>
      <c r="R5693">
        <v>0.70203034719376101</v>
      </c>
      <c r="S5693" t="s">
        <v>11519</v>
      </c>
      <c r="T5693" t="s">
        <v>11650</v>
      </c>
      <c r="U5693" t="s">
        <v>11650</v>
      </c>
      <c r="V5693" t="s">
        <v>11650</v>
      </c>
      <c r="W5693" t="s">
        <v>17283</v>
      </c>
      <c r="X5693">
        <v>3</v>
      </c>
      <c r="Y5693" t="s">
        <v>22934</v>
      </c>
      <c r="Z5693" t="s">
        <v>28755</v>
      </c>
      <c r="AA5693">
        <v>0.85842471995950187</v>
      </c>
      <c r="AB5693" t="str">
        <f>HYPERLINK("Melting_Curves/meltCurve_Q9Y3C5_RNF11.pdf", "Melting_Curves/meltCurve_Q9Y3C5_RNF11.pdf")</f>
        <v>Melting_Curves/meltCurve_Q9Y3C5_RNF11.pdf</v>
      </c>
    </row>
    <row r="5694" spans="1:28" x14ac:dyDescent="0.25">
      <c r="A5694" t="s">
        <v>5698</v>
      </c>
      <c r="B5694">
        <v>0.99996721820229495</v>
      </c>
      <c r="C5694">
        <v>1.0479617200317499</v>
      </c>
      <c r="D5694">
        <v>0.74731161309997096</v>
      </c>
      <c r="E5694">
        <v>0.32156215137570898</v>
      </c>
      <c r="F5694">
        <v>0.27700605047487498</v>
      </c>
      <c r="G5694">
        <v>0.20512665134564401</v>
      </c>
      <c r="H5694">
        <v>0.127453862911801</v>
      </c>
      <c r="I5694">
        <v>8.7879165719358193E-2</v>
      </c>
      <c r="J5694">
        <v>6.1618364196815802E-2</v>
      </c>
      <c r="K5694">
        <v>4.7552737632606298E-2</v>
      </c>
      <c r="L5694">
        <v>1077.05088086152</v>
      </c>
      <c r="M5694">
        <v>22.365867854024401</v>
      </c>
      <c r="N5694">
        <v>48.655542835472303</v>
      </c>
      <c r="O5694">
        <v>47.775991389588903</v>
      </c>
      <c r="P5694">
        <v>-0.10503129576499701</v>
      </c>
      <c r="Q5694">
        <v>0.102584454180378</v>
      </c>
      <c r="R5694">
        <v>0.97787908414875802</v>
      </c>
      <c r="S5694" t="s">
        <v>11520</v>
      </c>
      <c r="T5694" t="s">
        <v>11650</v>
      </c>
      <c r="U5694" t="s">
        <v>11650</v>
      </c>
      <c r="V5694" t="s">
        <v>11650</v>
      </c>
      <c r="W5694" t="s">
        <v>17284</v>
      </c>
      <c r="X5694">
        <v>6</v>
      </c>
      <c r="Y5694" t="s">
        <v>22935</v>
      </c>
      <c r="Z5694" t="s">
        <v>28756</v>
      </c>
      <c r="AA5694">
        <v>0.35659992373723759</v>
      </c>
      <c r="AB5694" t="str">
        <f>HYPERLINK("Melting_Curves/meltCurve_Q9Y3C6_PPIL1.pdf", "Melting_Curves/meltCurve_Q9Y3C6_PPIL1.pdf")</f>
        <v>Melting_Curves/meltCurve_Q9Y3C6_PPIL1.pdf</v>
      </c>
    </row>
    <row r="5695" spans="1:28" x14ac:dyDescent="0.25">
      <c r="A5695" t="s">
        <v>5699</v>
      </c>
      <c r="B5695">
        <v>0.99996721820229495</v>
      </c>
      <c r="C5695">
        <v>1.0046254443820499</v>
      </c>
      <c r="D5695">
        <v>0.99555294443183795</v>
      </c>
      <c r="E5695">
        <v>0.99621470796281297</v>
      </c>
      <c r="F5695">
        <v>1.2895318012179</v>
      </c>
      <c r="G5695">
        <v>1.19339148475729</v>
      </c>
      <c r="H5695">
        <v>0.466026454356261</v>
      </c>
      <c r="I5695">
        <v>0.168990013228874</v>
      </c>
      <c r="J5695">
        <v>0.103858557575208</v>
      </c>
      <c r="K5695">
        <v>8.2357028998655907E-2</v>
      </c>
      <c r="L5695">
        <v>6891.0876957275896</v>
      </c>
      <c r="M5695">
        <v>113.389114816673</v>
      </c>
      <c r="N5695">
        <v>60.917277207645903</v>
      </c>
      <c r="O5695">
        <v>60.754905053176898</v>
      </c>
      <c r="P5695">
        <v>-0.41190692380926303</v>
      </c>
      <c r="Q5695">
        <v>0.117186326804816</v>
      </c>
      <c r="R5695">
        <v>0.93778877342007105</v>
      </c>
      <c r="S5695" t="s">
        <v>11521</v>
      </c>
      <c r="T5695" t="s">
        <v>11650</v>
      </c>
      <c r="U5695" t="s">
        <v>11650</v>
      </c>
      <c r="V5695" t="s">
        <v>11650</v>
      </c>
      <c r="W5695" t="s">
        <v>17285</v>
      </c>
      <c r="X5695">
        <v>10</v>
      </c>
      <c r="Y5695" t="s">
        <v>22936</v>
      </c>
      <c r="Z5695" t="s">
        <v>28757</v>
      </c>
      <c r="AA5695">
        <v>0.72895766410838247</v>
      </c>
      <c r="AB5695" t="str">
        <f>HYPERLINK("Melting_Curves/meltCurve_Q9Y3C8_UFC1.pdf", "Melting_Curves/meltCurve_Q9Y3C8_UFC1.pdf")</f>
        <v>Melting_Curves/meltCurve_Q9Y3C8_UFC1.pdf</v>
      </c>
    </row>
    <row r="5696" spans="1:28" x14ac:dyDescent="0.25">
      <c r="A5696" t="s">
        <v>5700</v>
      </c>
      <c r="B5696">
        <v>0.99996721820229495</v>
      </c>
      <c r="C5696">
        <v>0.90262364269174999</v>
      </c>
      <c r="D5696">
        <v>0.78599498355514097</v>
      </c>
      <c r="E5696">
        <v>0.49323212122360299</v>
      </c>
      <c r="F5696">
        <v>0.44432950173699698</v>
      </c>
      <c r="G5696">
        <v>0.36136109330940402</v>
      </c>
      <c r="H5696">
        <v>0.23086980809563701</v>
      </c>
      <c r="I5696">
        <v>0.17659715397581899</v>
      </c>
      <c r="J5696">
        <v>0.161234416634117</v>
      </c>
      <c r="K5696">
        <v>0.12369302125913401</v>
      </c>
      <c r="L5696">
        <v>565.86957172442499</v>
      </c>
      <c r="M5696">
        <v>11.2556294347175</v>
      </c>
      <c r="N5696">
        <v>51.4537980900474</v>
      </c>
      <c r="O5696">
        <v>48.765804943447897</v>
      </c>
      <c r="P5696">
        <v>-5.1157255683792098E-2</v>
      </c>
      <c r="Q5696">
        <v>0.11370408462756799</v>
      </c>
      <c r="R5696">
        <v>0.985653740827657</v>
      </c>
      <c r="S5696" t="s">
        <v>11522</v>
      </c>
      <c r="T5696" t="s">
        <v>11650</v>
      </c>
      <c r="U5696" t="s">
        <v>11650</v>
      </c>
      <c r="V5696" t="s">
        <v>11650</v>
      </c>
      <c r="W5696" t="s">
        <v>17286</v>
      </c>
      <c r="X5696">
        <v>5</v>
      </c>
      <c r="Y5696" t="s">
        <v>22937</v>
      </c>
      <c r="Z5696" t="s">
        <v>28758</v>
      </c>
      <c r="AA5696">
        <v>0.45045954625093287</v>
      </c>
      <c r="AB5696" t="str">
        <f>HYPERLINK("Melting_Curves/meltCurve_Q9Y3D0_FAM96B.pdf", "Melting_Curves/meltCurve_Q9Y3D0_FAM96B.pdf")</f>
        <v>Melting_Curves/meltCurve_Q9Y3D0_FAM96B.pdf</v>
      </c>
    </row>
    <row r="5697" spans="1:28" x14ac:dyDescent="0.25">
      <c r="A5697" t="s">
        <v>5701</v>
      </c>
      <c r="B5697">
        <v>0.99996721820229495</v>
      </c>
      <c r="C5697">
        <v>1.0293437997893</v>
      </c>
      <c r="D5697">
        <v>0.94739158542303703</v>
      </c>
      <c r="E5697">
        <v>0.72228100172148801</v>
      </c>
      <c r="F5697">
        <v>0.59697086287371803</v>
      </c>
      <c r="G5697">
        <v>0.50335656498944903</v>
      </c>
      <c r="H5697">
        <v>0.317283752789003</v>
      </c>
      <c r="I5697">
        <v>0.32615505709403098</v>
      </c>
      <c r="J5697">
        <v>0.31239252748940599</v>
      </c>
      <c r="K5697">
        <v>0.184765623057254</v>
      </c>
      <c r="L5697">
        <v>684.15309238467398</v>
      </c>
      <c r="M5697">
        <v>12.8198484152626</v>
      </c>
      <c r="N5697">
        <v>55.7818726715537</v>
      </c>
      <c r="O5697">
        <v>52.118182441120403</v>
      </c>
      <c r="P5697">
        <v>-4.8406042249244802E-2</v>
      </c>
      <c r="Q5697">
        <v>0.21298150184087</v>
      </c>
      <c r="R5697">
        <v>0.97969209768207299</v>
      </c>
      <c r="S5697" t="s">
        <v>11523</v>
      </c>
      <c r="T5697" t="s">
        <v>11650</v>
      </c>
      <c r="U5697" t="s">
        <v>11650</v>
      </c>
      <c r="V5697" t="s">
        <v>11650</v>
      </c>
      <c r="W5697" t="s">
        <v>17287</v>
      </c>
      <c r="X5697">
        <v>7</v>
      </c>
      <c r="Y5697" t="s">
        <v>22938</v>
      </c>
      <c r="Z5697" t="s">
        <v>28759</v>
      </c>
      <c r="AA5697">
        <v>0.58388049876646497</v>
      </c>
      <c r="AB5697" t="str">
        <f>HYPERLINK("Melting_Curves/meltCurve_Q9Y3D2_MSRB2.pdf", "Melting_Curves/meltCurve_Q9Y3D2_MSRB2.pdf")</f>
        <v>Melting_Curves/meltCurve_Q9Y3D2_MSRB2.pdf</v>
      </c>
    </row>
    <row r="5698" spans="1:28" x14ac:dyDescent="0.25">
      <c r="A5698" t="s">
        <v>5702</v>
      </c>
      <c r="B5698">
        <v>0.99996721820229495</v>
      </c>
      <c r="C5698">
        <v>0.70150867162269004</v>
      </c>
      <c r="D5698">
        <v>0.65264869098828804</v>
      </c>
      <c r="E5698">
        <v>1.1053177099018401</v>
      </c>
      <c r="F5698">
        <v>0.80043986263160405</v>
      </c>
      <c r="G5698">
        <v>0.60165129653789295</v>
      </c>
      <c r="H5698">
        <v>0.57539859631478096</v>
      </c>
      <c r="I5698">
        <v>0.404341864824102</v>
      </c>
      <c r="J5698">
        <v>0.59368604582447104</v>
      </c>
      <c r="K5698">
        <v>0.34322863002043802</v>
      </c>
      <c r="L5698">
        <v>287.48741024910299</v>
      </c>
      <c r="M5698">
        <v>4.4208919996297498</v>
      </c>
      <c r="N5698">
        <v>65.029277069035601</v>
      </c>
      <c r="O5698">
        <v>54.9990099077</v>
      </c>
      <c r="P5698">
        <v>-2.0281744178040101E-2</v>
      </c>
      <c r="Q5698">
        <v>0</v>
      </c>
      <c r="R5698">
        <v>0.55024524485516901</v>
      </c>
      <c r="S5698" t="s">
        <v>11524</v>
      </c>
      <c r="T5698" t="s">
        <v>11650</v>
      </c>
      <c r="U5698" t="s">
        <v>11650</v>
      </c>
      <c r="V5698" t="s">
        <v>11650</v>
      </c>
      <c r="W5698" t="s">
        <v>17288</v>
      </c>
      <c r="X5698">
        <v>3</v>
      </c>
      <c r="Y5698" t="s">
        <v>22939</v>
      </c>
      <c r="Z5698" t="s">
        <v>28760</v>
      </c>
      <c r="AA5698">
        <v>0.68911463115559102</v>
      </c>
      <c r="AB5698" t="str">
        <f>HYPERLINK("Melting_Curves/meltCurve_Q9Y3D6_FIS1.pdf", "Melting_Curves/meltCurve_Q9Y3D6_FIS1.pdf")</f>
        <v>Melting_Curves/meltCurve_Q9Y3D6_FIS1.pdf</v>
      </c>
    </row>
    <row r="5699" spans="1:28" x14ac:dyDescent="0.25">
      <c r="A5699" t="s">
        <v>5703</v>
      </c>
      <c r="B5699">
        <v>0.99996721820229495</v>
      </c>
      <c r="C5699">
        <v>1.06934214851154</v>
      </c>
      <c r="D5699">
        <v>0.87143458535707696</v>
      </c>
      <c r="E5699">
        <v>0.43607603339184497</v>
      </c>
      <c r="F5699">
        <v>0.48223803510698499</v>
      </c>
      <c r="G5699">
        <v>0.55091581720013605</v>
      </c>
      <c r="H5699">
        <v>0.400957575874543</v>
      </c>
      <c r="I5699">
        <v>0.18784111662724701</v>
      </c>
      <c r="J5699">
        <v>9.6690114754503897E-2</v>
      </c>
      <c r="K5699">
        <v>0.14177492671765701</v>
      </c>
      <c r="L5699">
        <v>480.52613871933897</v>
      </c>
      <c r="M5699">
        <v>8.9997858305713301</v>
      </c>
      <c r="N5699">
        <v>54.017675087225797</v>
      </c>
      <c r="O5699">
        <v>50.954599941437699</v>
      </c>
      <c r="P5699">
        <v>-4.2004351977800301E-2</v>
      </c>
      <c r="Q5699">
        <v>4.9416950494213699E-2</v>
      </c>
      <c r="R5699">
        <v>0.87847236122599304</v>
      </c>
      <c r="S5699" t="s">
        <v>11525</v>
      </c>
      <c r="T5699" t="s">
        <v>11650</v>
      </c>
      <c r="U5699" t="s">
        <v>11650</v>
      </c>
      <c r="V5699" t="s">
        <v>11650</v>
      </c>
      <c r="W5699" t="s">
        <v>17289</v>
      </c>
      <c r="X5699">
        <v>3</v>
      </c>
      <c r="Y5699" t="s">
        <v>22940</v>
      </c>
      <c r="Z5699" t="s">
        <v>28761</v>
      </c>
      <c r="AA5699">
        <v>0.50743191968348555</v>
      </c>
      <c r="AB5699" t="str">
        <f>HYPERLINK("Melting_Curves/meltCurve_Q9Y3D8_TAF9.pdf", "Melting_Curves/meltCurve_Q9Y3D8_TAF9.pdf")</f>
        <v>Melting_Curves/meltCurve_Q9Y3D8_TAF9.pdf</v>
      </c>
    </row>
    <row r="5700" spans="1:28" x14ac:dyDescent="0.25">
      <c r="A5700" t="s">
        <v>5704</v>
      </c>
      <c r="B5700">
        <v>0.99996721820229495</v>
      </c>
      <c r="C5700">
        <v>0.91711387149217505</v>
      </c>
      <c r="D5700">
        <v>1.0721989538966501</v>
      </c>
      <c r="E5700">
        <v>1.0537893572925601</v>
      </c>
      <c r="F5700">
        <v>1.15961999231569</v>
      </c>
      <c r="G5700">
        <v>1.06321819568438</v>
      </c>
      <c r="H5700">
        <v>0.79554364265049304</v>
      </c>
      <c r="I5700">
        <v>0.53783617038904097</v>
      </c>
      <c r="J5700">
        <v>0.364928845985243</v>
      </c>
      <c r="K5700">
        <v>0.39140220137908299</v>
      </c>
      <c r="L5700">
        <v>2740.6016442937798</v>
      </c>
      <c r="M5700">
        <v>44.036499224156003</v>
      </c>
      <c r="N5700">
        <v>64.197958828980205</v>
      </c>
      <c r="O5700">
        <v>62.106838256585803</v>
      </c>
      <c r="P5700">
        <v>-0.111684549487109</v>
      </c>
      <c r="Q5700">
        <v>0.36994400401444699</v>
      </c>
      <c r="R5700">
        <v>0.93984972783116305</v>
      </c>
      <c r="S5700" t="s">
        <v>11526</v>
      </c>
      <c r="T5700" t="s">
        <v>11650</v>
      </c>
      <c r="U5700" t="s">
        <v>11650</v>
      </c>
      <c r="V5700" t="s">
        <v>11650</v>
      </c>
      <c r="W5700" t="s">
        <v>17290</v>
      </c>
      <c r="X5700">
        <v>2</v>
      </c>
      <c r="Y5700" t="s">
        <v>22941</v>
      </c>
      <c r="Z5700" t="s">
        <v>28762</v>
      </c>
      <c r="AA5700">
        <v>0.83885077771858763</v>
      </c>
      <c r="AB5700" t="str">
        <f>HYPERLINK("Melting_Curves/meltCurve_Q9Y3E0_GOLT1B.pdf", "Melting_Curves/meltCurve_Q9Y3E0_GOLT1B.pdf")</f>
        <v>Melting_Curves/meltCurve_Q9Y3E0_GOLT1B.pdf</v>
      </c>
    </row>
    <row r="5701" spans="1:28" x14ac:dyDescent="0.25">
      <c r="A5701" t="s">
        <v>5705</v>
      </c>
      <c r="B5701">
        <v>0.99996721820229495</v>
      </c>
      <c r="C5701">
        <v>0.75336382223809695</v>
      </c>
      <c r="D5701">
        <v>0.65704781262536005</v>
      </c>
      <c r="E5701">
        <v>0.83093664580081095</v>
      </c>
      <c r="F5701">
        <v>0.90956951897369098</v>
      </c>
      <c r="G5701">
        <v>0.78226098091100404</v>
      </c>
      <c r="H5701">
        <v>0.816591137766983</v>
      </c>
      <c r="I5701">
        <v>0.96397749212530603</v>
      </c>
      <c r="J5701">
        <v>1.59590958087381</v>
      </c>
      <c r="K5701">
        <v>2.1804879671819699</v>
      </c>
      <c r="L5701">
        <v>15000</v>
      </c>
      <c r="M5701">
        <v>229.577367134806</v>
      </c>
      <c r="O5701">
        <v>65.332507830580695</v>
      </c>
      <c r="P5701">
        <v>0.43924806136614603</v>
      </c>
      <c r="Q5701">
        <v>1.5</v>
      </c>
      <c r="R5701">
        <v>0.61900233505668001</v>
      </c>
      <c r="S5701" t="s">
        <v>11527</v>
      </c>
      <c r="T5701" t="s">
        <v>11650</v>
      </c>
      <c r="U5701" t="s">
        <v>11650</v>
      </c>
      <c r="V5701" t="s">
        <v>11650</v>
      </c>
      <c r="W5701" t="s">
        <v>17291</v>
      </c>
      <c r="X5701">
        <v>8</v>
      </c>
      <c r="Y5701" t="s">
        <v>22942</v>
      </c>
      <c r="Z5701" t="s">
        <v>28763</v>
      </c>
      <c r="AA5701">
        <v>1.0776411594808311</v>
      </c>
      <c r="AB5701" t="str">
        <f>HYPERLINK("Melting_Curves/meltCurve_Q9Y3E1_HDGFRP3.pdf", "Melting_Curves/meltCurve_Q9Y3E1_HDGFRP3.pdf")</f>
        <v>Melting_Curves/meltCurve_Q9Y3E1_HDGFRP3.pdf</v>
      </c>
    </row>
    <row r="5702" spans="1:28" x14ac:dyDescent="0.25">
      <c r="A5702" t="s">
        <v>5706</v>
      </c>
      <c r="B5702">
        <v>0.99996721820229495</v>
      </c>
      <c r="C5702">
        <v>1.0920472105421899</v>
      </c>
      <c r="D5702">
        <v>0.96009414356490996</v>
      </c>
      <c r="E5702">
        <v>0.76700762855863702</v>
      </c>
      <c r="F5702">
        <v>0.72739914272874495</v>
      </c>
      <c r="G5702">
        <v>0.71671351899981295</v>
      </c>
      <c r="H5702">
        <v>0.49705113457621802</v>
      </c>
      <c r="I5702">
        <v>0.45412017429635798</v>
      </c>
      <c r="J5702">
        <v>0.42061077123348001</v>
      </c>
      <c r="K5702">
        <v>0.30517250325711198</v>
      </c>
      <c r="L5702">
        <v>505.597920291653</v>
      </c>
      <c r="M5702">
        <v>8.5741493776960702</v>
      </c>
      <c r="N5702">
        <v>61.884294183258</v>
      </c>
      <c r="O5702">
        <v>56.022878004816498</v>
      </c>
      <c r="P5702">
        <v>-3.1930159336832603E-2</v>
      </c>
      <c r="Q5702">
        <v>0.166209642759061</v>
      </c>
      <c r="R5702">
        <v>0.94807207476161204</v>
      </c>
      <c r="S5702" t="s">
        <v>11528</v>
      </c>
      <c r="T5702" t="s">
        <v>11650</v>
      </c>
      <c r="U5702" t="s">
        <v>11650</v>
      </c>
      <c r="V5702" t="s">
        <v>11650</v>
      </c>
      <c r="W5702" t="s">
        <v>17292</v>
      </c>
      <c r="X5702">
        <v>4</v>
      </c>
      <c r="Y5702" t="s">
        <v>22943</v>
      </c>
      <c r="Z5702" t="s">
        <v>28764</v>
      </c>
      <c r="AA5702">
        <v>0.69165483892923296</v>
      </c>
      <c r="AB5702" t="str">
        <f>HYPERLINK("Melting_Curves/meltCurve_Q9Y3E2_BOLA1.pdf", "Melting_Curves/meltCurve_Q9Y3E2_BOLA1.pdf")</f>
        <v>Melting_Curves/meltCurve_Q9Y3E2_BOLA1.pdf</v>
      </c>
    </row>
    <row r="5703" spans="1:28" x14ac:dyDescent="0.25">
      <c r="A5703" t="s">
        <v>5707</v>
      </c>
      <c r="B5703">
        <v>0.99996721820229495</v>
      </c>
      <c r="C5703">
        <v>0.83330352886639503</v>
      </c>
      <c r="D5703">
        <v>0.78011805405296997</v>
      </c>
      <c r="E5703">
        <v>0.82459012103531404</v>
      </c>
      <c r="F5703">
        <v>0.63161725921646406</v>
      </c>
      <c r="G5703">
        <v>0.27637103348450598</v>
      </c>
      <c r="H5703">
        <v>0.142505080145747</v>
      </c>
      <c r="I5703">
        <v>9.7386098161675899E-2</v>
      </c>
      <c r="J5703">
        <v>5.5325604484190799E-2</v>
      </c>
      <c r="K5703">
        <v>4.5016369949615803E-2</v>
      </c>
      <c r="L5703">
        <v>735.72821529637702</v>
      </c>
      <c r="M5703">
        <v>13.6271207219096</v>
      </c>
      <c r="N5703">
        <v>53.989998111648703</v>
      </c>
      <c r="O5703">
        <v>52.867117259066099</v>
      </c>
      <c r="P5703">
        <v>-6.4449892613811996E-2</v>
      </c>
      <c r="Q5703">
        <v>0</v>
      </c>
      <c r="R5703">
        <v>0.96037151120511499</v>
      </c>
      <c r="S5703" t="s">
        <v>11529</v>
      </c>
      <c r="T5703" t="s">
        <v>11650</v>
      </c>
      <c r="U5703" t="s">
        <v>11650</v>
      </c>
      <c r="V5703" t="s">
        <v>11650</v>
      </c>
      <c r="W5703" t="s">
        <v>17293</v>
      </c>
      <c r="X5703">
        <v>10</v>
      </c>
      <c r="Y5703" t="s">
        <v>22944</v>
      </c>
      <c r="Z5703" t="s">
        <v>28765</v>
      </c>
      <c r="AA5703">
        <v>0.48930959846149619</v>
      </c>
      <c r="AB5703" t="str">
        <f>HYPERLINK("Melting_Curves/meltCurve_Q9Y3E7_CHMP3.pdf", "Melting_Curves/meltCurve_Q9Y3E7_CHMP3.pdf")</f>
        <v>Melting_Curves/meltCurve_Q9Y3E7_CHMP3.pdf</v>
      </c>
    </row>
    <row r="5704" spans="1:28" x14ac:dyDescent="0.25">
      <c r="A5704" t="s">
        <v>5708</v>
      </c>
      <c r="B5704">
        <v>0.99996721820229495</v>
      </c>
      <c r="C5704">
        <v>1.1161332822011201</v>
      </c>
      <c r="D5704">
        <v>1.0973863581969201</v>
      </c>
      <c r="E5704">
        <v>1.08683690063372</v>
      </c>
      <c r="F5704">
        <v>1.2752776008881801</v>
      </c>
      <c r="G5704">
        <v>1.1852256793233999</v>
      </c>
      <c r="H5704">
        <v>0.43015249048009802</v>
      </c>
      <c r="I5704">
        <v>0.203170134916</v>
      </c>
      <c r="J5704">
        <v>0.126428880457505</v>
      </c>
      <c r="K5704">
        <v>8.9016609556666099E-2</v>
      </c>
      <c r="L5704">
        <v>7396.3707871228798</v>
      </c>
      <c r="M5704">
        <v>121.918757209009</v>
      </c>
      <c r="N5704">
        <v>60.8286901420446</v>
      </c>
      <c r="O5704">
        <v>60.650069125721799</v>
      </c>
      <c r="P5704">
        <v>-0.43277373326704999</v>
      </c>
      <c r="Q5704">
        <v>0.13884433678758201</v>
      </c>
      <c r="R5704">
        <v>0.93057643063373896</v>
      </c>
      <c r="S5704" t="s">
        <v>11530</v>
      </c>
      <c r="T5704" t="s">
        <v>11650</v>
      </c>
      <c r="U5704" t="s">
        <v>11650</v>
      </c>
      <c r="V5704" t="s">
        <v>11650</v>
      </c>
      <c r="W5704" t="s">
        <v>17294</v>
      </c>
      <c r="X5704">
        <v>19</v>
      </c>
      <c r="Y5704" t="s">
        <v>22945</v>
      </c>
      <c r="Z5704" t="s">
        <v>28766</v>
      </c>
      <c r="AA5704">
        <v>0.73246273053141431</v>
      </c>
      <c r="AB5704" t="str">
        <f>HYPERLINK("Melting_Curves/meltCurve_Q9Y3F4_STRAP.pdf", "Melting_Curves/meltCurve_Q9Y3F4_STRAP.pdf")</f>
        <v>Melting_Curves/meltCurve_Q9Y3F4_STRAP.pdf</v>
      </c>
    </row>
    <row r="5705" spans="1:28" x14ac:dyDescent="0.25">
      <c r="A5705" t="s">
        <v>5709</v>
      </c>
      <c r="B5705">
        <v>0.99996721820229495</v>
      </c>
      <c r="C5705">
        <v>1.02052912829306</v>
      </c>
      <c r="D5705">
        <v>1.08694360388974</v>
      </c>
      <c r="E5705">
        <v>1.4530095139266801</v>
      </c>
      <c r="F5705">
        <v>2.2500743002680101</v>
      </c>
      <c r="G5705">
        <v>1.8777798844115099</v>
      </c>
      <c r="H5705">
        <v>0.785701711715033</v>
      </c>
      <c r="I5705">
        <v>0.38034615046625703</v>
      </c>
      <c r="J5705">
        <v>0.184717531824655</v>
      </c>
      <c r="K5705">
        <v>0.16064461540202299</v>
      </c>
      <c r="L5705">
        <v>3583.6835435807102</v>
      </c>
      <c r="M5705">
        <v>57.305558782620402</v>
      </c>
      <c r="N5705">
        <v>63.000043836565801</v>
      </c>
      <c r="O5705">
        <v>62.460385786715896</v>
      </c>
      <c r="P5705">
        <v>-0.18990627554306899</v>
      </c>
      <c r="Q5705">
        <v>0.17204449343044101</v>
      </c>
      <c r="R5705">
        <v>0.41116877747289599</v>
      </c>
      <c r="S5705" t="s">
        <v>11531</v>
      </c>
      <c r="T5705" t="s">
        <v>11650</v>
      </c>
      <c r="U5705" t="s">
        <v>11650</v>
      </c>
      <c r="V5705" t="s">
        <v>11650</v>
      </c>
      <c r="W5705" t="s">
        <v>17295</v>
      </c>
      <c r="X5705">
        <v>9</v>
      </c>
      <c r="Y5705" t="s">
        <v>22946</v>
      </c>
      <c r="Z5705" t="s">
        <v>28767</v>
      </c>
      <c r="AA5705">
        <v>0.79566501001144219</v>
      </c>
      <c r="AB5705" t="str">
        <f>HYPERLINK("Melting_Curves/meltCurve_Q9Y3I0_C22orf28.pdf", "Melting_Curves/meltCurve_Q9Y3I0_C22orf28.pdf")</f>
        <v>Melting_Curves/meltCurve_Q9Y3I0_C22orf28.pdf</v>
      </c>
    </row>
    <row r="5706" spans="1:28" x14ac:dyDescent="0.25">
      <c r="A5706" t="s">
        <v>5710</v>
      </c>
      <c r="B5706">
        <v>0.99996721820229495</v>
      </c>
      <c r="C5706">
        <v>0.81159519278596104</v>
      </c>
      <c r="D5706">
        <v>0.61721115417906702</v>
      </c>
      <c r="E5706">
        <v>0.47743014477564399</v>
      </c>
      <c r="F5706">
        <v>0.45231867038960699</v>
      </c>
      <c r="G5706">
        <v>0.33138468737419702</v>
      </c>
      <c r="H5706">
        <v>0.19157953748385001</v>
      </c>
      <c r="I5706">
        <v>0.12726514853423601</v>
      </c>
      <c r="J5706">
        <v>0.10312660403393301</v>
      </c>
      <c r="K5706">
        <v>9.3921148866404999E-2</v>
      </c>
      <c r="L5706">
        <v>420.606905956763</v>
      </c>
      <c r="M5706">
        <v>8.3411749460426901</v>
      </c>
      <c r="N5706">
        <v>50.4849480933553</v>
      </c>
      <c r="O5706">
        <v>47.776681868709296</v>
      </c>
      <c r="P5706">
        <v>-4.3474921216638499E-2</v>
      </c>
      <c r="Q5706">
        <v>4.89781160213311E-3</v>
      </c>
      <c r="R5706">
        <v>0.973434802094305</v>
      </c>
      <c r="S5706" t="s">
        <v>11532</v>
      </c>
      <c r="T5706" t="s">
        <v>11650</v>
      </c>
      <c r="U5706" t="s">
        <v>11650</v>
      </c>
      <c r="V5706" t="s">
        <v>11650</v>
      </c>
      <c r="W5706" t="s">
        <v>17296</v>
      </c>
      <c r="X5706">
        <v>3</v>
      </c>
      <c r="Y5706" t="s">
        <v>22947</v>
      </c>
      <c r="Z5706" t="s">
        <v>28768</v>
      </c>
      <c r="AA5706">
        <v>0.40486419464152262</v>
      </c>
      <c r="AB5706" t="str">
        <f>HYPERLINK("Melting_Curves/meltCurve_Q9Y3I1_FBXO7.pdf", "Melting_Curves/meltCurve_Q9Y3I1_FBXO7.pdf")</f>
        <v>Melting_Curves/meltCurve_Q9Y3I1_FBXO7.pdf</v>
      </c>
    </row>
    <row r="5707" spans="1:28" x14ac:dyDescent="0.25">
      <c r="A5707" t="s">
        <v>5711</v>
      </c>
      <c r="B5707">
        <v>0.99996721820229495</v>
      </c>
      <c r="C5707">
        <v>0.89317196876890304</v>
      </c>
      <c r="D5707">
        <v>0.77957053413107602</v>
      </c>
      <c r="E5707">
        <v>0.90867834429924799</v>
      </c>
      <c r="F5707">
        <v>0.74961462000988399</v>
      </c>
      <c r="G5707">
        <v>0.37058911462667399</v>
      </c>
      <c r="H5707">
        <v>0.24568688060072599</v>
      </c>
      <c r="I5707">
        <v>0.17494014077499101</v>
      </c>
      <c r="J5707">
        <v>0.12743979204456399</v>
      </c>
      <c r="K5707">
        <v>0.112397084307962</v>
      </c>
      <c r="L5707">
        <v>835.72698499254204</v>
      </c>
      <c r="M5707">
        <v>15.0859336412554</v>
      </c>
      <c r="N5707">
        <v>55.883193289485902</v>
      </c>
      <c r="O5707">
        <v>54.451694866364498</v>
      </c>
      <c r="P5707">
        <v>-6.5015876779397894E-2</v>
      </c>
      <c r="Q5707">
        <v>6.1410434989797098E-2</v>
      </c>
      <c r="R5707">
        <v>0.95456174959161399</v>
      </c>
      <c r="S5707" t="s">
        <v>11533</v>
      </c>
      <c r="T5707" t="s">
        <v>11650</v>
      </c>
      <c r="U5707" t="s">
        <v>11650</v>
      </c>
      <c r="V5707" t="s">
        <v>11650</v>
      </c>
      <c r="W5707" t="s">
        <v>17297</v>
      </c>
      <c r="X5707">
        <v>9</v>
      </c>
      <c r="Y5707" t="s">
        <v>22948</v>
      </c>
      <c r="Z5707" t="s">
        <v>28769</v>
      </c>
      <c r="AA5707">
        <v>0.56061248995170598</v>
      </c>
      <c r="AB5707" t="str">
        <f>HYPERLINK("Melting_Curves/meltCurve_Q9Y3L3_SH3BP1.pdf", "Melting_Curves/meltCurve_Q9Y3L3_SH3BP1.pdf")</f>
        <v>Melting_Curves/meltCurve_Q9Y3L3_SH3BP1.pdf</v>
      </c>
    </row>
    <row r="5708" spans="1:28" x14ac:dyDescent="0.25">
      <c r="A5708" t="s">
        <v>5712</v>
      </c>
      <c r="B5708">
        <v>0.99996721820229495</v>
      </c>
      <c r="C5708">
        <v>0.83813226854747103</v>
      </c>
      <c r="D5708">
        <v>0.92806489344299103</v>
      </c>
      <c r="E5708">
        <v>0.90328263785034801</v>
      </c>
      <c r="F5708">
        <v>1.04907673238793</v>
      </c>
      <c r="G5708">
        <v>1.1024908612757001</v>
      </c>
      <c r="H5708">
        <v>0.74042029325745895</v>
      </c>
      <c r="I5708">
        <v>0.36863649927551301</v>
      </c>
      <c r="J5708">
        <v>0.251091309866525</v>
      </c>
      <c r="K5708">
        <v>0.17186966931401501</v>
      </c>
      <c r="L5708">
        <v>2885.2512938383202</v>
      </c>
      <c r="M5708">
        <v>46.454429331996799</v>
      </c>
      <c r="N5708">
        <v>62.788728128351501</v>
      </c>
      <c r="O5708">
        <v>61.994522437655903</v>
      </c>
      <c r="P5708">
        <v>-0.15032555298462799</v>
      </c>
      <c r="Q5708">
        <v>0.19754915549847299</v>
      </c>
      <c r="R5708">
        <v>0.94519898360066801</v>
      </c>
      <c r="S5708" t="s">
        <v>11534</v>
      </c>
      <c r="T5708" t="s">
        <v>11650</v>
      </c>
      <c r="U5708" t="s">
        <v>11650</v>
      </c>
      <c r="V5708" t="s">
        <v>11650</v>
      </c>
      <c r="W5708" t="s">
        <v>17298</v>
      </c>
      <c r="X5708">
        <v>5</v>
      </c>
      <c r="Y5708" t="s">
        <v>22949</v>
      </c>
      <c r="Z5708" t="s">
        <v>28770</v>
      </c>
      <c r="AA5708">
        <v>0.79123175204601559</v>
      </c>
      <c r="AB5708" t="str">
        <f>HYPERLINK("Melting_Curves/meltCurve_Q9Y3L5_RAP2C.pdf", "Melting_Curves/meltCurve_Q9Y3L5_RAP2C.pdf")</f>
        <v>Melting_Curves/meltCurve_Q9Y3L5_RAP2C.pdf</v>
      </c>
    </row>
    <row r="5709" spans="1:28" x14ac:dyDescent="0.25">
      <c r="A5709" t="s">
        <v>5713</v>
      </c>
      <c r="B5709">
        <v>0.99996721820229495</v>
      </c>
      <c r="C5709">
        <v>1.00774245153715</v>
      </c>
      <c r="D5709">
        <v>0.92156070126100698</v>
      </c>
      <c r="E5709">
        <v>0.78981870547009903</v>
      </c>
      <c r="F5709">
        <v>0.40591950648603398</v>
      </c>
      <c r="G5709">
        <v>0.28979761624664102</v>
      </c>
      <c r="H5709">
        <v>0.18489538407738099</v>
      </c>
      <c r="I5709">
        <v>0.126584963683611</v>
      </c>
      <c r="J5709">
        <v>9.3897869958041599E-2</v>
      </c>
      <c r="K5709">
        <v>7.9078944667461196E-2</v>
      </c>
      <c r="L5709">
        <v>1035.9469487818999</v>
      </c>
      <c r="M5709">
        <v>19.857146422279701</v>
      </c>
      <c r="N5709">
        <v>52.775983748946501</v>
      </c>
      <c r="O5709">
        <v>51.649524473693099</v>
      </c>
      <c r="P5709">
        <v>-8.6319717423257294E-2</v>
      </c>
      <c r="Q5709">
        <v>0.10194082991629699</v>
      </c>
      <c r="R5709">
        <v>0.98976411350708704</v>
      </c>
      <c r="S5709" t="s">
        <v>11535</v>
      </c>
      <c r="T5709" t="s">
        <v>11650</v>
      </c>
      <c r="U5709" t="s">
        <v>11650</v>
      </c>
      <c r="V5709" t="s">
        <v>11650</v>
      </c>
      <c r="W5709" t="s">
        <v>17299</v>
      </c>
      <c r="X5709">
        <v>8</v>
      </c>
      <c r="Y5709" t="s">
        <v>22950</v>
      </c>
      <c r="Z5709" t="s">
        <v>28771</v>
      </c>
      <c r="AA5709">
        <v>0.47883058350966351</v>
      </c>
      <c r="AB5709" t="str">
        <f>HYPERLINK("Melting_Curves/meltCurve_Q9Y3M8_3_STARD13.pdf", "Melting_Curves/meltCurve_Q9Y3M8_3_STARD13.pdf")</f>
        <v>Melting_Curves/meltCurve_Q9Y3M8_3_STARD13.pdf</v>
      </c>
    </row>
    <row r="5710" spans="1:28" x14ac:dyDescent="0.25">
      <c r="A5710" t="s">
        <v>5714</v>
      </c>
      <c r="B5710">
        <v>0.99996721820229495</v>
      </c>
      <c r="C5710">
        <v>0.66153362825794504</v>
      </c>
      <c r="D5710">
        <v>0.61851861510650796</v>
      </c>
      <c r="E5710">
        <v>0.72444441539248905</v>
      </c>
      <c r="F5710">
        <v>0.89019752980074696</v>
      </c>
      <c r="G5710">
        <v>0.62352026464627996</v>
      </c>
      <c r="H5710">
        <v>0.54142048094727302</v>
      </c>
      <c r="I5710">
        <v>0.41511092857538401</v>
      </c>
      <c r="J5710">
        <v>0.39587339569951702</v>
      </c>
      <c r="K5710">
        <v>0.39051199347950599</v>
      </c>
      <c r="L5710">
        <v>217.17987158279701</v>
      </c>
      <c r="M5710">
        <v>3.4662605612891801</v>
      </c>
      <c r="N5710">
        <v>62.655384910503798</v>
      </c>
      <c r="O5710">
        <v>48.942576509342999</v>
      </c>
      <c r="P5710">
        <v>-1.8062097859479601E-2</v>
      </c>
      <c r="Q5710">
        <v>0</v>
      </c>
      <c r="R5710">
        <v>0.64501858675619295</v>
      </c>
      <c r="S5710" t="s">
        <v>11536</v>
      </c>
      <c r="T5710" t="s">
        <v>11650</v>
      </c>
      <c r="U5710" t="s">
        <v>11650</v>
      </c>
      <c r="V5710" t="s">
        <v>11650</v>
      </c>
      <c r="W5710" t="s">
        <v>17300</v>
      </c>
      <c r="X5710">
        <v>1</v>
      </c>
      <c r="Y5710" t="s">
        <v>22951</v>
      </c>
      <c r="Z5710" t="s">
        <v>28772</v>
      </c>
      <c r="AA5710">
        <v>0.62820541010423125</v>
      </c>
      <c r="AB5710" t="str">
        <f>HYPERLINK("Melting_Curves/meltCurve_Q9Y3P4_RHBDD3.pdf", "Melting_Curves/meltCurve_Q9Y3P4_RHBDD3.pdf")</f>
        <v>Melting_Curves/meltCurve_Q9Y3P4_RHBDD3.pdf</v>
      </c>
    </row>
    <row r="5711" spans="1:28" x14ac:dyDescent="0.25">
      <c r="A5711" t="s">
        <v>5715</v>
      </c>
      <c r="B5711">
        <v>0.99996721820229495</v>
      </c>
      <c r="C5711">
        <v>0.995771973370282</v>
      </c>
      <c r="D5711">
        <v>1.0306093381364501</v>
      </c>
      <c r="E5711">
        <v>0.98882832658977804</v>
      </c>
      <c r="F5711">
        <v>0.498298715394629</v>
      </c>
      <c r="G5711">
        <v>0.405122732918824</v>
      </c>
      <c r="H5711">
        <v>0.241902558731769</v>
      </c>
      <c r="I5711">
        <v>0.15746444267178</v>
      </c>
      <c r="J5711">
        <v>0.124395971611614</v>
      </c>
      <c r="K5711">
        <v>9.9131240078734001E-2</v>
      </c>
      <c r="L5711">
        <v>1185.97967830727</v>
      </c>
      <c r="M5711">
        <v>22.0551741090114</v>
      </c>
      <c r="N5711">
        <v>54.556970324520201</v>
      </c>
      <c r="O5711">
        <v>53.337087825202801</v>
      </c>
      <c r="P5711">
        <v>-8.9343667033761995E-2</v>
      </c>
      <c r="Q5711">
        <v>0.13576276327362199</v>
      </c>
      <c r="R5711">
        <v>0.96753126751345297</v>
      </c>
      <c r="S5711" t="s">
        <v>11537</v>
      </c>
      <c r="T5711" t="s">
        <v>11650</v>
      </c>
      <c r="U5711" t="s">
        <v>11650</v>
      </c>
      <c r="V5711" t="s">
        <v>11650</v>
      </c>
      <c r="W5711" t="s">
        <v>17301</v>
      </c>
      <c r="X5711">
        <v>31</v>
      </c>
      <c r="Y5711" t="s">
        <v>22952</v>
      </c>
      <c r="Z5711" t="s">
        <v>28773</v>
      </c>
      <c r="AA5711">
        <v>0.54253871324347103</v>
      </c>
      <c r="AB5711" t="str">
        <f>HYPERLINK("Melting_Curves/meltCurve_Q9Y3P9_RABGAP1.pdf", "Melting_Curves/meltCurve_Q9Y3P9_RABGAP1.pdf")</f>
        <v>Melting_Curves/meltCurve_Q9Y3P9_RABGAP1.pdf</v>
      </c>
    </row>
    <row r="5712" spans="1:28" x14ac:dyDescent="0.25">
      <c r="A5712" t="s">
        <v>5716</v>
      </c>
      <c r="B5712">
        <v>0.99996721820229495</v>
      </c>
      <c r="C5712">
        <v>0.82085210650166895</v>
      </c>
      <c r="D5712">
        <v>1.09492119842673</v>
      </c>
      <c r="E5712">
        <v>1.0190344321837901</v>
      </c>
      <c r="F5712">
        <v>0.492439142685972</v>
      </c>
      <c r="G5712">
        <v>0.31991750153085502</v>
      </c>
      <c r="H5712">
        <v>0.22412739546709801</v>
      </c>
      <c r="I5712">
        <v>0.21909516209035901</v>
      </c>
      <c r="J5712">
        <v>0.25363574975402797</v>
      </c>
      <c r="K5712">
        <v>0.17120906856697801</v>
      </c>
      <c r="L5712">
        <v>13213.484493451</v>
      </c>
      <c r="M5712">
        <v>250</v>
      </c>
      <c r="N5712">
        <v>52.9905968536318</v>
      </c>
      <c r="O5712">
        <v>52.850579502050998</v>
      </c>
      <c r="P5712">
        <v>-0.90160243034588505</v>
      </c>
      <c r="Q5712">
        <v>0.23759696744449299</v>
      </c>
      <c r="R5712">
        <v>0.95873049990693404</v>
      </c>
      <c r="S5712" t="s">
        <v>11538</v>
      </c>
      <c r="T5712" t="s">
        <v>11650</v>
      </c>
      <c r="U5712" t="s">
        <v>11650</v>
      </c>
      <c r="V5712" t="s">
        <v>11650</v>
      </c>
      <c r="W5712" t="s">
        <v>17302</v>
      </c>
      <c r="X5712">
        <v>4</v>
      </c>
      <c r="Y5712" t="s">
        <v>22953</v>
      </c>
      <c r="Z5712" t="s">
        <v>28774</v>
      </c>
      <c r="AA5712">
        <v>0.5643303960188496</v>
      </c>
      <c r="AB5712" t="str">
        <f>HYPERLINK("Melting_Curves/meltCurve_Q9Y3Q3_TMED3.pdf", "Melting_Curves/meltCurve_Q9Y3Q3_TMED3.pdf")</f>
        <v>Melting_Curves/meltCurve_Q9Y3Q3_TMED3.pdf</v>
      </c>
    </row>
    <row r="5713" spans="1:28" x14ac:dyDescent="0.25">
      <c r="A5713" t="s">
        <v>5717</v>
      </c>
      <c r="B5713">
        <v>0.99996721820229495</v>
      </c>
      <c r="C5713">
        <v>0.99195654260528598</v>
      </c>
      <c r="D5713">
        <v>0.95328832930798901</v>
      </c>
      <c r="E5713">
        <v>0.91499228734750304</v>
      </c>
      <c r="F5713">
        <v>0.81722964972359602</v>
      </c>
      <c r="G5713">
        <v>0.58843889137455996</v>
      </c>
      <c r="H5713">
        <v>0.38259305528487503</v>
      </c>
      <c r="I5713">
        <v>0.281667573306492</v>
      </c>
      <c r="J5713">
        <v>0.21541193915943499</v>
      </c>
      <c r="K5713">
        <v>0.19067318277262499</v>
      </c>
      <c r="L5713">
        <v>866.62388171556302</v>
      </c>
      <c r="M5713">
        <v>15.0917607469513</v>
      </c>
      <c r="N5713">
        <v>58.596364976857899</v>
      </c>
      <c r="O5713">
        <v>56.443712656257603</v>
      </c>
      <c r="P5713">
        <v>-5.81371592987448E-2</v>
      </c>
      <c r="Q5713">
        <v>0.13034575361581699</v>
      </c>
      <c r="R5713">
        <v>0.99915007674920098</v>
      </c>
      <c r="S5713" t="s">
        <v>11539</v>
      </c>
      <c r="T5713" t="s">
        <v>11650</v>
      </c>
      <c r="U5713" t="s">
        <v>11650</v>
      </c>
      <c r="V5713" t="s">
        <v>11650</v>
      </c>
      <c r="W5713" t="s">
        <v>17303</v>
      </c>
      <c r="X5713">
        <v>9</v>
      </c>
      <c r="Y5713" t="s">
        <v>22954</v>
      </c>
      <c r="Z5713" t="s">
        <v>28775</v>
      </c>
      <c r="AA5713">
        <v>0.64832846230814445</v>
      </c>
      <c r="AB5713" t="str">
        <f>HYPERLINK("Melting_Curves/meltCurve_Q9Y3Q8_TSC22D4.pdf", "Melting_Curves/meltCurve_Q9Y3Q8_TSC22D4.pdf")</f>
        <v>Melting_Curves/meltCurve_Q9Y3Q8_TSC22D4.pdf</v>
      </c>
    </row>
    <row r="5714" spans="1:28" x14ac:dyDescent="0.25">
      <c r="A5714" t="s">
        <v>5718</v>
      </c>
      <c r="B5714">
        <v>0.99996721820229495</v>
      </c>
      <c r="C5714">
        <v>0.97116613885768099</v>
      </c>
      <c r="D5714">
        <v>0.79241958271924495</v>
      </c>
      <c r="E5714">
        <v>0.67949974173328598</v>
      </c>
      <c r="F5714">
        <v>0.704885100320219</v>
      </c>
      <c r="G5714">
        <v>0.64253857271169901</v>
      </c>
      <c r="H5714">
        <v>0.43257288741196298</v>
      </c>
      <c r="I5714">
        <v>0.27612847914030503</v>
      </c>
      <c r="J5714">
        <v>0.20820327715980599</v>
      </c>
      <c r="K5714">
        <v>0.13604339240406499</v>
      </c>
      <c r="L5714">
        <v>461.28753018717299</v>
      </c>
      <c r="M5714">
        <v>8.0007068592263604</v>
      </c>
      <c r="N5714">
        <v>57.655855129723001</v>
      </c>
      <c r="O5714">
        <v>54.388301653577699</v>
      </c>
      <c r="P5714">
        <v>-3.6817441545636501E-2</v>
      </c>
      <c r="Q5714">
        <v>0</v>
      </c>
      <c r="R5714">
        <v>0.95029244752108599</v>
      </c>
      <c r="S5714" t="s">
        <v>11540</v>
      </c>
      <c r="T5714" t="s">
        <v>11650</v>
      </c>
      <c r="U5714" t="s">
        <v>11650</v>
      </c>
      <c r="V5714" t="s">
        <v>11650</v>
      </c>
      <c r="W5714" t="s">
        <v>17304</v>
      </c>
      <c r="X5714">
        <v>6</v>
      </c>
      <c r="Y5714" t="s">
        <v>22955</v>
      </c>
      <c r="Z5714" t="s">
        <v>28776</v>
      </c>
      <c r="AA5714">
        <v>0.59507634849448887</v>
      </c>
      <c r="AB5714" t="str">
        <f>HYPERLINK("Melting_Curves/meltCurve_Q9Y3S2_ZNF330.pdf", "Melting_Curves/meltCurve_Q9Y3S2_ZNF330.pdf")</f>
        <v>Melting_Curves/meltCurve_Q9Y3S2_ZNF330.pdf</v>
      </c>
    </row>
    <row r="5715" spans="1:28" x14ac:dyDescent="0.25">
      <c r="A5715" t="s">
        <v>5719</v>
      </c>
      <c r="B5715">
        <v>0.99996721820229495</v>
      </c>
      <c r="C5715">
        <v>0.90636026480181797</v>
      </c>
      <c r="D5715">
        <v>0.83877042058892504</v>
      </c>
      <c r="E5715">
        <v>0.60043277277189</v>
      </c>
      <c r="F5715">
        <v>0.36428691261213503</v>
      </c>
      <c r="G5715">
        <v>0.27790280774690701</v>
      </c>
      <c r="H5715">
        <v>0.109916731934871</v>
      </c>
      <c r="I5715">
        <v>4.48642484930563E-2</v>
      </c>
      <c r="J5715">
        <v>1.5876314681173401E-2</v>
      </c>
      <c r="K5715">
        <v>1.2071041220106601E-2</v>
      </c>
      <c r="L5715">
        <v>682.06608378196495</v>
      </c>
      <c r="M5715">
        <v>13.261370187382401</v>
      </c>
      <c r="N5715">
        <v>51.432549920580897</v>
      </c>
      <c r="O5715">
        <v>50.305218994348401</v>
      </c>
      <c r="P5715">
        <v>-6.5915318704185197E-2</v>
      </c>
      <c r="Q5715">
        <v>0</v>
      </c>
      <c r="R5715">
        <v>0.99379580678857404</v>
      </c>
      <c r="S5715" t="s">
        <v>11541</v>
      </c>
      <c r="T5715" t="s">
        <v>11650</v>
      </c>
      <c r="U5715" t="s">
        <v>11650</v>
      </c>
      <c r="V5715" t="s">
        <v>11650</v>
      </c>
      <c r="W5715" t="s">
        <v>17305</v>
      </c>
      <c r="X5715">
        <v>3</v>
      </c>
      <c r="Y5715" t="s">
        <v>22956</v>
      </c>
      <c r="Z5715" t="s">
        <v>28777</v>
      </c>
      <c r="AA5715">
        <v>0.40862870330070028</v>
      </c>
      <c r="AB5715" t="str">
        <f>HYPERLINK("Melting_Curves/meltCurve_Q9Y3T6_R3HCC1.pdf", "Melting_Curves/meltCurve_Q9Y3T6_R3HCC1.pdf")</f>
        <v>Melting_Curves/meltCurve_Q9Y3T6_R3HCC1.pdf</v>
      </c>
    </row>
    <row r="5716" spans="1:28" x14ac:dyDescent="0.25">
      <c r="A5716" t="s">
        <v>5720</v>
      </c>
      <c r="B5716">
        <v>0.99996721820229495</v>
      </c>
      <c r="C5716">
        <v>1.1097337667133</v>
      </c>
      <c r="D5716">
        <v>0.88552502960835699</v>
      </c>
      <c r="E5716">
        <v>0.69410461205065099</v>
      </c>
      <c r="F5716">
        <v>0.45708818589017602</v>
      </c>
      <c r="G5716">
        <v>0.30314613068829799</v>
      </c>
      <c r="H5716">
        <v>0.21656833654214</v>
      </c>
      <c r="I5716">
        <v>0.20027601649369101</v>
      </c>
      <c r="J5716">
        <v>0.122264175179503</v>
      </c>
      <c r="K5716">
        <v>9.4046809997669498E-2</v>
      </c>
      <c r="L5716">
        <v>885.18818889954196</v>
      </c>
      <c r="M5716">
        <v>17.076343471778198</v>
      </c>
      <c r="N5716">
        <v>52.748372416330596</v>
      </c>
      <c r="O5716">
        <v>51.141876242417801</v>
      </c>
      <c r="P5716">
        <v>-7.2817136165041305E-2</v>
      </c>
      <c r="Q5716">
        <v>0.12773390442591201</v>
      </c>
      <c r="R5716">
        <v>0.98149674521218699</v>
      </c>
      <c r="S5716" t="s">
        <v>11542</v>
      </c>
      <c r="T5716" t="s">
        <v>11650</v>
      </c>
      <c r="U5716" t="s">
        <v>11650</v>
      </c>
      <c r="V5716" t="s">
        <v>11650</v>
      </c>
      <c r="W5716" t="s">
        <v>17306</v>
      </c>
      <c r="X5716">
        <v>6</v>
      </c>
      <c r="Y5716" t="s">
        <v>22957</v>
      </c>
      <c r="Z5716" t="s">
        <v>28778</v>
      </c>
      <c r="AA5716">
        <v>0.48781324018921718</v>
      </c>
      <c r="AB5716" t="str">
        <f>HYPERLINK("Melting_Curves/meltCurve_Q9Y3T9_NOC2L.pdf", "Melting_Curves/meltCurve_Q9Y3T9_NOC2L.pdf")</f>
        <v>Melting_Curves/meltCurve_Q9Y3T9_NOC2L.pdf</v>
      </c>
    </row>
    <row r="5717" spans="1:28" x14ac:dyDescent="0.25">
      <c r="A5717" t="s">
        <v>5721</v>
      </c>
      <c r="B5717">
        <v>0.99996721820229495</v>
      </c>
      <c r="C5717">
        <v>0.810559404515099</v>
      </c>
      <c r="D5717">
        <v>0.91639375622733699</v>
      </c>
      <c r="E5717">
        <v>2.1437249308408499</v>
      </c>
      <c r="F5717">
        <v>1.8639488710536101</v>
      </c>
      <c r="G5717">
        <v>1.52497851348803</v>
      </c>
      <c r="H5717">
        <v>1.0057261696545701</v>
      </c>
      <c r="I5717">
        <v>0.551085153336901</v>
      </c>
      <c r="J5717">
        <v>0.201606029779452</v>
      </c>
      <c r="K5717">
        <v>0.41247356570875399</v>
      </c>
      <c r="L5717">
        <v>15000</v>
      </c>
      <c r="M5717">
        <v>234.984510959255</v>
      </c>
      <c r="N5717">
        <v>64.093690293568798</v>
      </c>
      <c r="O5717">
        <v>63.829371002916801</v>
      </c>
      <c r="P5717">
        <v>-0.63777632589726696</v>
      </c>
      <c r="Q5717">
        <v>0.30703753251475402</v>
      </c>
      <c r="R5717">
        <v>0.32311262694447002</v>
      </c>
      <c r="S5717" t="s">
        <v>11543</v>
      </c>
      <c r="T5717" t="s">
        <v>11650</v>
      </c>
      <c r="U5717" t="s">
        <v>11650</v>
      </c>
      <c r="V5717" t="s">
        <v>11650</v>
      </c>
      <c r="W5717" t="s">
        <v>17307</v>
      </c>
      <c r="X5717">
        <v>4</v>
      </c>
      <c r="Y5717" t="s">
        <v>22958</v>
      </c>
      <c r="Z5717" t="s">
        <v>28779</v>
      </c>
      <c r="AA5717">
        <v>0.85766086082147786</v>
      </c>
      <c r="AB5717" t="str">
        <f>HYPERLINK("Melting_Curves/meltCurve_Q9Y3U8_RPL36.pdf", "Melting_Curves/meltCurve_Q9Y3U8_RPL36.pdf")</f>
        <v>Melting_Curves/meltCurve_Q9Y3U8_RPL36.pdf</v>
      </c>
    </row>
    <row r="5718" spans="1:28" x14ac:dyDescent="0.25">
      <c r="A5718" t="s">
        <v>5722</v>
      </c>
      <c r="B5718">
        <v>0.99996721820229495</v>
      </c>
      <c r="C5718">
        <v>0.85872070160034697</v>
      </c>
      <c r="D5718">
        <v>0.83473615646130395</v>
      </c>
      <c r="E5718">
        <v>1.03355104021788</v>
      </c>
      <c r="F5718">
        <v>1.2158409295132699</v>
      </c>
      <c r="G5718">
        <v>1.16331935703082</v>
      </c>
      <c r="H5718">
        <v>1.25158144954606</v>
      </c>
      <c r="I5718">
        <v>1.0243796269302601</v>
      </c>
      <c r="J5718">
        <v>0.87847427861338101</v>
      </c>
      <c r="K5718">
        <v>1.1102441960592999</v>
      </c>
      <c r="L5718">
        <v>12539.3828741008</v>
      </c>
      <c r="M5718">
        <v>250</v>
      </c>
      <c r="O5718">
        <v>50.154321514678799</v>
      </c>
      <c r="P5718">
        <v>0.13372053282728</v>
      </c>
      <c r="Q5718">
        <v>1.10730660191602</v>
      </c>
      <c r="R5718">
        <v>0.28413956704912202</v>
      </c>
      <c r="S5718" t="s">
        <v>11544</v>
      </c>
      <c r="T5718" t="s">
        <v>11650</v>
      </c>
      <c r="U5718" t="s">
        <v>11650</v>
      </c>
      <c r="V5718" t="s">
        <v>11650</v>
      </c>
      <c r="W5718" t="s">
        <v>17308</v>
      </c>
      <c r="X5718">
        <v>18</v>
      </c>
      <c r="Y5718" t="s">
        <v>22959</v>
      </c>
      <c r="Z5718" t="s">
        <v>28780</v>
      </c>
      <c r="AA5718">
        <v>1.070964816554163</v>
      </c>
      <c r="AB5718" t="str">
        <f>HYPERLINK("Melting_Curves/meltCurve_Q9Y3X0_CCDC9.pdf", "Melting_Curves/meltCurve_Q9Y3X0_CCDC9.pdf")</f>
        <v>Melting_Curves/meltCurve_Q9Y3X0_CCDC9.pdf</v>
      </c>
    </row>
    <row r="5719" spans="1:28" x14ac:dyDescent="0.25">
      <c r="A5719" t="s">
        <v>5723</v>
      </c>
      <c r="B5719">
        <v>0.99996721820229495</v>
      </c>
      <c r="C5719">
        <v>0.89959733278948195</v>
      </c>
      <c r="D5719">
        <v>0.74790538507521798</v>
      </c>
      <c r="E5719">
        <v>1.50340802524488</v>
      </c>
      <c r="F5719">
        <v>1.1843279956452999</v>
      </c>
      <c r="G5719">
        <v>0.46033179954039899</v>
      </c>
      <c r="H5719">
        <v>0.67262562772376899</v>
      </c>
      <c r="I5719">
        <v>1.2265357104019501</v>
      </c>
      <c r="J5719">
        <v>1.21596502242733</v>
      </c>
      <c r="K5719">
        <v>1.5869013480354901</v>
      </c>
      <c r="L5719">
        <v>3162.73838706367</v>
      </c>
      <c r="M5719">
        <v>47.711165307574497</v>
      </c>
      <c r="O5719">
        <v>66.173130010516104</v>
      </c>
      <c r="P5719">
        <v>9.0125734329374402E-2</v>
      </c>
      <c r="Q5719">
        <v>1.5</v>
      </c>
      <c r="R5719">
        <v>0.31030300981366699</v>
      </c>
      <c r="S5719" t="s">
        <v>11545</v>
      </c>
      <c r="T5719" t="s">
        <v>11650</v>
      </c>
      <c r="U5719" t="s">
        <v>11650</v>
      </c>
      <c r="V5719" t="s">
        <v>11650</v>
      </c>
      <c r="W5719" t="s">
        <v>17309</v>
      </c>
      <c r="X5719">
        <v>1</v>
      </c>
      <c r="Y5719" t="s">
        <v>22960</v>
      </c>
      <c r="Z5719" t="s">
        <v>28781</v>
      </c>
      <c r="AA5719">
        <v>1.0623155274689531</v>
      </c>
      <c r="AB5719" t="str">
        <f>HYPERLINK("Melting_Curves/meltCurve_Q9Y3Y4_PYGO1.pdf", "Melting_Curves/meltCurve_Q9Y3Y4_PYGO1.pdf")</f>
        <v>Melting_Curves/meltCurve_Q9Y3Y4_PYGO1.pdf</v>
      </c>
    </row>
    <row r="5720" spans="1:28" x14ac:dyDescent="0.25">
      <c r="A5720" t="s">
        <v>5724</v>
      </c>
      <c r="B5720">
        <v>0.99996721820229495</v>
      </c>
      <c r="C5720">
        <v>0.96331837491583205</v>
      </c>
      <c r="D5720">
        <v>0.82533575734992004</v>
      </c>
      <c r="E5720">
        <v>0.78179562654288604</v>
      </c>
      <c r="F5720">
        <v>0.73836415372278297</v>
      </c>
      <c r="G5720">
        <v>0.76895956823354195</v>
      </c>
      <c r="H5720">
        <v>0.38470979360459201</v>
      </c>
      <c r="I5720">
        <v>0.20422343165097201</v>
      </c>
      <c r="J5720">
        <v>0.160443548637723</v>
      </c>
      <c r="K5720">
        <v>0.121406475775978</v>
      </c>
      <c r="L5720">
        <v>651.38339221993999</v>
      </c>
      <c r="M5720">
        <v>11.114367993000201</v>
      </c>
      <c r="N5720">
        <v>58.607303221075803</v>
      </c>
      <c r="O5720">
        <v>56.806009410828899</v>
      </c>
      <c r="P5720">
        <v>-4.8929556194478398E-2</v>
      </c>
      <c r="Q5720">
        <v>0</v>
      </c>
      <c r="R5720">
        <v>0.93292523272941696</v>
      </c>
      <c r="S5720" t="s">
        <v>11546</v>
      </c>
      <c r="T5720" t="s">
        <v>11650</v>
      </c>
      <c r="U5720" t="s">
        <v>11650</v>
      </c>
      <c r="V5720" t="s">
        <v>11650</v>
      </c>
      <c r="W5720" t="s">
        <v>17310</v>
      </c>
      <c r="X5720">
        <v>8</v>
      </c>
      <c r="Y5720" t="s">
        <v>22961</v>
      </c>
      <c r="Z5720" t="s">
        <v>28782</v>
      </c>
      <c r="AA5720">
        <v>0.62877182791874797</v>
      </c>
      <c r="AB5720" t="str">
        <f>HYPERLINK("Melting_Curves/meltCurve_Q9Y3Z3_4_SAMHD1.pdf", "Melting_Curves/meltCurve_Q9Y3Z3_4_SAMHD1.pdf")</f>
        <v>Melting_Curves/meltCurve_Q9Y3Z3_4_SAMHD1.pdf</v>
      </c>
    </row>
    <row r="5721" spans="1:28" x14ac:dyDescent="0.25">
      <c r="A5721" t="s">
        <v>5725</v>
      </c>
      <c r="B5721">
        <v>0.99996721820229495</v>
      </c>
      <c r="C5721">
        <v>0.84263697346757205</v>
      </c>
      <c r="D5721">
        <v>0.76001299081175</v>
      </c>
      <c r="E5721">
        <v>0.82428317560570596</v>
      </c>
      <c r="F5721">
        <v>0.35143283563709898</v>
      </c>
      <c r="G5721">
        <v>0.25055039472979102</v>
      </c>
      <c r="H5721">
        <v>0.19815624957842301</v>
      </c>
      <c r="I5721">
        <v>0.12840731085281001</v>
      </c>
      <c r="J5721">
        <v>0.10617674622221999</v>
      </c>
      <c r="K5721">
        <v>0.141347279641549</v>
      </c>
      <c r="L5721">
        <v>662.72876146093699</v>
      </c>
      <c r="M5721">
        <v>12.845386370556399</v>
      </c>
      <c r="N5721">
        <v>52.2146332232304</v>
      </c>
      <c r="O5721">
        <v>50.390334605785903</v>
      </c>
      <c r="P5721">
        <v>-5.9219965595189099E-2</v>
      </c>
      <c r="Q5721">
        <v>7.0931278455164296E-2</v>
      </c>
      <c r="R5721">
        <v>0.93958991753212995</v>
      </c>
      <c r="S5721" t="s">
        <v>11547</v>
      </c>
      <c r="T5721" t="s">
        <v>11650</v>
      </c>
      <c r="U5721" t="s">
        <v>11650</v>
      </c>
      <c r="V5721" t="s">
        <v>11650</v>
      </c>
      <c r="W5721" t="s">
        <v>17311</v>
      </c>
      <c r="X5721">
        <v>17</v>
      </c>
      <c r="Y5721" t="s">
        <v>22962</v>
      </c>
      <c r="Z5721" t="s">
        <v>28783</v>
      </c>
      <c r="AA5721">
        <v>0.45652499888890818</v>
      </c>
      <c r="AB5721" t="str">
        <f>HYPERLINK("Melting_Curves/meltCurve_Q9Y450_4_HBS1L.pdf", "Melting_Curves/meltCurve_Q9Y450_4_HBS1L.pdf")</f>
        <v>Melting_Curves/meltCurve_Q9Y450_4_HBS1L.pdf</v>
      </c>
    </row>
    <row r="5722" spans="1:28" x14ac:dyDescent="0.25">
      <c r="A5722" t="s">
        <v>5726</v>
      </c>
      <c r="B5722">
        <v>0.99996721820229495</v>
      </c>
      <c r="C5722">
        <v>1.13582818201673</v>
      </c>
      <c r="D5722">
        <v>1.2903260695212699</v>
      </c>
      <c r="E5722">
        <v>1.38084971406912</v>
      </c>
      <c r="F5722">
        <v>0.82121065397371695</v>
      </c>
      <c r="G5722">
        <v>0.64978019807228704</v>
      </c>
      <c r="H5722">
        <v>0.32165186752687602</v>
      </c>
      <c r="I5722">
        <v>0.13979762416795</v>
      </c>
      <c r="J5722">
        <v>0.105341634221828</v>
      </c>
      <c r="K5722">
        <v>7.7355163733122498E-2</v>
      </c>
      <c r="L5722">
        <v>1516.9656117202901</v>
      </c>
      <c r="M5722">
        <v>26.060360135836401</v>
      </c>
      <c r="N5722">
        <v>58.567767993388799</v>
      </c>
      <c r="O5722">
        <v>57.870180507107797</v>
      </c>
      <c r="P5722">
        <v>-0.104291628442059</v>
      </c>
      <c r="Q5722">
        <v>7.3641883560135499E-2</v>
      </c>
      <c r="R5722">
        <v>0.88199281450753797</v>
      </c>
      <c r="S5722" t="s">
        <v>11548</v>
      </c>
      <c r="T5722" t="s">
        <v>11650</v>
      </c>
      <c r="U5722" t="s">
        <v>11650</v>
      </c>
      <c r="V5722" t="s">
        <v>11650</v>
      </c>
      <c r="W5722" t="s">
        <v>17312</v>
      </c>
      <c r="X5722">
        <v>2</v>
      </c>
      <c r="Y5722" t="s">
        <v>22963</v>
      </c>
      <c r="Z5722" t="s">
        <v>28784</v>
      </c>
      <c r="AA5722">
        <v>0.64346168429696016</v>
      </c>
      <c r="AB5722" t="str">
        <f>HYPERLINK("Melting_Curves/meltCurve_Q9Y478_PRKAB1.pdf", "Melting_Curves/meltCurve_Q9Y478_PRKAB1.pdf")</f>
        <v>Melting_Curves/meltCurve_Q9Y478_PRKAB1.pdf</v>
      </c>
    </row>
    <row r="5723" spans="1:28" x14ac:dyDescent="0.25">
      <c r="A5723" t="s">
        <v>5727</v>
      </c>
      <c r="B5723">
        <v>0.99996721820229495</v>
      </c>
      <c r="C5723">
        <v>0.94120546671875704</v>
      </c>
      <c r="D5723">
        <v>1.10504036530422</v>
      </c>
      <c r="E5723">
        <v>1.3364112183643799</v>
      </c>
      <c r="F5723">
        <v>0.65298029236666599</v>
      </c>
      <c r="G5723">
        <v>0.49811094940342598</v>
      </c>
      <c r="H5723">
        <v>0.26450083779479999</v>
      </c>
      <c r="I5723">
        <v>0.18176270348956799</v>
      </c>
      <c r="J5723">
        <v>0.13324573554149299</v>
      </c>
      <c r="K5723">
        <v>0.104955100862103</v>
      </c>
      <c r="L5723">
        <v>1445.6301594051799</v>
      </c>
      <c r="M5723">
        <v>25.852999929184101</v>
      </c>
      <c r="N5723">
        <v>56.614982223866598</v>
      </c>
      <c r="O5723">
        <v>55.585956106979999</v>
      </c>
      <c r="P5723">
        <v>-0.100414711827316</v>
      </c>
      <c r="Q5723">
        <v>0.13641236587410399</v>
      </c>
      <c r="R5723">
        <v>0.89504507154491197</v>
      </c>
      <c r="S5723" t="s">
        <v>11549</v>
      </c>
      <c r="T5723" t="s">
        <v>11650</v>
      </c>
      <c r="U5723" t="s">
        <v>11650</v>
      </c>
      <c r="V5723" t="s">
        <v>11650</v>
      </c>
      <c r="W5723" t="s">
        <v>17313</v>
      </c>
      <c r="X5723">
        <v>150</v>
      </c>
      <c r="Y5723" t="s">
        <v>22964</v>
      </c>
      <c r="Z5723" t="s">
        <v>28785</v>
      </c>
      <c r="AA5723">
        <v>0.60211053794701208</v>
      </c>
      <c r="AB5723" t="str">
        <f>HYPERLINK("Melting_Curves/meltCurve_Q9Y490_TLN1.pdf", "Melting_Curves/meltCurve_Q9Y490_TLN1.pdf")</f>
        <v>Melting_Curves/meltCurve_Q9Y490_TLN1.pdf</v>
      </c>
    </row>
    <row r="5724" spans="1:28" x14ac:dyDescent="0.25">
      <c r="A5724" t="s">
        <v>5728</v>
      </c>
      <c r="B5724">
        <v>0.99996721820229495</v>
      </c>
      <c r="C5724">
        <v>1.00011935134245</v>
      </c>
      <c r="D5724">
        <v>0.90653350150564704</v>
      </c>
      <c r="E5724">
        <v>0.86829484527765599</v>
      </c>
      <c r="F5724">
        <v>1.00328090776422</v>
      </c>
      <c r="G5724">
        <v>0.80976682374414399</v>
      </c>
      <c r="H5724">
        <v>0.56323722439815604</v>
      </c>
      <c r="I5724">
        <v>0.53892949257757805</v>
      </c>
      <c r="J5724">
        <v>0.49392044608302299</v>
      </c>
      <c r="K5724">
        <v>0.372584993360768</v>
      </c>
      <c r="L5724">
        <v>874.11872501606797</v>
      </c>
      <c r="M5724">
        <v>14.542725480720099</v>
      </c>
      <c r="N5724">
        <v>64.775601993512197</v>
      </c>
      <c r="O5724">
        <v>59.004698061259496</v>
      </c>
      <c r="P5724">
        <v>-4.16140869023243E-2</v>
      </c>
      <c r="Q5724">
        <v>0.324707967078672</v>
      </c>
      <c r="R5724">
        <v>0.93794914049488798</v>
      </c>
      <c r="S5724" t="s">
        <v>11550</v>
      </c>
      <c r="T5724" t="s">
        <v>11650</v>
      </c>
      <c r="U5724" t="s">
        <v>11650</v>
      </c>
      <c r="V5724" t="s">
        <v>11650</v>
      </c>
      <c r="W5724" t="s">
        <v>17314</v>
      </c>
      <c r="X5724">
        <v>5</v>
      </c>
      <c r="Y5724" t="s">
        <v>22965</v>
      </c>
      <c r="Z5724" t="s">
        <v>28786</v>
      </c>
      <c r="AA5724">
        <v>0.78135435827494837</v>
      </c>
      <c r="AB5724" t="str">
        <f>HYPERLINK("Melting_Curves/meltCurve_Q9Y4B5_SOGA2.pdf", "Melting_Curves/meltCurve_Q9Y4B5_SOGA2.pdf")</f>
        <v>Melting_Curves/meltCurve_Q9Y4B5_SOGA2.pdf</v>
      </c>
    </row>
    <row r="5725" spans="1:28" x14ac:dyDescent="0.25">
      <c r="A5725" t="s">
        <v>5729</v>
      </c>
      <c r="B5725">
        <v>0.99996721820229495</v>
      </c>
      <c r="C5725">
        <v>0.86927559299027501</v>
      </c>
      <c r="D5725">
        <v>0.63153099804614399</v>
      </c>
      <c r="E5725">
        <v>0.30287313904597601</v>
      </c>
      <c r="F5725">
        <v>0.31652267054116201</v>
      </c>
      <c r="G5725">
        <v>0.24603784919966301</v>
      </c>
      <c r="H5725">
        <v>0.23754690525194899</v>
      </c>
      <c r="I5725">
        <v>0.112239673306476</v>
      </c>
      <c r="J5725">
        <v>8.3714178393977906E-2</v>
      </c>
      <c r="K5725">
        <v>7.3567344446148195E-2</v>
      </c>
      <c r="L5725">
        <v>746.86666400546903</v>
      </c>
      <c r="M5725">
        <v>15.867239997901301</v>
      </c>
      <c r="N5725">
        <v>47.979624739622601</v>
      </c>
      <c r="O5725">
        <v>46.341137105534301</v>
      </c>
      <c r="P5725">
        <v>-7.4484620398624496E-2</v>
      </c>
      <c r="Q5725">
        <v>0.12992527521116701</v>
      </c>
      <c r="R5725">
        <v>0.96848873692353599</v>
      </c>
      <c r="S5725" t="s">
        <v>11551</v>
      </c>
      <c r="T5725" t="s">
        <v>11650</v>
      </c>
      <c r="U5725" t="s">
        <v>11650</v>
      </c>
      <c r="V5725" t="s">
        <v>11650</v>
      </c>
      <c r="W5725" t="s">
        <v>17315</v>
      </c>
      <c r="X5725">
        <v>10</v>
      </c>
      <c r="Y5725" t="s">
        <v>22966</v>
      </c>
      <c r="Z5725" t="s">
        <v>28787</v>
      </c>
      <c r="AA5725">
        <v>0.35591116449042098</v>
      </c>
      <c r="AB5725" t="str">
        <f>HYPERLINK("Melting_Curves/meltCurve_Q9Y4C2_2_FAM115A.pdf", "Melting_Curves/meltCurve_Q9Y4C2_2_FAM115A.pdf")</f>
        <v>Melting_Curves/meltCurve_Q9Y4C2_2_FAM115A.pdf</v>
      </c>
    </row>
    <row r="5726" spans="1:28" x14ac:dyDescent="0.25">
      <c r="A5726" t="s">
        <v>5730</v>
      </c>
      <c r="B5726">
        <v>0.99996721820229495</v>
      </c>
      <c r="C5726">
        <v>1.04894090276374</v>
      </c>
      <c r="D5726">
        <v>0.96272687086307196</v>
      </c>
      <c r="E5726">
        <v>1.15141860320391</v>
      </c>
      <c r="F5726">
        <v>1.52643038222259</v>
      </c>
      <c r="G5726">
        <v>1.48683859117274</v>
      </c>
      <c r="H5726">
        <v>1.22033201895023</v>
      </c>
      <c r="I5726">
        <v>0.87837648198551899</v>
      </c>
      <c r="J5726">
        <v>0.77041105872594495</v>
      </c>
      <c r="K5726">
        <v>0.92169883463936997</v>
      </c>
      <c r="L5726">
        <v>1711.0532340040199</v>
      </c>
      <c r="M5726">
        <v>25.8204018560915</v>
      </c>
      <c r="O5726">
        <v>65.8738319854222</v>
      </c>
      <c r="P5726">
        <v>-1.8325819334736902E-2</v>
      </c>
      <c r="Q5726">
        <v>0.8129885555927</v>
      </c>
      <c r="R5726">
        <v>-9.8448186646386396E-2</v>
      </c>
      <c r="S5726" t="s">
        <v>11552</v>
      </c>
      <c r="T5726" t="s">
        <v>11650</v>
      </c>
      <c r="U5726" t="s">
        <v>11650</v>
      </c>
      <c r="V5726" t="s">
        <v>11650</v>
      </c>
      <c r="W5726" t="s">
        <v>17316</v>
      </c>
      <c r="X5726">
        <v>36</v>
      </c>
      <c r="Y5726" t="s">
        <v>22967</v>
      </c>
      <c r="Z5726" t="s">
        <v>28788</v>
      </c>
      <c r="AA5726">
        <v>0.97439697504988232</v>
      </c>
      <c r="AB5726" t="str">
        <f>HYPERLINK("Melting_Curves/meltCurve_Q9Y4E1_2_FAM21C.pdf", "Melting_Curves/meltCurve_Q9Y4E1_2_FAM21C.pdf")</f>
        <v>Melting_Curves/meltCurve_Q9Y4E1_2_FAM21C.pdf</v>
      </c>
    </row>
    <row r="5727" spans="1:28" x14ac:dyDescent="0.25">
      <c r="A5727" t="s">
        <v>5731</v>
      </c>
      <c r="B5727">
        <v>0.99996721820229495</v>
      </c>
      <c r="C5727">
        <v>1.0178180619446</v>
      </c>
      <c r="D5727">
        <v>1.06040782771241</v>
      </c>
      <c r="E5727">
        <v>0.89657305789711395</v>
      </c>
      <c r="F5727">
        <v>0.426301132791716</v>
      </c>
      <c r="G5727">
        <v>0.37552651691793598</v>
      </c>
      <c r="H5727">
        <v>0.232837461621413</v>
      </c>
      <c r="I5727">
        <v>0.16987195031437499</v>
      </c>
      <c r="J5727">
        <v>0.12882658242226599</v>
      </c>
      <c r="K5727">
        <v>0.109839247674724</v>
      </c>
      <c r="L5727">
        <v>1611.65073085067</v>
      </c>
      <c r="M5727">
        <v>30.812844558505599</v>
      </c>
      <c r="N5727">
        <v>53.068181449964101</v>
      </c>
      <c r="O5727">
        <v>52.085684900507097</v>
      </c>
      <c r="P5727">
        <v>-0.12141101641869299</v>
      </c>
      <c r="Q5727">
        <v>0.17907758225381001</v>
      </c>
      <c r="R5727">
        <v>0.97028351951329594</v>
      </c>
      <c r="S5727" t="s">
        <v>11553</v>
      </c>
      <c r="T5727" t="s">
        <v>11650</v>
      </c>
      <c r="U5727" t="s">
        <v>11650</v>
      </c>
      <c r="V5727" t="s">
        <v>11650</v>
      </c>
      <c r="W5727" t="s">
        <v>17317</v>
      </c>
      <c r="X5727">
        <v>23</v>
      </c>
      <c r="Y5727" t="s">
        <v>22968</v>
      </c>
      <c r="Z5727" t="s">
        <v>28789</v>
      </c>
      <c r="AA5727">
        <v>0.52077741536866273</v>
      </c>
      <c r="AB5727" t="str">
        <f>HYPERLINK("Melting_Curves/meltCurve_Q9Y4E8_USP15.pdf", "Melting_Curves/meltCurve_Q9Y4E8_USP15.pdf")</f>
        <v>Melting_Curves/meltCurve_Q9Y4E8_USP15.pdf</v>
      </c>
    </row>
    <row r="5728" spans="1:28" x14ac:dyDescent="0.25">
      <c r="A5728" t="s">
        <v>5732</v>
      </c>
      <c r="B5728">
        <v>0.99996721820229495</v>
      </c>
      <c r="C5728">
        <v>1.01237734740217</v>
      </c>
      <c r="D5728">
        <v>0.98166838752309304</v>
      </c>
      <c r="E5728">
        <v>0.85789178838642099</v>
      </c>
      <c r="F5728">
        <v>0.87719566352059797</v>
      </c>
      <c r="G5728">
        <v>0.70714703422329095</v>
      </c>
      <c r="H5728">
        <v>0.49110954766100001</v>
      </c>
      <c r="I5728">
        <v>0.368725216624333</v>
      </c>
      <c r="J5728">
        <v>0.322181168109754</v>
      </c>
      <c r="K5728">
        <v>0.21926932060325799</v>
      </c>
      <c r="L5728">
        <v>688.49418016528898</v>
      </c>
      <c r="M5728">
        <v>11.386998294600099</v>
      </c>
      <c r="N5728">
        <v>61.184062213010201</v>
      </c>
      <c r="O5728">
        <v>58.688512429234798</v>
      </c>
      <c r="P5728">
        <v>-4.5474474165231302E-2</v>
      </c>
      <c r="Q5728">
        <v>6.2776199396015905E-2</v>
      </c>
      <c r="R5728">
        <v>0.99115082129703802</v>
      </c>
      <c r="S5728" t="s">
        <v>11554</v>
      </c>
      <c r="T5728" t="s">
        <v>11650</v>
      </c>
      <c r="U5728" t="s">
        <v>11650</v>
      </c>
      <c r="V5728" t="s">
        <v>11650</v>
      </c>
      <c r="W5728" t="s">
        <v>17318</v>
      </c>
      <c r="X5728">
        <v>6</v>
      </c>
      <c r="Y5728" t="s">
        <v>22969</v>
      </c>
      <c r="Z5728" t="s">
        <v>28790</v>
      </c>
      <c r="AA5728">
        <v>0.69992326609937616</v>
      </c>
      <c r="AB5728" t="str">
        <f>HYPERLINK("Melting_Curves/meltCurve_Q9Y4F1_FARP1.pdf", "Melting_Curves/meltCurve_Q9Y4F1_FARP1.pdf")</f>
        <v>Melting_Curves/meltCurve_Q9Y4F1_FARP1.pdf</v>
      </c>
    </row>
    <row r="5729" spans="1:28" x14ac:dyDescent="0.25">
      <c r="A5729" t="s">
        <v>5733</v>
      </c>
      <c r="B5729">
        <v>0.99996721820229495</v>
      </c>
      <c r="C5729">
        <v>0.94386381177443301</v>
      </c>
      <c r="D5729">
        <v>1.0413397441579</v>
      </c>
      <c r="E5729">
        <v>0.993287510103399</v>
      </c>
      <c r="F5729">
        <v>0.59567667062507901</v>
      </c>
      <c r="G5729">
        <v>0.48511682702336401</v>
      </c>
      <c r="H5729">
        <v>0.31849851926065298</v>
      </c>
      <c r="I5729">
        <v>0.240372480218252</v>
      </c>
      <c r="J5729">
        <v>0.18639733805578701</v>
      </c>
      <c r="K5729">
        <v>0.151379667245858</v>
      </c>
      <c r="L5729">
        <v>1000.76473935478</v>
      </c>
      <c r="M5729">
        <v>18.222540868663099</v>
      </c>
      <c r="N5729">
        <v>56.1777773306776</v>
      </c>
      <c r="O5729">
        <v>54.270484171628098</v>
      </c>
      <c r="P5729">
        <v>-6.9876839197197504E-2</v>
      </c>
      <c r="Q5729">
        <v>0.16760858857917099</v>
      </c>
      <c r="R5729">
        <v>0.96910313441354201</v>
      </c>
      <c r="S5729" t="s">
        <v>11555</v>
      </c>
      <c r="T5729" t="s">
        <v>11650</v>
      </c>
      <c r="U5729" t="s">
        <v>11650</v>
      </c>
      <c r="V5729" t="s">
        <v>11650</v>
      </c>
      <c r="W5729" t="s">
        <v>17319</v>
      </c>
      <c r="X5729">
        <v>67</v>
      </c>
      <c r="Y5729" t="s">
        <v>22970</v>
      </c>
      <c r="Z5729" t="s">
        <v>28791</v>
      </c>
      <c r="AA5729">
        <v>0.5942615111681655</v>
      </c>
      <c r="AB5729" t="str">
        <f>HYPERLINK("Melting_Curves/meltCurve_Q9Y4G6_TLN2.pdf", "Melting_Curves/meltCurve_Q9Y4G6_TLN2.pdf")</f>
        <v>Melting_Curves/meltCurve_Q9Y4G6_TLN2.pdf</v>
      </c>
    </row>
    <row r="5730" spans="1:28" x14ac:dyDescent="0.25">
      <c r="A5730" t="s">
        <v>5734</v>
      </c>
      <c r="B5730">
        <v>0.99996721820229495</v>
      </c>
      <c r="C5730">
        <v>1.12229187340058</v>
      </c>
      <c r="D5730">
        <v>1.15382829199146</v>
      </c>
      <c r="E5730">
        <v>0.96898653901158305</v>
      </c>
      <c r="F5730">
        <v>0.81455490446547096</v>
      </c>
      <c r="G5730">
        <v>1.13260114966266</v>
      </c>
      <c r="H5730">
        <v>0.70770928228664398</v>
      </c>
      <c r="I5730">
        <v>0.57996986018788699</v>
      </c>
      <c r="J5730">
        <v>0.456816145105362</v>
      </c>
      <c r="K5730">
        <v>0.38352669501612202</v>
      </c>
      <c r="L5730">
        <v>2394.8442850757601</v>
      </c>
      <c r="M5730">
        <v>38.860114930816799</v>
      </c>
      <c r="N5730">
        <v>64.613141339861698</v>
      </c>
      <c r="O5730">
        <v>61.464783453927602</v>
      </c>
      <c r="P5730">
        <v>-9.2148363874589398E-2</v>
      </c>
      <c r="Q5730">
        <v>0.41699953206601198</v>
      </c>
      <c r="R5730">
        <v>0.85818940660404297</v>
      </c>
      <c r="S5730" t="s">
        <v>11556</v>
      </c>
      <c r="T5730" t="s">
        <v>11650</v>
      </c>
      <c r="U5730" t="s">
        <v>11650</v>
      </c>
      <c r="V5730" t="s">
        <v>11650</v>
      </c>
      <c r="W5730" t="s">
        <v>17320</v>
      </c>
      <c r="X5730">
        <v>4</v>
      </c>
      <c r="Y5730" t="s">
        <v>22971</v>
      </c>
      <c r="Z5730" t="s">
        <v>28792</v>
      </c>
      <c r="AA5730">
        <v>0.83952050149753754</v>
      </c>
      <c r="AB5730" t="str">
        <f>HYPERLINK("Melting_Curves/meltCurve_Q9Y4G8_RAPGEF2.pdf", "Melting_Curves/meltCurve_Q9Y4G8_RAPGEF2.pdf")</f>
        <v>Melting_Curves/meltCurve_Q9Y4G8_RAPGEF2.pdf</v>
      </c>
    </row>
    <row r="5731" spans="1:28" x14ac:dyDescent="0.25">
      <c r="A5731" t="s">
        <v>5735</v>
      </c>
      <c r="B5731">
        <v>0.99996721820229495</v>
      </c>
      <c r="C5731">
        <v>1.0667881306917699</v>
      </c>
      <c r="D5731">
        <v>0.90479395959898301</v>
      </c>
      <c r="E5731">
        <v>0.87810288184518304</v>
      </c>
      <c r="F5731">
        <v>0.82679884413776505</v>
      </c>
      <c r="G5731">
        <v>0.93387770399275305</v>
      </c>
      <c r="H5731">
        <v>0.67830823565451803</v>
      </c>
      <c r="I5731">
        <v>0.58060069370432899</v>
      </c>
      <c r="J5731">
        <v>0.49513349414692598</v>
      </c>
      <c r="K5731">
        <v>0.39441323389356497</v>
      </c>
      <c r="L5731">
        <v>554.20658264803205</v>
      </c>
      <c r="M5731">
        <v>8.2876434339616907</v>
      </c>
      <c r="N5731">
        <v>66.871431495712798</v>
      </c>
      <c r="O5731">
        <v>63.3172743295694</v>
      </c>
      <c r="P5731">
        <v>-3.27551040013443E-2</v>
      </c>
      <c r="Q5731">
        <v>0</v>
      </c>
      <c r="R5731">
        <v>0.92066825469317204</v>
      </c>
      <c r="S5731" t="s">
        <v>11557</v>
      </c>
      <c r="T5731" t="s">
        <v>11650</v>
      </c>
      <c r="U5731" t="s">
        <v>11650</v>
      </c>
      <c r="V5731" t="s">
        <v>11650</v>
      </c>
      <c r="W5731" t="s">
        <v>17321</v>
      </c>
      <c r="X5731">
        <v>8</v>
      </c>
      <c r="Y5731" t="s">
        <v>22972</v>
      </c>
      <c r="Z5731" t="s">
        <v>28793</v>
      </c>
      <c r="AA5731">
        <v>0.79587870488256796</v>
      </c>
      <c r="AB5731" t="str">
        <f>HYPERLINK("Melting_Curves/meltCurve_Q9Y4H2_IRS2.pdf", "Melting_Curves/meltCurve_Q9Y4H2_IRS2.pdf")</f>
        <v>Melting_Curves/meltCurve_Q9Y4H2_IRS2.pdf</v>
      </c>
    </row>
    <row r="5732" spans="1:28" x14ac:dyDescent="0.25">
      <c r="A5732" t="s">
        <v>5736</v>
      </c>
      <c r="B5732">
        <v>0.99996721820229495</v>
      </c>
      <c r="C5732">
        <v>0.84150280651179599</v>
      </c>
      <c r="D5732">
        <v>0.72344651405576998</v>
      </c>
      <c r="E5732">
        <v>0.71133561296853398</v>
      </c>
      <c r="F5732">
        <v>0.82436396720871297</v>
      </c>
      <c r="G5732">
        <v>0.81559806687823599</v>
      </c>
      <c r="H5732">
        <v>0.65603915277900104</v>
      </c>
      <c r="I5732">
        <v>0.39994046328736299</v>
      </c>
      <c r="J5732">
        <v>0.28991388628410902</v>
      </c>
      <c r="K5732">
        <v>0.26587129468320903</v>
      </c>
      <c r="L5732">
        <v>373.09671253749099</v>
      </c>
      <c r="M5732">
        <v>6.0023817909422297</v>
      </c>
      <c r="N5732">
        <v>62.158133362530798</v>
      </c>
      <c r="O5732">
        <v>56.312085514949999</v>
      </c>
      <c r="P5732">
        <v>-2.6734016135112899E-2</v>
      </c>
      <c r="Q5732">
        <v>0</v>
      </c>
      <c r="R5732">
        <v>0.77924297633372597</v>
      </c>
      <c r="S5732" t="s">
        <v>11558</v>
      </c>
      <c r="T5732" t="s">
        <v>11650</v>
      </c>
      <c r="U5732" t="s">
        <v>11650</v>
      </c>
      <c r="V5732" t="s">
        <v>11650</v>
      </c>
      <c r="W5732" t="s">
        <v>17322</v>
      </c>
      <c r="X5732">
        <v>4</v>
      </c>
      <c r="Y5732" t="s">
        <v>22973</v>
      </c>
      <c r="Z5732" t="s">
        <v>28794</v>
      </c>
      <c r="AA5732">
        <v>0.67488999863564458</v>
      </c>
      <c r="AB5732" t="str">
        <f>HYPERLINK("Melting_Curves/meltCurve_Q9Y4K0_LOXL2.pdf", "Melting_Curves/meltCurve_Q9Y4K0_LOXL2.pdf")</f>
        <v>Melting_Curves/meltCurve_Q9Y4K0_LOXL2.pdf</v>
      </c>
    </row>
    <row r="5733" spans="1:28" x14ac:dyDescent="0.25">
      <c r="A5733" t="s">
        <v>5737</v>
      </c>
      <c r="B5733">
        <v>0.99996721820229495</v>
      </c>
      <c r="C5733">
        <v>0.90293592624612196</v>
      </c>
      <c r="D5733">
        <v>0.86136016831633699</v>
      </c>
      <c r="E5733">
        <v>1.24047449370647</v>
      </c>
      <c r="F5733">
        <v>1.58824036724947</v>
      </c>
      <c r="G5733">
        <v>1.5578071523832</v>
      </c>
      <c r="H5733">
        <v>1.3863922237955799</v>
      </c>
      <c r="I5733">
        <v>1.3656634864591599</v>
      </c>
      <c r="J5733">
        <v>1.01401307597042</v>
      </c>
      <c r="K5733">
        <v>0.71029135754426098</v>
      </c>
      <c r="L5733">
        <v>15000</v>
      </c>
      <c r="M5733">
        <v>213.38890556079099</v>
      </c>
      <c r="Q5733">
        <v>0</v>
      </c>
      <c r="R5733">
        <v>-0.213741409445001</v>
      </c>
      <c r="S5733" t="s">
        <v>11559</v>
      </c>
      <c r="T5733" t="s">
        <v>11650</v>
      </c>
      <c r="U5733" t="s">
        <v>11650</v>
      </c>
      <c r="V5733" t="s">
        <v>11650</v>
      </c>
      <c r="W5733" t="s">
        <v>17323</v>
      </c>
      <c r="X5733">
        <v>4</v>
      </c>
      <c r="Y5733" t="s">
        <v>22974</v>
      </c>
      <c r="Z5733" t="s">
        <v>28795</v>
      </c>
      <c r="AA5733">
        <v>0.99631246531838336</v>
      </c>
      <c r="AB5733" t="str">
        <f>HYPERLINK("Melting_Curves/meltCurve_Q9Y4K1_AIM1.pdf", "Melting_Curves/meltCurve_Q9Y4K1_AIM1.pdf")</f>
        <v>Melting_Curves/meltCurve_Q9Y4K1_AIM1.pdf</v>
      </c>
    </row>
    <row r="5734" spans="1:28" x14ac:dyDescent="0.25">
      <c r="A5734" t="s">
        <v>5738</v>
      </c>
      <c r="B5734">
        <v>0.99996721820229495</v>
      </c>
      <c r="C5734">
        <v>1.0458402877492701</v>
      </c>
      <c r="D5734">
        <v>0.969423038908093</v>
      </c>
      <c r="E5734">
        <v>0.81929496811122104</v>
      </c>
      <c r="F5734">
        <v>0.32461621296259902</v>
      </c>
      <c r="G5734">
        <v>0.243875979699335</v>
      </c>
      <c r="H5734">
        <v>0.145989592829146</v>
      </c>
      <c r="I5734">
        <v>0.103127083374211</v>
      </c>
      <c r="J5734">
        <v>9.15600019912131E-2</v>
      </c>
      <c r="K5734">
        <v>6.9857693519237402E-2</v>
      </c>
      <c r="L5734">
        <v>1981.5794844828699</v>
      </c>
      <c r="M5734">
        <v>38.411023628648799</v>
      </c>
      <c r="N5734">
        <v>51.966564342491203</v>
      </c>
      <c r="O5734">
        <v>51.449588030459097</v>
      </c>
      <c r="P5734">
        <v>-0.163909328387043</v>
      </c>
      <c r="Q5734">
        <v>0.1218097212797</v>
      </c>
      <c r="R5734">
        <v>0.98854629372987302</v>
      </c>
      <c r="S5734" t="s">
        <v>11560</v>
      </c>
      <c r="T5734" t="s">
        <v>11650</v>
      </c>
      <c r="U5734" t="s">
        <v>11650</v>
      </c>
      <c r="V5734" t="s">
        <v>11650</v>
      </c>
      <c r="W5734" t="s">
        <v>17324</v>
      </c>
      <c r="X5734">
        <v>15</v>
      </c>
      <c r="Y5734" t="s">
        <v>22975</v>
      </c>
      <c r="Z5734" t="s">
        <v>28796</v>
      </c>
      <c r="AA5734">
        <v>0.46444615829052149</v>
      </c>
      <c r="AB5734" t="str">
        <f>HYPERLINK("Melting_Curves/meltCurve_Q9Y4K4_MAP4K5.pdf", "Melting_Curves/meltCurve_Q9Y4K4_MAP4K5.pdf")</f>
        <v>Melting_Curves/meltCurve_Q9Y4K4_MAP4K5.pdf</v>
      </c>
    </row>
    <row r="5735" spans="1:28" x14ac:dyDescent="0.25">
      <c r="A5735" t="s">
        <v>5739</v>
      </c>
      <c r="B5735">
        <v>0.99996721820229495</v>
      </c>
      <c r="C5735">
        <v>1.1375877456380401</v>
      </c>
      <c r="D5735">
        <v>1.0539575578362801</v>
      </c>
      <c r="E5735">
        <v>0.65817938489939098</v>
      </c>
      <c r="F5735">
        <v>0.29178741455137502</v>
      </c>
      <c r="G5735">
        <v>0.23997740052831601</v>
      </c>
      <c r="H5735">
        <v>0.12576761147207799</v>
      </c>
      <c r="I5735">
        <v>7.5952676400324604E-2</v>
      </c>
      <c r="J5735">
        <v>5.8978785101833103E-2</v>
      </c>
      <c r="K5735">
        <v>5.0714224308733201E-2</v>
      </c>
      <c r="L5735">
        <v>1577.3890589628299</v>
      </c>
      <c r="M5735">
        <v>30.963107411904499</v>
      </c>
      <c r="N5735">
        <v>51.307352844155197</v>
      </c>
      <c r="O5735">
        <v>50.733062688063399</v>
      </c>
      <c r="P5735">
        <v>-0.13756332496527299</v>
      </c>
      <c r="Q5735">
        <v>9.8414994634176897E-2</v>
      </c>
      <c r="R5735">
        <v>0.975414267714107</v>
      </c>
      <c r="S5735" t="s">
        <v>11561</v>
      </c>
      <c r="T5735" t="s">
        <v>11650</v>
      </c>
      <c r="U5735" t="s">
        <v>11650</v>
      </c>
      <c r="V5735" t="s">
        <v>11650</v>
      </c>
      <c r="W5735" t="s">
        <v>17325</v>
      </c>
      <c r="X5735">
        <v>8</v>
      </c>
      <c r="Y5735" t="s">
        <v>22976</v>
      </c>
      <c r="Z5735" t="s">
        <v>28797</v>
      </c>
      <c r="AA5735">
        <v>0.43263326171873118</v>
      </c>
      <c r="AB5735" t="str">
        <f>HYPERLINK("Melting_Curves/meltCurve_Q9Y4P1_6_ATG4B.pdf", "Melting_Curves/meltCurve_Q9Y4P1_6_ATG4B.pdf")</f>
        <v>Melting_Curves/meltCurve_Q9Y4P1_6_ATG4B.pdf</v>
      </c>
    </row>
    <row r="5736" spans="1:28" x14ac:dyDescent="0.25">
      <c r="A5736" t="s">
        <v>5740</v>
      </c>
      <c r="B5736">
        <v>0.99996721820229495</v>
      </c>
      <c r="C5736">
        <v>0.95518612225403299</v>
      </c>
      <c r="D5736">
        <v>0.85909755805777699</v>
      </c>
      <c r="E5736">
        <v>0.70760879475065996</v>
      </c>
      <c r="F5736">
        <v>0.300752883794762</v>
      </c>
      <c r="G5736">
        <v>0.19284528447753899</v>
      </c>
      <c r="H5736">
        <v>0.11500666986029</v>
      </c>
      <c r="I5736">
        <v>8.8958602914072898E-2</v>
      </c>
      <c r="J5736">
        <v>5.83213881712836E-2</v>
      </c>
      <c r="K5736">
        <v>5.41308765345088E-2</v>
      </c>
      <c r="L5736">
        <v>1026.0470572751599</v>
      </c>
      <c r="M5736">
        <v>20.071519999949</v>
      </c>
      <c r="N5736">
        <v>51.462764088285198</v>
      </c>
      <c r="O5736">
        <v>50.620232102247499</v>
      </c>
      <c r="P5736">
        <v>-9.2921159507976595E-2</v>
      </c>
      <c r="Q5736">
        <v>6.2644034749772606E-2</v>
      </c>
      <c r="R5736">
        <v>0.98967258594720997</v>
      </c>
      <c r="S5736" t="s">
        <v>11562</v>
      </c>
      <c r="T5736" t="s">
        <v>11650</v>
      </c>
      <c r="U5736" t="s">
        <v>11650</v>
      </c>
      <c r="V5736" t="s">
        <v>11650</v>
      </c>
      <c r="W5736" t="s">
        <v>17326</v>
      </c>
      <c r="X5736">
        <v>12</v>
      </c>
      <c r="Y5736" t="s">
        <v>22977</v>
      </c>
      <c r="Z5736" t="s">
        <v>28798</v>
      </c>
      <c r="AA5736">
        <v>0.42299841423939077</v>
      </c>
      <c r="AB5736" t="str">
        <f>HYPERLINK("Melting_Curves/meltCurve_Q9Y4P8_4_WIPI2.pdf", "Melting_Curves/meltCurve_Q9Y4P8_4_WIPI2.pdf")</f>
        <v>Melting_Curves/meltCurve_Q9Y4P8_4_WIPI2.pdf</v>
      </c>
    </row>
    <row r="5737" spans="1:28" x14ac:dyDescent="0.25">
      <c r="A5737" t="s">
        <v>5741</v>
      </c>
      <c r="B5737">
        <v>0.99996721820229495</v>
      </c>
      <c r="C5737">
        <v>1.00310820876645</v>
      </c>
      <c r="D5737">
        <v>0.54299255246266598</v>
      </c>
      <c r="E5737">
        <v>0.363729347222504</v>
      </c>
      <c r="F5737">
        <v>0.41373287128524999</v>
      </c>
      <c r="G5737">
        <v>0.30393496372058099</v>
      </c>
      <c r="H5737">
        <v>0.220718058718813</v>
      </c>
      <c r="I5737">
        <v>0.15953922175765201</v>
      </c>
      <c r="J5737">
        <v>0.17021960233352201</v>
      </c>
      <c r="K5737">
        <v>0.103262430670333</v>
      </c>
      <c r="L5737">
        <v>781.893141646765</v>
      </c>
      <c r="M5737">
        <v>16.621542458775501</v>
      </c>
      <c r="N5737">
        <v>48.381378655803303</v>
      </c>
      <c r="O5737">
        <v>46.375845339932098</v>
      </c>
      <c r="P5737">
        <v>-7.3073982104951404E-2</v>
      </c>
      <c r="Q5737">
        <v>0.18451839420007801</v>
      </c>
      <c r="R5737">
        <v>0.93025953779304704</v>
      </c>
      <c r="S5737" t="s">
        <v>11563</v>
      </c>
      <c r="T5737" t="s">
        <v>11650</v>
      </c>
      <c r="U5737" t="s">
        <v>11650</v>
      </c>
      <c r="V5737" t="s">
        <v>11650</v>
      </c>
      <c r="W5737" t="s">
        <v>17327</v>
      </c>
      <c r="X5737">
        <v>1</v>
      </c>
      <c r="Y5737" t="s">
        <v>22978</v>
      </c>
      <c r="Z5737" t="s">
        <v>28799</v>
      </c>
      <c r="AA5737">
        <v>0.39373525359837391</v>
      </c>
      <c r="AB5737" t="str">
        <f>HYPERLINK("Melting_Curves/meltCurve_Q9Y4U1_MMACHC.pdf", "Melting_Curves/meltCurve_Q9Y4U1_MMACHC.pdf")</f>
        <v>Melting_Curves/meltCurve_Q9Y4U1_MMACHC.pdf</v>
      </c>
    </row>
    <row r="5738" spans="1:28" x14ac:dyDescent="0.25">
      <c r="A5738" t="s">
        <v>5742</v>
      </c>
      <c r="B5738">
        <v>0.99996721820229495</v>
      </c>
      <c r="C5738">
        <v>0.87006425191457404</v>
      </c>
      <c r="D5738">
        <v>0.90240043577251505</v>
      </c>
      <c r="E5738">
        <v>1.46806941418262</v>
      </c>
      <c r="F5738">
        <v>0.91664616708023305</v>
      </c>
      <c r="G5738">
        <v>0.61889583901899703</v>
      </c>
      <c r="H5738">
        <v>0.27697838062963398</v>
      </c>
      <c r="I5738">
        <v>0.18719750270311</v>
      </c>
      <c r="J5738">
        <v>0.112627214530388</v>
      </c>
      <c r="K5738">
        <v>9.3239316260231297E-2</v>
      </c>
      <c r="L5738">
        <v>1861.6806329344699</v>
      </c>
      <c r="M5738">
        <v>32.277814244426402</v>
      </c>
      <c r="N5738">
        <v>58.170827390134399</v>
      </c>
      <c r="O5738">
        <v>57.456758693466298</v>
      </c>
      <c r="P5738">
        <v>-0.123607980283026</v>
      </c>
      <c r="Q5738">
        <v>0.11988105517389699</v>
      </c>
      <c r="R5738">
        <v>0.86716535694569996</v>
      </c>
      <c r="S5738" t="s">
        <v>11564</v>
      </c>
      <c r="T5738" t="s">
        <v>11650</v>
      </c>
      <c r="U5738" t="s">
        <v>11650</v>
      </c>
      <c r="V5738" t="s">
        <v>11650</v>
      </c>
      <c r="W5738" t="s">
        <v>17328</v>
      </c>
      <c r="X5738">
        <v>14</v>
      </c>
      <c r="Y5738" t="s">
        <v>22979</v>
      </c>
      <c r="Z5738" t="s">
        <v>28800</v>
      </c>
      <c r="AA5738">
        <v>0.64360152791930381</v>
      </c>
      <c r="AB5738" t="str">
        <f>HYPERLINK("Melting_Curves/meltCurve_Q9Y4W6_AFG3L2.pdf", "Melting_Curves/meltCurve_Q9Y4W6_AFG3L2.pdf")</f>
        <v>Melting_Curves/meltCurve_Q9Y4W6_AFG3L2.pdf</v>
      </c>
    </row>
    <row r="5739" spans="1:28" x14ac:dyDescent="0.25">
      <c r="A5739" t="s">
        <v>5743</v>
      </c>
      <c r="B5739">
        <v>0.99996721820229495</v>
      </c>
      <c r="C5739">
        <v>1.0551574147546201</v>
      </c>
      <c r="D5739">
        <v>1.10651643291133</v>
      </c>
      <c r="E5739">
        <v>1.2030317998409299</v>
      </c>
      <c r="F5739">
        <v>1.4662877485393899</v>
      </c>
      <c r="G5739">
        <v>1.5027688953882701</v>
      </c>
      <c r="H5739">
        <v>0.56268209606760899</v>
      </c>
      <c r="I5739">
        <v>0.200304502912413</v>
      </c>
      <c r="J5739">
        <v>0.12800194013584901</v>
      </c>
      <c r="K5739">
        <v>0.101970923278721</v>
      </c>
      <c r="L5739">
        <v>7058.2180180678797</v>
      </c>
      <c r="M5739">
        <v>115.739870992302</v>
      </c>
      <c r="N5739">
        <v>61.1598698592868</v>
      </c>
      <c r="O5739">
        <v>60.965262843576298</v>
      </c>
      <c r="P5739">
        <v>-0.40726042914485</v>
      </c>
      <c r="Q5739">
        <v>0.141912377327991</v>
      </c>
      <c r="R5739">
        <v>0.799174504956087</v>
      </c>
      <c r="S5739" t="s">
        <v>11565</v>
      </c>
      <c r="T5739" t="s">
        <v>11650</v>
      </c>
      <c r="U5739" t="s">
        <v>11650</v>
      </c>
      <c r="V5739" t="s">
        <v>11650</v>
      </c>
      <c r="W5739" t="s">
        <v>17329</v>
      </c>
      <c r="X5739">
        <v>18</v>
      </c>
      <c r="Y5739" t="s">
        <v>22980</v>
      </c>
      <c r="Z5739" t="s">
        <v>28801</v>
      </c>
      <c r="AA5739">
        <v>0.74252949830201664</v>
      </c>
      <c r="AB5739" t="str">
        <f>HYPERLINK("Melting_Curves/meltCurve_Q9Y4X5_ARIH1.pdf", "Melting_Curves/meltCurve_Q9Y4X5_ARIH1.pdf")</f>
        <v>Melting_Curves/meltCurve_Q9Y4X5_ARIH1.pdf</v>
      </c>
    </row>
    <row r="5740" spans="1:28" x14ac:dyDescent="0.25">
      <c r="A5740" t="s">
        <v>5744</v>
      </c>
      <c r="B5740">
        <v>0.99996721820229495</v>
      </c>
      <c r="C5740">
        <v>0.90949582538820195</v>
      </c>
      <c r="D5740">
        <v>0.93242447219940905</v>
      </c>
      <c r="E5740">
        <v>1.4068756477945199</v>
      </c>
      <c r="F5740">
        <v>2.2326933934229798</v>
      </c>
      <c r="G5740">
        <v>2.3537929739549002</v>
      </c>
      <c r="H5740">
        <v>1.93057476966685</v>
      </c>
      <c r="I5740">
        <v>1.53430170322604</v>
      </c>
      <c r="J5740">
        <v>0.83587203684988798</v>
      </c>
      <c r="K5740">
        <v>0.96108884800923799</v>
      </c>
      <c r="L5740">
        <v>12426.270871844001</v>
      </c>
      <c r="M5740">
        <v>250</v>
      </c>
      <c r="O5740">
        <v>49.7019029457133</v>
      </c>
      <c r="P5740">
        <v>0.62874856583355399</v>
      </c>
      <c r="Q5740">
        <v>1.5</v>
      </c>
      <c r="R5740">
        <v>0.27549207685620097</v>
      </c>
      <c r="S5740" t="s">
        <v>11566</v>
      </c>
      <c r="T5740" t="s">
        <v>11650</v>
      </c>
      <c r="U5740" t="s">
        <v>11650</v>
      </c>
      <c r="V5740" t="s">
        <v>11650</v>
      </c>
      <c r="W5740" t="s">
        <v>17330</v>
      </c>
      <c r="X5740">
        <v>4</v>
      </c>
      <c r="Y5740" t="s">
        <v>22981</v>
      </c>
      <c r="Z5740" t="s">
        <v>28802</v>
      </c>
      <c r="AA5740">
        <v>1.3382049927197639</v>
      </c>
      <c r="AB5740" t="str">
        <f>HYPERLINK("Melting_Curves/meltCurve_Q9Y4Z0_LSM4.pdf", "Melting_Curves/meltCurve_Q9Y4Z0_LSM4.pdf")</f>
        <v>Melting_Curves/meltCurve_Q9Y4Z0_LSM4.pdf</v>
      </c>
    </row>
    <row r="5741" spans="1:28" x14ac:dyDescent="0.25">
      <c r="A5741" t="s">
        <v>5745</v>
      </c>
      <c r="B5741">
        <v>0.99996721820229495</v>
      </c>
      <c r="C5741">
        <v>0.96475820116093403</v>
      </c>
      <c r="D5741">
        <v>0.84565507494464498</v>
      </c>
      <c r="E5741">
        <v>0.65327285909885902</v>
      </c>
      <c r="F5741">
        <v>0.61964326322696905</v>
      </c>
      <c r="G5741">
        <v>0.50682297378149999</v>
      </c>
      <c r="H5741">
        <v>0.29711122131631701</v>
      </c>
      <c r="I5741">
        <v>0.23117697939617499</v>
      </c>
      <c r="J5741">
        <v>0.21445119299968901</v>
      </c>
      <c r="K5741">
        <v>0.163039510381919</v>
      </c>
      <c r="L5741">
        <v>480.470858373385</v>
      </c>
      <c r="M5741">
        <v>8.7023879265518698</v>
      </c>
      <c r="N5741">
        <v>55.583052576738297</v>
      </c>
      <c r="O5741">
        <v>52.528457842353902</v>
      </c>
      <c r="P5741">
        <v>-4.0280030254522398E-2</v>
      </c>
      <c r="Q5741">
        <v>2.8265086793346599E-2</v>
      </c>
      <c r="R5741">
        <v>0.98623627883110498</v>
      </c>
      <c r="S5741" t="s">
        <v>11567</v>
      </c>
      <c r="T5741" t="s">
        <v>11650</v>
      </c>
      <c r="U5741" t="s">
        <v>11650</v>
      </c>
      <c r="V5741" t="s">
        <v>11650</v>
      </c>
      <c r="W5741" t="s">
        <v>17331</v>
      </c>
      <c r="X5741">
        <v>9</v>
      </c>
      <c r="Y5741" t="s">
        <v>22982</v>
      </c>
      <c r="Z5741" t="s">
        <v>28803</v>
      </c>
      <c r="AA5741">
        <v>0.54586063880889735</v>
      </c>
      <c r="AB5741" t="str">
        <f>HYPERLINK("Melting_Curves/meltCurve_Q9Y508_RNF114.pdf", "Melting_Curves/meltCurve_Q9Y508_RNF114.pdf")</f>
        <v>Melting_Curves/meltCurve_Q9Y508_RNF114.pdf</v>
      </c>
    </row>
    <row r="5742" spans="1:28" x14ac:dyDescent="0.25">
      <c r="A5742" t="s">
        <v>5746</v>
      </c>
      <c r="B5742">
        <v>0.99996721820229495</v>
      </c>
      <c r="C5742">
        <v>0.80003506139299396</v>
      </c>
      <c r="D5742">
        <v>0.78771514823363897</v>
      </c>
      <c r="E5742">
        <v>0.86065140258457995</v>
      </c>
      <c r="F5742">
        <v>1.08309601339423</v>
      </c>
      <c r="G5742">
        <v>0.77987083221674502</v>
      </c>
      <c r="H5742">
        <v>0.59452522818686804</v>
      </c>
      <c r="I5742">
        <v>0.76395751217300401</v>
      </c>
      <c r="J5742">
        <v>0.81062774228765599</v>
      </c>
      <c r="K5742">
        <v>0.44538286480877598</v>
      </c>
      <c r="L5742">
        <v>258.53583137241498</v>
      </c>
      <c r="M5742">
        <v>3.2357665369347899</v>
      </c>
      <c r="O5742">
        <v>60.7493794323644</v>
      </c>
      <c r="P5742">
        <v>-1.36457300083103E-2</v>
      </c>
      <c r="Q5742">
        <v>0</v>
      </c>
      <c r="R5742">
        <v>0.39996112547403601</v>
      </c>
      <c r="S5742" t="s">
        <v>11568</v>
      </c>
      <c r="T5742" t="s">
        <v>11650</v>
      </c>
      <c r="U5742" t="s">
        <v>11650</v>
      </c>
      <c r="V5742" t="s">
        <v>11650</v>
      </c>
      <c r="W5742" t="s">
        <v>17332</v>
      </c>
      <c r="X5742">
        <v>6</v>
      </c>
      <c r="Y5742" t="s">
        <v>22983</v>
      </c>
      <c r="Z5742" t="s">
        <v>28804</v>
      </c>
      <c r="AA5742">
        <v>0.80389181417464206</v>
      </c>
      <c r="AB5742" t="str">
        <f>HYPERLINK("Melting_Curves/meltCurve_Q9Y534_CSDC2.pdf", "Melting_Curves/meltCurve_Q9Y534_CSDC2.pdf")</f>
        <v>Melting_Curves/meltCurve_Q9Y534_CSDC2.pdf</v>
      </c>
    </row>
    <row r="5743" spans="1:28" x14ac:dyDescent="0.25">
      <c r="A5743" t="s">
        <v>5747</v>
      </c>
      <c r="B5743">
        <v>0.99996721820229495</v>
      </c>
      <c r="C5743">
        <v>0.99608324505996504</v>
      </c>
      <c r="D5743">
        <v>0.96260303429991301</v>
      </c>
      <c r="E5743">
        <v>0.91025288358833301</v>
      </c>
      <c r="F5743">
        <v>0.68070898246638201</v>
      </c>
      <c r="G5743">
        <v>0.24957535061121999</v>
      </c>
      <c r="H5743">
        <v>0.13434066832366801</v>
      </c>
      <c r="I5743">
        <v>9.4025662382083902E-2</v>
      </c>
      <c r="J5743">
        <v>7.5716833555089E-2</v>
      </c>
      <c r="K5743">
        <v>6.0386661356454201E-2</v>
      </c>
      <c r="L5743">
        <v>1471.22073991604</v>
      </c>
      <c r="M5743">
        <v>27.1560575050902</v>
      </c>
      <c r="N5743">
        <v>54.491729394410001</v>
      </c>
      <c r="O5743">
        <v>53.8852928047231</v>
      </c>
      <c r="P5743">
        <v>-0.116833772387358</v>
      </c>
      <c r="Q5743">
        <v>7.2684083572911201E-2</v>
      </c>
      <c r="R5743">
        <v>0.99887814079769</v>
      </c>
      <c r="S5743" t="s">
        <v>11569</v>
      </c>
      <c r="T5743" t="s">
        <v>11650</v>
      </c>
      <c r="U5743" t="s">
        <v>11650</v>
      </c>
      <c r="V5743" t="s">
        <v>11650</v>
      </c>
      <c r="W5743" t="s">
        <v>17333</v>
      </c>
      <c r="X5743">
        <v>21</v>
      </c>
      <c r="Y5743" t="s">
        <v>22984</v>
      </c>
      <c r="Z5743" t="s">
        <v>28805</v>
      </c>
      <c r="AA5743">
        <v>0.51826031865056854</v>
      </c>
      <c r="AB5743" t="str">
        <f>HYPERLINK("Melting_Curves/meltCurve_Q9Y570_PPME1.pdf", "Melting_Curves/meltCurve_Q9Y570_PPME1.pdf")</f>
        <v>Melting_Curves/meltCurve_Q9Y570_PPME1.pdf</v>
      </c>
    </row>
    <row r="5744" spans="1:28" x14ac:dyDescent="0.25">
      <c r="A5744" t="s">
        <v>5748</v>
      </c>
      <c r="B5744">
        <v>0.99996721820229495</v>
      </c>
      <c r="C5744">
        <v>0.76006927887116404</v>
      </c>
      <c r="D5744">
        <v>0.93910278748627096</v>
      </c>
      <c r="E5744">
        <v>1.12681889386485</v>
      </c>
      <c r="F5744">
        <v>1.64564601149524</v>
      </c>
      <c r="G5744">
        <v>1.77199703046961</v>
      </c>
      <c r="H5744">
        <v>1.59836403370974</v>
      </c>
      <c r="I5744">
        <v>1.24949517626107</v>
      </c>
      <c r="J5744">
        <v>0.89624517632349998</v>
      </c>
      <c r="K5744">
        <v>0.88792710942097997</v>
      </c>
      <c r="L5744">
        <v>12526.344935254399</v>
      </c>
      <c r="M5744">
        <v>250</v>
      </c>
      <c r="O5744">
        <v>50.102172536111702</v>
      </c>
      <c r="P5744">
        <v>0.42614461427787698</v>
      </c>
      <c r="Q5744">
        <v>1.3416123408456599</v>
      </c>
      <c r="R5744">
        <v>0.30835395009517702</v>
      </c>
      <c r="S5744" t="s">
        <v>11570</v>
      </c>
      <c r="T5744" t="s">
        <v>11650</v>
      </c>
      <c r="U5744" t="s">
        <v>11650</v>
      </c>
      <c r="V5744" t="s">
        <v>11650</v>
      </c>
      <c r="W5744" t="s">
        <v>17334</v>
      </c>
      <c r="X5744">
        <v>3</v>
      </c>
      <c r="Y5744" t="s">
        <v>22985</v>
      </c>
      <c r="Z5744" t="s">
        <v>28806</v>
      </c>
      <c r="AA5744">
        <v>1.2265115538354201</v>
      </c>
      <c r="AB5744" t="str">
        <f>HYPERLINK("Melting_Curves/meltCurve_Q9Y584_TIMM22.pdf", "Melting_Curves/meltCurve_Q9Y584_TIMM22.pdf")</f>
        <v>Melting_Curves/meltCurve_Q9Y584_TIMM22.pdf</v>
      </c>
    </row>
    <row r="5745" spans="1:28" x14ac:dyDescent="0.25">
      <c r="A5745" t="s">
        <v>5749</v>
      </c>
      <c r="B5745">
        <v>0.99996721820229495</v>
      </c>
      <c r="C5745">
        <v>0.99871993263390302</v>
      </c>
      <c r="D5745">
        <v>0.87251360773236997</v>
      </c>
      <c r="E5745">
        <v>0.75303585294502196</v>
      </c>
      <c r="F5745">
        <v>0.96269342483727205</v>
      </c>
      <c r="G5745">
        <v>0.92575750691917302</v>
      </c>
      <c r="H5745">
        <v>0.67875926737987602</v>
      </c>
      <c r="I5745">
        <v>0.50986426425642295</v>
      </c>
      <c r="J5745">
        <v>0.42903813113550399</v>
      </c>
      <c r="K5745">
        <v>0.309890365572351</v>
      </c>
      <c r="L5745">
        <v>707.33586641662305</v>
      </c>
      <c r="M5745">
        <v>10.864509235992299</v>
      </c>
      <c r="N5745">
        <v>65.105167856445803</v>
      </c>
      <c r="O5745">
        <v>63.015956043482497</v>
      </c>
      <c r="P5745">
        <v>-4.3117467933110797E-2</v>
      </c>
      <c r="Q5745">
        <v>0</v>
      </c>
      <c r="R5745">
        <v>0.87569251450178898</v>
      </c>
      <c r="S5745" t="s">
        <v>11571</v>
      </c>
      <c r="T5745" t="s">
        <v>11650</v>
      </c>
      <c r="U5745" t="s">
        <v>11650</v>
      </c>
      <c r="V5745" t="s">
        <v>11650</v>
      </c>
      <c r="W5745" t="s">
        <v>17335</v>
      </c>
      <c r="X5745">
        <v>1</v>
      </c>
      <c r="Y5745" t="s">
        <v>22986</v>
      </c>
      <c r="Z5745" t="s">
        <v>28807</v>
      </c>
      <c r="AA5745">
        <v>0.78808096100577829</v>
      </c>
      <c r="AB5745" t="str">
        <f>HYPERLINK("Melting_Curves/meltCurve_Q9Y597_3_KCTD3.pdf", "Melting_Curves/meltCurve_Q9Y597_3_KCTD3.pdf")</f>
        <v>Melting_Curves/meltCurve_Q9Y597_3_KCTD3.pdf</v>
      </c>
    </row>
    <row r="5746" spans="1:28" x14ac:dyDescent="0.25">
      <c r="A5746" t="s">
        <v>5750</v>
      </c>
      <c r="B5746">
        <v>0.99996721820229495</v>
      </c>
      <c r="C5746">
        <v>0.99305421235588198</v>
      </c>
      <c r="D5746">
        <v>1.01221768496696</v>
      </c>
      <c r="E5746">
        <v>0.94163775224416901</v>
      </c>
      <c r="F5746">
        <v>1.0465971236107801</v>
      </c>
      <c r="G5746">
        <v>0.84795044985975998</v>
      </c>
      <c r="H5746">
        <v>0.617331633837644</v>
      </c>
      <c r="I5746">
        <v>0.64329619781882896</v>
      </c>
      <c r="J5746">
        <v>0.49398644966677702</v>
      </c>
      <c r="K5746">
        <v>0.36011120562339499</v>
      </c>
      <c r="L5746">
        <v>892.77391648913294</v>
      </c>
      <c r="M5746">
        <v>14.2111093812586</v>
      </c>
      <c r="N5746">
        <v>66.0401135521318</v>
      </c>
      <c r="O5746">
        <v>61.617547743903103</v>
      </c>
      <c r="P5746">
        <v>-4.3259383180949601E-2</v>
      </c>
      <c r="Q5746">
        <v>0.24982507346926699</v>
      </c>
      <c r="R5746">
        <v>0.95484666068136204</v>
      </c>
      <c r="S5746" t="s">
        <v>11572</v>
      </c>
      <c r="T5746" t="s">
        <v>11650</v>
      </c>
      <c r="U5746" t="s">
        <v>11650</v>
      </c>
      <c r="V5746" t="s">
        <v>11650</v>
      </c>
      <c r="W5746" t="s">
        <v>17336</v>
      </c>
      <c r="X5746">
        <v>3</v>
      </c>
      <c r="Y5746" t="s">
        <v>22987</v>
      </c>
      <c r="Z5746" t="s">
        <v>28808</v>
      </c>
      <c r="AA5746">
        <v>0.81296447940209637</v>
      </c>
      <c r="AB5746" t="str">
        <f>HYPERLINK("Melting_Curves/meltCurve_Q9Y5A9_2_YTHDF2.pdf", "Melting_Curves/meltCurve_Q9Y5A9_2_YTHDF2.pdf")</f>
        <v>Melting_Curves/meltCurve_Q9Y5A9_2_YTHDF2.pdf</v>
      </c>
    </row>
    <row r="5747" spans="1:28" x14ac:dyDescent="0.25">
      <c r="A5747" t="s">
        <v>5751</v>
      </c>
      <c r="B5747">
        <v>0.99996721820229495</v>
      </c>
      <c r="C5747">
        <v>0.95465052739049805</v>
      </c>
      <c r="D5747">
        <v>0.75296136608221198</v>
      </c>
      <c r="E5747">
        <v>0.34546391304211799</v>
      </c>
      <c r="F5747">
        <v>0.36627490758998199</v>
      </c>
      <c r="G5747">
        <v>0.297912720958949</v>
      </c>
      <c r="H5747">
        <v>0.19181648558258299</v>
      </c>
      <c r="I5747">
        <v>0.14080398874153999</v>
      </c>
      <c r="J5747">
        <v>0.103903592140819</v>
      </c>
      <c r="K5747">
        <v>9.8416900074262306E-2</v>
      </c>
      <c r="L5747">
        <v>805.14211780076596</v>
      </c>
      <c r="M5747">
        <v>16.673043667323999</v>
      </c>
      <c r="N5747">
        <v>49.2727803625314</v>
      </c>
      <c r="O5747">
        <v>47.611421801442397</v>
      </c>
      <c r="P5747">
        <v>-7.5168963634622402E-2</v>
      </c>
      <c r="Q5747">
        <v>0.14144949531881501</v>
      </c>
      <c r="R5747">
        <v>0.96980233704871099</v>
      </c>
      <c r="S5747" t="s">
        <v>11573</v>
      </c>
      <c r="T5747" t="s">
        <v>11650</v>
      </c>
      <c r="U5747" t="s">
        <v>11650</v>
      </c>
      <c r="V5747" t="s">
        <v>11650</v>
      </c>
      <c r="W5747" t="s">
        <v>17337</v>
      </c>
      <c r="X5747">
        <v>12</v>
      </c>
      <c r="Y5747" t="s">
        <v>22988</v>
      </c>
      <c r="Z5747" t="s">
        <v>28809</v>
      </c>
      <c r="AA5747">
        <v>0.39636455035169238</v>
      </c>
      <c r="AB5747" t="str">
        <f>HYPERLINK("Melting_Curves/meltCurve_Q9Y5B0_CTDP1.pdf", "Melting_Curves/meltCurve_Q9Y5B0_CTDP1.pdf")</f>
        <v>Melting_Curves/meltCurve_Q9Y5B0_CTDP1.pdf</v>
      </c>
    </row>
    <row r="5748" spans="1:28" x14ac:dyDescent="0.25">
      <c r="A5748" t="s">
        <v>5752</v>
      </c>
      <c r="B5748">
        <v>0.99996721820229495</v>
      </c>
      <c r="C5748">
        <v>0.88324460319742604</v>
      </c>
      <c r="D5748">
        <v>0.75447813649564299</v>
      </c>
      <c r="E5748">
        <v>0.59920907899068299</v>
      </c>
      <c r="F5748">
        <v>0.228383035330257</v>
      </c>
      <c r="G5748">
        <v>0.187541726719787</v>
      </c>
      <c r="H5748">
        <v>0.14098728850723899</v>
      </c>
      <c r="I5748">
        <v>8.9961674791048996E-2</v>
      </c>
      <c r="J5748">
        <v>7.3051761367146403E-2</v>
      </c>
      <c r="K5748">
        <v>6.457339685407E-2</v>
      </c>
      <c r="L5748">
        <v>740.80710011043698</v>
      </c>
      <c r="M5748">
        <v>14.9132677669153</v>
      </c>
      <c r="N5748">
        <v>50.081636647509299</v>
      </c>
      <c r="O5748">
        <v>48.806851789208999</v>
      </c>
      <c r="P5748">
        <v>-7.2034392593508995E-2</v>
      </c>
      <c r="Q5748">
        <v>5.7105762521359002E-2</v>
      </c>
      <c r="R5748">
        <v>0.98265441736820702</v>
      </c>
      <c r="S5748" t="s">
        <v>11574</v>
      </c>
      <c r="T5748" t="s">
        <v>11650</v>
      </c>
      <c r="U5748" t="s">
        <v>11650</v>
      </c>
      <c r="V5748" t="s">
        <v>11650</v>
      </c>
      <c r="W5748" t="s">
        <v>17338</v>
      </c>
      <c r="X5748">
        <v>7</v>
      </c>
      <c r="Y5748" t="s">
        <v>22989</v>
      </c>
      <c r="Z5748" t="s">
        <v>28810</v>
      </c>
      <c r="AA5748">
        <v>0.38413427417322299</v>
      </c>
      <c r="AB5748" t="str">
        <f>HYPERLINK("Melting_Curves/meltCurve_Q9Y5B8_2_NME7.pdf", "Melting_Curves/meltCurve_Q9Y5B8_2_NME7.pdf")</f>
        <v>Melting_Curves/meltCurve_Q9Y5B8_2_NME7.pdf</v>
      </c>
    </row>
    <row r="5749" spans="1:28" x14ac:dyDescent="0.25">
      <c r="A5749" t="s">
        <v>5753</v>
      </c>
      <c r="B5749">
        <v>0.99996721820229495</v>
      </c>
      <c r="C5749">
        <v>0.94993368641965503</v>
      </c>
      <c r="D5749">
        <v>0.69230900310254895</v>
      </c>
      <c r="E5749">
        <v>0.30289867767401601</v>
      </c>
      <c r="F5749">
        <v>0.26925727647359199</v>
      </c>
      <c r="G5749">
        <v>0.18635793211602</v>
      </c>
      <c r="H5749">
        <v>0.137126979396655</v>
      </c>
      <c r="I5749">
        <v>0.11455980340998501</v>
      </c>
      <c r="J5749">
        <v>9.0894461247217895E-2</v>
      </c>
      <c r="K5749">
        <v>9.3051100521449506E-2</v>
      </c>
      <c r="L5749">
        <v>998.88494927990598</v>
      </c>
      <c r="M5749">
        <v>21.052584142910899</v>
      </c>
      <c r="N5749">
        <v>48.080582375983298</v>
      </c>
      <c r="O5749">
        <v>47.0252476783905</v>
      </c>
      <c r="P5749">
        <v>-9.8369398468131294E-2</v>
      </c>
      <c r="Q5749">
        <v>0.121110512609872</v>
      </c>
      <c r="R5749">
        <v>0.99073495849890003</v>
      </c>
      <c r="S5749" t="s">
        <v>11575</v>
      </c>
      <c r="T5749" t="s">
        <v>11650</v>
      </c>
      <c r="U5749" t="s">
        <v>11650</v>
      </c>
      <c r="V5749" t="s">
        <v>11650</v>
      </c>
      <c r="W5749" t="s">
        <v>17339</v>
      </c>
      <c r="X5749">
        <v>3</v>
      </c>
      <c r="Y5749" t="s">
        <v>22990</v>
      </c>
      <c r="Z5749" t="s">
        <v>28811</v>
      </c>
      <c r="AA5749">
        <v>0.35061360885266729</v>
      </c>
      <c r="AB5749" t="str">
        <f>HYPERLINK("Melting_Curves/meltCurve_Q9Y5J5_PHLDA3.pdf", "Melting_Curves/meltCurve_Q9Y5J5_PHLDA3.pdf")</f>
        <v>Melting_Curves/meltCurve_Q9Y5J5_PHLDA3.pdf</v>
      </c>
    </row>
    <row r="5750" spans="1:28" x14ac:dyDescent="0.25">
      <c r="A5750" t="s">
        <v>5754</v>
      </c>
      <c r="B5750">
        <v>0.99996721820229495</v>
      </c>
      <c r="C5750">
        <v>0.929733032710097</v>
      </c>
      <c r="D5750">
        <v>0.97003310637214701</v>
      </c>
      <c r="E5750">
        <v>1.2502458071621201</v>
      </c>
      <c r="F5750">
        <v>1.52237359539216</v>
      </c>
      <c r="G5750">
        <v>1.2946630739625999</v>
      </c>
      <c r="H5750">
        <v>0.64671375396090403</v>
      </c>
      <c r="I5750">
        <v>0.47145557444429298</v>
      </c>
      <c r="J5750">
        <v>0.29408865976394499</v>
      </c>
      <c r="K5750">
        <v>0.199782653259859</v>
      </c>
      <c r="L5750">
        <v>2712.66912496536</v>
      </c>
      <c r="M5750">
        <v>43.883026346879198</v>
      </c>
      <c r="N5750">
        <v>62.832004034409003</v>
      </c>
      <c r="O5750">
        <v>61.687950372615099</v>
      </c>
      <c r="P5750">
        <v>-0.13265474933037799</v>
      </c>
      <c r="Q5750">
        <v>0.25409083658696502</v>
      </c>
      <c r="R5750">
        <v>0.74148850590551496</v>
      </c>
      <c r="S5750" t="s">
        <v>11576</v>
      </c>
      <c r="T5750" t="s">
        <v>11650</v>
      </c>
      <c r="U5750" t="s">
        <v>11650</v>
      </c>
      <c r="V5750" t="s">
        <v>11650</v>
      </c>
      <c r="W5750" t="s">
        <v>17340</v>
      </c>
      <c r="X5750">
        <v>5</v>
      </c>
      <c r="Y5750" t="s">
        <v>22991</v>
      </c>
      <c r="Z5750" t="s">
        <v>28812</v>
      </c>
      <c r="AA5750">
        <v>0.79887892900608037</v>
      </c>
      <c r="AB5750" t="str">
        <f>HYPERLINK("Melting_Curves/meltCurve_Q9Y5J6_TIMM10B.pdf", "Melting_Curves/meltCurve_Q9Y5J6_TIMM10B.pdf")</f>
        <v>Melting_Curves/meltCurve_Q9Y5J6_TIMM10B.pdf</v>
      </c>
    </row>
    <row r="5751" spans="1:28" x14ac:dyDescent="0.25">
      <c r="A5751" t="s">
        <v>5755</v>
      </c>
      <c r="B5751">
        <v>0.99996721820229495</v>
      </c>
      <c r="C5751">
        <v>1.0509286713474599</v>
      </c>
      <c r="D5751">
        <v>1.0989692477321</v>
      </c>
      <c r="E5751">
        <v>1.35487810393166</v>
      </c>
      <c r="F5751">
        <v>1.90724801919005</v>
      </c>
      <c r="G5751">
        <v>2.4315149291583902</v>
      </c>
      <c r="H5751">
        <v>1.83882764647498</v>
      </c>
      <c r="I5751">
        <v>1.33115620809456</v>
      </c>
      <c r="J5751">
        <v>0.79795296231074098</v>
      </c>
      <c r="K5751">
        <v>0.40908403738669502</v>
      </c>
      <c r="L5751">
        <v>15000</v>
      </c>
      <c r="M5751">
        <v>223.22549046935299</v>
      </c>
      <c r="N5751">
        <v>67.713450143202195</v>
      </c>
      <c r="O5751">
        <v>67.191223787804404</v>
      </c>
      <c r="P5751">
        <v>-0.49085774012037803</v>
      </c>
      <c r="Q5751">
        <v>0.40900410772169998</v>
      </c>
      <c r="R5751">
        <v>-0.20372196744423601</v>
      </c>
      <c r="S5751" t="s">
        <v>11577</v>
      </c>
      <c r="T5751" t="s">
        <v>11650</v>
      </c>
      <c r="U5751" t="s">
        <v>11650</v>
      </c>
      <c r="V5751" t="s">
        <v>11650</v>
      </c>
      <c r="W5751" t="s">
        <v>17341</v>
      </c>
      <c r="X5751">
        <v>8</v>
      </c>
      <c r="Y5751" t="s">
        <v>22992</v>
      </c>
      <c r="Z5751" t="s">
        <v>28813</v>
      </c>
      <c r="AA5751">
        <v>0.94486050485403195</v>
      </c>
      <c r="AB5751" t="str">
        <f>HYPERLINK("Melting_Curves/meltCurve_Q9Y5J7_TIMM9.pdf", "Melting_Curves/meltCurve_Q9Y5J7_TIMM9.pdf")</f>
        <v>Melting_Curves/meltCurve_Q9Y5J7_TIMM9.pdf</v>
      </c>
    </row>
    <row r="5752" spans="1:28" x14ac:dyDescent="0.25">
      <c r="A5752" t="s">
        <v>5756</v>
      </c>
      <c r="B5752">
        <v>0.99996721820229495</v>
      </c>
      <c r="C5752">
        <v>0.98744495698429502</v>
      </c>
      <c r="D5752">
        <v>0.96250884255668201</v>
      </c>
      <c r="E5752">
        <v>0.56378143391770297</v>
      </c>
      <c r="F5752">
        <v>0.54913697082692803</v>
      </c>
      <c r="G5752">
        <v>0.44967080371291202</v>
      </c>
      <c r="H5752">
        <v>0.193835458303171</v>
      </c>
      <c r="I5752">
        <v>0.11699221612305</v>
      </c>
      <c r="J5752">
        <v>0.11216698453286</v>
      </c>
      <c r="K5752">
        <v>0.101767893186515</v>
      </c>
      <c r="L5752">
        <v>616.80489101041996</v>
      </c>
      <c r="M5752">
        <v>11.524077139811901</v>
      </c>
      <c r="N5752">
        <v>53.789065074058101</v>
      </c>
      <c r="O5752">
        <v>51.987575875500397</v>
      </c>
      <c r="P5752">
        <v>-5.38981535308031E-2</v>
      </c>
      <c r="Q5752">
        <v>2.7689747734966502E-2</v>
      </c>
      <c r="R5752">
        <v>0.96712669020214703</v>
      </c>
      <c r="S5752" t="s">
        <v>11578</v>
      </c>
      <c r="T5752" t="s">
        <v>11650</v>
      </c>
      <c r="U5752" t="s">
        <v>11650</v>
      </c>
      <c r="V5752" t="s">
        <v>11650</v>
      </c>
      <c r="W5752" t="s">
        <v>17342</v>
      </c>
      <c r="X5752">
        <v>7</v>
      </c>
      <c r="Y5752" t="s">
        <v>22993</v>
      </c>
      <c r="Z5752" t="s">
        <v>28814</v>
      </c>
      <c r="AA5752">
        <v>0.49358522247614828</v>
      </c>
      <c r="AB5752" t="str">
        <f>HYPERLINK("Melting_Curves/meltCurve_Q9Y5K5_2_UCHL5.pdf", "Melting_Curves/meltCurve_Q9Y5K5_2_UCHL5.pdf")</f>
        <v>Melting_Curves/meltCurve_Q9Y5K5_2_UCHL5.pdf</v>
      </c>
    </row>
    <row r="5753" spans="1:28" x14ac:dyDescent="0.25">
      <c r="A5753" t="s">
        <v>5757</v>
      </c>
      <c r="B5753">
        <v>0.99996721820229495</v>
      </c>
      <c r="C5753">
        <v>1.03510634417183</v>
      </c>
      <c r="D5753">
        <v>1.0461259572639099</v>
      </c>
      <c r="E5753">
        <v>1.1603719989511501</v>
      </c>
      <c r="F5753">
        <v>1.0340861811957101</v>
      </c>
      <c r="G5753">
        <v>0.80381870807480105</v>
      </c>
      <c r="H5753">
        <v>0.46664173159728201</v>
      </c>
      <c r="I5753">
        <v>0.39973246750722202</v>
      </c>
      <c r="J5753">
        <v>0.34263126382431403</v>
      </c>
      <c r="K5753">
        <v>0.25801180213407399</v>
      </c>
      <c r="L5753">
        <v>1878.8881238296301</v>
      </c>
      <c r="M5753">
        <v>31.916243168007799</v>
      </c>
      <c r="N5753">
        <v>60.6709191669406</v>
      </c>
      <c r="O5753">
        <v>58.639667565797701</v>
      </c>
      <c r="P5753">
        <v>-9.44067546838218E-2</v>
      </c>
      <c r="Q5753">
        <v>0.30618988847038697</v>
      </c>
      <c r="R5753">
        <v>0.96500967039583196</v>
      </c>
      <c r="S5753" t="s">
        <v>11579</v>
      </c>
      <c r="T5753" t="s">
        <v>11650</v>
      </c>
      <c r="U5753" t="s">
        <v>11650</v>
      </c>
      <c r="V5753" t="s">
        <v>11650</v>
      </c>
      <c r="W5753" t="s">
        <v>17343</v>
      </c>
      <c r="X5753">
        <v>22</v>
      </c>
      <c r="Y5753" t="s">
        <v>22994</v>
      </c>
      <c r="Z5753" t="s">
        <v>28815</v>
      </c>
      <c r="AA5753">
        <v>0.7466321854611252</v>
      </c>
      <c r="AB5753" t="str">
        <f>HYPERLINK("Melting_Curves/meltCurve_Q9Y5K6_CD2AP.pdf", "Melting_Curves/meltCurve_Q9Y5K6_CD2AP.pdf")</f>
        <v>Melting_Curves/meltCurve_Q9Y5K6_CD2AP.pdf</v>
      </c>
    </row>
    <row r="5754" spans="1:28" x14ac:dyDescent="0.25">
      <c r="A5754" t="s">
        <v>5758</v>
      </c>
      <c r="B5754">
        <v>0.99996721820229495</v>
      </c>
      <c r="C5754">
        <v>0.98622226138960301</v>
      </c>
      <c r="D5754">
        <v>0.97137641914842998</v>
      </c>
      <c r="E5754">
        <v>1.1387176645731301</v>
      </c>
      <c r="F5754">
        <v>1.69771332042845</v>
      </c>
      <c r="G5754">
        <v>2.1785926592348699</v>
      </c>
      <c r="H5754">
        <v>1.58864302044798</v>
      </c>
      <c r="I5754">
        <v>0.82064757526731702</v>
      </c>
      <c r="J5754">
        <v>0.44804180689637602</v>
      </c>
      <c r="K5754">
        <v>0.281190402919479</v>
      </c>
      <c r="L5754">
        <v>4521.6065118624902</v>
      </c>
      <c r="M5754">
        <v>69.078345483585906</v>
      </c>
      <c r="N5754">
        <v>66.313439728888099</v>
      </c>
      <c r="O5754">
        <v>65.4014139063475</v>
      </c>
      <c r="P5754">
        <v>-0.186084551403424</v>
      </c>
      <c r="Q5754">
        <v>0.29528189831886598</v>
      </c>
      <c r="R5754">
        <v>0.24209764015721399</v>
      </c>
      <c r="S5754" t="s">
        <v>11580</v>
      </c>
      <c r="T5754" t="s">
        <v>11650</v>
      </c>
      <c r="U5754" t="s">
        <v>11650</v>
      </c>
      <c r="V5754" t="s">
        <v>11650</v>
      </c>
      <c r="W5754" t="s">
        <v>17344</v>
      </c>
      <c r="X5754">
        <v>13</v>
      </c>
      <c r="Y5754" t="s">
        <v>22995</v>
      </c>
      <c r="Z5754" t="s">
        <v>28816</v>
      </c>
      <c r="AA5754">
        <v>0.89403167440372189</v>
      </c>
      <c r="AB5754" t="str">
        <f>HYPERLINK("Melting_Curves/meltCurve_Q9Y5K8_ATP6V1D.pdf", "Melting_Curves/meltCurve_Q9Y5K8_ATP6V1D.pdf")</f>
        <v>Melting_Curves/meltCurve_Q9Y5K8_ATP6V1D.pdf</v>
      </c>
    </row>
    <row r="5755" spans="1:28" x14ac:dyDescent="0.25">
      <c r="A5755" t="s">
        <v>5759</v>
      </c>
      <c r="B5755">
        <v>0.99996721820229495</v>
      </c>
      <c r="C5755">
        <v>0.94162449103763501</v>
      </c>
      <c r="D5755">
        <v>0.98912700160602096</v>
      </c>
      <c r="E5755">
        <v>0.97261642753926203</v>
      </c>
      <c r="F5755">
        <v>0.523107752376341</v>
      </c>
      <c r="G5755">
        <v>0.37058038055223602</v>
      </c>
      <c r="H5755">
        <v>0.187856285669697</v>
      </c>
      <c r="I5755">
        <v>0.11660495002123</v>
      </c>
      <c r="J5755">
        <v>9.5639105800105206E-2</v>
      </c>
      <c r="K5755">
        <v>8.5138504180044206E-2</v>
      </c>
      <c r="L5755">
        <v>1171.5224323560701</v>
      </c>
      <c r="M5755">
        <v>21.726401397246899</v>
      </c>
      <c r="N5755">
        <v>54.462307518061003</v>
      </c>
      <c r="O5755">
        <v>53.471028452322301</v>
      </c>
      <c r="P5755">
        <v>-9.1727950643812103E-2</v>
      </c>
      <c r="Q5755">
        <v>9.7011486545361597E-2</v>
      </c>
      <c r="R5755">
        <v>0.97835047563728095</v>
      </c>
      <c r="S5755" t="s">
        <v>11581</v>
      </c>
      <c r="T5755" t="s">
        <v>11650</v>
      </c>
      <c r="U5755" t="s">
        <v>11650</v>
      </c>
      <c r="V5755" t="s">
        <v>11650</v>
      </c>
      <c r="W5755" t="s">
        <v>17345</v>
      </c>
      <c r="X5755">
        <v>10</v>
      </c>
      <c r="Y5755" t="s">
        <v>22996</v>
      </c>
      <c r="Z5755" t="s">
        <v>28817</v>
      </c>
      <c r="AA5755">
        <v>0.52675388358856834</v>
      </c>
      <c r="AB5755" t="str">
        <f>HYPERLINK("Melting_Curves/meltCurve_Q9Y5L0_TNPO3.pdf", "Melting_Curves/meltCurve_Q9Y5L0_TNPO3.pdf")</f>
        <v>Melting_Curves/meltCurve_Q9Y5L0_TNPO3.pdf</v>
      </c>
    </row>
    <row r="5756" spans="1:28" x14ac:dyDescent="0.25">
      <c r="A5756" t="s">
        <v>5760</v>
      </c>
      <c r="B5756">
        <v>0.99996721820229495</v>
      </c>
      <c r="C5756">
        <v>1.05375489975211</v>
      </c>
      <c r="D5756">
        <v>1.0902223382574601</v>
      </c>
      <c r="E5756">
        <v>1.1875131964429499</v>
      </c>
      <c r="F5756">
        <v>1.59045207214074</v>
      </c>
      <c r="G5756">
        <v>1.62216559459726</v>
      </c>
      <c r="H5756">
        <v>0.98668986813467296</v>
      </c>
      <c r="I5756">
        <v>0.83705050401647096</v>
      </c>
      <c r="J5756">
        <v>0.63874691553436802</v>
      </c>
      <c r="K5756">
        <v>0.49831794808477498</v>
      </c>
      <c r="L5756">
        <v>2873.8341046621699</v>
      </c>
      <c r="M5756">
        <v>43.902019723062203</v>
      </c>
      <c r="O5756">
        <v>65.324796050020794</v>
      </c>
      <c r="P5756">
        <v>-8.7385006244897506E-2</v>
      </c>
      <c r="Q5756">
        <v>0.47989641344767903</v>
      </c>
      <c r="R5756">
        <v>0.327256777464565</v>
      </c>
      <c r="S5756" t="s">
        <v>11582</v>
      </c>
      <c r="T5756" t="s">
        <v>11650</v>
      </c>
      <c r="U5756" t="s">
        <v>11650</v>
      </c>
      <c r="V5756" t="s">
        <v>11650</v>
      </c>
      <c r="W5756" t="s">
        <v>17346</v>
      </c>
      <c r="X5756">
        <v>7</v>
      </c>
      <c r="Y5756" t="s">
        <v>22997</v>
      </c>
      <c r="Z5756" t="s">
        <v>28818</v>
      </c>
      <c r="AA5756">
        <v>0.92148955451235659</v>
      </c>
      <c r="AB5756" t="str">
        <f>HYPERLINK("Melting_Curves/meltCurve_Q9Y5L4_TIMM13.pdf", "Melting_Curves/meltCurve_Q9Y5L4_TIMM13.pdf")</f>
        <v>Melting_Curves/meltCurve_Q9Y5L4_TIMM13.pdf</v>
      </c>
    </row>
    <row r="5757" spans="1:28" x14ac:dyDescent="0.25">
      <c r="A5757" t="s">
        <v>5761</v>
      </c>
      <c r="B5757">
        <v>0.99996721820229495</v>
      </c>
      <c r="C5757">
        <v>1.0475743816388099</v>
      </c>
      <c r="D5757">
        <v>0.94639942501173002</v>
      </c>
      <c r="E5757">
        <v>0.57130961609247</v>
      </c>
      <c r="F5757">
        <v>0.50184968340359004</v>
      </c>
      <c r="G5757">
        <v>0.46182662693571802</v>
      </c>
      <c r="H5757">
        <v>0.27084602748886699</v>
      </c>
      <c r="I5757">
        <v>0.155490773530819</v>
      </c>
      <c r="J5757">
        <v>9.8436513998948705E-2</v>
      </c>
      <c r="K5757">
        <v>7.7426738309643001E-2</v>
      </c>
      <c r="L5757">
        <v>586.53298638059596</v>
      </c>
      <c r="M5757">
        <v>10.910688397905499</v>
      </c>
      <c r="N5757">
        <v>53.987354355203998</v>
      </c>
      <c r="O5757">
        <v>52.046378317517302</v>
      </c>
      <c r="P5757">
        <v>-5.1237660140567701E-2</v>
      </c>
      <c r="Q5757">
        <v>2.26807098563853E-2</v>
      </c>
      <c r="R5757">
        <v>0.96102953496825205</v>
      </c>
      <c r="S5757" t="s">
        <v>11583</v>
      </c>
      <c r="T5757" t="s">
        <v>11650</v>
      </c>
      <c r="U5757" t="s">
        <v>11650</v>
      </c>
      <c r="V5757" t="s">
        <v>11650</v>
      </c>
      <c r="W5757" t="s">
        <v>17347</v>
      </c>
      <c r="X5757">
        <v>13</v>
      </c>
      <c r="Y5757" t="s">
        <v>22998</v>
      </c>
      <c r="Z5757" t="s">
        <v>28819</v>
      </c>
      <c r="AA5757">
        <v>0.49933595889607618</v>
      </c>
      <c r="AB5757" t="str">
        <f>HYPERLINK("Melting_Curves/meltCurve_Q9Y5M8_SRPRB.pdf", "Melting_Curves/meltCurve_Q9Y5M8_SRPRB.pdf")</f>
        <v>Melting_Curves/meltCurve_Q9Y5M8_SRPRB.pdf</v>
      </c>
    </row>
    <row r="5758" spans="1:28" x14ac:dyDescent="0.25">
      <c r="A5758" t="s">
        <v>5762</v>
      </c>
      <c r="B5758">
        <v>0.99996721820229495</v>
      </c>
      <c r="C5758">
        <v>1.02721284504219</v>
      </c>
      <c r="D5758">
        <v>0.94111163340978798</v>
      </c>
      <c r="E5758">
        <v>0.88304132858167195</v>
      </c>
      <c r="F5758">
        <v>0.84089853959531802</v>
      </c>
      <c r="G5758">
        <v>0.76575108134698799</v>
      </c>
      <c r="H5758">
        <v>0.45932637934330001</v>
      </c>
      <c r="I5758">
        <v>0.28792847610245698</v>
      </c>
      <c r="J5758">
        <v>0.22929880468572</v>
      </c>
      <c r="K5758">
        <v>0.21239665396280799</v>
      </c>
      <c r="L5758">
        <v>830.00568174271302</v>
      </c>
      <c r="M5758">
        <v>13.883058881125599</v>
      </c>
      <c r="N5758">
        <v>60.436461298742103</v>
      </c>
      <c r="O5758">
        <v>58.586046441852801</v>
      </c>
      <c r="P5758">
        <v>-5.51356501850995E-2</v>
      </c>
      <c r="Q5758">
        <v>6.9445112610525203E-2</v>
      </c>
      <c r="R5758">
        <v>0.98274921496282797</v>
      </c>
      <c r="S5758" t="s">
        <v>11584</v>
      </c>
      <c r="T5758" t="s">
        <v>11650</v>
      </c>
      <c r="U5758" t="s">
        <v>11650</v>
      </c>
      <c r="V5758" t="s">
        <v>11650</v>
      </c>
      <c r="W5758" t="s">
        <v>17348</v>
      </c>
      <c r="X5758">
        <v>3</v>
      </c>
      <c r="Y5758" t="s">
        <v>22999</v>
      </c>
      <c r="Z5758" t="s">
        <v>28820</v>
      </c>
      <c r="AA5758">
        <v>0.68936794433037962</v>
      </c>
      <c r="AB5758" t="str">
        <f>HYPERLINK("Melting_Curves/meltCurve_Q9Y5N5_N6AMT1.pdf", "Melting_Curves/meltCurve_Q9Y5N5_N6AMT1.pdf")</f>
        <v>Melting_Curves/meltCurve_Q9Y5N5_N6AMT1.pdf</v>
      </c>
    </row>
    <row r="5759" spans="1:28" x14ac:dyDescent="0.25">
      <c r="A5759" t="s">
        <v>5763</v>
      </c>
      <c r="B5759">
        <v>0.99996721820229495</v>
      </c>
      <c r="C5759">
        <v>1.0334373297858901</v>
      </c>
      <c r="D5759">
        <v>1.11099209115667</v>
      </c>
      <c r="E5759">
        <v>1.08378154350748</v>
      </c>
      <c r="F5759">
        <v>0.54761632924056203</v>
      </c>
      <c r="G5759">
        <v>0.39997714695757902</v>
      </c>
      <c r="H5759">
        <v>0.256329690516512</v>
      </c>
      <c r="I5759">
        <v>0.165047679032783</v>
      </c>
      <c r="J5759">
        <v>0.134778430802167</v>
      </c>
      <c r="K5759">
        <v>0.10446915542843301</v>
      </c>
      <c r="L5759">
        <v>1470.52035623897</v>
      </c>
      <c r="M5759">
        <v>27.253780398379199</v>
      </c>
      <c r="N5759">
        <v>54.731482746623797</v>
      </c>
      <c r="O5759">
        <v>53.668575692755198</v>
      </c>
      <c r="P5759">
        <v>-0.10663338399533499</v>
      </c>
      <c r="Q5759">
        <v>0.160071426479341</v>
      </c>
      <c r="R5759">
        <v>0.95351063481749498</v>
      </c>
      <c r="S5759" t="s">
        <v>11585</v>
      </c>
      <c r="T5759" t="s">
        <v>11650</v>
      </c>
      <c r="U5759" t="s">
        <v>11650</v>
      </c>
      <c r="V5759" t="s">
        <v>11650</v>
      </c>
      <c r="W5759" t="s">
        <v>17349</v>
      </c>
      <c r="X5759">
        <v>12</v>
      </c>
      <c r="Y5759" t="s">
        <v>23000</v>
      </c>
      <c r="Z5759" t="s">
        <v>28821</v>
      </c>
      <c r="AA5759">
        <v>0.5574444282296388</v>
      </c>
      <c r="AB5759" t="str">
        <f>HYPERLINK("Melting_Curves/meltCurve_Q9Y5P4_2_COL4A3BP.pdf", "Melting_Curves/meltCurve_Q9Y5P4_2_COL4A3BP.pdf")</f>
        <v>Melting_Curves/meltCurve_Q9Y5P4_2_COL4A3BP.pdf</v>
      </c>
    </row>
    <row r="5760" spans="1:28" x14ac:dyDescent="0.25">
      <c r="A5760" t="s">
        <v>5764</v>
      </c>
      <c r="B5760">
        <v>0.99996721820229495</v>
      </c>
      <c r="C5760">
        <v>1.0646155184889201</v>
      </c>
      <c r="D5760">
        <v>1.0898998179660599</v>
      </c>
      <c r="E5760">
        <v>1.22305898734639</v>
      </c>
      <c r="F5760">
        <v>1.37048949008753</v>
      </c>
      <c r="G5760">
        <v>1.23792238872905</v>
      </c>
      <c r="H5760">
        <v>0.52507564074925095</v>
      </c>
      <c r="I5760">
        <v>0.22331955940104001</v>
      </c>
      <c r="J5760">
        <v>0.121690380419611</v>
      </c>
      <c r="K5760">
        <v>9.8915220106435803E-2</v>
      </c>
      <c r="L5760">
        <v>5406.5574446712599</v>
      </c>
      <c r="M5760">
        <v>88.822298566635098</v>
      </c>
      <c r="N5760">
        <v>61.1012315672127</v>
      </c>
      <c r="O5760">
        <v>60.838535717195398</v>
      </c>
      <c r="P5760">
        <v>-0.31277447553590498</v>
      </c>
      <c r="Q5760">
        <v>0.14306475833979099</v>
      </c>
      <c r="R5760">
        <v>0.88260541410578697</v>
      </c>
      <c r="S5760" t="s">
        <v>11586</v>
      </c>
      <c r="T5760" t="s">
        <v>11650</v>
      </c>
      <c r="U5760" t="s">
        <v>11650</v>
      </c>
      <c r="V5760" t="s">
        <v>11650</v>
      </c>
      <c r="W5760" t="s">
        <v>17350</v>
      </c>
      <c r="X5760">
        <v>9</v>
      </c>
      <c r="Y5760" t="s">
        <v>23001</v>
      </c>
      <c r="Z5760" t="s">
        <v>28822</v>
      </c>
      <c r="AA5760">
        <v>0.73991413890904167</v>
      </c>
      <c r="AB5760" t="str">
        <f>HYPERLINK("Melting_Curves/meltCurve_Q9Y5P6_GMPPB.pdf", "Melting_Curves/meltCurve_Q9Y5P6_GMPPB.pdf")</f>
        <v>Melting_Curves/meltCurve_Q9Y5P6_GMPPB.pdf</v>
      </c>
    </row>
    <row r="5761" spans="1:28" x14ac:dyDescent="0.25">
      <c r="A5761" t="s">
        <v>5765</v>
      </c>
      <c r="B5761">
        <v>0.99996721820229495</v>
      </c>
      <c r="C5761">
        <v>0.81432745717598498</v>
      </c>
      <c r="D5761">
        <v>0.78414636389338099</v>
      </c>
      <c r="E5761">
        <v>0.86812797794181695</v>
      </c>
      <c r="F5761">
        <v>1.3343059380348099</v>
      </c>
      <c r="G5761">
        <v>0.45883254393520401</v>
      </c>
      <c r="H5761">
        <v>0.16042361413811501</v>
      </c>
      <c r="I5761">
        <v>6.7507164392407698E-2</v>
      </c>
      <c r="J5761">
        <v>4.4977922588128098E-2</v>
      </c>
      <c r="K5761">
        <v>5.21199778550153E-2</v>
      </c>
      <c r="L5761">
        <v>13302.3162872582</v>
      </c>
      <c r="M5761">
        <v>233.73392823123501</v>
      </c>
      <c r="N5761">
        <v>56.955434587375898</v>
      </c>
      <c r="O5761">
        <v>56.908051534506697</v>
      </c>
      <c r="P5761">
        <v>-0.94336994889575199</v>
      </c>
      <c r="Q5761">
        <v>8.12571198932244E-2</v>
      </c>
      <c r="R5761">
        <v>0.88711474076392804</v>
      </c>
      <c r="S5761" t="s">
        <v>11587</v>
      </c>
      <c r="T5761" t="s">
        <v>11650</v>
      </c>
      <c r="U5761" t="s">
        <v>11650</v>
      </c>
      <c r="V5761" t="s">
        <v>11650</v>
      </c>
      <c r="W5761" t="s">
        <v>17351</v>
      </c>
      <c r="X5761">
        <v>4</v>
      </c>
      <c r="Y5761" t="s">
        <v>23002</v>
      </c>
      <c r="Z5761" t="s">
        <v>28823</v>
      </c>
      <c r="AA5761">
        <v>0.59929476764824952</v>
      </c>
      <c r="AB5761" t="str">
        <f>HYPERLINK("Melting_Curves/meltCurve_Q9Y5R8_TRAPPC1.pdf", "Melting_Curves/meltCurve_Q9Y5R8_TRAPPC1.pdf")</f>
        <v>Melting_Curves/meltCurve_Q9Y5R8_TRAPPC1.pdf</v>
      </c>
    </row>
    <row r="5762" spans="1:28" x14ac:dyDescent="0.25">
      <c r="A5762" t="s">
        <v>5766</v>
      </c>
      <c r="B5762">
        <v>0.99996721820229495</v>
      </c>
      <c r="C5762">
        <v>1.00525105614852</v>
      </c>
      <c r="D5762">
        <v>1.2282236988772499</v>
      </c>
      <c r="E5762">
        <v>2.2406854194797399</v>
      </c>
      <c r="F5762">
        <v>2.4934521604583</v>
      </c>
      <c r="G5762">
        <v>1.7469395361876701</v>
      </c>
      <c r="H5762">
        <v>0.63373695924866702</v>
      </c>
      <c r="I5762">
        <v>0.36419403544894202</v>
      </c>
      <c r="J5762">
        <v>0.29188071579074498</v>
      </c>
      <c r="K5762">
        <v>0.182004088013652</v>
      </c>
      <c r="L5762">
        <v>6898.2527033852803</v>
      </c>
      <c r="M5762">
        <v>113.099397775753</v>
      </c>
      <c r="N5762">
        <v>61.433060872647502</v>
      </c>
      <c r="O5762">
        <v>60.9737572422599</v>
      </c>
      <c r="P5762">
        <v>-0.33495760659408602</v>
      </c>
      <c r="Q5762">
        <v>0.277675111987223</v>
      </c>
      <c r="R5762">
        <v>0.26085844595241497</v>
      </c>
      <c r="S5762" t="s">
        <v>11588</v>
      </c>
      <c r="T5762" t="s">
        <v>11650</v>
      </c>
      <c r="U5762" t="s">
        <v>11650</v>
      </c>
      <c r="V5762" t="s">
        <v>11650</v>
      </c>
      <c r="W5762" t="s">
        <v>17352</v>
      </c>
      <c r="X5762">
        <v>4</v>
      </c>
      <c r="Y5762" t="s">
        <v>23003</v>
      </c>
      <c r="Z5762" t="s">
        <v>28824</v>
      </c>
      <c r="AA5762">
        <v>0.78350807651799148</v>
      </c>
      <c r="AB5762" t="str">
        <f>HYPERLINK("Melting_Curves/meltCurve_Q9Y5S1_TRPV2.pdf", "Melting_Curves/meltCurve_Q9Y5S1_TRPV2.pdf")</f>
        <v>Melting_Curves/meltCurve_Q9Y5S1_TRPV2.pdf</v>
      </c>
    </row>
    <row r="5763" spans="1:28" x14ac:dyDescent="0.25">
      <c r="A5763" t="s">
        <v>5767</v>
      </c>
      <c r="B5763">
        <v>0.99996721820229495</v>
      </c>
      <c r="C5763">
        <v>0.98867776190252599</v>
      </c>
      <c r="D5763">
        <v>0.91544477914069999</v>
      </c>
      <c r="E5763">
        <v>0.84685943854949197</v>
      </c>
      <c r="F5763">
        <v>0.68667838232681899</v>
      </c>
      <c r="G5763">
        <v>0.63207948708974504</v>
      </c>
      <c r="H5763">
        <v>0.49482268644903599</v>
      </c>
      <c r="I5763">
        <v>0.38082567288338698</v>
      </c>
      <c r="J5763">
        <v>0.36620552182230298</v>
      </c>
      <c r="K5763">
        <v>0.28237204172792701</v>
      </c>
      <c r="L5763">
        <v>504.72279468084201</v>
      </c>
      <c r="M5763">
        <v>8.6827879021709808</v>
      </c>
      <c r="N5763">
        <v>60.314995606561197</v>
      </c>
      <c r="O5763">
        <v>55.292631085818698</v>
      </c>
      <c r="P5763">
        <v>-3.3987234468356602E-2</v>
      </c>
      <c r="Q5763">
        <v>0.13498659594058801</v>
      </c>
      <c r="R5763">
        <v>0.99050705652627902</v>
      </c>
      <c r="S5763" t="s">
        <v>11589</v>
      </c>
      <c r="T5763" t="s">
        <v>11650</v>
      </c>
      <c r="U5763" t="s">
        <v>11650</v>
      </c>
      <c r="V5763" t="s">
        <v>11650</v>
      </c>
      <c r="W5763" t="s">
        <v>17353</v>
      </c>
      <c r="X5763">
        <v>6</v>
      </c>
      <c r="Y5763" t="s">
        <v>23004</v>
      </c>
      <c r="Z5763" t="s">
        <v>28825</v>
      </c>
      <c r="AA5763">
        <v>0.66227213250133588</v>
      </c>
      <c r="AB5763" t="str">
        <f>HYPERLINK("Melting_Curves/meltCurve_Q9Y5S2_CDC42BPB.pdf", "Melting_Curves/meltCurve_Q9Y5S2_CDC42BPB.pdf")</f>
        <v>Melting_Curves/meltCurve_Q9Y5S2_CDC42BPB.pdf</v>
      </c>
    </row>
    <row r="5764" spans="1:28" x14ac:dyDescent="0.25">
      <c r="A5764" t="s">
        <v>5768</v>
      </c>
      <c r="B5764">
        <v>0.99996721820229495</v>
      </c>
      <c r="C5764">
        <v>1.0680243039080599</v>
      </c>
      <c r="D5764">
        <v>0.90700120326397304</v>
      </c>
      <c r="E5764">
        <v>0.86428006580832495</v>
      </c>
      <c r="F5764">
        <v>0.71954596171381702</v>
      </c>
      <c r="G5764">
        <v>0.68773183730903398</v>
      </c>
      <c r="H5764">
        <v>0.49831995456044498</v>
      </c>
      <c r="I5764">
        <v>0.78921479821122198</v>
      </c>
      <c r="J5764">
        <v>0.29913785959161798</v>
      </c>
      <c r="K5764">
        <v>0.26350844435794801</v>
      </c>
      <c r="L5764">
        <v>445.29111510079298</v>
      </c>
      <c r="M5764">
        <v>7.0089025020557898</v>
      </c>
      <c r="N5764">
        <v>63.532216873375098</v>
      </c>
      <c r="O5764">
        <v>58.966996517944203</v>
      </c>
      <c r="P5764">
        <v>-2.9770192792427701E-2</v>
      </c>
      <c r="Q5764">
        <v>0</v>
      </c>
      <c r="R5764">
        <v>0.80794903670799401</v>
      </c>
      <c r="S5764" t="s">
        <v>11590</v>
      </c>
      <c r="T5764" t="s">
        <v>11650</v>
      </c>
      <c r="U5764" t="s">
        <v>11650</v>
      </c>
      <c r="V5764" t="s">
        <v>11650</v>
      </c>
      <c r="W5764" t="s">
        <v>17354</v>
      </c>
      <c r="X5764">
        <v>5</v>
      </c>
      <c r="Y5764" t="s">
        <v>23005</v>
      </c>
      <c r="Z5764" t="s">
        <v>28826</v>
      </c>
      <c r="AA5764">
        <v>0.71622688440368187</v>
      </c>
      <c r="AB5764" t="str">
        <f>HYPERLINK("Melting_Curves/meltCurve_Q9Y5S9_RBM8A.pdf", "Melting_Curves/meltCurve_Q9Y5S9_RBM8A.pdf")</f>
        <v>Melting_Curves/meltCurve_Q9Y5S9_RBM8A.pdf</v>
      </c>
    </row>
    <row r="5765" spans="1:28" x14ac:dyDescent="0.25">
      <c r="A5765" t="s">
        <v>5769</v>
      </c>
      <c r="B5765">
        <v>0.99996721820229495</v>
      </c>
      <c r="C5765">
        <v>0.87758219757899802</v>
      </c>
      <c r="D5765">
        <v>0.73861951879804899</v>
      </c>
      <c r="E5765">
        <v>0.67998442080340804</v>
      </c>
      <c r="F5765">
        <v>1.33386410506992</v>
      </c>
      <c r="G5765">
        <v>1.3621523281472401</v>
      </c>
      <c r="H5765">
        <v>1.1206201917923999</v>
      </c>
      <c r="I5765">
        <v>1.64318737504154</v>
      </c>
      <c r="J5765">
        <v>1.6594338391566299</v>
      </c>
      <c r="K5765">
        <v>1.04424302835542</v>
      </c>
      <c r="L5765">
        <v>13125.852189271</v>
      </c>
      <c r="M5765">
        <v>250</v>
      </c>
      <c r="O5765">
        <v>52.500068081588701</v>
      </c>
      <c r="P5765">
        <v>0.43563049058916697</v>
      </c>
      <c r="Q5765">
        <v>1.3659299531774201</v>
      </c>
      <c r="R5765">
        <v>0.52569267624685301</v>
      </c>
      <c r="S5765" t="s">
        <v>11591</v>
      </c>
      <c r="T5765" t="s">
        <v>11650</v>
      </c>
      <c r="U5765" t="s">
        <v>11650</v>
      </c>
      <c r="V5765" t="s">
        <v>11650</v>
      </c>
      <c r="W5765" t="s">
        <v>17355</v>
      </c>
      <c r="X5765">
        <v>6</v>
      </c>
      <c r="Y5765" t="s">
        <v>23006</v>
      </c>
      <c r="Z5765" t="s">
        <v>28827</v>
      </c>
      <c r="AA5765">
        <v>1.2133838427149819</v>
      </c>
      <c r="AB5765" t="str">
        <f>HYPERLINK("Melting_Curves/meltCurve_Q9Y5U2_2_TSSC4.pdf", "Melting_Curves/meltCurve_Q9Y5U2_2_TSSC4.pdf")</f>
        <v>Melting_Curves/meltCurve_Q9Y5U2_2_TSSC4.pdf</v>
      </c>
    </row>
    <row r="5766" spans="1:28" x14ac:dyDescent="0.25">
      <c r="A5766" t="s">
        <v>5770</v>
      </c>
      <c r="B5766">
        <v>0.99996721820229495</v>
      </c>
      <c r="C5766">
        <v>0.95458622353150502</v>
      </c>
      <c r="D5766">
        <v>1.09707723393659</v>
      </c>
      <c r="E5766">
        <v>1.0468927258183001</v>
      </c>
      <c r="F5766">
        <v>1.0671976818195701</v>
      </c>
      <c r="G5766">
        <v>1.0741023781930401</v>
      </c>
      <c r="H5766">
        <v>0.78392141246733005</v>
      </c>
      <c r="I5766">
        <v>0.52432437240645502</v>
      </c>
      <c r="J5766">
        <v>0.30590329931876997</v>
      </c>
      <c r="K5766">
        <v>0.32266067967352402</v>
      </c>
      <c r="L5766">
        <v>2533.4552250240999</v>
      </c>
      <c r="M5766">
        <v>40.5109835090961</v>
      </c>
      <c r="N5766">
        <v>63.950038108419498</v>
      </c>
      <c r="O5766">
        <v>62.385700969952502</v>
      </c>
      <c r="P5766">
        <v>-0.114343733039662</v>
      </c>
      <c r="Q5766">
        <v>0.29565791025552302</v>
      </c>
      <c r="R5766">
        <v>0.96780633252951298</v>
      </c>
      <c r="S5766" t="s">
        <v>11592</v>
      </c>
      <c r="T5766" t="s">
        <v>11650</v>
      </c>
      <c r="U5766" t="s">
        <v>11650</v>
      </c>
      <c r="V5766" t="s">
        <v>11650</v>
      </c>
      <c r="W5766" t="s">
        <v>17356</v>
      </c>
      <c r="X5766">
        <v>1</v>
      </c>
      <c r="Y5766" t="s">
        <v>23007</v>
      </c>
      <c r="Z5766" t="s">
        <v>28828</v>
      </c>
      <c r="AA5766">
        <v>0.82712612691521825</v>
      </c>
      <c r="AB5766" t="str">
        <f>HYPERLINK("Melting_Curves/meltCurve_Q9Y5U9_IER3IP1.pdf", "Melting_Curves/meltCurve_Q9Y5U9_IER3IP1.pdf")</f>
        <v>Melting_Curves/meltCurve_Q9Y5U9_IER3IP1.pdf</v>
      </c>
    </row>
    <row r="5767" spans="1:28" x14ac:dyDescent="0.25">
      <c r="A5767" t="s">
        <v>5771</v>
      </c>
      <c r="B5767">
        <v>0.99996721820229495</v>
      </c>
      <c r="C5767">
        <v>1.03268488356137</v>
      </c>
      <c r="D5767">
        <v>0.96738905159460398</v>
      </c>
      <c r="E5767">
        <v>0.91642137631217802</v>
      </c>
      <c r="F5767">
        <v>1.0432299995673899</v>
      </c>
      <c r="G5767">
        <v>1.28312056433479</v>
      </c>
      <c r="H5767">
        <v>0.93250464827723101</v>
      </c>
      <c r="I5767">
        <v>0.864399692487965</v>
      </c>
      <c r="J5767">
        <v>0.83588614316533905</v>
      </c>
      <c r="K5767">
        <v>0.58950699290643604</v>
      </c>
      <c r="L5767">
        <v>1551.9210119492</v>
      </c>
      <c r="M5767">
        <v>21.777127621180501</v>
      </c>
      <c r="Q5767">
        <v>0</v>
      </c>
      <c r="R5767">
        <v>0.64364115628768703</v>
      </c>
      <c r="S5767" t="s">
        <v>11593</v>
      </c>
      <c r="T5767" t="s">
        <v>11650</v>
      </c>
      <c r="U5767" t="s">
        <v>11650</v>
      </c>
      <c r="V5767" t="s">
        <v>11650</v>
      </c>
      <c r="W5767" t="s">
        <v>17357</v>
      </c>
      <c r="X5767">
        <v>7</v>
      </c>
      <c r="Y5767" t="s">
        <v>23008</v>
      </c>
      <c r="Z5767" t="s">
        <v>28829</v>
      </c>
      <c r="AA5767">
        <v>0.95060033753875051</v>
      </c>
      <c r="AB5767" t="str">
        <f>HYPERLINK("Melting_Curves/meltCurve_Q9Y5V3_MAGED1.pdf", "Melting_Curves/meltCurve_Q9Y5V3_MAGED1.pdf")</f>
        <v>Melting_Curves/meltCurve_Q9Y5V3_MAGED1.pdf</v>
      </c>
    </row>
    <row r="5768" spans="1:28" x14ac:dyDescent="0.25">
      <c r="A5768" t="s">
        <v>5772</v>
      </c>
      <c r="B5768">
        <v>0.99996721820229495</v>
      </c>
      <c r="C5768">
        <v>1.0558884058362701</v>
      </c>
      <c r="D5768">
        <v>1.0377465138373601</v>
      </c>
      <c r="E5768">
        <v>0.81229185250509806</v>
      </c>
      <c r="F5768">
        <v>0.43702631246236201</v>
      </c>
      <c r="G5768">
        <v>0.388855171506653</v>
      </c>
      <c r="H5768">
        <v>0.254370338748582</v>
      </c>
      <c r="I5768">
        <v>0.18737234707667899</v>
      </c>
      <c r="J5768">
        <v>0.155371644885439</v>
      </c>
      <c r="K5768">
        <v>0.10465214698481699</v>
      </c>
      <c r="L5768">
        <v>1121.9708147824399</v>
      </c>
      <c r="M5768">
        <v>21.4079915825168</v>
      </c>
      <c r="N5768">
        <v>53.429504491338903</v>
      </c>
      <c r="O5768">
        <v>51.9580969278447</v>
      </c>
      <c r="P5768">
        <v>-8.5722607837177403E-2</v>
      </c>
      <c r="Q5768">
        <v>0.16781118267275899</v>
      </c>
      <c r="R5768">
        <v>0.97332151946548995</v>
      </c>
      <c r="S5768" t="s">
        <v>11594</v>
      </c>
      <c r="T5768" t="s">
        <v>11650</v>
      </c>
      <c r="U5768" t="s">
        <v>11650</v>
      </c>
      <c r="V5768" t="s">
        <v>11650</v>
      </c>
      <c r="W5768" t="s">
        <v>17358</v>
      </c>
      <c r="X5768">
        <v>11</v>
      </c>
      <c r="Y5768" t="s">
        <v>23009</v>
      </c>
      <c r="Z5768" t="s">
        <v>28830</v>
      </c>
      <c r="AA5768">
        <v>0.52221048271191328</v>
      </c>
      <c r="AB5768" t="str">
        <f>HYPERLINK("Melting_Curves/meltCurve_Q9Y5X1_SNX9.pdf", "Melting_Curves/meltCurve_Q9Y5X1_SNX9.pdf")</f>
        <v>Melting_Curves/meltCurve_Q9Y5X1_SNX9.pdf</v>
      </c>
    </row>
    <row r="5769" spans="1:28" x14ac:dyDescent="0.25">
      <c r="A5769" t="s">
        <v>5773</v>
      </c>
      <c r="B5769">
        <v>0.99996721820229495</v>
      </c>
      <c r="C5769">
        <v>1.05376212327734</v>
      </c>
      <c r="D5769">
        <v>1.1159900367515401</v>
      </c>
      <c r="E5769">
        <v>1.3147182534719299</v>
      </c>
      <c r="F5769">
        <v>1.7121085733305701</v>
      </c>
      <c r="G5769">
        <v>1.4412878315648201</v>
      </c>
      <c r="H5769">
        <v>0.429311545037947</v>
      </c>
      <c r="I5769">
        <v>0.204466901422062</v>
      </c>
      <c r="J5769">
        <v>0.13637977094313999</v>
      </c>
      <c r="K5769">
        <v>0.11019647506510701</v>
      </c>
      <c r="L5769">
        <v>10300.2144336977</v>
      </c>
      <c r="M5769">
        <v>169.571102059754</v>
      </c>
      <c r="N5769">
        <v>60.8710685488415</v>
      </c>
      <c r="O5769">
        <v>60.734310385721201</v>
      </c>
      <c r="P5769">
        <v>-0.59310800225924099</v>
      </c>
      <c r="Q5769">
        <v>0.15027978887468299</v>
      </c>
      <c r="R5769">
        <v>0.73432134704427099</v>
      </c>
      <c r="S5769" t="s">
        <v>11595</v>
      </c>
      <c r="T5769" t="s">
        <v>11650</v>
      </c>
      <c r="U5769" t="s">
        <v>11650</v>
      </c>
      <c r="V5769" t="s">
        <v>11650</v>
      </c>
      <c r="W5769" t="s">
        <v>17359</v>
      </c>
      <c r="X5769">
        <v>11</v>
      </c>
      <c r="Y5769" t="s">
        <v>23010</v>
      </c>
      <c r="Z5769" t="s">
        <v>28831</v>
      </c>
      <c r="AA5769">
        <v>0.73799442077881894</v>
      </c>
      <c r="AB5769" t="str">
        <f>HYPERLINK("Melting_Curves/meltCurve_Q9Y5X2_SNX8.pdf", "Melting_Curves/meltCurve_Q9Y5X2_SNX8.pdf")</f>
        <v>Melting_Curves/meltCurve_Q9Y5X2_SNX8.pdf</v>
      </c>
    </row>
    <row r="5770" spans="1:28" x14ac:dyDescent="0.25">
      <c r="A5770" t="s">
        <v>5774</v>
      </c>
      <c r="B5770">
        <v>0.99996721820229495</v>
      </c>
      <c r="C5770">
        <v>1.08099148433375</v>
      </c>
      <c r="D5770">
        <v>1.068768459598</v>
      </c>
      <c r="E5770">
        <v>1.00470475100975</v>
      </c>
      <c r="F5770">
        <v>0.46022148790106598</v>
      </c>
      <c r="G5770">
        <v>0.30822758073682699</v>
      </c>
      <c r="H5770">
        <v>0.18044844834819401</v>
      </c>
      <c r="I5770">
        <v>0.112231728760815</v>
      </c>
      <c r="J5770">
        <v>8.3538467309151598E-2</v>
      </c>
      <c r="K5770">
        <v>6.47792916782544E-2</v>
      </c>
      <c r="L5770">
        <v>3235.7557172991301</v>
      </c>
      <c r="M5770">
        <v>61.536824867158998</v>
      </c>
      <c r="N5770">
        <v>52.881498677316102</v>
      </c>
      <c r="O5770">
        <v>52.5269839899319</v>
      </c>
      <c r="P5770">
        <v>-0.249840895486931</v>
      </c>
      <c r="Q5770">
        <v>0.14695737318980201</v>
      </c>
      <c r="R5770">
        <v>0.97243384337274996</v>
      </c>
      <c r="S5770" t="s">
        <v>11596</v>
      </c>
      <c r="T5770" t="s">
        <v>11650</v>
      </c>
      <c r="U5770" t="s">
        <v>11650</v>
      </c>
      <c r="V5770" t="s">
        <v>11650</v>
      </c>
      <c r="W5770" t="s">
        <v>17360</v>
      </c>
      <c r="X5770">
        <v>15</v>
      </c>
      <c r="Y5770" t="s">
        <v>23011</v>
      </c>
      <c r="Z5770" t="s">
        <v>28832</v>
      </c>
      <c r="AA5770">
        <v>0.50603938344475419</v>
      </c>
      <c r="AB5770" t="str">
        <f>HYPERLINK("Melting_Curves/meltCurve_Q9Y5X3_SNX5.pdf", "Melting_Curves/meltCurve_Q9Y5X3_SNX5.pdf")</f>
        <v>Melting_Curves/meltCurve_Q9Y5X3_SNX5.pdf</v>
      </c>
    </row>
    <row r="5771" spans="1:28" x14ac:dyDescent="0.25">
      <c r="A5771" t="s">
        <v>5775</v>
      </c>
      <c r="B5771">
        <v>0.99996721820229495</v>
      </c>
      <c r="C5771">
        <v>1.01827142236139</v>
      </c>
      <c r="D5771">
        <v>0.89711548041195599</v>
      </c>
      <c r="E5771">
        <v>0.573486398418803</v>
      </c>
      <c r="F5771">
        <v>0.31390091354105798</v>
      </c>
      <c r="G5771">
        <v>0.20738900098709401</v>
      </c>
      <c r="H5771">
        <v>9.2929184660019398E-2</v>
      </c>
      <c r="I5771">
        <v>4.8580455241422203E-2</v>
      </c>
      <c r="J5771">
        <v>2.12402311187667E-2</v>
      </c>
      <c r="K5771">
        <v>2.1438966334273099E-2</v>
      </c>
      <c r="L5771">
        <v>942.56680962043299</v>
      </c>
      <c r="M5771">
        <v>18.546785760191401</v>
      </c>
      <c r="N5771">
        <v>51.013650727459598</v>
      </c>
      <c r="O5771">
        <v>50.241241946012899</v>
      </c>
      <c r="P5771">
        <v>-8.9171624519027895E-2</v>
      </c>
      <c r="Q5771">
        <v>3.3816662791042403E-2</v>
      </c>
      <c r="R5771">
        <v>0.99456054490366597</v>
      </c>
      <c r="S5771" t="s">
        <v>11597</v>
      </c>
      <c r="T5771" t="s">
        <v>11650</v>
      </c>
      <c r="U5771" t="s">
        <v>11650</v>
      </c>
      <c r="V5771" t="s">
        <v>11650</v>
      </c>
      <c r="W5771" t="s">
        <v>17361</v>
      </c>
      <c r="X5771">
        <v>6</v>
      </c>
      <c r="Y5771" t="s">
        <v>23012</v>
      </c>
      <c r="Z5771" t="s">
        <v>28833</v>
      </c>
      <c r="AA5771">
        <v>0.39776383873935878</v>
      </c>
      <c r="AB5771" t="str">
        <f>HYPERLINK("Melting_Curves/meltCurve_Q9Y5Y2_NUBP2.pdf", "Melting_Curves/meltCurve_Q9Y5Y2_NUBP2.pdf")</f>
        <v>Melting_Curves/meltCurve_Q9Y5Y2_NUBP2.pdf</v>
      </c>
    </row>
    <row r="5772" spans="1:28" x14ac:dyDescent="0.25">
      <c r="A5772" t="s">
        <v>5776</v>
      </c>
      <c r="B5772">
        <v>0.99996721820229495</v>
      </c>
      <c r="C5772">
        <v>1.0583566752238101</v>
      </c>
      <c r="D5772">
        <v>0.99640041136108004</v>
      </c>
      <c r="E5772">
        <v>0.89385521651328403</v>
      </c>
      <c r="F5772">
        <v>0.83026878413783101</v>
      </c>
      <c r="G5772">
        <v>0.58022678677264905</v>
      </c>
      <c r="H5772">
        <v>0.32833219471209202</v>
      </c>
      <c r="I5772">
        <v>0.30220821278784099</v>
      </c>
      <c r="J5772">
        <v>0.28835630767711901</v>
      </c>
      <c r="K5772">
        <v>0.216146200738457</v>
      </c>
      <c r="L5772">
        <v>1062.6906632053799</v>
      </c>
      <c r="M5772">
        <v>18.876556211914501</v>
      </c>
      <c r="N5772">
        <v>58.061842322121002</v>
      </c>
      <c r="O5772">
        <v>55.676452104815297</v>
      </c>
      <c r="P5772">
        <v>-6.6258373438657606E-2</v>
      </c>
      <c r="Q5772">
        <v>0.21831498441489999</v>
      </c>
      <c r="R5772">
        <v>0.99151262849498201</v>
      </c>
      <c r="S5772" t="s">
        <v>11598</v>
      </c>
      <c r="T5772" t="s">
        <v>11650</v>
      </c>
      <c r="U5772" t="s">
        <v>11650</v>
      </c>
      <c r="V5772" t="s">
        <v>11650</v>
      </c>
      <c r="W5772" t="s">
        <v>17362</v>
      </c>
      <c r="X5772">
        <v>12</v>
      </c>
      <c r="Y5772" t="s">
        <v>23013</v>
      </c>
      <c r="Z5772" t="s">
        <v>28834</v>
      </c>
      <c r="AA5772">
        <v>0.65364115641372122</v>
      </c>
      <c r="AB5772" t="str">
        <f>HYPERLINK("Melting_Curves/meltCurve_Q9Y5Z4_HEBP2.pdf", "Melting_Curves/meltCurve_Q9Y5Z4_HEBP2.pdf")</f>
        <v>Melting_Curves/meltCurve_Q9Y5Z4_HEBP2.pdf</v>
      </c>
    </row>
    <row r="5773" spans="1:28" x14ac:dyDescent="0.25">
      <c r="A5773" t="s">
        <v>5777</v>
      </c>
      <c r="B5773">
        <v>0.99996721820229495</v>
      </c>
      <c r="C5773">
        <v>0.86495295251072102</v>
      </c>
      <c r="D5773">
        <v>0.82831557326156302</v>
      </c>
      <c r="E5773">
        <v>0.76001038173677504</v>
      </c>
      <c r="F5773">
        <v>0.91057523419157504</v>
      </c>
      <c r="G5773">
        <v>0.65613188304220704</v>
      </c>
      <c r="H5773">
        <v>0.49428690801525699</v>
      </c>
      <c r="I5773">
        <v>0.32159960795584702</v>
      </c>
      <c r="J5773">
        <v>0.29641310604731602</v>
      </c>
      <c r="K5773">
        <v>0.25915791614996497</v>
      </c>
      <c r="L5773">
        <v>483.11725583176298</v>
      </c>
      <c r="M5773">
        <v>7.9884980408961903</v>
      </c>
      <c r="N5773">
        <v>60.476606601699103</v>
      </c>
      <c r="O5773">
        <v>57.039693509511203</v>
      </c>
      <c r="P5773">
        <v>-3.50527099090207E-2</v>
      </c>
      <c r="Q5773">
        <v>0</v>
      </c>
      <c r="R5773">
        <v>0.91730315713418198</v>
      </c>
      <c r="S5773" t="s">
        <v>11599</v>
      </c>
      <c r="T5773" t="s">
        <v>11650</v>
      </c>
      <c r="U5773" t="s">
        <v>11650</v>
      </c>
      <c r="V5773" t="s">
        <v>11650</v>
      </c>
      <c r="W5773" t="s">
        <v>17363</v>
      </c>
      <c r="X5773">
        <v>1</v>
      </c>
      <c r="Y5773" t="s">
        <v>23014</v>
      </c>
      <c r="Z5773" t="s">
        <v>28835</v>
      </c>
      <c r="AA5773">
        <v>0.66246861467623475</v>
      </c>
      <c r="AB5773" t="str">
        <f>HYPERLINK("Melting_Curves/meltCurve_Q9Y605_MRFAP1.pdf", "Melting_Curves/meltCurve_Q9Y605_MRFAP1.pdf")</f>
        <v>Melting_Curves/meltCurve_Q9Y605_MRFAP1.pdf</v>
      </c>
    </row>
    <row r="5774" spans="1:28" x14ac:dyDescent="0.25">
      <c r="A5774" t="s">
        <v>5778</v>
      </c>
      <c r="B5774">
        <v>0.99996721820229495</v>
      </c>
      <c r="C5774">
        <v>0.88012495957445902</v>
      </c>
      <c r="D5774">
        <v>0.90649600391327601</v>
      </c>
      <c r="E5774">
        <v>2.10676635767694</v>
      </c>
      <c r="F5774">
        <v>4.5398348061057199</v>
      </c>
      <c r="G5774">
        <v>3.0002389946396599</v>
      </c>
      <c r="H5774">
        <v>3.7247685129226502</v>
      </c>
      <c r="I5774">
        <v>4.4703461953618797</v>
      </c>
      <c r="J5774">
        <v>3.7592886898969402</v>
      </c>
      <c r="K5774">
        <v>4.3007958063281899</v>
      </c>
      <c r="L5774">
        <v>11936.497697031</v>
      </c>
      <c r="M5774">
        <v>250</v>
      </c>
      <c r="O5774">
        <v>47.742935569956202</v>
      </c>
      <c r="P5774">
        <v>0.65454710314863895</v>
      </c>
      <c r="Q5774">
        <v>1.5</v>
      </c>
      <c r="R5774">
        <v>-0.85332904786520403</v>
      </c>
      <c r="S5774" t="s">
        <v>11600</v>
      </c>
      <c r="T5774" t="s">
        <v>11650</v>
      </c>
      <c r="U5774" t="s">
        <v>11650</v>
      </c>
      <c r="V5774" t="s">
        <v>11650</v>
      </c>
      <c r="W5774" t="s">
        <v>17364</v>
      </c>
      <c r="X5774">
        <v>24</v>
      </c>
      <c r="Y5774" t="s">
        <v>23015</v>
      </c>
      <c r="Z5774" t="s">
        <v>28836</v>
      </c>
      <c r="AA5774">
        <v>1.370858256795904</v>
      </c>
      <c r="AB5774" t="str">
        <f>HYPERLINK("Melting_Curves/meltCurve_Q9Y608_4_LRRFIP2.pdf", "Melting_Curves/meltCurve_Q9Y608_4_LRRFIP2.pdf")</f>
        <v>Melting_Curves/meltCurve_Q9Y608_4_LRRFIP2.pdf</v>
      </c>
    </row>
    <row r="5775" spans="1:28" x14ac:dyDescent="0.25">
      <c r="A5775" t="s">
        <v>5779</v>
      </c>
      <c r="B5775">
        <v>0.99996721820229495</v>
      </c>
      <c r="C5775">
        <v>0.98055914450166604</v>
      </c>
      <c r="D5775">
        <v>0.80338537452112901</v>
      </c>
      <c r="E5775">
        <v>0.62313546901108696</v>
      </c>
      <c r="F5775">
        <v>0.89438891854816005</v>
      </c>
      <c r="G5775">
        <v>0.79283608744855505</v>
      </c>
      <c r="H5775">
        <v>0.57144990392509398</v>
      </c>
      <c r="I5775">
        <v>0.42037053680869801</v>
      </c>
      <c r="J5775">
        <v>0.26337181154281702</v>
      </c>
      <c r="K5775">
        <v>0.268514164224466</v>
      </c>
      <c r="L5775">
        <v>450.09768145001499</v>
      </c>
      <c r="M5775">
        <v>7.2926464884067297</v>
      </c>
      <c r="N5775">
        <v>61.719388318372303</v>
      </c>
      <c r="O5775">
        <v>57.586382898814001</v>
      </c>
      <c r="P5775">
        <v>-3.17100885030379E-2</v>
      </c>
      <c r="Q5775">
        <v>0</v>
      </c>
      <c r="R5775">
        <v>0.832522445581791</v>
      </c>
      <c r="S5775" t="s">
        <v>11601</v>
      </c>
      <c r="T5775" t="s">
        <v>11650</v>
      </c>
      <c r="U5775" t="s">
        <v>11650</v>
      </c>
      <c r="V5775" t="s">
        <v>11650</v>
      </c>
      <c r="W5775" t="s">
        <v>17365</v>
      </c>
      <c r="X5775">
        <v>5</v>
      </c>
      <c r="Y5775" t="s">
        <v>23016</v>
      </c>
      <c r="Z5775" t="s">
        <v>28837</v>
      </c>
      <c r="AA5775">
        <v>0.68322930791070913</v>
      </c>
      <c r="AB5775" t="str">
        <f>HYPERLINK("Melting_Curves/meltCurve_Q9Y613_FHOD1.pdf", "Melting_Curves/meltCurve_Q9Y613_FHOD1.pdf")</f>
        <v>Melting_Curves/meltCurve_Q9Y613_FHOD1.pdf</v>
      </c>
    </row>
    <row r="5776" spans="1:28" x14ac:dyDescent="0.25">
      <c r="A5776" t="s">
        <v>5780</v>
      </c>
      <c r="B5776">
        <v>0.99996721820229495</v>
      </c>
      <c r="C5776">
        <v>1.06095937334866</v>
      </c>
      <c r="D5776">
        <v>1.0817784171379901</v>
      </c>
      <c r="E5776">
        <v>1.0835524758963799</v>
      </c>
      <c r="F5776">
        <v>1.27733740694625</v>
      </c>
      <c r="G5776">
        <v>1.2167330437756601</v>
      </c>
      <c r="H5776">
        <v>0.44032964853920598</v>
      </c>
      <c r="I5776">
        <v>0.140231377480591</v>
      </c>
      <c r="J5776">
        <v>8.6770496673598096E-2</v>
      </c>
      <c r="K5776">
        <v>5.9714763374315298E-2</v>
      </c>
      <c r="L5776">
        <v>7771.7889210201502</v>
      </c>
      <c r="M5776">
        <v>127.88691320824</v>
      </c>
      <c r="N5776">
        <v>60.871068491307803</v>
      </c>
      <c r="O5776">
        <v>60.7559364830419</v>
      </c>
      <c r="P5776">
        <v>-0.476246697145642</v>
      </c>
      <c r="Q5776">
        <v>9.4987536724503094E-2</v>
      </c>
      <c r="R5776">
        <v>0.93602928041005995</v>
      </c>
      <c r="S5776" t="s">
        <v>11602</v>
      </c>
      <c r="T5776" t="s">
        <v>11650</v>
      </c>
      <c r="U5776" t="s">
        <v>11650</v>
      </c>
      <c r="V5776" t="s">
        <v>11650</v>
      </c>
      <c r="W5776" t="s">
        <v>17366</v>
      </c>
      <c r="X5776">
        <v>23</v>
      </c>
      <c r="Y5776" t="s">
        <v>23017</v>
      </c>
      <c r="Z5776" t="s">
        <v>28838</v>
      </c>
      <c r="AA5776">
        <v>0.72195078562400183</v>
      </c>
      <c r="AB5776" t="str">
        <f>HYPERLINK("Melting_Curves/meltCurve_Q9Y617_PSAT1.pdf", "Melting_Curves/meltCurve_Q9Y617_PSAT1.pdf")</f>
        <v>Melting_Curves/meltCurve_Q9Y617_PSAT1.pdf</v>
      </c>
    </row>
    <row r="5777" spans="1:28" x14ac:dyDescent="0.25">
      <c r="A5777" t="s">
        <v>5781</v>
      </c>
      <c r="B5777">
        <v>0.99996721820229495</v>
      </c>
      <c r="C5777">
        <v>0.93159446637612697</v>
      </c>
      <c r="D5777">
        <v>0.99390656630516405</v>
      </c>
      <c r="E5777">
        <v>1.09341144256927</v>
      </c>
      <c r="F5777">
        <v>1.36396272756959</v>
      </c>
      <c r="G5777">
        <v>1.29231628831957</v>
      </c>
      <c r="H5777">
        <v>0.86088952493086202</v>
      </c>
      <c r="I5777">
        <v>0.92661375393659096</v>
      </c>
      <c r="J5777">
        <v>0.513156740628677</v>
      </c>
      <c r="K5777">
        <v>0.302576577509027</v>
      </c>
      <c r="L5777">
        <v>3627.83683479418</v>
      </c>
      <c r="M5777">
        <v>54.776458867532597</v>
      </c>
      <c r="N5777">
        <v>67.146977652035901</v>
      </c>
      <c r="O5777">
        <v>66.141752571421904</v>
      </c>
      <c r="P5777">
        <v>-0.15251081773170899</v>
      </c>
      <c r="Q5777">
        <v>0.26338229573299898</v>
      </c>
      <c r="R5777">
        <v>0.73099983087402198</v>
      </c>
      <c r="S5777" t="s">
        <v>11603</v>
      </c>
      <c r="T5777" t="s">
        <v>11650</v>
      </c>
      <c r="U5777" t="s">
        <v>11650</v>
      </c>
      <c r="V5777" t="s">
        <v>11650</v>
      </c>
      <c r="W5777" t="s">
        <v>17367</v>
      </c>
      <c r="X5777">
        <v>3</v>
      </c>
      <c r="Y5777" t="s">
        <v>23018</v>
      </c>
      <c r="Z5777" t="s">
        <v>28839</v>
      </c>
      <c r="AA5777">
        <v>0.9074576218621685</v>
      </c>
      <c r="AB5777" t="str">
        <f>HYPERLINK("Melting_Curves/meltCurve_Q9Y619_SLC25A15.pdf", "Melting_Curves/meltCurve_Q9Y619_SLC25A15.pdf")</f>
        <v>Melting_Curves/meltCurve_Q9Y619_SLC25A15.pdf</v>
      </c>
    </row>
    <row r="5778" spans="1:28" x14ac:dyDescent="0.25">
      <c r="A5778" t="s">
        <v>5782</v>
      </c>
      <c r="B5778">
        <v>0.99996721820229495</v>
      </c>
      <c r="C5778">
        <v>1.03776826299924</v>
      </c>
      <c r="D5778">
        <v>1.0593072344107399</v>
      </c>
      <c r="E5778">
        <v>1.2605186525177301</v>
      </c>
      <c r="F5778">
        <v>1.8776505791846001</v>
      </c>
      <c r="G5778">
        <v>2.4288422141219099</v>
      </c>
      <c r="H5778">
        <v>1.7652445196946001</v>
      </c>
      <c r="I5778">
        <v>0.72395968428384505</v>
      </c>
      <c r="J5778">
        <v>0.32839730267233103</v>
      </c>
      <c r="K5778">
        <v>0.32713189733653703</v>
      </c>
      <c r="L5778">
        <v>15000</v>
      </c>
      <c r="M5778">
        <v>234.01346758658499</v>
      </c>
      <c r="N5778">
        <v>64.392106241170893</v>
      </c>
      <c r="O5778">
        <v>64.094193571698298</v>
      </c>
      <c r="P5778">
        <v>-0.61361135943823897</v>
      </c>
      <c r="Q5778">
        <v>0.32774937129203002</v>
      </c>
      <c r="R5778">
        <v>0.15833244104783301</v>
      </c>
      <c r="S5778" t="s">
        <v>11604</v>
      </c>
      <c r="T5778" t="s">
        <v>11650</v>
      </c>
      <c r="U5778" t="s">
        <v>11650</v>
      </c>
      <c r="V5778" t="s">
        <v>11650</v>
      </c>
      <c r="W5778" t="s">
        <v>17368</v>
      </c>
      <c r="X5778">
        <v>8</v>
      </c>
      <c r="Y5778" t="s">
        <v>23019</v>
      </c>
      <c r="Z5778" t="s">
        <v>28840</v>
      </c>
      <c r="AA5778">
        <v>0.86785181071072715</v>
      </c>
      <c r="AB5778" t="str">
        <f>HYPERLINK("Melting_Curves/meltCurve_Q9Y625_GPC6.pdf", "Melting_Curves/meltCurve_Q9Y625_GPC6.pdf")</f>
        <v>Melting_Curves/meltCurve_Q9Y625_GPC6.pdf</v>
      </c>
    </row>
    <row r="5779" spans="1:28" x14ac:dyDescent="0.25">
      <c r="A5779" t="s">
        <v>5783</v>
      </c>
      <c r="B5779">
        <v>0.99996721820229495</v>
      </c>
      <c r="C5779">
        <v>0.78656286437464795</v>
      </c>
      <c r="D5779">
        <v>0.95997852521719595</v>
      </c>
      <c r="E5779">
        <v>1.3803426705254001</v>
      </c>
      <c r="F5779">
        <v>1.78797440328163</v>
      </c>
      <c r="G5779">
        <v>1.87571424747212</v>
      </c>
      <c r="H5779">
        <v>1.68464983905576</v>
      </c>
      <c r="I5779">
        <v>1.29904015069254</v>
      </c>
      <c r="J5779">
        <v>1.08732442649543</v>
      </c>
      <c r="K5779">
        <v>1.51804600148046</v>
      </c>
      <c r="L5779">
        <v>12442.1777762159</v>
      </c>
      <c r="M5779">
        <v>250</v>
      </c>
      <c r="O5779">
        <v>49.765526255061097</v>
      </c>
      <c r="P5779">
        <v>0.62794473201220702</v>
      </c>
      <c r="Q5779">
        <v>1.5</v>
      </c>
      <c r="R5779">
        <v>0.59393121045700503</v>
      </c>
      <c r="S5779" t="s">
        <v>11605</v>
      </c>
      <c r="T5779" t="s">
        <v>11650</v>
      </c>
      <c r="U5779" t="s">
        <v>11650</v>
      </c>
      <c r="V5779" t="s">
        <v>11650</v>
      </c>
      <c r="W5779" t="s">
        <v>17369</v>
      </c>
      <c r="X5779">
        <v>11</v>
      </c>
      <c r="Y5779" t="s">
        <v>23020</v>
      </c>
      <c r="Z5779" t="s">
        <v>28841</v>
      </c>
      <c r="AA5779">
        <v>1.3371444765955649</v>
      </c>
      <c r="AB5779" t="str">
        <f>HYPERLINK("Melting_Curves/meltCurve_Q9Y639_1_NPTN.pdf", "Melting_Curves/meltCurve_Q9Y639_1_NPTN.pdf")</f>
        <v>Melting_Curves/meltCurve_Q9Y639_1_NPTN.pdf</v>
      </c>
    </row>
    <row r="5780" spans="1:28" x14ac:dyDescent="0.25">
      <c r="A5780" t="s">
        <v>5784</v>
      </c>
      <c r="B5780">
        <v>0.99996721820229495</v>
      </c>
      <c r="C5780">
        <v>0.99616295529332699</v>
      </c>
      <c r="D5780">
        <v>1.0098446579284599</v>
      </c>
      <c r="E5780">
        <v>1.0766647119335599</v>
      </c>
      <c r="F5780">
        <v>1.3554528316133201</v>
      </c>
      <c r="G5780">
        <v>1.2925082138536801</v>
      </c>
      <c r="H5780">
        <v>0.89352497733155201</v>
      </c>
      <c r="I5780">
        <v>0.77938457146726903</v>
      </c>
      <c r="J5780">
        <v>0.43604063786393499</v>
      </c>
      <c r="K5780">
        <v>0.41221190113286299</v>
      </c>
      <c r="L5780">
        <v>3186.2285624821302</v>
      </c>
      <c r="M5780">
        <v>49.379690610985101</v>
      </c>
      <c r="N5780">
        <v>66.448982695548395</v>
      </c>
      <c r="O5780">
        <v>64.419520595086595</v>
      </c>
      <c r="P5780">
        <v>-0.118753537019627</v>
      </c>
      <c r="Q5780">
        <v>0.38030887614436598</v>
      </c>
      <c r="R5780">
        <v>0.74503534260793902</v>
      </c>
      <c r="S5780" t="s">
        <v>11606</v>
      </c>
      <c r="T5780" t="s">
        <v>11650</v>
      </c>
      <c r="U5780" t="s">
        <v>11650</v>
      </c>
      <c r="V5780" t="s">
        <v>11650</v>
      </c>
      <c r="W5780" t="s">
        <v>17370</v>
      </c>
      <c r="X5780">
        <v>9</v>
      </c>
      <c r="Y5780" t="s">
        <v>23021</v>
      </c>
      <c r="Z5780" t="s">
        <v>28842</v>
      </c>
      <c r="AA5780">
        <v>0.88802446685147707</v>
      </c>
      <c r="AB5780" t="str">
        <f>HYPERLINK("Melting_Curves/meltCurve_Q9Y646_CPQ.pdf", "Melting_Curves/meltCurve_Q9Y646_CPQ.pdf")</f>
        <v>Melting_Curves/meltCurve_Q9Y646_CPQ.pdf</v>
      </c>
    </row>
    <row r="5781" spans="1:28" x14ac:dyDescent="0.25">
      <c r="A5781" t="s">
        <v>5785</v>
      </c>
      <c r="B5781">
        <v>0.99996721820229495</v>
      </c>
      <c r="C5781">
        <v>1.08520874905244</v>
      </c>
      <c r="D5781">
        <v>1.0085784583102799</v>
      </c>
      <c r="E5781">
        <v>0.80173227307138595</v>
      </c>
      <c r="F5781">
        <v>0.39406956578154001</v>
      </c>
      <c r="G5781">
        <v>0.25085564013400402</v>
      </c>
      <c r="H5781">
        <v>0.15433192887743599</v>
      </c>
      <c r="I5781">
        <v>0.10415691646927799</v>
      </c>
      <c r="J5781">
        <v>7.4193276549750595E-2</v>
      </c>
      <c r="K5781">
        <v>5.5105481631276203E-2</v>
      </c>
      <c r="L5781">
        <v>1413.0871813824799</v>
      </c>
      <c r="M5781">
        <v>27.145638776172198</v>
      </c>
      <c r="N5781">
        <v>52.4921192311417</v>
      </c>
      <c r="O5781">
        <v>51.7757222477697</v>
      </c>
      <c r="P5781">
        <v>-0.117835680181973</v>
      </c>
      <c r="Q5781">
        <v>0.101001926201176</v>
      </c>
      <c r="R5781">
        <v>0.98717516903316804</v>
      </c>
      <c r="S5781" t="s">
        <v>11607</v>
      </c>
      <c r="T5781" t="s">
        <v>11650</v>
      </c>
      <c r="U5781" t="s">
        <v>11650</v>
      </c>
      <c r="V5781" t="s">
        <v>11650</v>
      </c>
      <c r="W5781" t="s">
        <v>17371</v>
      </c>
      <c r="X5781">
        <v>11</v>
      </c>
      <c r="Y5781" t="s">
        <v>23022</v>
      </c>
      <c r="Z5781" t="s">
        <v>28843</v>
      </c>
      <c r="AA5781">
        <v>0.46927214213068469</v>
      </c>
      <c r="AB5781" t="str">
        <f>HYPERLINK("Melting_Curves/meltCurve_Q9Y673_ALG5.pdf", "Melting_Curves/meltCurve_Q9Y673_ALG5.pdf")</f>
        <v>Melting_Curves/meltCurve_Q9Y673_ALG5.pdf</v>
      </c>
    </row>
    <row r="5782" spans="1:28" x14ac:dyDescent="0.25">
      <c r="A5782" t="s">
        <v>5786</v>
      </c>
      <c r="B5782">
        <v>0.99996721820229495</v>
      </c>
      <c r="C5782">
        <v>1.03674177638612</v>
      </c>
      <c r="D5782">
        <v>1.0310299567300101</v>
      </c>
      <c r="E5782">
        <v>1.1865513899598701</v>
      </c>
      <c r="F5782">
        <v>0.74618710686120104</v>
      </c>
      <c r="G5782">
        <v>0.34818596895639098</v>
      </c>
      <c r="H5782">
        <v>0.18745609758294501</v>
      </c>
      <c r="I5782">
        <v>0.12749355394002801</v>
      </c>
      <c r="J5782">
        <v>9.2391413178183002E-2</v>
      </c>
      <c r="K5782">
        <v>7.8647751826463094E-2</v>
      </c>
      <c r="L5782">
        <v>1836.1421262802701</v>
      </c>
      <c r="M5782">
        <v>33.314332050512199</v>
      </c>
      <c r="N5782">
        <v>55.532708635150399</v>
      </c>
      <c r="O5782">
        <v>54.918224232356302</v>
      </c>
      <c r="P5782">
        <v>-0.13487144868586901</v>
      </c>
      <c r="Q5782">
        <v>0.11066881067536399</v>
      </c>
      <c r="R5782">
        <v>0.96985412185585296</v>
      </c>
      <c r="S5782" t="s">
        <v>11608</v>
      </c>
      <c r="T5782" t="s">
        <v>11650</v>
      </c>
      <c r="U5782" t="s">
        <v>11650</v>
      </c>
      <c r="V5782" t="s">
        <v>11650</v>
      </c>
      <c r="W5782" t="s">
        <v>17372</v>
      </c>
      <c r="X5782">
        <v>45</v>
      </c>
      <c r="Y5782" t="s">
        <v>23023</v>
      </c>
      <c r="Z5782" t="s">
        <v>28844</v>
      </c>
      <c r="AA5782">
        <v>0.56359704515506392</v>
      </c>
      <c r="AB5782" t="str">
        <f>HYPERLINK("Melting_Curves/meltCurve_Q9Y678_COPG1.pdf", "Melting_Curves/meltCurve_Q9Y678_COPG1.pdf")</f>
        <v>Melting_Curves/meltCurve_Q9Y678_COPG1.pdf</v>
      </c>
    </row>
    <row r="5783" spans="1:28" x14ac:dyDescent="0.25">
      <c r="A5783" t="s">
        <v>5787</v>
      </c>
      <c r="B5783">
        <v>0.99996721820229495</v>
      </c>
      <c r="C5783">
        <v>0.98951565944042497</v>
      </c>
      <c r="D5783">
        <v>0.99000688030710304</v>
      </c>
      <c r="E5783">
        <v>0.84248805533317705</v>
      </c>
      <c r="F5783">
        <v>0.491511663790965</v>
      </c>
      <c r="G5783">
        <v>0.37166313200648798</v>
      </c>
      <c r="H5783">
        <v>0.24421861564588701</v>
      </c>
      <c r="I5783">
        <v>0.16376685443695499</v>
      </c>
      <c r="J5783">
        <v>8.8020050254338095E-2</v>
      </c>
      <c r="K5783">
        <v>0.12240067099343099</v>
      </c>
      <c r="L5783">
        <v>950.78528162848295</v>
      </c>
      <c r="M5783">
        <v>17.8346740780243</v>
      </c>
      <c r="N5783">
        <v>54.101216020871597</v>
      </c>
      <c r="O5783">
        <v>52.6543540026342</v>
      </c>
      <c r="P5783">
        <v>-7.4972785421813307E-2</v>
      </c>
      <c r="Q5783">
        <v>0.114659076406675</v>
      </c>
      <c r="R5783">
        <v>0.98624229364091098</v>
      </c>
      <c r="S5783" t="s">
        <v>11609</v>
      </c>
      <c r="T5783" t="s">
        <v>11650</v>
      </c>
      <c r="U5783" t="s">
        <v>11650</v>
      </c>
      <c r="V5783" t="s">
        <v>11650</v>
      </c>
      <c r="W5783" t="s">
        <v>17373</v>
      </c>
      <c r="X5783">
        <v>4</v>
      </c>
      <c r="Y5783" t="s">
        <v>23024</v>
      </c>
      <c r="Z5783" t="s">
        <v>28845</v>
      </c>
      <c r="AA5783">
        <v>0.52210109873265931</v>
      </c>
      <c r="AB5783" t="str">
        <f>HYPERLINK("Melting_Curves/meltCurve_Q9Y679_AUP1.pdf", "Melting_Curves/meltCurve_Q9Y679_AUP1.pdf")</f>
        <v>Melting_Curves/meltCurve_Q9Y679_AUP1.pdf</v>
      </c>
    </row>
    <row r="5784" spans="1:28" x14ac:dyDescent="0.25">
      <c r="A5784" t="s">
        <v>5788</v>
      </c>
      <c r="B5784">
        <v>0.99996721820229495</v>
      </c>
      <c r="C5784">
        <v>0.97923542912815198</v>
      </c>
      <c r="D5784">
        <v>0.94245165035719403</v>
      </c>
      <c r="E5784">
        <v>0.94275907571091799</v>
      </c>
      <c r="F5784">
        <v>1.0863200968850699</v>
      </c>
      <c r="G5784">
        <v>1.1695728444012801</v>
      </c>
      <c r="H5784">
        <v>0.82870347057421601</v>
      </c>
      <c r="I5784">
        <v>0.63117377399128904</v>
      </c>
      <c r="J5784">
        <v>0.40231154966084798</v>
      </c>
      <c r="K5784">
        <v>0.255549266182724</v>
      </c>
      <c r="L5784">
        <v>2060.0777317718498</v>
      </c>
      <c r="M5784">
        <v>32.092150675126398</v>
      </c>
      <c r="N5784">
        <v>65.369781060345304</v>
      </c>
      <c r="O5784">
        <v>63.944860935110697</v>
      </c>
      <c r="P5784">
        <v>-9.7931997594147099E-2</v>
      </c>
      <c r="Q5784">
        <v>0.21947060200216301</v>
      </c>
      <c r="R5784">
        <v>0.93683575420835596</v>
      </c>
      <c r="S5784" t="s">
        <v>11610</v>
      </c>
      <c r="T5784" t="s">
        <v>11650</v>
      </c>
      <c r="U5784" t="s">
        <v>11650</v>
      </c>
      <c r="V5784" t="s">
        <v>11650</v>
      </c>
      <c r="W5784" t="s">
        <v>17374</v>
      </c>
      <c r="X5784">
        <v>24</v>
      </c>
      <c r="Y5784" t="s">
        <v>23025</v>
      </c>
      <c r="Z5784" t="s">
        <v>28846</v>
      </c>
      <c r="AA5784">
        <v>0.84981618868654751</v>
      </c>
      <c r="AB5784" t="str">
        <f>HYPERLINK("Melting_Curves/meltCurve_Q9Y680_2_FKBP7.pdf", "Melting_Curves/meltCurve_Q9Y680_2_FKBP7.pdf")</f>
        <v>Melting_Curves/meltCurve_Q9Y680_2_FKBP7.pdf</v>
      </c>
    </row>
    <row r="5785" spans="1:28" x14ac:dyDescent="0.25">
      <c r="A5785" t="s">
        <v>5789</v>
      </c>
      <c r="B5785">
        <v>0.99996721820229495</v>
      </c>
      <c r="C5785">
        <v>1.0535458613372799</v>
      </c>
      <c r="D5785">
        <v>1.07556902009491</v>
      </c>
      <c r="E5785">
        <v>1.01945562098461</v>
      </c>
      <c r="F5785">
        <v>1.62282645606875</v>
      </c>
      <c r="G5785">
        <v>1.59584260115993</v>
      </c>
      <c r="H5785">
        <v>1.1942060743785801</v>
      </c>
      <c r="I5785">
        <v>0.87352152982299602</v>
      </c>
      <c r="J5785">
        <v>0.63362654312380895</v>
      </c>
      <c r="K5785">
        <v>0.54120862412644999</v>
      </c>
      <c r="L5785">
        <v>4413.0439790255496</v>
      </c>
      <c r="M5785">
        <v>67.731901417472002</v>
      </c>
      <c r="O5785">
        <v>65.0978599153228</v>
      </c>
      <c r="P5785">
        <v>-0.116481307702511</v>
      </c>
      <c r="Q5785">
        <v>0.55219436227059704</v>
      </c>
      <c r="R5785">
        <v>0.28790848668742702</v>
      </c>
      <c r="S5785" t="s">
        <v>11611</v>
      </c>
      <c r="T5785" t="s">
        <v>11650</v>
      </c>
      <c r="U5785" t="s">
        <v>11650</v>
      </c>
      <c r="V5785" t="s">
        <v>11650</v>
      </c>
      <c r="W5785" t="s">
        <v>17375</v>
      </c>
      <c r="X5785">
        <v>2</v>
      </c>
      <c r="Y5785" t="s">
        <v>23026</v>
      </c>
      <c r="Z5785" t="s">
        <v>28847</v>
      </c>
      <c r="AA5785">
        <v>0.9282158821169969</v>
      </c>
      <c r="AB5785" t="str">
        <f>HYPERLINK("Melting_Curves/meltCurve_Q9Y693_LHFP.pdf", "Melting_Curves/meltCurve_Q9Y693_LHFP.pdf")</f>
        <v>Melting_Curves/meltCurve_Q9Y693_LHFP.pdf</v>
      </c>
    </row>
    <row r="5786" spans="1:28" x14ac:dyDescent="0.25">
      <c r="A5786" t="s">
        <v>5790</v>
      </c>
      <c r="B5786">
        <v>0.99996721820229495</v>
      </c>
      <c r="C5786">
        <v>1.1287639314040001</v>
      </c>
      <c r="D5786">
        <v>1.04392517458727</v>
      </c>
      <c r="E5786">
        <v>0.84118157119929404</v>
      </c>
      <c r="F5786">
        <v>0.47070227692574002</v>
      </c>
      <c r="G5786">
        <v>0.26217305130183099</v>
      </c>
      <c r="H5786">
        <v>0.14071946341536901</v>
      </c>
      <c r="I5786">
        <v>8.9669747542873796E-2</v>
      </c>
      <c r="J5786">
        <v>6.8612923998998196E-2</v>
      </c>
      <c r="K5786">
        <v>5.2205160181049703E-2</v>
      </c>
      <c r="L5786">
        <v>1326.15567422655</v>
      </c>
      <c r="M5786">
        <v>25.112887741815001</v>
      </c>
      <c r="N5786">
        <v>53.189534275293497</v>
      </c>
      <c r="O5786">
        <v>52.476314099237499</v>
      </c>
      <c r="P5786">
        <v>-0.10977409070913099</v>
      </c>
      <c r="Q5786">
        <v>8.24686184228655E-2</v>
      </c>
      <c r="R5786">
        <v>0.98348872661783204</v>
      </c>
      <c r="S5786" t="s">
        <v>11612</v>
      </c>
      <c r="T5786" t="s">
        <v>11650</v>
      </c>
      <c r="U5786" t="s">
        <v>11650</v>
      </c>
      <c r="V5786" t="s">
        <v>11650</v>
      </c>
      <c r="W5786" t="s">
        <v>17376</v>
      </c>
      <c r="X5786">
        <v>24</v>
      </c>
      <c r="Y5786" t="s">
        <v>23027</v>
      </c>
      <c r="Z5786" t="s">
        <v>28848</v>
      </c>
      <c r="AA5786">
        <v>0.48255086445848239</v>
      </c>
      <c r="AB5786" t="str">
        <f>HYPERLINK("Melting_Curves/meltCurve_Q9Y696_CLIC4.pdf", "Melting_Curves/meltCurve_Q9Y696_CLIC4.pdf")</f>
        <v>Melting_Curves/meltCurve_Q9Y696_CLIC4.pdf</v>
      </c>
    </row>
    <row r="5787" spans="1:28" x14ac:dyDescent="0.25">
      <c r="A5787" t="s">
        <v>5791</v>
      </c>
      <c r="B5787">
        <v>0.99996721820229495</v>
      </c>
      <c r="C5787">
        <v>1.05657421668843</v>
      </c>
      <c r="D5787">
        <v>1.0751744479463801</v>
      </c>
      <c r="E5787">
        <v>1.2821345906138899</v>
      </c>
      <c r="F5787">
        <v>1.2898235151541699</v>
      </c>
      <c r="G5787">
        <v>1.01400240956298</v>
      </c>
      <c r="H5787">
        <v>0.49382459925279398</v>
      </c>
      <c r="I5787">
        <v>0.25587299078215398</v>
      </c>
      <c r="J5787">
        <v>0.17308011754729799</v>
      </c>
      <c r="K5787">
        <v>0.13279345731905301</v>
      </c>
      <c r="L5787">
        <v>3326.2145269017601</v>
      </c>
      <c r="M5787">
        <v>54.898450564640903</v>
      </c>
      <c r="N5787">
        <v>61.045172556452499</v>
      </c>
      <c r="O5787">
        <v>60.508258196323901</v>
      </c>
      <c r="P5787">
        <v>-0.18862426909555</v>
      </c>
      <c r="Q5787">
        <v>0.16840498181452701</v>
      </c>
      <c r="R5787">
        <v>0.90754971110334803</v>
      </c>
      <c r="S5787" t="s">
        <v>11613</v>
      </c>
      <c r="T5787" t="s">
        <v>11650</v>
      </c>
      <c r="U5787" t="s">
        <v>11650</v>
      </c>
      <c r="V5787" t="s">
        <v>11650</v>
      </c>
      <c r="W5787" t="s">
        <v>17377</v>
      </c>
      <c r="X5787">
        <v>13</v>
      </c>
      <c r="Y5787" t="s">
        <v>23028</v>
      </c>
      <c r="Z5787" t="s">
        <v>28849</v>
      </c>
      <c r="AA5787">
        <v>0.74092990305839412</v>
      </c>
      <c r="AB5787" t="str">
        <f>HYPERLINK("Melting_Curves/meltCurve_Q9Y697_2_NFS1.pdf", "Melting_Curves/meltCurve_Q9Y697_2_NFS1.pdf")</f>
        <v>Melting_Curves/meltCurve_Q9Y697_2_NFS1.pdf</v>
      </c>
    </row>
    <row r="5788" spans="1:28" x14ac:dyDescent="0.25">
      <c r="A5788" t="s">
        <v>5792</v>
      </c>
      <c r="B5788">
        <v>0.99996721820229495</v>
      </c>
      <c r="C5788">
        <v>1.1808257730866301</v>
      </c>
      <c r="D5788">
        <v>1.0659714212903999</v>
      </c>
      <c r="E5788">
        <v>0.78958503785978795</v>
      </c>
      <c r="F5788">
        <v>0.513567615647884</v>
      </c>
      <c r="G5788">
        <v>0.38120965321913097</v>
      </c>
      <c r="H5788">
        <v>0.21495843887058499</v>
      </c>
      <c r="I5788">
        <v>0.15199140947888601</v>
      </c>
      <c r="J5788">
        <v>0.12725639229377</v>
      </c>
      <c r="K5788">
        <v>8.3527532062152396E-2</v>
      </c>
      <c r="L5788">
        <v>1024.66448333433</v>
      </c>
      <c r="M5788">
        <v>19.2312001986955</v>
      </c>
      <c r="N5788">
        <v>54.032765500803997</v>
      </c>
      <c r="O5788">
        <v>52.715270698933999</v>
      </c>
      <c r="P5788">
        <v>-8.0505252046394901E-2</v>
      </c>
      <c r="Q5788">
        <v>0.11733125170299399</v>
      </c>
      <c r="R5788">
        <v>0.96356808600715804</v>
      </c>
      <c r="S5788" t="s">
        <v>11614</v>
      </c>
      <c r="T5788" t="s">
        <v>11650</v>
      </c>
      <c r="U5788" t="s">
        <v>11650</v>
      </c>
      <c r="V5788" t="s">
        <v>11650</v>
      </c>
      <c r="W5788" t="s">
        <v>17378</v>
      </c>
      <c r="X5788">
        <v>6</v>
      </c>
      <c r="Y5788" t="s">
        <v>23029</v>
      </c>
      <c r="Z5788" t="s">
        <v>28850</v>
      </c>
      <c r="AA5788">
        <v>0.52102193349524095</v>
      </c>
      <c r="AB5788" t="str">
        <f>HYPERLINK("Melting_Curves/meltCurve_Q9Y6A4_C16orf80.pdf", "Melting_Curves/meltCurve_Q9Y6A4_C16orf80.pdf")</f>
        <v>Melting_Curves/meltCurve_Q9Y6A4_C16orf80.pdf</v>
      </c>
    </row>
    <row r="5789" spans="1:28" x14ac:dyDescent="0.25">
      <c r="A5789" t="s">
        <v>5793</v>
      </c>
      <c r="B5789">
        <v>0.99996721820229495</v>
      </c>
      <c r="C5789">
        <v>1.00958773744498</v>
      </c>
      <c r="D5789">
        <v>1.0432292079204799</v>
      </c>
      <c r="E5789">
        <v>1.1033587003971299</v>
      </c>
      <c r="F5789">
        <v>1.56243926623468</v>
      </c>
      <c r="G5789">
        <v>1.43736446570717</v>
      </c>
      <c r="H5789">
        <v>1.0464312537109</v>
      </c>
      <c r="I5789">
        <v>0.79025330979518005</v>
      </c>
      <c r="J5789">
        <v>0.56339780021014096</v>
      </c>
      <c r="K5789">
        <v>0.50622192251314202</v>
      </c>
      <c r="L5789">
        <v>5852.5575904567804</v>
      </c>
      <c r="M5789">
        <v>91.193703376196297</v>
      </c>
      <c r="O5789">
        <v>64.146368003705405</v>
      </c>
      <c r="P5789">
        <v>-0.16744004933018999</v>
      </c>
      <c r="Q5789">
        <v>0.528885446878397</v>
      </c>
      <c r="R5789">
        <v>0.47627998076859102</v>
      </c>
      <c r="S5789" t="s">
        <v>11615</v>
      </c>
      <c r="T5789" t="s">
        <v>11650</v>
      </c>
      <c r="U5789" t="s">
        <v>11650</v>
      </c>
      <c r="V5789" t="s">
        <v>11650</v>
      </c>
      <c r="W5789" t="s">
        <v>17379</v>
      </c>
      <c r="X5789">
        <v>8</v>
      </c>
      <c r="Y5789" t="s">
        <v>23030</v>
      </c>
      <c r="Z5789" t="s">
        <v>28851</v>
      </c>
      <c r="AA5789">
        <v>0.90895250299556285</v>
      </c>
      <c r="AB5789" t="str">
        <f>HYPERLINK("Melting_Curves/meltCurve_Q9Y6C2_EMILIN1.pdf", "Melting_Curves/meltCurve_Q9Y6C2_EMILIN1.pdf")</f>
        <v>Melting_Curves/meltCurve_Q9Y6C2_EMILIN1.pdf</v>
      </c>
    </row>
    <row r="5790" spans="1:28" x14ac:dyDescent="0.25">
      <c r="A5790" t="s">
        <v>5794</v>
      </c>
      <c r="B5790">
        <v>0.99996721820229495</v>
      </c>
      <c r="C5790">
        <v>0.55927293907100695</v>
      </c>
      <c r="D5790">
        <v>0.80876984180377798</v>
      </c>
      <c r="E5790">
        <v>1.03722854058828</v>
      </c>
      <c r="F5790">
        <v>1.62175409539425</v>
      </c>
      <c r="G5790">
        <v>1.11707983411649</v>
      </c>
      <c r="H5790">
        <v>0.45507168097458001</v>
      </c>
      <c r="I5790">
        <v>0.219722100578333</v>
      </c>
      <c r="J5790">
        <v>0.17384079823753701</v>
      </c>
      <c r="K5790">
        <v>0.12785645357601799</v>
      </c>
      <c r="L5790">
        <v>7019.5729974501101</v>
      </c>
      <c r="M5790">
        <v>115.729154258233</v>
      </c>
      <c r="N5790">
        <v>60.878520919058303</v>
      </c>
      <c r="O5790">
        <v>60.637075693329102</v>
      </c>
      <c r="P5790">
        <v>-0.39460835262340599</v>
      </c>
      <c r="Q5790">
        <v>0.172969116273191</v>
      </c>
      <c r="R5790">
        <v>0.70420694233224901</v>
      </c>
      <c r="S5790" t="s">
        <v>11616</v>
      </c>
      <c r="T5790" t="s">
        <v>11650</v>
      </c>
      <c r="U5790" t="s">
        <v>11650</v>
      </c>
      <c r="V5790" t="s">
        <v>11650</v>
      </c>
      <c r="W5790" t="s">
        <v>17380</v>
      </c>
      <c r="X5790">
        <v>9</v>
      </c>
      <c r="Y5790" t="s">
        <v>23031</v>
      </c>
      <c r="Z5790" t="s">
        <v>28852</v>
      </c>
      <c r="AA5790">
        <v>0.74279607239438705</v>
      </c>
      <c r="AB5790" t="str">
        <f>HYPERLINK("Melting_Curves/meltCurve_Q9Y6C9_MTCH2.pdf", "Melting_Curves/meltCurve_Q9Y6C9_MTCH2.pdf")</f>
        <v>Melting_Curves/meltCurve_Q9Y6C9_MTCH2.pdf</v>
      </c>
    </row>
    <row r="5791" spans="1:28" x14ac:dyDescent="0.25">
      <c r="A5791" t="s">
        <v>5795</v>
      </c>
      <c r="B5791">
        <v>0.99996721820229495</v>
      </c>
      <c r="C5791">
        <v>1.3540517986710801</v>
      </c>
      <c r="D5791">
        <v>1.7232510414644999</v>
      </c>
      <c r="E5791">
        <v>1.54401735957947</v>
      </c>
      <c r="F5791">
        <v>2.1923175003708</v>
      </c>
      <c r="G5791">
        <v>1.4686285711509299</v>
      </c>
      <c r="H5791">
        <v>0.83472759098316696</v>
      </c>
      <c r="I5791">
        <v>0.68620817871908202</v>
      </c>
      <c r="J5791">
        <v>0.55449333083354801</v>
      </c>
      <c r="K5791">
        <v>0.31036911353625701</v>
      </c>
      <c r="L5791">
        <v>2113.51543740733</v>
      </c>
      <c r="M5791">
        <v>32.573975134030199</v>
      </c>
      <c r="N5791">
        <v>66.676338486541795</v>
      </c>
      <c r="O5791">
        <v>64.640494374963396</v>
      </c>
      <c r="P5791">
        <v>-8.9227385856919195E-2</v>
      </c>
      <c r="Q5791">
        <v>0.29174446256323699</v>
      </c>
      <c r="R5791">
        <v>0.15985792873749199</v>
      </c>
      <c r="S5791" t="s">
        <v>11617</v>
      </c>
      <c r="T5791" t="s">
        <v>11650</v>
      </c>
      <c r="U5791" t="s">
        <v>11650</v>
      </c>
      <c r="V5791" t="s">
        <v>11650</v>
      </c>
      <c r="W5791" t="s">
        <v>17381</v>
      </c>
      <c r="X5791">
        <v>4</v>
      </c>
      <c r="Y5791" t="s">
        <v>23032</v>
      </c>
      <c r="Z5791" t="s">
        <v>28853</v>
      </c>
      <c r="AA5791">
        <v>0.87881491203107098</v>
      </c>
      <c r="AB5791" t="str">
        <f>HYPERLINK("Melting_Curves/meltCurve_Q9Y6D5_ARFGEF2.pdf", "Melting_Curves/meltCurve_Q9Y6D5_ARFGEF2.pdf")</f>
        <v>Melting_Curves/meltCurve_Q9Y6D5_ARFGEF2.pdf</v>
      </c>
    </row>
    <row r="5792" spans="1:28" x14ac:dyDescent="0.25">
      <c r="A5792" t="s">
        <v>5796</v>
      </c>
      <c r="B5792">
        <v>0.99996721820229495</v>
      </c>
      <c r="C5792">
        <v>1.140407365805</v>
      </c>
      <c r="D5792">
        <v>1.3624544650872501</v>
      </c>
      <c r="E5792">
        <v>1.3412415785105301</v>
      </c>
      <c r="F5792">
        <v>0.91289993023099503</v>
      </c>
      <c r="G5792">
        <v>0.78016293608302201</v>
      </c>
      <c r="H5792">
        <v>0.60757715328905304</v>
      </c>
      <c r="I5792">
        <v>0.35339253291169398</v>
      </c>
      <c r="J5792">
        <v>0.37268246132271399</v>
      </c>
      <c r="K5792">
        <v>0.27131050297936299</v>
      </c>
      <c r="L5792">
        <v>1412.32665094495</v>
      </c>
      <c r="M5792">
        <v>23.5995438133309</v>
      </c>
      <c r="N5792">
        <v>61.912859104585202</v>
      </c>
      <c r="O5792">
        <v>59.420747042197597</v>
      </c>
      <c r="P5792">
        <v>-7.2221970972857805E-2</v>
      </c>
      <c r="Q5792">
        <v>0.27262794988153499</v>
      </c>
      <c r="R5792">
        <v>0.80628279306114403</v>
      </c>
      <c r="S5792" t="s">
        <v>11618</v>
      </c>
      <c r="T5792" t="s">
        <v>11650</v>
      </c>
      <c r="U5792" t="s">
        <v>11650</v>
      </c>
      <c r="V5792" t="s">
        <v>11650</v>
      </c>
      <c r="W5792" t="s">
        <v>17382</v>
      </c>
      <c r="X5792">
        <v>5</v>
      </c>
      <c r="Y5792" t="s">
        <v>23033</v>
      </c>
      <c r="Z5792" t="s">
        <v>28854</v>
      </c>
      <c r="AA5792">
        <v>0.75957486337020086</v>
      </c>
      <c r="AB5792" t="str">
        <f>HYPERLINK("Melting_Curves/meltCurve_Q9Y6D6_ARFGEF1.pdf", "Melting_Curves/meltCurve_Q9Y6D6_ARFGEF1.pdf")</f>
        <v>Melting_Curves/meltCurve_Q9Y6D6_ARFGEF1.pdf</v>
      </c>
    </row>
    <row r="5793" spans="1:28" x14ac:dyDescent="0.25">
      <c r="A5793" t="s">
        <v>5797</v>
      </c>
      <c r="B5793">
        <v>0.99996721820229495</v>
      </c>
      <c r="C5793">
        <v>1.08721824630274</v>
      </c>
      <c r="D5793">
        <v>0.81975406794257</v>
      </c>
      <c r="E5793">
        <v>0.28590807161964299</v>
      </c>
      <c r="F5793">
        <v>0.36840795176914298</v>
      </c>
      <c r="G5793">
        <v>0.21405159699701901</v>
      </c>
      <c r="H5793">
        <v>0.12090596797895201</v>
      </c>
      <c r="I5793">
        <v>9.0686523550721196E-2</v>
      </c>
      <c r="J5793">
        <v>6.4742482627979506E-2</v>
      </c>
      <c r="K5793">
        <v>4.3873574867309299E-2</v>
      </c>
      <c r="L5793">
        <v>1150.0198038646499</v>
      </c>
      <c r="M5793">
        <v>23.7287582634454</v>
      </c>
      <c r="N5793">
        <v>48.991202013363697</v>
      </c>
      <c r="O5793">
        <v>48.1249285636788</v>
      </c>
      <c r="P5793">
        <v>-0.109407455823367</v>
      </c>
      <c r="Q5793">
        <v>0.112445503485969</v>
      </c>
      <c r="R5793">
        <v>0.95465284733409195</v>
      </c>
      <c r="S5793" t="s">
        <v>11619</v>
      </c>
      <c r="T5793" t="s">
        <v>11650</v>
      </c>
      <c r="U5793" t="s">
        <v>11650</v>
      </c>
      <c r="V5793" t="s">
        <v>11650</v>
      </c>
      <c r="W5793" t="s">
        <v>17383</v>
      </c>
      <c r="X5793">
        <v>7</v>
      </c>
      <c r="Y5793" t="s">
        <v>23034</v>
      </c>
      <c r="Z5793" t="s">
        <v>28855</v>
      </c>
      <c r="AA5793">
        <v>0.37164221768309219</v>
      </c>
      <c r="AB5793" t="str">
        <f>HYPERLINK("Melting_Curves/meltCurve_Q9Y6D9_MAD1L1.pdf", "Melting_Curves/meltCurve_Q9Y6D9_MAD1L1.pdf")</f>
        <v>Melting_Curves/meltCurve_Q9Y6D9_MAD1L1.pdf</v>
      </c>
    </row>
    <row r="5794" spans="1:28" x14ac:dyDescent="0.25">
      <c r="A5794" t="s">
        <v>5798</v>
      </c>
      <c r="B5794">
        <v>0.99996721820229495</v>
      </c>
      <c r="C5794">
        <v>1.0581660646284901</v>
      </c>
      <c r="D5794">
        <v>0.988687797371405</v>
      </c>
      <c r="E5794">
        <v>0.96779144994420796</v>
      </c>
      <c r="F5794">
        <v>0.64554987214009296</v>
      </c>
      <c r="G5794">
        <v>0.52959323232907696</v>
      </c>
      <c r="H5794">
        <v>0.34191816843879802</v>
      </c>
      <c r="I5794">
        <v>0.22436050144790701</v>
      </c>
      <c r="J5794">
        <v>0.15259139825684201</v>
      </c>
      <c r="K5794">
        <v>0.146868516540894</v>
      </c>
      <c r="L5794">
        <v>859.691496009606</v>
      </c>
      <c r="M5794">
        <v>15.2929721000352</v>
      </c>
      <c r="N5794">
        <v>57.0881588604122</v>
      </c>
      <c r="O5794">
        <v>55.279909836214202</v>
      </c>
      <c r="P5794">
        <v>-6.1953598676194703E-2</v>
      </c>
      <c r="Q5794">
        <v>0.104302896194543</v>
      </c>
      <c r="R5794">
        <v>0.98129174380955697</v>
      </c>
      <c r="S5794" t="s">
        <v>11620</v>
      </c>
      <c r="T5794" t="s">
        <v>11650</v>
      </c>
      <c r="U5794" t="s">
        <v>11650</v>
      </c>
      <c r="V5794" t="s">
        <v>11650</v>
      </c>
      <c r="W5794" t="s">
        <v>17384</v>
      </c>
      <c r="X5794">
        <v>16</v>
      </c>
      <c r="Y5794" t="s">
        <v>23035</v>
      </c>
      <c r="Z5794" t="s">
        <v>28856</v>
      </c>
      <c r="AA5794">
        <v>0.60373137527893528</v>
      </c>
      <c r="AB5794" t="str">
        <f>HYPERLINK("Melting_Curves/meltCurve_Q9Y6E0_2_STK24.pdf", "Melting_Curves/meltCurve_Q9Y6E0_2_STK24.pdf")</f>
        <v>Melting_Curves/meltCurve_Q9Y6E0_2_STK24.pdf</v>
      </c>
    </row>
    <row r="5795" spans="1:28" x14ac:dyDescent="0.25">
      <c r="A5795" t="s">
        <v>5799</v>
      </c>
      <c r="B5795">
        <v>0.99996721820229495</v>
      </c>
      <c r="C5795">
        <v>0.92070780426725296</v>
      </c>
      <c r="D5795">
        <v>1.0102403804528199</v>
      </c>
      <c r="E5795">
        <v>1.4369502991507499</v>
      </c>
      <c r="F5795">
        <v>3.4340016723842899</v>
      </c>
      <c r="G5795">
        <v>2.12055410564742</v>
      </c>
      <c r="H5795">
        <v>1.1923515381974801</v>
      </c>
      <c r="I5795">
        <v>0.34243458374757701</v>
      </c>
      <c r="J5795">
        <v>0.184692537013466</v>
      </c>
      <c r="K5795">
        <v>0.22678581777270801</v>
      </c>
      <c r="L5795">
        <v>15000</v>
      </c>
      <c r="M5795">
        <v>235.94505737790601</v>
      </c>
      <c r="N5795">
        <v>63.717276038567199</v>
      </c>
      <c r="O5795">
        <v>63.569555232193103</v>
      </c>
      <c r="P5795">
        <v>-0.73701762479795196</v>
      </c>
      <c r="Q5795">
        <v>0.20571538090008601</v>
      </c>
      <c r="R5795">
        <v>0.153523248080844</v>
      </c>
      <c r="S5795" t="s">
        <v>11621</v>
      </c>
      <c r="T5795" t="s">
        <v>11650</v>
      </c>
      <c r="U5795" t="s">
        <v>11650</v>
      </c>
      <c r="V5795" t="s">
        <v>11650</v>
      </c>
      <c r="W5795" t="s">
        <v>17385</v>
      </c>
      <c r="X5795">
        <v>3</v>
      </c>
      <c r="Y5795" t="s">
        <v>23036</v>
      </c>
      <c r="Z5795" t="s">
        <v>28857</v>
      </c>
      <c r="AA5795">
        <v>0.82996697471938086</v>
      </c>
      <c r="AB5795" t="str">
        <f>HYPERLINK("Melting_Curves/meltCurve_Q9Y6G5_COMMD10.pdf", "Melting_Curves/meltCurve_Q9Y6G5_COMMD10.pdf")</f>
        <v>Melting_Curves/meltCurve_Q9Y6G5_COMMD10.pdf</v>
      </c>
    </row>
    <row r="5796" spans="1:28" x14ac:dyDescent="0.25">
      <c r="A5796" t="s">
        <v>5800</v>
      </c>
      <c r="B5796">
        <v>0.99996721820229495</v>
      </c>
      <c r="C5796">
        <v>1.09075253046708</v>
      </c>
      <c r="D5796">
        <v>1.1943535400223699</v>
      </c>
      <c r="E5796">
        <v>1.40765471054735</v>
      </c>
      <c r="F5796">
        <v>2.89821623633406</v>
      </c>
      <c r="G5796">
        <v>1.9342609897012399</v>
      </c>
      <c r="H5796">
        <v>1.0393657414706601</v>
      </c>
      <c r="I5796">
        <v>0.7595301590911</v>
      </c>
      <c r="J5796">
        <v>0.50149859415198295</v>
      </c>
      <c r="K5796">
        <v>0.51503202538514603</v>
      </c>
      <c r="L5796">
        <v>15000</v>
      </c>
      <c r="M5796">
        <v>234.331053530205</v>
      </c>
      <c r="O5796">
        <v>64.007340187353606</v>
      </c>
      <c r="P5796">
        <v>-0.450066933157654</v>
      </c>
      <c r="Q5796">
        <v>0.50825830710856001</v>
      </c>
      <c r="R5796">
        <v>-1.3717370025643199E-3</v>
      </c>
      <c r="S5796" t="s">
        <v>11622</v>
      </c>
      <c r="T5796" t="s">
        <v>11650</v>
      </c>
      <c r="U5796" t="s">
        <v>11650</v>
      </c>
      <c r="V5796" t="s">
        <v>11650</v>
      </c>
      <c r="W5796" t="s">
        <v>17386</v>
      </c>
      <c r="X5796">
        <v>8</v>
      </c>
      <c r="Y5796" t="s">
        <v>23037</v>
      </c>
      <c r="Z5796" t="s">
        <v>28858</v>
      </c>
      <c r="AA5796">
        <v>0.90191127911381153</v>
      </c>
      <c r="AB5796" t="str">
        <f>HYPERLINK("Melting_Curves/meltCurve_Q9Y6G9_DYNC1LI1.pdf", "Melting_Curves/meltCurve_Q9Y6G9_DYNC1LI1.pdf")</f>
        <v>Melting_Curves/meltCurve_Q9Y6G9_DYNC1LI1.pdf</v>
      </c>
    </row>
    <row r="5797" spans="1:28" x14ac:dyDescent="0.25">
      <c r="A5797" t="s">
        <v>5801</v>
      </c>
      <c r="B5797">
        <v>0.99996721820229495</v>
      </c>
      <c r="C5797">
        <v>1.1064056060071299</v>
      </c>
      <c r="D5797">
        <v>1.10776172302515</v>
      </c>
      <c r="E5797">
        <v>1.2009040554315</v>
      </c>
      <c r="F5797">
        <v>1.4841116505383101</v>
      </c>
      <c r="G5797">
        <v>1.7294969694226101</v>
      </c>
      <c r="H5797">
        <v>1.28781170666344</v>
      </c>
      <c r="I5797">
        <v>1.20137846081977</v>
      </c>
      <c r="J5797">
        <v>1.1425270902005</v>
      </c>
      <c r="K5797">
        <v>0.78064659938733705</v>
      </c>
      <c r="L5797">
        <v>15000</v>
      </c>
      <c r="M5797">
        <v>213.01618287598299</v>
      </c>
      <c r="Q5797">
        <v>0</v>
      </c>
      <c r="R5797">
        <v>-0.60895466004196397</v>
      </c>
      <c r="S5797" t="s">
        <v>11623</v>
      </c>
      <c r="T5797" t="s">
        <v>11650</v>
      </c>
      <c r="U5797" t="s">
        <v>11650</v>
      </c>
      <c r="V5797" t="s">
        <v>11650</v>
      </c>
      <c r="W5797" t="s">
        <v>17387</v>
      </c>
      <c r="X5797">
        <v>6</v>
      </c>
      <c r="Y5797" t="s">
        <v>23038</v>
      </c>
      <c r="Z5797" t="s">
        <v>28859</v>
      </c>
      <c r="AA5797">
        <v>0.99733016258904206</v>
      </c>
      <c r="AB5797" t="str">
        <f>HYPERLINK("Melting_Curves/meltCurve_Q9Y6H1_CHCHD2.pdf", "Melting_Curves/meltCurve_Q9Y6H1_CHCHD2.pdf")</f>
        <v>Melting_Curves/meltCurve_Q9Y6H1_CHCHD2.pdf</v>
      </c>
    </row>
    <row r="5798" spans="1:28" x14ac:dyDescent="0.25">
      <c r="A5798" t="s">
        <v>5802</v>
      </c>
      <c r="B5798">
        <v>0.99996721820229495</v>
      </c>
      <c r="C5798">
        <v>0.62790271349298699</v>
      </c>
      <c r="D5798">
        <v>0.49916507844195501</v>
      </c>
      <c r="E5798">
        <v>0.31081391448763501</v>
      </c>
      <c r="F5798">
        <v>9.3815996315681896E-2</v>
      </c>
      <c r="G5798">
        <v>4.3473062177908001E-2</v>
      </c>
      <c r="H5798">
        <v>5.2439376152730198E-3</v>
      </c>
      <c r="I5798">
        <v>0</v>
      </c>
      <c r="J5798">
        <v>0</v>
      </c>
      <c r="K5798">
        <v>0</v>
      </c>
      <c r="L5798">
        <v>655.66810043313899</v>
      </c>
      <c r="M5798">
        <v>14.287579334841499</v>
      </c>
      <c r="N5798">
        <v>45.890766065207302</v>
      </c>
      <c r="O5798">
        <v>45.019832560812802</v>
      </c>
      <c r="P5798">
        <v>-7.9350129037355097E-2</v>
      </c>
      <c r="Q5798">
        <v>0</v>
      </c>
      <c r="R5798">
        <v>0.97204106676763702</v>
      </c>
      <c r="S5798" t="s">
        <v>11624</v>
      </c>
      <c r="T5798" t="s">
        <v>11650</v>
      </c>
      <c r="U5798" t="s">
        <v>11650</v>
      </c>
      <c r="V5798" t="s">
        <v>11650</v>
      </c>
      <c r="W5798" t="s">
        <v>17388</v>
      </c>
      <c r="X5798">
        <v>17</v>
      </c>
      <c r="Y5798" t="s">
        <v>23039</v>
      </c>
      <c r="Z5798" t="s">
        <v>28860</v>
      </c>
      <c r="AA5798">
        <v>0.2289773385724152</v>
      </c>
      <c r="AB5798" t="str">
        <f>HYPERLINK("Melting_Curves/meltCurve_Q9Y6I3_EPN1.pdf", "Melting_Curves/meltCurve_Q9Y6I3_EPN1.pdf")</f>
        <v>Melting_Curves/meltCurve_Q9Y6I3_EPN1.pdf</v>
      </c>
    </row>
    <row r="5799" spans="1:28" x14ac:dyDescent="0.25">
      <c r="A5799" t="s">
        <v>5803</v>
      </c>
      <c r="B5799">
        <v>0.99996721820229495</v>
      </c>
      <c r="C5799">
        <v>0.97281562855843395</v>
      </c>
      <c r="D5799">
        <v>0.90825607535336605</v>
      </c>
      <c r="E5799">
        <v>0.73105588571369695</v>
      </c>
      <c r="F5799">
        <v>0.41851569451941101</v>
      </c>
      <c r="G5799">
        <v>0.305605718613432</v>
      </c>
      <c r="H5799">
        <v>0.20075446448082401</v>
      </c>
      <c r="I5799">
        <v>0.13114293662493801</v>
      </c>
      <c r="J5799">
        <v>0.100973079868678</v>
      </c>
      <c r="K5799">
        <v>7.7715129170650696E-2</v>
      </c>
      <c r="L5799">
        <v>833.80048091667595</v>
      </c>
      <c r="M5799">
        <v>15.9885491535175</v>
      </c>
      <c r="N5799">
        <v>52.770175370970598</v>
      </c>
      <c r="O5799">
        <v>51.354508382005797</v>
      </c>
      <c r="P5799">
        <v>-7.1171669485515093E-2</v>
      </c>
      <c r="Q5799">
        <v>8.56710390293767E-2</v>
      </c>
      <c r="R5799">
        <v>0.99333481016098402</v>
      </c>
      <c r="S5799" t="s">
        <v>11625</v>
      </c>
      <c r="T5799" t="s">
        <v>11650</v>
      </c>
      <c r="U5799" t="s">
        <v>11650</v>
      </c>
      <c r="V5799" t="s">
        <v>11650</v>
      </c>
      <c r="W5799" t="s">
        <v>17389</v>
      </c>
      <c r="X5799">
        <v>17</v>
      </c>
      <c r="Y5799" t="s">
        <v>23040</v>
      </c>
      <c r="Z5799" t="s">
        <v>28861</v>
      </c>
      <c r="AA5799">
        <v>0.47439714285384382</v>
      </c>
      <c r="AB5799" t="str">
        <f>HYPERLINK("Melting_Curves/meltCurve_Q9Y6I9_TEX264.pdf", "Melting_Curves/meltCurve_Q9Y6I9_TEX264.pdf")</f>
        <v>Melting_Curves/meltCurve_Q9Y6I9_TEX264.pdf</v>
      </c>
    </row>
    <row r="5800" spans="1:28" x14ac:dyDescent="0.25">
      <c r="A5800" t="s">
        <v>5804</v>
      </c>
      <c r="B5800">
        <v>0.99996721820229495</v>
      </c>
      <c r="C5800">
        <v>0.933445354470817</v>
      </c>
      <c r="D5800">
        <v>0.65167519367558202</v>
      </c>
      <c r="E5800">
        <v>0.40518164260825001</v>
      </c>
      <c r="F5800">
        <v>0.413436234531463</v>
      </c>
      <c r="G5800">
        <v>0.319616916651767</v>
      </c>
      <c r="H5800">
        <v>0.21593469482890901</v>
      </c>
      <c r="I5800">
        <v>0.16594221353816699</v>
      </c>
      <c r="J5800">
        <v>0.111193608976233</v>
      </c>
      <c r="K5800">
        <v>0.101182333545362</v>
      </c>
      <c r="L5800">
        <v>592.22543015499605</v>
      </c>
      <c r="M5800">
        <v>12.1619663856368</v>
      </c>
      <c r="N5800">
        <v>49.810795227452999</v>
      </c>
      <c r="O5800">
        <v>47.434458993567901</v>
      </c>
      <c r="P5800">
        <v>-5.6467892800894003E-2</v>
      </c>
      <c r="Q5800">
        <v>0.119250624975137</v>
      </c>
      <c r="R5800">
        <v>0.96691901391090695</v>
      </c>
      <c r="S5800" t="s">
        <v>11626</v>
      </c>
      <c r="T5800" t="s">
        <v>11650</v>
      </c>
      <c r="U5800" t="s">
        <v>11650</v>
      </c>
      <c r="V5800" t="s">
        <v>11650</v>
      </c>
      <c r="W5800" t="s">
        <v>17390</v>
      </c>
      <c r="X5800">
        <v>10</v>
      </c>
      <c r="Y5800" t="s">
        <v>23041</v>
      </c>
      <c r="Z5800" t="s">
        <v>28862</v>
      </c>
      <c r="AA5800">
        <v>0.40673769093442319</v>
      </c>
      <c r="AB5800" t="str">
        <f>HYPERLINK("Melting_Curves/meltCurve_Q9Y6K8_3_AK5.pdf", "Melting_Curves/meltCurve_Q9Y6K8_3_AK5.pdf")</f>
        <v>Melting_Curves/meltCurve_Q9Y6K8_3_AK5.pdf</v>
      </c>
    </row>
    <row r="5801" spans="1:28" x14ac:dyDescent="0.25">
      <c r="A5801" t="s">
        <v>5805</v>
      </c>
      <c r="B5801">
        <v>0.99996721820229495</v>
      </c>
      <c r="C5801">
        <v>0.87447398855541603</v>
      </c>
      <c r="D5801">
        <v>1.0729615849982601</v>
      </c>
      <c r="E5801">
        <v>1.1069041915753299</v>
      </c>
      <c r="F5801">
        <v>1.4125074989204001</v>
      </c>
      <c r="G5801">
        <v>1.2406782430580301</v>
      </c>
      <c r="H5801">
        <v>0.87752010885024601</v>
      </c>
      <c r="I5801">
        <v>0.56695551243503906</v>
      </c>
      <c r="J5801">
        <v>0.28978447245505001</v>
      </c>
      <c r="K5801">
        <v>0.350925517230809</v>
      </c>
      <c r="L5801">
        <v>3340.9219397686002</v>
      </c>
      <c r="M5801">
        <v>52.861102775601402</v>
      </c>
      <c r="N5801">
        <v>64.3718471971508</v>
      </c>
      <c r="O5801">
        <v>63.1116198287923</v>
      </c>
      <c r="P5801">
        <v>-0.14475606040933001</v>
      </c>
      <c r="Q5801">
        <v>0.30869501266788701</v>
      </c>
      <c r="R5801">
        <v>0.78486354363712296</v>
      </c>
      <c r="S5801" t="s">
        <v>11627</v>
      </c>
      <c r="T5801" t="s">
        <v>11650</v>
      </c>
      <c r="U5801" t="s">
        <v>11650</v>
      </c>
      <c r="V5801" t="s">
        <v>11650</v>
      </c>
      <c r="W5801" t="s">
        <v>17391</v>
      </c>
      <c r="X5801">
        <v>7</v>
      </c>
      <c r="Y5801" t="s">
        <v>23042</v>
      </c>
      <c r="Z5801" t="s">
        <v>28863</v>
      </c>
      <c r="AA5801">
        <v>0.84486360410546568</v>
      </c>
      <c r="AB5801" t="str">
        <f>HYPERLINK("Melting_Curves/meltCurve_Q9Y6M5_SLC30A1.pdf", "Melting_Curves/meltCurve_Q9Y6M5_SLC30A1.pdf")</f>
        <v>Melting_Curves/meltCurve_Q9Y6M5_SLC30A1.pdf</v>
      </c>
    </row>
    <row r="5802" spans="1:28" x14ac:dyDescent="0.25">
      <c r="A5802" t="s">
        <v>5806</v>
      </c>
      <c r="B5802">
        <v>0.99996721820229495</v>
      </c>
      <c r="C5802">
        <v>0.96116005894649204</v>
      </c>
      <c r="D5802">
        <v>0.97797863802705498</v>
      </c>
      <c r="E5802">
        <v>0.96998560800016997</v>
      </c>
      <c r="F5802">
        <v>0.81421115794749499</v>
      </c>
      <c r="G5802">
        <v>0.44599639938158198</v>
      </c>
      <c r="H5802">
        <v>0.28037080043171198</v>
      </c>
      <c r="I5802">
        <v>0.17395842229307501</v>
      </c>
      <c r="J5802">
        <v>0.103200126588728</v>
      </c>
      <c r="K5802">
        <v>9.6515052359233494E-2</v>
      </c>
      <c r="L5802">
        <v>1190.3363053395999</v>
      </c>
      <c r="M5802">
        <v>21.1689903174791</v>
      </c>
      <c r="N5802">
        <v>56.791295488216797</v>
      </c>
      <c r="O5802">
        <v>55.735615399577398</v>
      </c>
      <c r="P5802">
        <v>-8.5994722602989002E-2</v>
      </c>
      <c r="Q5802">
        <v>9.4365090405530205E-2</v>
      </c>
      <c r="R5802">
        <v>0.99547439964804896</v>
      </c>
      <c r="S5802" t="s">
        <v>11628</v>
      </c>
      <c r="T5802" t="s">
        <v>11650</v>
      </c>
      <c r="U5802" t="s">
        <v>11650</v>
      </c>
      <c r="V5802" t="s">
        <v>11650</v>
      </c>
      <c r="W5802" t="s">
        <v>17392</v>
      </c>
      <c r="X5802">
        <v>2</v>
      </c>
      <c r="Y5802" t="s">
        <v>23043</v>
      </c>
      <c r="Z5802" t="s">
        <v>28864</v>
      </c>
      <c r="AA5802">
        <v>0.59500667021250941</v>
      </c>
      <c r="AB5802" t="str">
        <f>HYPERLINK("Melting_Curves/meltCurve_Q9Y6N1_COX11.pdf", "Melting_Curves/meltCurve_Q9Y6N1_COX11.pdf")</f>
        <v>Melting_Curves/meltCurve_Q9Y6N1_COX11.pdf</v>
      </c>
    </row>
    <row r="5803" spans="1:28" x14ac:dyDescent="0.25">
      <c r="A5803" t="s">
        <v>5807</v>
      </c>
      <c r="B5803">
        <v>0.99996721820229495</v>
      </c>
      <c r="C5803">
        <v>0.93622060993401401</v>
      </c>
      <c r="D5803">
        <v>0.98691625572865005</v>
      </c>
      <c r="E5803">
        <v>1.0235040536418101</v>
      </c>
      <c r="F5803">
        <v>1.34760486001928</v>
      </c>
      <c r="G5803">
        <v>1.7193032882799</v>
      </c>
      <c r="H5803">
        <v>1.27076410478806</v>
      </c>
      <c r="I5803">
        <v>0.980451355515497</v>
      </c>
      <c r="J5803">
        <v>0.62084631802834001</v>
      </c>
      <c r="K5803">
        <v>0.35677841071018901</v>
      </c>
      <c r="L5803">
        <v>5982.74013275786</v>
      </c>
      <c r="M5803">
        <v>89.620853162238305</v>
      </c>
      <c r="N5803">
        <v>67.648803136820504</v>
      </c>
      <c r="O5803">
        <v>66.722898889569507</v>
      </c>
      <c r="P5803">
        <v>-0.219353464844976</v>
      </c>
      <c r="Q5803">
        <v>0.34676373614307399</v>
      </c>
      <c r="R5803">
        <v>0.43512916279122199</v>
      </c>
      <c r="S5803" t="s">
        <v>11629</v>
      </c>
      <c r="T5803" t="s">
        <v>11650</v>
      </c>
      <c r="U5803" t="s">
        <v>11650</v>
      </c>
      <c r="V5803" t="s">
        <v>11650</v>
      </c>
      <c r="W5803" t="s">
        <v>17393</v>
      </c>
      <c r="X5803">
        <v>33</v>
      </c>
      <c r="Y5803" t="s">
        <v>23044</v>
      </c>
      <c r="Z5803" t="s">
        <v>28865</v>
      </c>
      <c r="AA5803">
        <v>0.92967748914484338</v>
      </c>
      <c r="AB5803" t="str">
        <f>HYPERLINK("Melting_Curves/meltCurve_Q9Y6N5_SQRDL.pdf", "Melting_Curves/meltCurve_Q9Y6N5_SQRDL.pdf")</f>
        <v>Melting_Curves/meltCurve_Q9Y6N5_SQRDL.pdf</v>
      </c>
    </row>
    <row r="5804" spans="1:28" x14ac:dyDescent="0.25">
      <c r="A5804" t="s">
        <v>5808</v>
      </c>
      <c r="B5804">
        <v>0.99996721820229495</v>
      </c>
      <c r="C5804">
        <v>0.955379631279903</v>
      </c>
      <c r="D5804">
        <v>0.98572665872087795</v>
      </c>
      <c r="E5804">
        <v>1.1564299371064699</v>
      </c>
      <c r="F5804">
        <v>1.3039985059916499</v>
      </c>
      <c r="G5804">
        <v>1.07089541261044</v>
      </c>
      <c r="H5804">
        <v>0.66287890381572301</v>
      </c>
      <c r="I5804">
        <v>0.39236997622122999</v>
      </c>
      <c r="J5804">
        <v>0.26966490273926302</v>
      </c>
      <c r="K5804">
        <v>0.274120306574896</v>
      </c>
      <c r="L5804">
        <v>3126.5359180319201</v>
      </c>
      <c r="M5804">
        <v>51.011181523996399</v>
      </c>
      <c r="N5804">
        <v>62.294367242054797</v>
      </c>
      <c r="O5804">
        <v>61.197203153823502</v>
      </c>
      <c r="P5804">
        <v>-0.150017018063765</v>
      </c>
      <c r="Q5804">
        <v>0.28010951334428302</v>
      </c>
      <c r="R5804">
        <v>0.90046411753717204</v>
      </c>
      <c r="S5804" t="s">
        <v>11630</v>
      </c>
      <c r="T5804" t="s">
        <v>11650</v>
      </c>
      <c r="U5804" t="s">
        <v>11650</v>
      </c>
      <c r="V5804" t="s">
        <v>11650</v>
      </c>
      <c r="W5804" t="s">
        <v>17394</v>
      </c>
      <c r="X5804">
        <v>26</v>
      </c>
      <c r="Y5804" t="s">
        <v>23045</v>
      </c>
      <c r="Z5804" t="s">
        <v>28866</v>
      </c>
      <c r="AA5804">
        <v>0.79282073532916775</v>
      </c>
      <c r="AB5804" t="str">
        <f>HYPERLINK("Melting_Curves/meltCurve_Q9Y6N7_5_ROBO1.pdf", "Melting_Curves/meltCurve_Q9Y6N7_5_ROBO1.pdf")</f>
        <v>Melting_Curves/meltCurve_Q9Y6N7_5_ROBO1.pdf</v>
      </c>
    </row>
    <row r="5805" spans="1:28" x14ac:dyDescent="0.25">
      <c r="A5805" t="s">
        <v>5809</v>
      </c>
      <c r="B5805">
        <v>0.99996721820229495</v>
      </c>
      <c r="C5805">
        <v>1.1314219527635201</v>
      </c>
      <c r="D5805">
        <v>0.97320715054651996</v>
      </c>
      <c r="E5805">
        <v>0.70953626026708505</v>
      </c>
      <c r="F5805">
        <v>0.56242682318867199</v>
      </c>
      <c r="G5805">
        <v>0.48060449849746301</v>
      </c>
      <c r="H5805">
        <v>0.39921102241759598</v>
      </c>
      <c r="I5805">
        <v>0.238438339650829</v>
      </c>
      <c r="J5805">
        <v>0.202979473972838</v>
      </c>
      <c r="K5805">
        <v>0.155721820837258</v>
      </c>
      <c r="L5805">
        <v>677.09453402457598</v>
      </c>
      <c r="M5805">
        <v>12.515440136160599</v>
      </c>
      <c r="N5805">
        <v>55.636476030771398</v>
      </c>
      <c r="O5805">
        <v>52.775235066771401</v>
      </c>
      <c r="P5805">
        <v>-5.0637829800854101E-2</v>
      </c>
      <c r="Q5805">
        <v>0.146054417335655</v>
      </c>
      <c r="R5805">
        <v>0.95646225790207695</v>
      </c>
      <c r="S5805" t="s">
        <v>11631</v>
      </c>
      <c r="T5805" t="s">
        <v>11650</v>
      </c>
      <c r="U5805" t="s">
        <v>11650</v>
      </c>
      <c r="V5805" t="s">
        <v>11650</v>
      </c>
      <c r="W5805" t="s">
        <v>17395</v>
      </c>
      <c r="X5805">
        <v>2</v>
      </c>
      <c r="Y5805" t="s">
        <v>23046</v>
      </c>
      <c r="Z5805" t="s">
        <v>28867</v>
      </c>
      <c r="AA5805">
        <v>0.56866774012486354</v>
      </c>
      <c r="AB5805" t="str">
        <f>HYPERLINK("Melting_Curves/meltCurve_Q9Y6P5_2_SESN1.pdf", "Melting_Curves/meltCurve_Q9Y6P5_2_SESN1.pdf")</f>
        <v>Melting_Curves/meltCurve_Q9Y6P5_2_SESN1.pdf</v>
      </c>
    </row>
    <row r="5806" spans="1:28" x14ac:dyDescent="0.25">
      <c r="A5806" t="s">
        <v>5810</v>
      </c>
      <c r="B5806">
        <v>0.99996721820229495</v>
      </c>
      <c r="C5806">
        <v>0.98776195797125199</v>
      </c>
      <c r="D5806">
        <v>0.90459098584045505</v>
      </c>
      <c r="E5806">
        <v>0.72326825253101101</v>
      </c>
      <c r="F5806">
        <v>0.60859812016845505</v>
      </c>
      <c r="G5806">
        <v>0.51944178987577905</v>
      </c>
      <c r="H5806">
        <v>0.32647476119083901</v>
      </c>
      <c r="I5806">
        <v>0.29952385112021401</v>
      </c>
      <c r="J5806">
        <v>0.155900135386115</v>
      </c>
      <c r="K5806">
        <v>0.15443166427912899</v>
      </c>
      <c r="L5806">
        <v>511.31802981690902</v>
      </c>
      <c r="M5806">
        <v>9.0730251447713197</v>
      </c>
      <c r="N5806">
        <v>56.432302068722102</v>
      </c>
      <c r="O5806">
        <v>53.820415095532297</v>
      </c>
      <c r="P5806">
        <v>-4.1916974510503503E-2</v>
      </c>
      <c r="Q5806">
        <v>6.1083807715074396E-3</v>
      </c>
      <c r="R5806">
        <v>0.98914673829510202</v>
      </c>
      <c r="S5806" t="s">
        <v>11632</v>
      </c>
      <c r="T5806" t="s">
        <v>11650</v>
      </c>
      <c r="U5806" t="s">
        <v>11650</v>
      </c>
      <c r="V5806" t="s">
        <v>11650</v>
      </c>
      <c r="W5806" t="s">
        <v>17396</v>
      </c>
      <c r="X5806">
        <v>5</v>
      </c>
      <c r="Y5806" t="s">
        <v>23047</v>
      </c>
      <c r="Z5806" t="s">
        <v>28868</v>
      </c>
      <c r="AA5806">
        <v>0.56649801837751257</v>
      </c>
      <c r="AB5806" t="str">
        <f>HYPERLINK("Melting_Curves/meltCurve_Q9Y6Q9_5_NCOA3.pdf", "Melting_Curves/meltCurve_Q9Y6Q9_5_NCOA3.pdf")</f>
        <v>Melting_Curves/meltCurve_Q9Y6Q9_5_NCOA3.pdf</v>
      </c>
    </row>
    <row r="5807" spans="1:28" x14ac:dyDescent="0.25">
      <c r="A5807" t="s">
        <v>5811</v>
      </c>
      <c r="B5807">
        <v>0.99996721820229495</v>
      </c>
      <c r="C5807">
        <v>1.05234170227065</v>
      </c>
      <c r="D5807">
        <v>0.987836493594626</v>
      </c>
      <c r="E5807">
        <v>0.93046265934973904</v>
      </c>
      <c r="F5807">
        <v>0.94965570843698099</v>
      </c>
      <c r="G5807">
        <v>0.87773093523328305</v>
      </c>
      <c r="H5807">
        <v>0.58308497249871005</v>
      </c>
      <c r="I5807">
        <v>0.449693250767144</v>
      </c>
      <c r="J5807">
        <v>0.461763567742287</v>
      </c>
      <c r="K5807">
        <v>0.325493464667864</v>
      </c>
      <c r="L5807">
        <v>1379.1650868464901</v>
      </c>
      <c r="M5807">
        <v>23.0203125167656</v>
      </c>
      <c r="N5807">
        <v>63.094782737490398</v>
      </c>
      <c r="O5807">
        <v>59.464160959249803</v>
      </c>
      <c r="P5807">
        <v>-6.3536668658940906E-2</v>
      </c>
      <c r="Q5807">
        <v>0.34352138883933198</v>
      </c>
      <c r="R5807">
        <v>0.97795877311144996</v>
      </c>
      <c r="S5807" t="s">
        <v>11633</v>
      </c>
      <c r="T5807" t="s">
        <v>11650</v>
      </c>
      <c r="U5807" t="s">
        <v>11650</v>
      </c>
      <c r="V5807" t="s">
        <v>11650</v>
      </c>
      <c r="W5807" t="s">
        <v>17397</v>
      </c>
      <c r="X5807">
        <v>10</v>
      </c>
      <c r="Y5807" t="s">
        <v>23048</v>
      </c>
      <c r="Z5807" t="s">
        <v>28869</v>
      </c>
      <c r="AA5807">
        <v>0.78448148305108945</v>
      </c>
      <c r="AB5807" t="str">
        <f>HYPERLINK("Melting_Curves/meltCurve_Q9Y6R0_NUMBL.pdf", "Melting_Curves/meltCurve_Q9Y6R0_NUMBL.pdf")</f>
        <v>Melting_Curves/meltCurve_Q9Y6R0_NUMBL.pdf</v>
      </c>
    </row>
    <row r="5808" spans="1:28" x14ac:dyDescent="0.25">
      <c r="A5808" t="s">
        <v>5812</v>
      </c>
      <c r="B5808">
        <v>0.99996721820229495</v>
      </c>
      <c r="C5808">
        <v>0.98227415555853004</v>
      </c>
      <c r="D5808">
        <v>1.2051219534708</v>
      </c>
      <c r="E5808">
        <v>1.64274270873023</v>
      </c>
      <c r="F5808">
        <v>2.1995285330913599</v>
      </c>
      <c r="G5808">
        <v>2.3153053183000698</v>
      </c>
      <c r="H5808">
        <v>0.83898450854781303</v>
      </c>
      <c r="I5808">
        <v>0.41317242721380898</v>
      </c>
      <c r="J5808">
        <v>0.35418447338298398</v>
      </c>
      <c r="K5808">
        <v>0.26529893362458301</v>
      </c>
      <c r="L5808">
        <v>4580.1030287652302</v>
      </c>
      <c r="M5808">
        <v>73.686317998036401</v>
      </c>
      <c r="N5808">
        <v>63.014845054954499</v>
      </c>
      <c r="O5808">
        <v>62.111029134864701</v>
      </c>
      <c r="P5808">
        <v>-0.20266640547449599</v>
      </c>
      <c r="Q5808">
        <v>0.31668092165787698</v>
      </c>
      <c r="R5808">
        <v>0.243950531467581</v>
      </c>
      <c r="S5808" t="s">
        <v>11634</v>
      </c>
      <c r="T5808" t="s">
        <v>11650</v>
      </c>
      <c r="U5808" t="s">
        <v>11650</v>
      </c>
      <c r="V5808" t="s">
        <v>11650</v>
      </c>
      <c r="W5808" t="s">
        <v>17398</v>
      </c>
      <c r="X5808">
        <v>3</v>
      </c>
      <c r="Y5808" t="s">
        <v>23049</v>
      </c>
      <c r="Z5808" t="s">
        <v>28870</v>
      </c>
      <c r="AA5808">
        <v>0.82220571069959614</v>
      </c>
      <c r="AB5808" t="str">
        <f>HYPERLINK("Melting_Curves/meltCurve_Q9Y6V0_2_PCLO.pdf", "Melting_Curves/meltCurve_Q9Y6V0_2_PCLO.pdf")</f>
        <v>Melting_Curves/meltCurve_Q9Y6V0_2_PCLO.pdf</v>
      </c>
    </row>
    <row r="5809" spans="1:28" x14ac:dyDescent="0.25">
      <c r="A5809" t="s">
        <v>5813</v>
      </c>
      <c r="B5809">
        <v>0.99996721820229495</v>
      </c>
      <c r="C5809">
        <v>1.0759873205580699</v>
      </c>
      <c r="D5809">
        <v>1.0263705000069601</v>
      </c>
      <c r="E5809">
        <v>0.80212042832980301</v>
      </c>
      <c r="F5809">
        <v>0.46918968961922902</v>
      </c>
      <c r="G5809">
        <v>0.39501588461457099</v>
      </c>
      <c r="H5809">
        <v>0.23390417703451599</v>
      </c>
      <c r="I5809">
        <v>0.14076113980141899</v>
      </c>
      <c r="J5809">
        <v>0.104610121427236</v>
      </c>
      <c r="K5809">
        <v>9.4975626200619806E-2</v>
      </c>
      <c r="L5809">
        <v>942.93039094517405</v>
      </c>
      <c r="M5809">
        <v>17.7205760479867</v>
      </c>
      <c r="N5809">
        <v>53.949240247736398</v>
      </c>
      <c r="O5809">
        <v>52.547285888446197</v>
      </c>
      <c r="P5809">
        <v>-7.5235353484890299E-2</v>
      </c>
      <c r="Q5809">
        <v>0.107657410078162</v>
      </c>
      <c r="R5809">
        <v>0.97717335912732906</v>
      </c>
      <c r="S5809" t="s">
        <v>11635</v>
      </c>
      <c r="T5809" t="s">
        <v>11650</v>
      </c>
      <c r="U5809" t="s">
        <v>11650</v>
      </c>
      <c r="V5809" t="s">
        <v>11650</v>
      </c>
      <c r="W5809" t="s">
        <v>17399</v>
      </c>
      <c r="X5809">
        <v>10</v>
      </c>
      <c r="Y5809" t="s">
        <v>23050</v>
      </c>
      <c r="Z5809" t="s">
        <v>28871</v>
      </c>
      <c r="AA5809">
        <v>0.51552837967455167</v>
      </c>
      <c r="AB5809" t="str">
        <f>HYPERLINK("Melting_Curves/meltCurve_Q9Y6W3_CAPN7.pdf", "Melting_Curves/meltCurve_Q9Y6W3_CAPN7.pdf")</f>
        <v>Melting_Curves/meltCurve_Q9Y6W3_CAPN7.pdf</v>
      </c>
    </row>
    <row r="5810" spans="1:28" x14ac:dyDescent="0.25">
      <c r="A5810" t="s">
        <v>5814</v>
      </c>
      <c r="B5810">
        <v>0.99996721820229495</v>
      </c>
      <c r="C5810">
        <v>1.01230685415505</v>
      </c>
      <c r="D5810">
        <v>1.08216438486938</v>
      </c>
      <c r="E5810">
        <v>1.3099344848238399</v>
      </c>
      <c r="F5810">
        <v>2.2946954226871998</v>
      </c>
      <c r="G5810">
        <v>2.5905473372158401</v>
      </c>
      <c r="H5810">
        <v>1.9183997526419001</v>
      </c>
      <c r="I5810">
        <v>1.46192949511013</v>
      </c>
      <c r="J5810">
        <v>1.1414372577604499</v>
      </c>
      <c r="K5810">
        <v>0.97608022068188105</v>
      </c>
      <c r="L5810">
        <v>12475.549785978101</v>
      </c>
      <c r="M5810">
        <v>250</v>
      </c>
      <c r="O5810">
        <v>49.899005757468998</v>
      </c>
      <c r="P5810">
        <v>0.62626498417853904</v>
      </c>
      <c r="Q5810">
        <v>1.5</v>
      </c>
      <c r="R5810">
        <v>0.22206330190016799</v>
      </c>
      <c r="S5810" t="s">
        <v>11636</v>
      </c>
      <c r="T5810" t="s">
        <v>11650</v>
      </c>
      <c r="U5810" t="s">
        <v>11650</v>
      </c>
      <c r="V5810" t="s">
        <v>11650</v>
      </c>
      <c r="W5810" t="s">
        <v>17400</v>
      </c>
      <c r="X5810">
        <v>11</v>
      </c>
      <c r="Y5810" t="s">
        <v>23051</v>
      </c>
      <c r="Z5810" t="s">
        <v>28872</v>
      </c>
      <c r="AA5810">
        <v>1.334919558810036</v>
      </c>
      <c r="AB5810" t="str">
        <f>HYPERLINK("Melting_Curves/meltCurve_Q9Y6W5_WASF2.pdf", "Melting_Curves/meltCurve_Q9Y6W5_WASF2.pdf")</f>
        <v>Melting_Curves/meltCurve_Q9Y6W5_WASF2.pdf</v>
      </c>
    </row>
    <row r="5811" spans="1:28" x14ac:dyDescent="0.25">
      <c r="A5811" t="s">
        <v>5815</v>
      </c>
      <c r="B5811">
        <v>0.99996721820229495</v>
      </c>
      <c r="C5811">
        <v>1.13961576141214</v>
      </c>
      <c r="D5811">
        <v>1.08992635921543</v>
      </c>
      <c r="E5811">
        <v>1.2201276145997899</v>
      </c>
      <c r="F5811">
        <v>1.29898574481296</v>
      </c>
      <c r="G5811">
        <v>1.1619440253151601</v>
      </c>
      <c r="H5811">
        <v>0.70965864237139797</v>
      </c>
      <c r="I5811">
        <v>0.57439940406268797</v>
      </c>
      <c r="J5811">
        <v>0.30769268569979202</v>
      </c>
      <c r="K5811">
        <v>0.29663701152171501</v>
      </c>
      <c r="L5811">
        <v>2215.73505496391</v>
      </c>
      <c r="M5811">
        <v>35.378066996959198</v>
      </c>
      <c r="N5811">
        <v>64.084224681479</v>
      </c>
      <c r="O5811">
        <v>62.431090466540397</v>
      </c>
      <c r="P5811">
        <v>-0.102576243748669</v>
      </c>
      <c r="Q5811">
        <v>0.275944035233189</v>
      </c>
      <c r="R5811">
        <v>0.83436535800028599</v>
      </c>
      <c r="S5811" t="s">
        <v>11637</v>
      </c>
      <c r="T5811" t="s">
        <v>11650</v>
      </c>
      <c r="U5811" t="s">
        <v>11650</v>
      </c>
      <c r="V5811" t="s">
        <v>11650</v>
      </c>
      <c r="W5811" t="s">
        <v>17401</v>
      </c>
      <c r="X5811">
        <v>1</v>
      </c>
      <c r="Y5811" t="s">
        <v>23052</v>
      </c>
      <c r="Z5811" t="s">
        <v>28873</v>
      </c>
      <c r="AA5811">
        <v>0.82478460782187535</v>
      </c>
      <c r="AB5811" t="str">
        <f>HYPERLINK("Melting_Curves/meltCurve_Q9Y6X5_ENPP4.pdf", "Melting_Curves/meltCurve_Q9Y6X5_ENPP4.pdf")</f>
        <v>Melting_Curves/meltCurve_Q9Y6X5_ENPP4.pdf</v>
      </c>
    </row>
    <row r="5812" spans="1:28" x14ac:dyDescent="0.25">
      <c r="A5812" t="s">
        <v>5816</v>
      </c>
      <c r="B5812">
        <v>0.99996721820229495</v>
      </c>
      <c r="C5812">
        <v>1.0359828298462901</v>
      </c>
      <c r="D5812">
        <v>1.1277210394993</v>
      </c>
      <c r="E5812">
        <v>1.0164282950765799</v>
      </c>
      <c r="F5812">
        <v>0.48941806059681697</v>
      </c>
      <c r="G5812">
        <v>0.39422471210342203</v>
      </c>
      <c r="H5812">
        <v>0.25155394635372302</v>
      </c>
      <c r="I5812">
        <v>0.170098925324731</v>
      </c>
      <c r="J5812">
        <v>0.15657588803142999</v>
      </c>
      <c r="K5812">
        <v>0.114320844125233</v>
      </c>
      <c r="L5812">
        <v>4337.6006306556901</v>
      </c>
      <c r="M5812">
        <v>82.452392974100306</v>
      </c>
      <c r="N5812">
        <v>52.972343418927103</v>
      </c>
      <c r="O5812">
        <v>52.576403495068</v>
      </c>
      <c r="P5812">
        <v>-0.30709442346361898</v>
      </c>
      <c r="Q5812">
        <v>0.216715462224042</v>
      </c>
      <c r="R5812">
        <v>0.95793316096831904</v>
      </c>
      <c r="S5812" t="s">
        <v>11638</v>
      </c>
      <c r="T5812" t="s">
        <v>11650</v>
      </c>
      <c r="U5812" t="s">
        <v>11650</v>
      </c>
      <c r="V5812" t="s">
        <v>11650</v>
      </c>
      <c r="W5812" t="s">
        <v>17402</v>
      </c>
      <c r="X5812">
        <v>7</v>
      </c>
      <c r="Y5812" t="s">
        <v>23053</v>
      </c>
      <c r="Z5812" t="s">
        <v>28874</v>
      </c>
      <c r="AA5812">
        <v>0.54655251547209238</v>
      </c>
      <c r="AB5812" t="str">
        <f>HYPERLINK("Melting_Curves/meltCurve_R4GMN1_MOSPD2.pdf", "Melting_Curves/meltCurve_R4GMN1_MOSPD2.pdf")</f>
        <v>Melting_Curves/meltCurve_R4GMN1_MOSPD2.pdf</v>
      </c>
    </row>
    <row r="5813" spans="1:28" x14ac:dyDescent="0.25">
      <c r="A5813" t="s">
        <v>5817</v>
      </c>
      <c r="B5813">
        <v>0.99996721820229495</v>
      </c>
      <c r="C5813">
        <v>1.0755526649249001</v>
      </c>
      <c r="D5813">
        <v>1.02025051225068</v>
      </c>
      <c r="E5813">
        <v>1.1617849375581799</v>
      </c>
      <c r="F5813">
        <v>1.28004686824992</v>
      </c>
      <c r="G5813">
        <v>1.50917724539093</v>
      </c>
      <c r="H5813">
        <v>0.45238262912231197</v>
      </c>
      <c r="I5813">
        <v>0.21036861625044401</v>
      </c>
      <c r="J5813">
        <v>0.13348177449830601</v>
      </c>
      <c r="K5813">
        <v>0.121630506295337</v>
      </c>
      <c r="L5813">
        <v>10087.406593584299</v>
      </c>
      <c r="M5813">
        <v>165.97762259604701</v>
      </c>
      <c r="N5813">
        <v>60.911957496914702</v>
      </c>
      <c r="O5813">
        <v>60.7668800070497</v>
      </c>
      <c r="P5813">
        <v>-0.57695380519637796</v>
      </c>
      <c r="Q5813">
        <v>0.15507447681522399</v>
      </c>
      <c r="R5813">
        <v>0.84400793185253098</v>
      </c>
      <c r="S5813" t="s">
        <v>11639</v>
      </c>
      <c r="T5813" t="s">
        <v>11650</v>
      </c>
      <c r="U5813" t="s">
        <v>11650</v>
      </c>
      <c r="V5813" t="s">
        <v>11650</v>
      </c>
      <c r="W5813" t="s">
        <v>17403</v>
      </c>
      <c r="X5813">
        <v>7</v>
      </c>
      <c r="Y5813" t="s">
        <v>23054</v>
      </c>
      <c r="Z5813" t="s">
        <v>28875</v>
      </c>
      <c r="AA5813">
        <v>0.7404096984665306</v>
      </c>
      <c r="AB5813" t="str">
        <f>HYPERLINK("Melting_Curves/meltCurve_R4GMR5_PSMD8.pdf", "Melting_Curves/meltCurve_R4GMR5_PSMD8.pdf")</f>
        <v>Melting_Curves/meltCurve_R4GMR5_PSMD8.pdf</v>
      </c>
    </row>
    <row r="5814" spans="1:28" x14ac:dyDescent="0.25">
      <c r="A5814" t="s">
        <v>5818</v>
      </c>
      <c r="B5814">
        <v>0.99996721820229495</v>
      </c>
      <c r="C5814">
        <v>0.96364373856269203</v>
      </c>
      <c r="D5814">
        <v>1.0764129431634999</v>
      </c>
      <c r="E5814">
        <v>1.0307983673852099</v>
      </c>
      <c r="F5814">
        <v>0.526475206666566</v>
      </c>
      <c r="G5814">
        <v>0.38464756051262899</v>
      </c>
      <c r="H5814">
        <v>0.26620744106531202</v>
      </c>
      <c r="I5814">
        <v>0.20097440344208201</v>
      </c>
      <c r="J5814">
        <v>0.14170593784584801</v>
      </c>
      <c r="K5814">
        <v>0.115745827455856</v>
      </c>
      <c r="S5814" t="s">
        <v>11640</v>
      </c>
      <c r="T5814" t="s">
        <v>11650</v>
      </c>
      <c r="U5814" t="s">
        <v>11651</v>
      </c>
      <c r="V5814" t="s">
        <v>11650</v>
      </c>
      <c r="W5814" t="s">
        <v>17404</v>
      </c>
      <c r="X5814">
        <v>14</v>
      </c>
      <c r="Y5814" t="s">
        <v>23055</v>
      </c>
      <c r="Z5814" t="s">
        <v>28876</v>
      </c>
      <c r="AB5814" t="str">
        <f>HYPERLINK("Melting_Curves/meltCurve_R4GMU1_H6PD.pdf", "Melting_Curves/meltCurve_R4GMU1_H6PD.pdf")</f>
        <v>Melting_Curves/meltCurve_R4GMU1_H6PD.pdf</v>
      </c>
    </row>
    <row r="5815" spans="1:28" x14ac:dyDescent="0.25">
      <c r="A5815" t="s">
        <v>5819</v>
      </c>
      <c r="B5815">
        <v>0.99996721820229495</v>
      </c>
      <c r="C5815">
        <v>0.99862114171615302</v>
      </c>
      <c r="D5815">
        <v>1.0018452791710499</v>
      </c>
      <c r="E5815">
        <v>0.80137588491987299</v>
      </c>
      <c r="F5815">
        <v>0.53921035978349596</v>
      </c>
      <c r="G5815">
        <v>0.34590651012777102</v>
      </c>
      <c r="H5815">
        <v>0.20511236249899001</v>
      </c>
      <c r="I5815">
        <v>0.116626694450974</v>
      </c>
      <c r="J5815">
        <v>7.9208625091162596E-2</v>
      </c>
      <c r="K5815">
        <v>6.9012819210148305E-2</v>
      </c>
      <c r="L5815">
        <v>901.78693872346196</v>
      </c>
      <c r="M5815">
        <v>16.7753781034281</v>
      </c>
      <c r="N5815">
        <v>54.177555500548202</v>
      </c>
      <c r="O5815">
        <v>53.010106577614899</v>
      </c>
      <c r="P5815">
        <v>-7.4284800606603099E-2</v>
      </c>
      <c r="Q5815">
        <v>6.1102833519849201E-2</v>
      </c>
      <c r="R5815">
        <v>0.99499847427306898</v>
      </c>
      <c r="S5815" t="s">
        <v>11641</v>
      </c>
      <c r="T5815" t="s">
        <v>11650</v>
      </c>
      <c r="U5815" t="s">
        <v>11650</v>
      </c>
      <c r="V5815" t="s">
        <v>11650</v>
      </c>
      <c r="W5815" t="s">
        <v>17405</v>
      </c>
      <c r="X5815">
        <v>5</v>
      </c>
      <c r="Y5815" t="s">
        <v>23056</v>
      </c>
      <c r="Z5815" t="s">
        <v>28877</v>
      </c>
      <c r="AA5815">
        <v>0.50840666833461712</v>
      </c>
      <c r="AB5815" t="str">
        <f>HYPERLINK("Melting_Curves/meltCurve_R4GMX3_BMI1.pdf", "Melting_Curves/meltCurve_R4GMX3_BMI1.pdf")</f>
        <v>Melting_Curves/meltCurve_R4GMX3_BMI1.pdf</v>
      </c>
    </row>
    <row r="5816" spans="1:28" x14ac:dyDescent="0.25">
      <c r="A5816" t="s">
        <v>5820</v>
      </c>
      <c r="B5816">
        <v>0.99996721820229495</v>
      </c>
      <c r="C5816">
        <v>0.89387353522362101</v>
      </c>
      <c r="D5816">
        <v>0.91738710276042101</v>
      </c>
      <c r="E5816">
        <v>1.0313512120813899</v>
      </c>
      <c r="F5816">
        <v>0.98153788059874902</v>
      </c>
      <c r="G5816">
        <v>0.60614073426364501</v>
      </c>
      <c r="H5816">
        <v>0.31422670960265697</v>
      </c>
      <c r="I5816">
        <v>0.21118296517341001</v>
      </c>
      <c r="J5816">
        <v>9.6460889473844694E-2</v>
      </c>
      <c r="K5816">
        <v>7.6434442908670797E-2</v>
      </c>
      <c r="L5816">
        <v>1444.6501555367699</v>
      </c>
      <c r="M5816">
        <v>24.8615660841024</v>
      </c>
      <c r="N5816">
        <v>58.538970858897301</v>
      </c>
      <c r="O5816">
        <v>57.735734119010701</v>
      </c>
      <c r="P5816">
        <v>-9.8646117436692896E-2</v>
      </c>
      <c r="Q5816">
        <v>8.3673555021255397E-2</v>
      </c>
      <c r="R5816">
        <v>0.98030728214533502</v>
      </c>
      <c r="S5816" t="s">
        <v>11642</v>
      </c>
      <c r="T5816" t="s">
        <v>11650</v>
      </c>
      <c r="U5816" t="s">
        <v>11650</v>
      </c>
      <c r="V5816" t="s">
        <v>11650</v>
      </c>
      <c r="W5816" t="s">
        <v>17406</v>
      </c>
      <c r="X5816">
        <v>1</v>
      </c>
      <c r="Y5816" t="s">
        <v>23057</v>
      </c>
      <c r="Z5816" t="s">
        <v>28878</v>
      </c>
      <c r="AA5816">
        <v>0.64475180554470457</v>
      </c>
      <c r="AB5816" t="str">
        <f>HYPERLINK("Melting_Curves/meltCurve_R4GMX8_RANBP10.pdf", "Melting_Curves/meltCurve_R4GMX8_RANBP10.pdf")</f>
        <v>Melting_Curves/meltCurve_R4GMX8_RANBP10.pdf</v>
      </c>
    </row>
    <row r="5817" spans="1:28" x14ac:dyDescent="0.25">
      <c r="A5817" t="s">
        <v>5821</v>
      </c>
      <c r="B5817">
        <v>0.99996721820229495</v>
      </c>
      <c r="C5817">
        <v>1.04581793141832</v>
      </c>
      <c r="D5817">
        <v>0.90988772319179301</v>
      </c>
      <c r="E5817">
        <v>0.77217951992198497</v>
      </c>
      <c r="F5817">
        <v>0.868751217800797</v>
      </c>
      <c r="G5817">
        <v>0.83613821106194097</v>
      </c>
      <c r="H5817">
        <v>0.604873185509756</v>
      </c>
      <c r="I5817">
        <v>0.73190509686369498</v>
      </c>
      <c r="J5817">
        <v>0.80493275435329503</v>
      </c>
      <c r="K5817">
        <v>0.43010212962399502</v>
      </c>
      <c r="L5817">
        <v>309.01709325961502</v>
      </c>
      <c r="M5817">
        <v>4.1137225380560096</v>
      </c>
      <c r="O5817">
        <v>62.210296300781003</v>
      </c>
      <c r="P5817">
        <v>-1.67256536678069E-2</v>
      </c>
      <c r="Q5817">
        <v>0</v>
      </c>
      <c r="R5817">
        <v>0.675810359669342</v>
      </c>
      <c r="S5817" t="s">
        <v>11643</v>
      </c>
      <c r="T5817" t="s">
        <v>11650</v>
      </c>
      <c r="U5817" t="s">
        <v>11650</v>
      </c>
      <c r="V5817" t="s">
        <v>11650</v>
      </c>
      <c r="W5817" t="s">
        <v>17407</v>
      </c>
      <c r="X5817">
        <v>2</v>
      </c>
      <c r="Y5817" t="s">
        <v>23058</v>
      </c>
      <c r="Z5817" t="s">
        <v>28879</v>
      </c>
      <c r="AA5817">
        <v>0.80292900460805838</v>
      </c>
      <c r="AB5817" t="str">
        <f>HYPERLINK("Melting_Curves/meltCurve_R4GMY4_NBL1.pdf", "Melting_Curves/meltCurve_R4GMY4_NBL1.pdf")</f>
        <v>Melting_Curves/meltCurve_R4GMY4_NBL1.pdf</v>
      </c>
    </row>
    <row r="5818" spans="1:28" x14ac:dyDescent="0.25">
      <c r="A5818" t="s">
        <v>5822</v>
      </c>
      <c r="B5818">
        <v>0.99996721820229495</v>
      </c>
      <c r="C5818">
        <v>1.19879521295844</v>
      </c>
      <c r="D5818">
        <v>1.22573776835096</v>
      </c>
      <c r="E5818">
        <v>1.08287254847689</v>
      </c>
      <c r="F5818">
        <v>1.3930354234948601</v>
      </c>
      <c r="G5818">
        <v>1.5593062528333601</v>
      </c>
      <c r="H5818">
        <v>1.1678360967334001</v>
      </c>
      <c r="I5818">
        <v>0.91710658195651795</v>
      </c>
      <c r="J5818">
        <v>0.75330993261868795</v>
      </c>
      <c r="K5818">
        <v>0.463121649197688</v>
      </c>
      <c r="L5818">
        <v>3225.17601047274</v>
      </c>
      <c r="M5818">
        <v>47.717496958858497</v>
      </c>
      <c r="N5818">
        <v>69.450931829281103</v>
      </c>
      <c r="O5818">
        <v>67.470571407975996</v>
      </c>
      <c r="P5818">
        <v>-0.113001281701598</v>
      </c>
      <c r="Q5818">
        <v>0.36088405988542199</v>
      </c>
      <c r="R5818">
        <v>0.331034606160102</v>
      </c>
      <c r="S5818" t="s">
        <v>11644</v>
      </c>
      <c r="T5818" t="s">
        <v>11650</v>
      </c>
      <c r="U5818" t="s">
        <v>11650</v>
      </c>
      <c r="V5818" t="s">
        <v>11650</v>
      </c>
      <c r="W5818" t="s">
        <v>14521</v>
      </c>
      <c r="X5818">
        <v>3</v>
      </c>
      <c r="Y5818" t="s">
        <v>20222</v>
      </c>
      <c r="Z5818" t="s">
        <v>28880</v>
      </c>
      <c r="AA5818">
        <v>0.94473059332575593</v>
      </c>
      <c r="AB5818" t="str">
        <f>HYPERLINK("Melting_Curves/meltCurve_R4GN02_NOTCH2.pdf", "Melting_Curves/meltCurve_R4GN02_NOTCH2.pdf")</f>
        <v>Melting_Curves/meltCurve_R4GN02_NOTCH2.pdf</v>
      </c>
    </row>
    <row r="5819" spans="1:28" x14ac:dyDescent="0.25">
      <c r="A5819" t="s">
        <v>5823</v>
      </c>
      <c r="B5819">
        <v>0.99996721820229495</v>
      </c>
      <c r="C5819">
        <v>1.1329046264072899</v>
      </c>
      <c r="D5819">
        <v>1.0747900115106199</v>
      </c>
      <c r="E5819">
        <v>1.0789359771679099</v>
      </c>
      <c r="F5819">
        <v>1.04298186961053</v>
      </c>
      <c r="G5819">
        <v>0.79000208176155196</v>
      </c>
      <c r="H5819">
        <v>0.53885883902919796</v>
      </c>
      <c r="I5819">
        <v>0.44328011791093103</v>
      </c>
      <c r="J5819">
        <v>0.45730550220735899</v>
      </c>
      <c r="K5819">
        <v>0.27645629595829002</v>
      </c>
      <c r="L5819">
        <v>1577.28996022101</v>
      </c>
      <c r="M5819">
        <v>26.710471533904801</v>
      </c>
      <c r="N5819">
        <v>61.866162174004003</v>
      </c>
      <c r="O5819">
        <v>58.723349880472298</v>
      </c>
      <c r="P5819">
        <v>-7.3722766950557406E-2</v>
      </c>
      <c r="Q5819">
        <v>0.35168444450559599</v>
      </c>
      <c r="R5819">
        <v>0.94672752270882499</v>
      </c>
      <c r="S5819" t="s">
        <v>11645</v>
      </c>
      <c r="T5819" t="s">
        <v>11650</v>
      </c>
      <c r="U5819" t="s">
        <v>11650</v>
      </c>
      <c r="V5819" t="s">
        <v>11650</v>
      </c>
      <c r="W5819" t="s">
        <v>17408</v>
      </c>
      <c r="X5819">
        <v>5</v>
      </c>
      <c r="Y5819" t="s">
        <v>23059</v>
      </c>
      <c r="Z5819" t="s">
        <v>28881</v>
      </c>
      <c r="AA5819">
        <v>0.76827088495912221</v>
      </c>
      <c r="AB5819" t="str">
        <f>HYPERLINK("Melting_Curves/meltCurve_R4GN55_YTHDF3.pdf", "Melting_Curves/meltCurve_R4GN55_YTHDF3.pdf")</f>
        <v>Melting_Curves/meltCurve_R4GN55_YTHDF3.pdf</v>
      </c>
    </row>
    <row r="5820" spans="1:28" x14ac:dyDescent="0.25">
      <c r="A5820" t="s">
        <v>5824</v>
      </c>
      <c r="B5820">
        <v>0.99996721820229495</v>
      </c>
      <c r="C5820">
        <v>0.83813657111912898</v>
      </c>
      <c r="D5820">
        <v>0.72686534315032003</v>
      </c>
      <c r="E5820">
        <v>0.87630615263304601</v>
      </c>
      <c r="F5820">
        <v>1.0908969585510899</v>
      </c>
      <c r="G5820">
        <v>1.0345349389739</v>
      </c>
      <c r="H5820">
        <v>0.96213784799885504</v>
      </c>
      <c r="I5820">
        <v>0.97493376910760299</v>
      </c>
      <c r="J5820">
        <v>1.0462848693203901</v>
      </c>
      <c r="K5820">
        <v>0.58665287127249799</v>
      </c>
      <c r="L5820">
        <v>20.788194626875999</v>
      </c>
      <c r="M5820">
        <v>1.0000000000000001E-5</v>
      </c>
      <c r="Q5820">
        <v>0.78624578022882297</v>
      </c>
      <c r="R5820">
        <v>5.0517923239479202E-4</v>
      </c>
      <c r="S5820" t="s">
        <v>11646</v>
      </c>
      <c r="T5820" t="s">
        <v>11650</v>
      </c>
      <c r="U5820" t="s">
        <v>11650</v>
      </c>
      <c r="V5820" t="s">
        <v>11650</v>
      </c>
      <c r="W5820" t="s">
        <v>17409</v>
      </c>
      <c r="X5820">
        <v>12</v>
      </c>
      <c r="Y5820" t="s">
        <v>23060</v>
      </c>
      <c r="Z5820" t="s">
        <v>28882</v>
      </c>
      <c r="AA5820">
        <v>0.91356905934494337</v>
      </c>
      <c r="AB5820" t="str">
        <f>HYPERLINK("Melting_Curves/meltCurve_R4GN98_S100A6.pdf", "Melting_Curves/meltCurve_R4GN98_S100A6.pdf")</f>
        <v>Melting_Curves/meltCurve_R4GN98_S100A6.pdf</v>
      </c>
    </row>
    <row r="5821" spans="1:28" x14ac:dyDescent="0.25">
      <c r="A5821" t="s">
        <v>5825</v>
      </c>
      <c r="B5821">
        <v>0.99996721820229495</v>
      </c>
      <c r="C5821">
        <v>0.987877868853411</v>
      </c>
      <c r="D5821">
        <v>0.99666921300119005</v>
      </c>
      <c r="E5821">
        <v>0.91056631869946703</v>
      </c>
      <c r="F5821">
        <v>0.72104868950881995</v>
      </c>
      <c r="G5821">
        <v>0.68345862438476901</v>
      </c>
      <c r="H5821">
        <v>0.38803604188923602</v>
      </c>
      <c r="I5821">
        <v>0.26281907455257802</v>
      </c>
      <c r="J5821">
        <v>0.20725929728252801</v>
      </c>
      <c r="K5821">
        <v>0.132871805297745</v>
      </c>
      <c r="L5821">
        <v>707.229020590294</v>
      </c>
      <c r="M5821">
        <v>11.968662696729499</v>
      </c>
      <c r="N5821">
        <v>59.090062012437102</v>
      </c>
      <c r="O5821">
        <v>57.5129581432873</v>
      </c>
      <c r="P5821">
        <v>-5.2038607229339E-2</v>
      </c>
      <c r="Q5821">
        <v>0</v>
      </c>
      <c r="R5821">
        <v>0.987672268016352</v>
      </c>
      <c r="S5821" t="s">
        <v>11647</v>
      </c>
      <c r="T5821" t="s">
        <v>11650</v>
      </c>
      <c r="U5821" t="s">
        <v>11650</v>
      </c>
      <c r="V5821" t="s">
        <v>11650</v>
      </c>
      <c r="W5821" t="s">
        <v>17410</v>
      </c>
      <c r="X5821">
        <v>4</v>
      </c>
      <c r="Y5821" t="s">
        <v>23061</v>
      </c>
      <c r="Z5821" t="s">
        <v>28883</v>
      </c>
      <c r="AA5821">
        <v>0.64373064455315676</v>
      </c>
      <c r="AB5821" t="str">
        <f>HYPERLINK("Melting_Curves/meltCurve_R4GNB2_DENND4C.pdf", "Melting_Curves/meltCurve_R4GNB2_DENND4C.pdf")</f>
        <v>Melting_Curves/meltCurve_R4GNB2_DENND4C.pdf</v>
      </c>
    </row>
    <row r="5822" spans="1:28" x14ac:dyDescent="0.25">
      <c r="A5822" t="s">
        <v>5826</v>
      </c>
      <c r="B5822">
        <v>0.99996721820229495</v>
      </c>
      <c r="C5822">
        <v>0.88066849637288103</v>
      </c>
      <c r="D5822">
        <v>0.92866588681394502</v>
      </c>
      <c r="E5822">
        <v>0.81530245555498704</v>
      </c>
      <c r="F5822">
        <v>0.54389308830739402</v>
      </c>
      <c r="G5822">
        <v>0.51907715298619495</v>
      </c>
      <c r="H5822">
        <v>0.169994770962694</v>
      </c>
      <c r="I5822">
        <v>0.11361249266656499</v>
      </c>
      <c r="J5822">
        <v>4.6536082334577997E-2</v>
      </c>
      <c r="K5822">
        <v>0</v>
      </c>
      <c r="L5822">
        <v>736.15989278131497</v>
      </c>
      <c r="M5822">
        <v>13.3846655242906</v>
      </c>
      <c r="N5822">
        <v>55.000245721125097</v>
      </c>
      <c r="O5822">
        <v>53.816041048799498</v>
      </c>
      <c r="P5822">
        <v>-6.2187669562929301E-2</v>
      </c>
      <c r="Q5822">
        <v>0</v>
      </c>
      <c r="R5822">
        <v>0.97080589516256199</v>
      </c>
      <c r="S5822" t="s">
        <v>11648</v>
      </c>
      <c r="T5822" t="s">
        <v>11650</v>
      </c>
      <c r="U5822" t="s">
        <v>11650</v>
      </c>
      <c r="V5822" t="s">
        <v>11650</v>
      </c>
      <c r="W5822" t="s">
        <v>17411</v>
      </c>
      <c r="X5822">
        <v>1</v>
      </c>
      <c r="Y5822" t="s">
        <v>23062</v>
      </c>
      <c r="Z5822" t="s">
        <v>28884</v>
      </c>
      <c r="AA5822">
        <v>0.52154024225651285</v>
      </c>
      <c r="AB5822" t="str">
        <f>HYPERLINK("Melting_Curves/meltCurve_R4GNH2_FBXO2.pdf", "Melting_Curves/meltCurve_R4GNH2_FBXO2.pdf")</f>
        <v>Melting_Curves/meltCurve_R4GNH2_FBXO2.pdf</v>
      </c>
    </row>
    <row r="5823" spans="1:28" x14ac:dyDescent="0.25">
      <c r="A5823" t="s">
        <v>5827</v>
      </c>
      <c r="B5823">
        <v>0.99996721820229495</v>
      </c>
      <c r="C5823">
        <v>1.01859454208524</v>
      </c>
      <c r="D5823">
        <v>0.98467392978360802</v>
      </c>
      <c r="E5823">
        <v>1.0687194629962899</v>
      </c>
      <c r="F5823">
        <v>0.87054900641736499</v>
      </c>
      <c r="G5823">
        <v>0.77172943413695005</v>
      </c>
      <c r="H5823">
        <v>0.26128726907532202</v>
      </c>
      <c r="I5823">
        <v>0.16874538298942099</v>
      </c>
      <c r="J5823">
        <v>0.11821651181180499</v>
      </c>
      <c r="K5823">
        <v>0.102826812918035</v>
      </c>
      <c r="L5823">
        <v>1953.59377222797</v>
      </c>
      <c r="M5823">
        <v>33.369101252864802</v>
      </c>
      <c r="N5823">
        <v>58.949762538409502</v>
      </c>
      <c r="O5823">
        <v>58.3359326103485</v>
      </c>
      <c r="P5823">
        <v>-0.12836333971550701</v>
      </c>
      <c r="Q5823">
        <v>0.10238359626916201</v>
      </c>
      <c r="R5823">
        <v>0.98838263535584503</v>
      </c>
      <c r="S5823" t="s">
        <v>11649</v>
      </c>
      <c r="T5823" t="s">
        <v>11650</v>
      </c>
      <c r="U5823" t="s">
        <v>11650</v>
      </c>
      <c r="V5823" t="s">
        <v>11650</v>
      </c>
      <c r="W5823" t="s">
        <v>17412</v>
      </c>
      <c r="X5823">
        <v>16</v>
      </c>
      <c r="Y5823" t="s">
        <v>23063</v>
      </c>
      <c r="Z5823" t="s">
        <v>28885</v>
      </c>
      <c r="AA5823">
        <v>0.66215741925521732</v>
      </c>
      <c r="AB5823" t="str">
        <f>HYPERLINK("Melting_Curves/meltCurve_R4GNH3_PSMC3.pdf", "Melting_Curves/meltCurve_R4GNH3_PSMC3.pdf")</f>
        <v>Melting_Curves/meltCurve_R4GNH3_PSMC3.pdf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Anna Jarzab</cp:lastModifiedBy>
  <dcterms:created xsi:type="dcterms:W3CDTF">2017-09-14T13:06:10Z</dcterms:created>
  <dcterms:modified xsi:type="dcterms:W3CDTF">2018-08-21T08:40:11Z</dcterms:modified>
</cp:coreProperties>
</file>